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ackup\Aerospace\AER4210—Design of Aircraft Structures\Exam(OpenBook)\Finalized\"/>
    </mc:Choice>
  </mc:AlternateContent>
  <xr:revisionPtr revIDLastSave="0" documentId="13_ncr:1_{A6E013B5-A323-43F7-8A5F-BD3D989B7C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mmetrical_TwoC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70" i="1" l="1"/>
  <c r="P63" i="1"/>
  <c r="P64" i="1"/>
  <c r="P65" i="1"/>
  <c r="P66" i="1"/>
  <c r="P67" i="1"/>
  <c r="P68" i="1"/>
  <c r="P69" i="1"/>
  <c r="P70" i="1"/>
  <c r="P62" i="1"/>
  <c r="R31" i="1"/>
  <c r="R32" i="1"/>
  <c r="R33" i="1"/>
  <c r="R34" i="1"/>
  <c r="R35" i="1"/>
  <c r="R36" i="1"/>
  <c r="R37" i="1"/>
  <c r="R30" i="1"/>
  <c r="R15" i="1" l="1"/>
  <c r="R16" i="1"/>
  <c r="R17" i="1"/>
  <c r="R18" i="1"/>
  <c r="R13" i="1"/>
  <c r="B8" i="1"/>
  <c r="T32" i="1"/>
  <c r="V33" i="1"/>
  <c r="S34" i="1"/>
  <c r="S18" i="1"/>
  <c r="S35" i="1" s="1"/>
  <c r="T18" i="1"/>
  <c r="U18" i="1"/>
  <c r="V18" i="1"/>
  <c r="V35" i="1" s="1"/>
  <c r="S19" i="1"/>
  <c r="S36" i="1" s="1"/>
  <c r="T19" i="1"/>
  <c r="T36" i="1" s="1"/>
  <c r="U19" i="1"/>
  <c r="V19" i="1"/>
  <c r="S20" i="1"/>
  <c r="S37" i="1" s="1"/>
  <c r="T20" i="1"/>
  <c r="U20" i="1"/>
  <c r="V20" i="1"/>
  <c r="V37" i="1" s="1"/>
  <c r="S13" i="1"/>
  <c r="T13" i="1"/>
  <c r="U13" i="1"/>
  <c r="V13" i="1"/>
  <c r="Q30" i="1"/>
  <c r="Q15" i="1"/>
  <c r="Q16" i="1"/>
  <c r="Q34" i="1"/>
  <c r="Q19" i="1"/>
  <c r="Q20" i="1"/>
  <c r="T31" i="1"/>
  <c r="U31" i="1"/>
  <c r="Q31" i="1"/>
  <c r="L7" i="1"/>
  <c r="G79" i="1"/>
  <c r="U32" i="1"/>
  <c r="V34" i="1"/>
  <c r="T35" i="1"/>
  <c r="U35" i="1"/>
  <c r="U37" i="1"/>
  <c r="S30" i="1"/>
  <c r="T30" i="1"/>
  <c r="V30" i="1"/>
  <c r="Q33" i="1"/>
  <c r="Q35" i="1"/>
  <c r="H3" i="1"/>
  <c r="P30" i="1"/>
  <c r="P31" i="1"/>
  <c r="P32" i="1"/>
  <c r="P33" i="1"/>
  <c r="P34" i="1"/>
  <c r="P35" i="1"/>
  <c r="P36" i="1"/>
  <c r="P37" i="1"/>
  <c r="V32" i="1"/>
  <c r="U33" i="1"/>
  <c r="T34" i="1"/>
  <c r="U34" i="1"/>
  <c r="U36" i="1"/>
  <c r="V36" i="1"/>
  <c r="T37" i="1"/>
  <c r="S32" i="1"/>
  <c r="S33" i="1"/>
  <c r="Q32" i="1"/>
  <c r="Q36" i="1"/>
  <c r="Q37" i="1"/>
  <c r="N31" i="1"/>
  <c r="N32" i="1"/>
  <c r="N33" i="1"/>
  <c r="N34" i="1"/>
  <c r="N35" i="1"/>
  <c r="N36" i="1"/>
  <c r="N37" i="1"/>
  <c r="N30" i="1"/>
  <c r="N14" i="1"/>
  <c r="N15" i="1"/>
  <c r="N16" i="1"/>
  <c r="N17" i="1"/>
  <c r="N18" i="1"/>
  <c r="N19" i="1"/>
  <c r="N20" i="1"/>
  <c r="N13" i="1"/>
  <c r="T70" i="1"/>
  <c r="T69" i="1"/>
  <c r="T68" i="1"/>
  <c r="T67" i="1"/>
  <c r="T66" i="1"/>
  <c r="T65" i="1"/>
  <c r="T64" i="1"/>
  <c r="T63" i="1"/>
  <c r="T62" i="1"/>
  <c r="D37" i="1"/>
  <c r="C37" i="1"/>
  <c r="D36" i="1"/>
  <c r="C36" i="1"/>
  <c r="D35" i="1"/>
  <c r="C35" i="1"/>
  <c r="D34" i="1"/>
  <c r="C34" i="1"/>
  <c r="D33" i="1"/>
  <c r="D32" i="1"/>
  <c r="D31" i="1"/>
  <c r="D30" i="1"/>
  <c r="O37" i="1"/>
  <c r="O36" i="1"/>
  <c r="O18" i="1"/>
  <c r="B18" i="1" s="1"/>
  <c r="B35" i="1" s="1"/>
  <c r="O17" i="1"/>
  <c r="O34" i="1" s="1"/>
  <c r="O16" i="1"/>
  <c r="O33" i="1" s="1"/>
  <c r="C33" i="1"/>
  <c r="O15" i="1"/>
  <c r="O32" i="1" s="1"/>
  <c r="C32" i="1"/>
  <c r="O14" i="1"/>
  <c r="O31" i="1" s="1"/>
  <c r="C31" i="1"/>
  <c r="O13" i="1"/>
  <c r="O30" i="1" s="1"/>
  <c r="C30" i="1"/>
  <c r="T33" i="1" l="1"/>
  <c r="R14" i="1"/>
  <c r="V31" i="1"/>
  <c r="S31" i="1"/>
  <c r="U30" i="1"/>
  <c r="B17" i="1"/>
  <c r="B34" i="1" s="1"/>
  <c r="E34" i="1" s="1"/>
  <c r="B19" i="1"/>
  <c r="F19" i="1" s="1"/>
  <c r="B15" i="1"/>
  <c r="B32" i="1" s="1"/>
  <c r="B13" i="1"/>
  <c r="B16" i="1"/>
  <c r="F16" i="1" s="1"/>
  <c r="B20" i="1"/>
  <c r="F20" i="1" s="1"/>
  <c r="B14" i="1"/>
  <c r="F14" i="1" s="1"/>
  <c r="O35" i="1"/>
  <c r="E35" i="1"/>
  <c r="F35" i="1"/>
  <c r="E18" i="1"/>
  <c r="F18" i="1"/>
  <c r="F13" i="1" l="1"/>
  <c r="F15" i="1"/>
  <c r="B36" i="1"/>
  <c r="E36" i="1" s="1"/>
  <c r="F34" i="1"/>
  <c r="F17" i="1"/>
  <c r="E17" i="1"/>
  <c r="E19" i="1"/>
  <c r="E15" i="1"/>
  <c r="E20" i="1"/>
  <c r="E16" i="1"/>
  <c r="B33" i="1"/>
  <c r="E33" i="1" s="1"/>
  <c r="B30" i="1"/>
  <c r="E30" i="1" s="1"/>
  <c r="E13" i="1"/>
  <c r="E14" i="1"/>
  <c r="B37" i="1"/>
  <c r="F37" i="1" s="1"/>
  <c r="B22" i="1"/>
  <c r="B31" i="1"/>
  <c r="F31" i="1" s="1"/>
  <c r="E32" i="1"/>
  <c r="F32" i="1"/>
  <c r="F22" i="1" l="1"/>
  <c r="B25" i="1" s="1"/>
  <c r="F36" i="1"/>
  <c r="F33" i="1"/>
  <c r="E22" i="1"/>
  <c r="B24" i="1" s="1"/>
  <c r="F30" i="1"/>
  <c r="E31" i="1"/>
  <c r="B39" i="1"/>
  <c r="E37" i="1"/>
  <c r="F39" i="1" l="1"/>
  <c r="B43" i="1" s="1"/>
  <c r="E39" i="1"/>
  <c r="B42" i="1" s="1"/>
  <c r="H37" i="1"/>
  <c r="J37" i="1" s="1"/>
  <c r="G18" i="1"/>
  <c r="G37" i="1"/>
  <c r="I37" i="1" s="1"/>
  <c r="H33" i="1"/>
  <c r="J33" i="1" s="1"/>
  <c r="H32" i="1"/>
  <c r="J32" i="1" s="1"/>
  <c r="H19" i="1"/>
  <c r="H34" i="1"/>
  <c r="J34" i="1" s="1"/>
  <c r="G36" i="1"/>
  <c r="I36" i="1" s="1"/>
  <c r="G35" i="1"/>
  <c r="I35" i="1" s="1"/>
  <c r="G32" i="1"/>
  <c r="I32" i="1" s="1"/>
  <c r="G17" i="1"/>
  <c r="F66" i="1" s="1"/>
  <c r="G31" i="1"/>
  <c r="I31" i="1" s="1"/>
  <c r="H36" i="1"/>
  <c r="J36" i="1" s="1"/>
  <c r="H16" i="1"/>
  <c r="J16" i="1" s="1"/>
  <c r="G16" i="1"/>
  <c r="G64" i="1" s="1"/>
  <c r="H17" i="1"/>
  <c r="K66" i="1" s="1"/>
  <c r="G34" i="1"/>
  <c r="I34" i="1" s="1"/>
  <c r="G13" i="1"/>
  <c r="H18" i="1"/>
  <c r="H31" i="1"/>
  <c r="J31" i="1" s="1"/>
  <c r="G30" i="1"/>
  <c r="I30" i="1" s="1"/>
  <c r="H30" i="1"/>
  <c r="J30" i="1" s="1"/>
  <c r="G19" i="1"/>
  <c r="G14" i="1"/>
  <c r="G62" i="1" s="1"/>
  <c r="G33" i="1"/>
  <c r="I33" i="1" s="1"/>
  <c r="H14" i="1"/>
  <c r="K63" i="1" s="1"/>
  <c r="H13" i="1"/>
  <c r="H20" i="1"/>
  <c r="G15" i="1"/>
  <c r="G20" i="1"/>
  <c r="H15" i="1"/>
  <c r="H35" i="1"/>
  <c r="J35" i="1" s="1"/>
  <c r="K64" i="1" l="1"/>
  <c r="L70" i="1"/>
  <c r="K62" i="1"/>
  <c r="F77" i="1"/>
  <c r="F79" i="1" s="1"/>
  <c r="L69" i="1"/>
  <c r="K70" i="1"/>
  <c r="I15" i="1"/>
  <c r="G70" i="1"/>
  <c r="J18" i="1"/>
  <c r="K69" i="1"/>
  <c r="E77" i="1"/>
  <c r="E62" i="1" s="1"/>
  <c r="E66" i="1" s="1"/>
  <c r="F70" i="1"/>
  <c r="I18" i="1"/>
  <c r="F69" i="1"/>
  <c r="F62" i="1"/>
  <c r="H62" i="1" s="1"/>
  <c r="K4" i="1"/>
  <c r="G67" i="1"/>
  <c r="G66" i="1"/>
  <c r="H66" i="1" s="1"/>
  <c r="F67" i="1"/>
  <c r="K37" i="1"/>
  <c r="L67" i="1"/>
  <c r="K68" i="1"/>
  <c r="J19" i="1"/>
  <c r="F63" i="1"/>
  <c r="G69" i="1"/>
  <c r="L65" i="1"/>
  <c r="G65" i="1"/>
  <c r="K32" i="1"/>
  <c r="I19" i="1"/>
  <c r="I14" i="1"/>
  <c r="J17" i="1"/>
  <c r="F64" i="1"/>
  <c r="H64" i="1" s="1"/>
  <c r="I13" i="1"/>
  <c r="K16" i="1"/>
  <c r="I17" i="1"/>
  <c r="K67" i="1"/>
  <c r="J39" i="1"/>
  <c r="K65" i="1"/>
  <c r="L64" i="1"/>
  <c r="K17" i="1"/>
  <c r="F68" i="1"/>
  <c r="K36" i="1"/>
  <c r="L66" i="1"/>
  <c r="M66" i="1" s="1"/>
  <c r="I16" i="1"/>
  <c r="K34" i="1"/>
  <c r="K19" i="1"/>
  <c r="F65" i="1"/>
  <c r="I39" i="1"/>
  <c r="K18" i="1"/>
  <c r="G68" i="1"/>
  <c r="K14" i="1"/>
  <c r="J13" i="1"/>
  <c r="K30" i="1"/>
  <c r="K31" i="1"/>
  <c r="K33" i="1"/>
  <c r="J14" i="1"/>
  <c r="L62" i="1"/>
  <c r="M62" i="1" s="1"/>
  <c r="K35" i="1"/>
  <c r="K15" i="1"/>
  <c r="J15" i="1"/>
  <c r="L63" i="1"/>
  <c r="M63" i="1" s="1"/>
  <c r="I20" i="1"/>
  <c r="G63" i="1"/>
  <c r="K13" i="1"/>
  <c r="J20" i="1"/>
  <c r="K20" i="1"/>
  <c r="L68" i="1"/>
  <c r="H69" i="1" l="1"/>
  <c r="E79" i="1"/>
  <c r="M70" i="1"/>
  <c r="H67" i="1"/>
  <c r="J62" i="1"/>
  <c r="J63" i="1" s="1"/>
  <c r="M68" i="1"/>
  <c r="H63" i="1"/>
  <c r="S67" i="1"/>
  <c r="U67" i="1" s="1"/>
  <c r="M65" i="1"/>
  <c r="H65" i="1"/>
  <c r="M67" i="1"/>
  <c r="H68" i="1"/>
  <c r="S69" i="1"/>
  <c r="U69" i="1" s="1"/>
  <c r="S70" i="1"/>
  <c r="U70" i="1" s="1"/>
  <c r="E67" i="1"/>
  <c r="E70" i="1"/>
  <c r="E69" i="1"/>
  <c r="I22" i="1"/>
  <c r="S64" i="1"/>
  <c r="U64" i="1" s="1"/>
  <c r="M64" i="1"/>
  <c r="K39" i="1"/>
  <c r="I42" i="1" s="1"/>
  <c r="S66" i="1"/>
  <c r="U66" i="1" s="1"/>
  <c r="S65" i="1"/>
  <c r="U65" i="1" s="1"/>
  <c r="E64" i="1"/>
  <c r="S63" i="1"/>
  <c r="U63" i="1" s="1"/>
  <c r="E68" i="1"/>
  <c r="E65" i="1"/>
  <c r="E63" i="1"/>
  <c r="H70" i="1"/>
  <c r="M69" i="1"/>
  <c r="K22" i="1"/>
  <c r="J22" i="1"/>
  <c r="S62" i="1"/>
  <c r="U62" i="1" s="1"/>
  <c r="S68" i="1"/>
  <c r="U68" i="1" s="1"/>
  <c r="X72" i="1" l="1"/>
  <c r="W72" i="1"/>
  <c r="X73" i="1"/>
  <c r="Q63" i="1"/>
  <c r="J65" i="1"/>
  <c r="Q65" i="1" s="1"/>
  <c r="J64" i="1"/>
  <c r="Q64" i="1" s="1"/>
  <c r="P73" i="1"/>
  <c r="J68" i="1"/>
  <c r="Q68" i="1" s="1"/>
  <c r="J69" i="1"/>
  <c r="Q69" i="1" s="1"/>
  <c r="J70" i="1"/>
  <c r="J66" i="1"/>
  <c r="Q66" i="1" s="1"/>
  <c r="J67" i="1"/>
  <c r="Q67" i="1" s="1"/>
  <c r="W73" i="1"/>
  <c r="K42" i="1"/>
  <c r="I44" i="1" s="1"/>
  <c r="J42" i="1"/>
  <c r="J44" i="1" s="1"/>
  <c r="I24" i="1"/>
  <c r="K24" i="1"/>
  <c r="J24" i="1"/>
  <c r="Q62" i="1" l="1"/>
  <c r="Q70" i="1"/>
  <c r="P72" i="1"/>
  <c r="L35" i="1"/>
  <c r="M35" i="1" s="1"/>
  <c r="C53" i="1" s="1"/>
  <c r="L33" i="1"/>
  <c r="M33" i="1" s="1"/>
  <c r="C51" i="1" s="1"/>
  <c r="L31" i="1"/>
  <c r="M31" i="1" s="1"/>
  <c r="C49" i="1" s="1"/>
  <c r="L34" i="1"/>
  <c r="M34" i="1" s="1"/>
  <c r="C52" i="1" s="1"/>
  <c r="L30" i="1"/>
  <c r="M30" i="1" s="1"/>
  <c r="L37" i="1"/>
  <c r="M37" i="1" s="1"/>
  <c r="C55" i="1" s="1"/>
  <c r="L36" i="1"/>
  <c r="M36" i="1" s="1"/>
  <c r="C54" i="1" s="1"/>
  <c r="L32" i="1"/>
  <c r="M32" i="1" s="1"/>
  <c r="C50" i="1" s="1"/>
  <c r="I26" i="1"/>
  <c r="J26" i="1"/>
  <c r="Q73" i="1" l="1"/>
  <c r="B79" i="1" s="1"/>
  <c r="B84" i="1" s="1"/>
  <c r="Q72" i="1"/>
  <c r="A79" i="1" s="1"/>
  <c r="A84" i="1" s="1"/>
  <c r="L13" i="1"/>
  <c r="C48" i="1"/>
  <c r="M39" i="1"/>
  <c r="L16" i="1"/>
  <c r="M16" i="1" s="1"/>
  <c r="B51" i="1" s="1"/>
  <c r="D51" i="1" s="1"/>
  <c r="L18" i="1"/>
  <c r="M18" i="1" s="1"/>
  <c r="B53" i="1" s="1"/>
  <c r="D53" i="1" s="1"/>
  <c r="L14" i="1"/>
  <c r="M14" i="1" s="1"/>
  <c r="B49" i="1" s="1"/>
  <c r="D49" i="1" s="1"/>
  <c r="L19" i="1"/>
  <c r="M19" i="1" s="1"/>
  <c r="B54" i="1" s="1"/>
  <c r="D54" i="1" s="1"/>
  <c r="L20" i="1"/>
  <c r="M20" i="1" s="1"/>
  <c r="B55" i="1" s="1"/>
  <c r="D55" i="1" s="1"/>
  <c r="L15" i="1"/>
  <c r="M15" i="1" s="1"/>
  <c r="B50" i="1" s="1"/>
  <c r="D50" i="1" s="1"/>
  <c r="L17" i="1"/>
  <c r="M17" i="1" s="1"/>
  <c r="B52" i="1" s="1"/>
  <c r="D52" i="1" s="1"/>
  <c r="B76" i="1" l="1"/>
  <c r="B83" i="1" s="1"/>
  <c r="A76" i="1"/>
  <c r="A83" i="1" s="1"/>
  <c r="D83" i="1" s="1" a="1"/>
  <c r="E83" i="1" s="1"/>
  <c r="E84" i="1" l="1"/>
  <c r="D84" i="1"/>
  <c r="D83" i="1"/>
  <c r="E51" i="1"/>
  <c r="E54" i="1"/>
  <c r="E53" i="1"/>
  <c r="E55" i="1"/>
  <c r="E52" i="1"/>
  <c r="E50" i="1"/>
  <c r="E49" i="1"/>
  <c r="D63" i="1" s="1"/>
  <c r="V63" i="1" l="1"/>
  <c r="D64" i="1" l="1"/>
  <c r="R63" i="1"/>
  <c r="N63" i="1"/>
  <c r="I63" i="1"/>
  <c r="I64" i="1" l="1"/>
  <c r="D70" i="1"/>
  <c r="N64" i="1"/>
  <c r="D65" i="1"/>
  <c r="R65" i="1" s="1"/>
  <c r="V64" i="1"/>
  <c r="R64" i="1"/>
  <c r="N65" i="1" l="1"/>
  <c r="I65" i="1"/>
  <c r="D66" i="1"/>
  <c r="V65" i="1"/>
  <c r="R70" i="1"/>
  <c r="I66" i="1" l="1"/>
  <c r="D69" i="1"/>
  <c r="N66" i="1"/>
  <c r="D67" i="1"/>
  <c r="R67" i="1" s="1"/>
  <c r="R66" i="1"/>
  <c r="V66" i="1"/>
  <c r="V70" i="1"/>
  <c r="N70" i="1"/>
  <c r="I70" i="1"/>
  <c r="D68" i="1" l="1"/>
  <c r="I68" i="1" s="1"/>
  <c r="I67" i="1"/>
  <c r="N67" i="1"/>
  <c r="V67" i="1"/>
  <c r="R68" i="1" l="1"/>
  <c r="N68" i="1"/>
  <c r="V68" i="1"/>
  <c r="R69" i="1"/>
  <c r="R72" i="1" s="1"/>
  <c r="V69" i="1" l="1"/>
  <c r="V72" i="1" s="1"/>
  <c r="I69" i="1"/>
  <c r="N69" i="1"/>
  <c r="M13" i="1" l="1"/>
  <c r="M22" i="1" s="1"/>
  <c r="B48" i="1" l="1"/>
  <c r="D48" i="1" s="1"/>
  <c r="E48" i="1" s="1"/>
  <c r="D62" i="1" s="1"/>
  <c r="V62" i="1" s="1"/>
  <c r="V73" i="1" l="1"/>
  <c r="C76" i="1" s="1"/>
  <c r="G83" i="1" s="1"/>
  <c r="R62" i="1"/>
  <c r="I62" i="1"/>
  <c r="I71" i="1" s="1"/>
  <c r="I72" i="1" s="1"/>
  <c r="N62" i="1"/>
  <c r="N71" i="1" s="1"/>
  <c r="N72" i="1" s="1"/>
  <c r="R73" i="1" l="1"/>
  <c r="H79" i="1" s="1"/>
  <c r="C79" i="1" s="1"/>
  <c r="G84" i="1" s="1"/>
  <c r="I83" i="1" s="1" a="1"/>
  <c r="I83" i="1" l="1"/>
  <c r="Y64" i="1" s="1"/>
  <c r="AA64" i="1" s="1"/>
  <c r="I84" i="1"/>
  <c r="Z64" i="1" l="1"/>
  <c r="Z70" i="1"/>
  <c r="Y62" i="1"/>
  <c r="Z62" i="1" s="1"/>
  <c r="Y63" i="1"/>
  <c r="AA63" i="1" s="1"/>
  <c r="Y69" i="1"/>
  <c r="Z69" i="1" s="1"/>
  <c r="Y68" i="1"/>
  <c r="AA68" i="1" s="1"/>
  <c r="Y65" i="1"/>
  <c r="Y67" i="1"/>
  <c r="Y66" i="1"/>
  <c r="AA70" i="1" l="1"/>
  <c r="Z63" i="1"/>
  <c r="AA69" i="1"/>
  <c r="Z68" i="1"/>
  <c r="AA62" i="1"/>
  <c r="Z67" i="1"/>
  <c r="AA67" i="1"/>
  <c r="Z66" i="1"/>
  <c r="AA66" i="1"/>
  <c r="AA65" i="1"/>
  <c r="Z65" i="1"/>
  <c r="Z72" i="1" l="1"/>
  <c r="AA72" i="1"/>
  <c r="AA73" i="1" s="1"/>
  <c r="Z7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Roaa Tareq</author>
  </authors>
  <commentList>
    <comment ref="D5" authorId="0" shapeId="0" xr:uid="{4B2F0969-B330-4D6F-8BAA-9391EAF156AB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Depending on the moment direction assumed in tourque balance equation.</t>
        </r>
      </text>
    </comment>
    <comment ref="G5" authorId="0" shapeId="0" xr:uid="{3F96984F-B34C-489A-A5B4-414B7B255C33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Depending on the moment direction assumed in tourque balance equation.</t>
        </r>
      </text>
    </comment>
    <comment ref="B8" authorId="0" shapeId="0" xr:uid="{62578764-B80F-4546-9AE3-DF31A103E161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If not given: 30*t</t>
        </r>
      </text>
    </comment>
    <comment ref="D8" authorId="0" shapeId="0" xr:uid="{AA3368BA-51E2-42E9-8E64-ADE72DD7ED16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Yes: Area Effective included
No: Area Effective ignored</t>
        </r>
      </text>
    </comment>
    <comment ref="P12" authorId="0" shapeId="0" xr:uid="{13F71854-817F-4E33-9FCE-EEBDF52A185B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C: Compression
T: Tension
CT: Neutral(i.e., P=0)</t>
        </r>
      </text>
    </comment>
    <comment ref="Q12" authorId="0" shapeId="0" xr:uid="{9D626D27-530A-419E-86BF-A5AF1D9FBC65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Number of webs connected to the stringer.</t>
        </r>
      </text>
    </comment>
    <comment ref="A70" authorId="0" shapeId="0" xr:uid="{F4927167-F35F-48D8-8565-E8A22AC05970}">
      <text>
        <r>
          <rPr>
            <b/>
            <sz val="9"/>
            <color indexed="81"/>
            <rFont val="Tahoma"/>
          </rPr>
          <t>Roaa Tareq:</t>
        </r>
        <r>
          <rPr>
            <sz val="9"/>
            <color indexed="81"/>
            <rFont val="Tahoma"/>
          </rPr>
          <t xml:space="preserve">
Check the sign of the corrective shear added in q_tot term.</t>
        </r>
      </text>
    </comment>
    <comment ref="P72" authorId="0" shapeId="0" xr:uid="{141CA4BE-4080-448B-8246-A6672E2FA847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If the point of moment is not on the common web, the overlaped regions should be subtracted.</t>
        </r>
      </text>
    </comment>
    <comment ref="P73" authorId="0" shapeId="0" xr:uid="{FD5B8CF4-D3A0-46A4-BCE0-CD0DF4827D2D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If the point of moment is not on the common web, the overlaped regions should be subtracted.</t>
        </r>
      </text>
    </comment>
    <comment ref="E75" authorId="0" shapeId="0" xr:uid="{204AACA4-C2DB-494C-BC0F-87DFAB820C15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X=0 and Y=0 at c.g.
</t>
        </r>
      </text>
    </comment>
  </commentList>
</comments>
</file>

<file path=xl/sharedStrings.xml><?xml version="1.0" encoding="utf-8"?>
<sst xmlns="http://schemas.openxmlformats.org/spreadsheetml/2006/main" count="208" uniqueCount="140">
  <si>
    <t>A1(in^2)</t>
  </si>
  <si>
    <t>A2(in^2)</t>
  </si>
  <si>
    <t>Stringer No.</t>
  </si>
  <si>
    <t>Area(in^2)</t>
  </si>
  <si>
    <t>x</t>
  </si>
  <si>
    <t>z</t>
  </si>
  <si>
    <t>A*x</t>
  </si>
  <si>
    <t>A*z</t>
  </si>
  <si>
    <t>Location of c.g.:</t>
  </si>
  <si>
    <t>X_bar</t>
  </si>
  <si>
    <t>X</t>
  </si>
  <si>
    <t>Z</t>
  </si>
  <si>
    <t>Z_bar</t>
  </si>
  <si>
    <t>A*X^2</t>
  </si>
  <si>
    <t>A*Z^2</t>
  </si>
  <si>
    <t>∑A</t>
  </si>
  <si>
    <t>∑Ax</t>
  </si>
  <si>
    <t>∑Az</t>
  </si>
  <si>
    <t>Iz</t>
  </si>
  <si>
    <t>Ix</t>
  </si>
  <si>
    <t>A*X*Z</t>
  </si>
  <si>
    <t>Ixz</t>
  </si>
  <si>
    <t>Stress</t>
  </si>
  <si>
    <t>B1</t>
  </si>
  <si>
    <t>B2</t>
  </si>
  <si>
    <t>P</t>
  </si>
  <si>
    <t>P(y = 0)</t>
  </si>
  <si>
    <t>P(y = 10)</t>
  </si>
  <si>
    <t>∆P</t>
  </si>
  <si>
    <t>∆q</t>
  </si>
  <si>
    <t>Web No.</t>
  </si>
  <si>
    <t>Station 2 (y = 10)</t>
  </si>
  <si>
    <t>Station 1 (y = 0)</t>
  </si>
  <si>
    <t>Kz</t>
  </si>
  <si>
    <t>Kx</t>
  </si>
  <si>
    <t>Shear Calculations</t>
  </si>
  <si>
    <t>A</t>
  </si>
  <si>
    <t>2A</t>
  </si>
  <si>
    <t>qc(lbs/in)</t>
  </si>
  <si>
    <t>Mc=qc*2A</t>
  </si>
  <si>
    <t>∑Mc</t>
  </si>
  <si>
    <t>∑2A</t>
  </si>
  <si>
    <t>Pz*d</t>
  </si>
  <si>
    <t>Pz</t>
  </si>
  <si>
    <t xml:space="preserve">d </t>
  </si>
  <si>
    <t>dz</t>
  </si>
  <si>
    <t>Vz</t>
  </si>
  <si>
    <t>Kxz</t>
  </si>
  <si>
    <t>L</t>
  </si>
  <si>
    <t>t</t>
  </si>
  <si>
    <t>L/t</t>
  </si>
  <si>
    <t>qc*L/t</t>
  </si>
  <si>
    <t>∑</t>
  </si>
  <si>
    <t>coef q1_cor</t>
  </si>
  <si>
    <t>coef q2_cor</t>
  </si>
  <si>
    <t>free term</t>
  </si>
  <si>
    <t>AX = B</t>
  </si>
  <si>
    <t>A^(-1)</t>
  </si>
  <si>
    <t>B</t>
  </si>
  <si>
    <t>X(q_cor)</t>
  </si>
  <si>
    <t>q_tot</t>
  </si>
  <si>
    <t>Fx</t>
  </si>
  <si>
    <t>∑ Fx</t>
  </si>
  <si>
    <t>Fz</t>
  </si>
  <si>
    <t>∑ Fz</t>
  </si>
  <si>
    <t>Px</t>
  </si>
  <si>
    <t>dx</t>
  </si>
  <si>
    <t>Vx</t>
  </si>
  <si>
    <t>Solving system of equations for q_cor</t>
  </si>
  <si>
    <t>a</t>
  </si>
  <si>
    <t>Paxial</t>
  </si>
  <si>
    <t>∑P</t>
  </si>
  <si>
    <t>P2-P1</t>
  </si>
  <si>
    <t>∑Mc_open</t>
  </si>
  <si>
    <t>Origin located at 5</t>
  </si>
  <si>
    <t>x position</t>
  </si>
  <si>
    <t>z position</t>
  </si>
  <si>
    <t>Point 1</t>
  </si>
  <si>
    <t>Point 2</t>
  </si>
  <si>
    <t>Point 3</t>
  </si>
  <si>
    <t>Cell 1</t>
  </si>
  <si>
    <t>Cell 2</t>
  </si>
  <si>
    <t>Mx 1</t>
  </si>
  <si>
    <t>Mz 1</t>
  </si>
  <si>
    <t>Mx 2</t>
  </si>
  <si>
    <t>Mz 2</t>
  </si>
  <si>
    <t>2-1</t>
  </si>
  <si>
    <t>3-2</t>
  </si>
  <si>
    <t>4-3</t>
  </si>
  <si>
    <t>5-4</t>
  </si>
  <si>
    <t>6-5</t>
  </si>
  <si>
    <t>7-6</t>
  </si>
  <si>
    <t>8-7</t>
  </si>
  <si>
    <t>Continuity Equation Coefficients</t>
  </si>
  <si>
    <t>Tourque Balance Equation Coefficients</t>
  </si>
  <si>
    <t>Set up a table to determine section Properties and determine stringer load P at each station</t>
  </si>
  <si>
    <r>
      <t>∆</t>
    </r>
    <r>
      <rPr>
        <b/>
        <sz val="8.25"/>
        <color theme="1"/>
        <rFont val="Calibri Light"/>
        <family val="2"/>
        <scheme val="major"/>
      </rPr>
      <t>y</t>
    </r>
  </si>
  <si>
    <t>Cut</t>
  </si>
  <si>
    <t>Web Cut</t>
  </si>
  <si>
    <t>Cell</t>
  </si>
  <si>
    <t>A_boom</t>
  </si>
  <si>
    <t>A_eff</t>
  </si>
  <si>
    <t>E</t>
  </si>
  <si>
    <t>Fcy</t>
  </si>
  <si>
    <t>b1</t>
  </si>
  <si>
    <t>b2</t>
  </si>
  <si>
    <t>w</t>
  </si>
  <si>
    <t>Eff</t>
  </si>
  <si>
    <t>No</t>
  </si>
  <si>
    <t>No. Sides</t>
  </si>
  <si>
    <t>Comp/Ten</t>
  </si>
  <si>
    <t>b3</t>
  </si>
  <si>
    <t>C</t>
  </si>
  <si>
    <t>T</t>
  </si>
  <si>
    <t>c</t>
  </si>
  <si>
    <t>Ref</t>
  </si>
  <si>
    <t>Final</t>
  </si>
  <si>
    <t>Initial</t>
  </si>
  <si>
    <t>Initial-Final</t>
  </si>
  <si>
    <t xml:space="preserve">Moment at </t>
  </si>
  <si>
    <t>Px*c</t>
  </si>
  <si>
    <t>Redundant</t>
  </si>
  <si>
    <t>Moment at Station 1</t>
  </si>
  <si>
    <t>Moment at Station 2</t>
  </si>
  <si>
    <t>Force in z-direction located at d from c.g.</t>
  </si>
  <si>
    <t>Force in x-direction located at c from c.g.</t>
  </si>
  <si>
    <t>بسم الله الرحمن الرحيم</t>
  </si>
  <si>
    <t>Horizontal Web Length</t>
  </si>
  <si>
    <t>Vertical Web Length</t>
  </si>
  <si>
    <t>For redundant stringers, set A_boom and A_eff =0</t>
  </si>
  <si>
    <t>Force in y-direction</t>
  </si>
  <si>
    <t>T_external</t>
  </si>
  <si>
    <t>Ty 1</t>
  </si>
  <si>
    <t>Ty 2</t>
  </si>
  <si>
    <t>CT</t>
  </si>
  <si>
    <t>3-1</t>
  </si>
  <si>
    <t>None</t>
  </si>
  <si>
    <t>1-6</t>
  </si>
  <si>
    <t>Skin 2-1 and 3-1 are temporarily cut, then shear flow in those web should be zero.</t>
  </si>
  <si>
    <t>Assuming counter-clockwise for the shear flow with 3-1 in the dirction of 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</si>
</sst>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8.25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CFFFF"/>
      <color rgb="FF66FFFF"/>
      <color rgb="FFCCCCFF"/>
      <color rgb="FFCC99FF"/>
      <color rgb="FFCC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customXml" Target="../ink/ink1.xml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23092</xdr:colOff>
      <xdr:row>22</xdr:row>
      <xdr:rowOff>99290</xdr:rowOff>
    </xdr:from>
    <xdr:to>
      <xdr:col>25</xdr:col>
      <xdr:colOff>323273</xdr:colOff>
      <xdr:row>37</xdr:row>
      <xdr:rowOff>87971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1E6045-E280-E77B-1752-EAE1EEC6E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7772" y="3985490"/>
          <a:ext cx="3150061" cy="2777601"/>
        </a:xfrm>
        <a:prstGeom prst="rect">
          <a:avLst/>
        </a:prstGeom>
      </xdr:spPr>
    </xdr:pic>
    <xdr:clientData/>
  </xdr:twoCellAnchor>
  <xdr:twoCellAnchor editAs="oneCell">
    <xdr:from>
      <xdr:col>11</xdr:col>
      <xdr:colOff>24445</xdr:colOff>
      <xdr:row>22</xdr:row>
      <xdr:rowOff>56126</xdr:rowOff>
    </xdr:from>
    <xdr:to>
      <xdr:col>14</xdr:col>
      <xdr:colOff>462908</xdr:colOff>
      <xdr:row>26</xdr:row>
      <xdr:rowOff>204839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88DA2C-2CD4-A332-0ECE-279EC20BA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1606" y="4070965"/>
          <a:ext cx="2355754" cy="869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106680</xdr:colOff>
      <xdr:row>84</xdr:row>
      <xdr:rowOff>83820</xdr:rowOff>
    </xdr:from>
    <xdr:to>
      <xdr:col>8</xdr:col>
      <xdr:colOff>782023</xdr:colOff>
      <xdr:row>105</xdr:row>
      <xdr:rowOff>174768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EEE399-DF59-D9E6-F260-75E491876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" y="15428595"/>
          <a:ext cx="7419043" cy="3891423"/>
        </a:xfrm>
        <a:prstGeom prst="rect">
          <a:avLst/>
        </a:prstGeom>
      </xdr:spPr>
    </xdr:pic>
    <xdr:clientData/>
  </xdr:twoCellAnchor>
  <xdr:twoCellAnchor editAs="oneCell">
    <xdr:from>
      <xdr:col>28</xdr:col>
      <xdr:colOff>70910</xdr:colOff>
      <xdr:row>59</xdr:row>
      <xdr:rowOff>19050</xdr:rowOff>
    </xdr:from>
    <xdr:to>
      <xdr:col>33</xdr:col>
      <xdr:colOff>557227</xdr:colOff>
      <xdr:row>72</xdr:row>
      <xdr:rowOff>169333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D1D75C-C679-5C48-4434-A719BC0DD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3577" y="11135783"/>
          <a:ext cx="4507983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59266</xdr:colOff>
      <xdr:row>55</xdr:row>
      <xdr:rowOff>30310</xdr:rowOff>
    </xdr:from>
    <xdr:to>
      <xdr:col>16</xdr:col>
      <xdr:colOff>922867</xdr:colOff>
      <xdr:row>58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D60873-83A3-00FA-3C30-4AE6D3AF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199" y="10401977"/>
          <a:ext cx="1786468" cy="688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1</xdr:rowOff>
    </xdr:from>
    <xdr:to>
      <xdr:col>24</xdr:col>
      <xdr:colOff>116238</xdr:colOff>
      <xdr:row>9</xdr:row>
      <xdr:rowOff>215525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E4A9CF-CBD5-0E11-BFD7-785E0222A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280610" y="180815"/>
          <a:ext cx="3370882" cy="1662032"/>
        </a:xfrm>
        <a:prstGeom prst="rect">
          <a:avLst/>
        </a:prstGeom>
      </xdr:spPr>
    </xdr:pic>
    <xdr:clientData/>
  </xdr:twoCellAnchor>
  <xdr:twoCellAnchor editAs="oneCell">
    <xdr:from>
      <xdr:col>22</xdr:col>
      <xdr:colOff>462362</xdr:colOff>
      <xdr:row>4</xdr:row>
      <xdr:rowOff>141797</xdr:rowOff>
    </xdr:from>
    <xdr:to>
      <xdr:col>23</xdr:col>
      <xdr:colOff>445533</xdr:colOff>
      <xdr:row>6</xdr:row>
      <xdr:rowOff>151495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E392BD05-AB04-277A-084A-7E081DD932E9}"/>
                </a:ext>
              </a:extLst>
            </xdr14:cNvPr>
            <xdr14:cNvContentPartPr/>
          </xdr14:nvContentPartPr>
          <xdr14:nvPr macro=""/>
          <xdr14:xfrm>
            <a:off x="18774785" y="864720"/>
            <a:ext cx="1072440" cy="3711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E392BD05-AB04-277A-084A-7E081DD932E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8770469" y="860554"/>
              <a:ext cx="1081071" cy="37949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6T11:42:55.8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1838 1068 24575,'-28'-369'0,"0"6"0,31 250 0,-1 49 0,-6-82 0,4 146 0,0 0 0,0 0 0,0 0 0,0-1 0,0 1 0,0 0 0,0 0 0,0 0 0,0 0 0,0 0 0,0-1 0,0 1 0,0 0 0,0 0 0,0 0 0,0 0 0,0 0 0,0-1 0,0 1 0,0 0 0,0 0 0,-1 0 0,1 0 0,0 0 0,0 0 0,0 0 0,0-1 0,0 1 0,0 0 0,0 0 0,-1 0 0,1 0 0,0 0 0,0 0 0,0 0 0,0 0 0,0 0 0,-1 0 0,1 0 0,0 0 0,0 0 0,0 0 0,0 0 0,0 0 0,-1 0 0,1 0 0,0 0 0,0 0 0,0 0 0,0 0 0,0 0 0,-1 0 0,1 0 0,0 1 0,0-1 0,0 0 0,0 0 0,0 0 0,0 0 0,0 0 0,-1 0 0,1 0 0,0 1 0,-12 12 0,-7 19 0,6-12 0,-23 29 0,23-34 0,2 1 0,0 0 0,-12 24 0,4-14-1365,13-19-5461</inkml:trace>
  <inkml:trace contextRef="#ctx0" brushRef="#br0" timeOffset="2514.69">31 168 24575,'-1'36'0,"-9"49"0,0-4 0,7-39 0,0-19 0,1 0 0,1 0 0,0 0 0,2 0 0,1-1 0,6 34 0,-5-50 0,-1-1 0,0 0 0,1 0 0,0 0 0,0-1 0,1 1 0,-1-1 0,1 1 0,0-1 0,0 0 0,0-1 0,0 1 0,1-1 0,-1 0 0,1 0 0,7 3 0,10 4 0,0-1 0,33 9 0,-50-16 0,50 14 0,2-3 0,-1-2 0,2-3 0,-1-2 0,84-3 0,-106-4 0,-1-3 0,0-1 0,0-1 0,0-2 0,-1-1 0,0-2 0,0-1 0,-1-2 0,-1-1 0,41-28 0,-66 39 0,-1-1 0,0 1 0,1-1 0,-2-1 0,1 1 0,-1-1 0,1 0 0,-2 0 0,1 0 0,-1-1 0,1 1 0,-2-1 0,1 0 0,-1 0 0,0 0 0,0 0 0,-1 0 0,1-15 0,-1-1 0,-1-1 0,-1 1 0,-1 0 0,-8-40 0,2 31 0,-1 0 0,-16-34 0,-3-13 0,26 72 0,-1 1 0,1-1 0,-1 1 0,0 0 0,0 0 0,-7-8 0,10 13 0,-1 0 0,0 1 0,1-1 0,-1 1 0,1-1 0,-1 1 0,0-1 0,1 1 0,-1-1 0,0 1 0,1-1 0,-1 1 0,0 0 0,0 0 0,1-1 0,-1 1 0,0 0 0,0 0 0,1 0 0,-1 0 0,0 0 0,0 0 0,-1 0 0,1 1 0,-1-1 0,1 1 0,0 0 0,0 0 0,-1 0 0,1 0 0,0 0 0,0 1 0,0-1 0,0 0 0,0 0 0,1 1 0,-1-1 0,0 1 0,0-1 0,1 1 0,-1 1 0,-8 20 0,2 1 0,1-1 0,0 1 0,2 0 0,1 0 0,1 0 0,0 1 0,2-1 0,3 26 0,2-34 0,1-23 0,4-24 0,17-144 0,-24 153 0,-1-1 0,-1-28 0,0-10 0,-1 60 0,0-1 0,0 1 0,0 0 0,0-1 0,0 1 0,1 0 0,-1-1 0,0 1 0,1 0 0,-1-1 0,1 1 0,-1 0 0,1 0 0,0 0 0,-1-1 0,1 1 0,1-1 0,-1 1 0,0 1 0,-1 0 0,1 0 0,-1 0 0,1 0 0,0-1 0,-1 1 0,1 0 0,0 0 0,-1 0 0,1 0 0,0 0 0,-1 1 0,1-1 0,0 0 0,-1 0 0,1 0 0,-1 1 0,1-1 0,0 0 0,-1 1 0,1-1 0,-1 0 0,2 1 0,5 6 0,0 0 0,0 0 0,12 15 0,-3-3 0,-5-10 0,1 0 0,20 12 0,18 12 0,-47-31 14,0 0 0,0 0 0,0-1 0,0 1-1,0-1 1,0 0 0,0 0 0,6 1 0,-6-1-180,0-1 1,0 1-1,0 0 1,0 0-1,-1 0 0,1 0 1,0 1-1,4 2 1,-1 2-6661</inkml:trace>
  <inkml:trace contextRef="#ctx0" brushRef="#br0" timeOffset="6409.21">2422 309 24575,'-14'405'0,"14"-397"0,0 0 0,0 0 0,1 0 0,0 0 0,1 0 0,0 0 0,5 15 0,-5-19 0,1 1 0,-1-1 0,1 0 0,0 0 0,0-1 0,1 1 0,-1-1 0,1 1 0,-1-1 0,1 0 0,0 0 0,0-1 0,1 1 0,4 1 0,13 6 0,1 0 0,-1-2 0,1-1 0,1-1 0,-1-2 0,1 0 0,0-1 0,31-1 0,-44-2 0,0 0 0,-1-1 0,1-1 0,-1 0 0,1 0 0,-1-1 0,0 0 0,0-1 0,0 0 0,0-1 0,-1 0 0,1-1 0,-1 1 0,-1-2 0,1 0 0,-1 0 0,0 0 0,-1-1 0,12-15 0,-8 8 0,0-2 0,11-20 0,-19 30 0,1-1 0,-2 0 0,1 0 0,-1 0 0,0 0 0,-1 0 0,0 0 0,0-9 0,-1 4 0,-1 0 0,-1 1 0,0-1 0,0 1 0,-1-1 0,-1 1 0,0 0 0,0 0 0,-2 0 0,-7-13 0,-11-16 0,-40-52 0,41 61 0,19 27 0,-1 0 0,0-1 0,0 2 0,0-1 0,0 0 0,-1 1 0,0 0 0,0 1 0,0-1 0,0 1 0,-9-3 0,-7-1 0,-45-9 0,45 11 0,39 58 0,-15-49 0,0 0 0,0 0 0,0 0 0,0 0 0,1-1 0,0 1 0,0-1 0,0 0 0,0 0 0,0 0 0,1 0 0,-1-1 0,1 0 0,0 1 0,-1-1 0,1 0 0,0-1 0,0 1 0,7 1 0,-11-3 0,0 0 0,1 0 0,-1 0 0,0 0 0,0 0 0,0 0 0,1 0 0,-1 0 0,0 0 0,0 0 0,0 0 0,1 0 0,-1 0 0,0 0 0,0 0 0,0 0 0,1 0 0,-1 0 0,0 0 0,0 0 0,0 0 0,0 0 0,1 0 0,-1 0 0,0-1 0,0 1 0,0 0 0,0 0 0,1 0 0,-1 0 0,0 0 0,0-1 0,0 1 0,0 0 0,0 0 0,0 0 0,0-1 0,1 1 0,-1 0 0,0 0 0,0 0 0,0-1 0,-5-9 0,-13-7 0,-2 8 0,-11-4 0,30 13 0,0-1 0,0 1 0,0-1 0,0 0 0,0 1 0,0-1 0,0 0 0,0 0 0,1 0 0,-1 0 0,0 0 0,0 0 0,1 0 0,-1 0 0,0 0 0,1 0 0,-1 0 0,1 0 0,0 0 0,-1-2 0,1 2 0,0 0 0,1 0 0,-1 1 0,1-1 0,-1 0 0,1 1 0,-1-1 0,1 0 0,-1 1 0,1-1 0,0 1 0,-1-1 0,1 1 0,0-1 0,0 1 0,-1-1 0,1 1 0,0 0 0,0 0 0,-1-1 0,1 1 0,0 0 0,0 0 0,0 0 0,0 0 0,-1 0 0,1 0 0,0 0 0,1 0 0,31-1 0,-29 1 0,202 2-1365,-194-2-5461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"/>
  <sheetViews>
    <sheetView tabSelected="1" topLeftCell="A53" zoomScale="65" zoomScaleNormal="100" workbookViewId="0">
      <selection activeCell="E73" sqref="E73"/>
    </sheetView>
  </sheetViews>
  <sheetFormatPr defaultRowHeight="14.4" x14ac:dyDescent="0.3"/>
  <cols>
    <col min="1" max="1" width="14.21875" style="2" customWidth="1"/>
    <col min="2" max="2" width="13" style="2" bestFit="1" customWidth="1"/>
    <col min="3" max="3" width="11.33203125" style="2" bestFit="1" customWidth="1"/>
    <col min="4" max="4" width="15.44140625" style="2" bestFit="1" customWidth="1"/>
    <col min="5" max="5" width="11.21875" style="2" bestFit="1" customWidth="1"/>
    <col min="6" max="6" width="11.44140625" style="2" bestFit="1" customWidth="1"/>
    <col min="7" max="7" width="10.109375" style="2" customWidth="1"/>
    <col min="8" max="8" width="11.5546875" style="2" bestFit="1" customWidth="1"/>
    <col min="9" max="9" width="12.77734375" style="2" bestFit="1" customWidth="1"/>
    <col min="10" max="10" width="13" style="2" customWidth="1"/>
    <col min="11" max="11" width="13.44140625" style="2" customWidth="1"/>
    <col min="12" max="14" width="9.33203125" style="2" bestFit="1" customWidth="1"/>
    <col min="15" max="15" width="12.21875" style="2" bestFit="1" customWidth="1"/>
    <col min="16" max="16" width="13.44140625" style="2" bestFit="1" customWidth="1"/>
    <col min="17" max="17" width="13.77734375" style="2" bestFit="1" customWidth="1"/>
    <col min="18" max="18" width="10.6640625" style="2" bestFit="1" customWidth="1"/>
    <col min="19" max="19" width="9.33203125" style="2" bestFit="1" customWidth="1"/>
    <col min="20" max="20" width="12.77734375" style="2" bestFit="1" customWidth="1"/>
    <col min="21" max="21" width="13.6640625" style="2" bestFit="1" customWidth="1"/>
    <col min="22" max="22" width="15.44140625" style="2" bestFit="1" customWidth="1"/>
    <col min="23" max="23" width="15.88671875" style="2" bestFit="1" customWidth="1"/>
    <col min="24" max="24" width="16.21875" style="2" bestFit="1" customWidth="1"/>
    <col min="25" max="25" width="9.33203125" style="2" bestFit="1" customWidth="1"/>
    <col min="26" max="26" width="12.77734375" style="2" bestFit="1" customWidth="1"/>
    <col min="27" max="27" width="9.33203125" style="2" bestFit="1" customWidth="1"/>
    <col min="28" max="28" width="11" style="2" bestFit="1" customWidth="1"/>
    <col min="29" max="29" width="12.77734375" style="2" bestFit="1" customWidth="1"/>
    <col min="30" max="30" width="13.33203125" style="2" bestFit="1" customWidth="1"/>
    <col min="31" max="31" width="11.44140625" style="2" bestFit="1" customWidth="1"/>
    <col min="32" max="32" width="12.109375" style="2" bestFit="1" customWidth="1"/>
    <col min="33" max="16384" width="8.88671875" style="2"/>
  </cols>
  <sheetData>
    <row r="1" spans="1:22" x14ac:dyDescent="0.3">
      <c r="A1" s="16" t="s">
        <v>126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x14ac:dyDescent="0.3">
      <c r="A2" s="1" t="s">
        <v>121</v>
      </c>
      <c r="D2" s="4" t="s">
        <v>122</v>
      </c>
      <c r="G2" s="4" t="s">
        <v>123</v>
      </c>
      <c r="I2" s="5"/>
      <c r="J2" s="4" t="s">
        <v>124</v>
      </c>
      <c r="P2" s="4" t="s">
        <v>125</v>
      </c>
      <c r="S2" s="4" t="s">
        <v>130</v>
      </c>
    </row>
    <row r="3" spans="1:22" x14ac:dyDescent="0.3">
      <c r="A3" s="1" t="s">
        <v>0</v>
      </c>
      <c r="B3" s="12">
        <v>0.5</v>
      </c>
      <c r="D3" s="1" t="s">
        <v>82</v>
      </c>
      <c r="E3" s="12">
        <v>600000</v>
      </c>
      <c r="G3" s="1" t="s">
        <v>84</v>
      </c>
      <c r="H3" s="12">
        <f>E3+K3*T4</f>
        <v>300000</v>
      </c>
      <c r="J3" s="1" t="s">
        <v>43</v>
      </c>
      <c r="K3" s="12">
        <v>-6000</v>
      </c>
      <c r="M3" s="1" t="s">
        <v>48</v>
      </c>
      <c r="N3" s="12">
        <v>10</v>
      </c>
      <c r="P3" s="1" t="s">
        <v>65</v>
      </c>
      <c r="Q3" s="12">
        <v>0</v>
      </c>
      <c r="S3" s="3" t="s">
        <v>70</v>
      </c>
      <c r="T3" s="13">
        <v>0</v>
      </c>
    </row>
    <row r="4" spans="1:22" x14ac:dyDescent="0.3">
      <c r="A4" s="1" t="s">
        <v>1</v>
      </c>
      <c r="B4" s="12">
        <v>0.5</v>
      </c>
      <c r="D4" s="1" t="s">
        <v>83</v>
      </c>
      <c r="E4" s="12">
        <v>0</v>
      </c>
      <c r="G4" s="1" t="s">
        <v>85</v>
      </c>
      <c r="H4" s="12">
        <v>0</v>
      </c>
      <c r="J4" s="1" t="s">
        <v>44</v>
      </c>
      <c r="K4" s="12">
        <f>G13</f>
        <v>19.166666666666668</v>
      </c>
      <c r="M4" s="1" t="s">
        <v>49</v>
      </c>
      <c r="N4" s="12">
        <v>0.04</v>
      </c>
      <c r="P4" s="1" t="s">
        <v>114</v>
      </c>
      <c r="Q4" s="12">
        <v>0</v>
      </c>
      <c r="S4" s="3" t="s">
        <v>96</v>
      </c>
      <c r="T4" s="13">
        <v>50</v>
      </c>
    </row>
    <row r="5" spans="1:22" x14ac:dyDescent="0.3">
      <c r="A5" s="1"/>
      <c r="D5" s="1" t="s">
        <v>132</v>
      </c>
      <c r="E5" s="12">
        <v>0</v>
      </c>
      <c r="G5" s="1" t="s">
        <v>133</v>
      </c>
      <c r="H5" s="12">
        <v>0</v>
      </c>
      <c r="J5" s="1"/>
      <c r="M5" s="1"/>
      <c r="P5" s="1"/>
      <c r="S5" s="3"/>
      <c r="T5" s="15"/>
    </row>
    <row r="6" spans="1:22" x14ac:dyDescent="0.3">
      <c r="E6" s="16" t="s">
        <v>128</v>
      </c>
      <c r="F6" s="16"/>
      <c r="G6" s="16" t="s">
        <v>127</v>
      </c>
      <c r="H6" s="16"/>
      <c r="I6" s="16"/>
      <c r="J6" s="16"/>
      <c r="K6" s="16"/>
      <c r="L6" s="16"/>
    </row>
    <row r="7" spans="1:22" x14ac:dyDescent="0.3">
      <c r="A7" s="1" t="s">
        <v>102</v>
      </c>
      <c r="B7" s="12">
        <v>10700000</v>
      </c>
      <c r="C7" s="1" t="s">
        <v>103</v>
      </c>
      <c r="D7" s="12">
        <v>40000</v>
      </c>
      <c r="E7" s="1" t="s">
        <v>69</v>
      </c>
      <c r="F7" s="12">
        <v>30</v>
      </c>
      <c r="G7" s="1" t="s">
        <v>104</v>
      </c>
      <c r="H7" s="12">
        <v>25</v>
      </c>
      <c r="I7" s="1" t="s">
        <v>105</v>
      </c>
      <c r="J7" s="12">
        <v>25</v>
      </c>
      <c r="K7" s="1" t="s">
        <v>111</v>
      </c>
      <c r="L7" s="12">
        <f>SQRT(60^2+15^2)</f>
        <v>61.846584384264908</v>
      </c>
    </row>
    <row r="8" spans="1:22" x14ac:dyDescent="0.3">
      <c r="A8" s="1" t="s">
        <v>106</v>
      </c>
      <c r="B8" s="2">
        <f>30*N4</f>
        <v>1.2</v>
      </c>
      <c r="C8" s="1" t="s">
        <v>107</v>
      </c>
      <c r="D8" s="1" t="s">
        <v>108</v>
      </c>
      <c r="G8" s="1"/>
      <c r="J8" s="1"/>
    </row>
    <row r="9" spans="1:22" x14ac:dyDescent="0.3">
      <c r="A9" s="4" t="s">
        <v>95</v>
      </c>
      <c r="D9" s="1"/>
    </row>
    <row r="10" spans="1:22" ht="18" x14ac:dyDescent="0.3">
      <c r="A10" s="11" t="s">
        <v>32</v>
      </c>
      <c r="B10" s="10"/>
      <c r="D10" s="1"/>
    </row>
    <row r="11" spans="1:22" x14ac:dyDescent="0.3">
      <c r="C11" s="1" t="s">
        <v>74</v>
      </c>
      <c r="D11" s="1"/>
      <c r="O11" s="5" t="s">
        <v>129</v>
      </c>
    </row>
    <row r="12" spans="1:22" x14ac:dyDescent="0.3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10</v>
      </c>
      <c r="H12" s="1" t="s">
        <v>11</v>
      </c>
      <c r="I12" s="1" t="s">
        <v>13</v>
      </c>
      <c r="J12" s="1" t="s">
        <v>14</v>
      </c>
      <c r="K12" s="1" t="s">
        <v>20</v>
      </c>
      <c r="L12" s="1" t="s">
        <v>22</v>
      </c>
      <c r="M12" s="1" t="s">
        <v>25</v>
      </c>
      <c r="N12" s="1" t="s">
        <v>70</v>
      </c>
      <c r="O12" s="1" t="s">
        <v>100</v>
      </c>
      <c r="P12" s="1" t="s">
        <v>110</v>
      </c>
      <c r="Q12" s="1" t="s">
        <v>109</v>
      </c>
      <c r="R12" s="1" t="s">
        <v>101</v>
      </c>
      <c r="S12" s="1" t="s">
        <v>69</v>
      </c>
      <c r="T12" s="1" t="s">
        <v>104</v>
      </c>
      <c r="U12" s="1" t="s">
        <v>105</v>
      </c>
      <c r="V12" s="1" t="s">
        <v>111</v>
      </c>
    </row>
    <row r="13" spans="1:22" x14ac:dyDescent="0.3">
      <c r="A13" s="2">
        <v>1</v>
      </c>
      <c r="B13" s="2">
        <f t="shared" ref="B13:B20" si="0">IF($D$8=UPPER("No"),O13,O13+R13)</f>
        <v>0.5</v>
      </c>
      <c r="C13" s="12">
        <v>25</v>
      </c>
      <c r="D13" s="12">
        <v>15</v>
      </c>
      <c r="E13" s="2">
        <f>B13*C13</f>
        <v>12.5</v>
      </c>
      <c r="F13" s="2">
        <f>B13*D13</f>
        <v>7.5</v>
      </c>
      <c r="G13" s="2">
        <f t="shared" ref="G13:G20" si="1">C13-$B$24</f>
        <v>19.166666666666668</v>
      </c>
      <c r="H13" s="2">
        <f t="shared" ref="H13:H20" si="2">D13-$B$25</f>
        <v>15</v>
      </c>
      <c r="I13" s="2">
        <f t="shared" ref="I13:I20" si="3">B13*G13^2</f>
        <v>183.68055555555557</v>
      </c>
      <c r="J13" s="2">
        <f t="shared" ref="J13:J20" si="4">B13*H13^2</f>
        <v>112.5</v>
      </c>
      <c r="K13" s="2">
        <f>B13*G13*H13</f>
        <v>143.75</v>
      </c>
      <c r="L13" s="2">
        <f>IF(B13=0,0,-($I$26*G13+$J$26*H13)+N13/B13)</f>
        <v>-20000</v>
      </c>
      <c r="M13" s="2">
        <f>L13*B13</f>
        <v>-10000</v>
      </c>
      <c r="N13" s="2">
        <f t="shared" ref="N13:N20" si="5">$T$3</f>
        <v>0</v>
      </c>
      <c r="O13" s="12">
        <f>$B$3</f>
        <v>0.5</v>
      </c>
      <c r="P13" s="12" t="s">
        <v>112</v>
      </c>
      <c r="Q13" s="12">
        <v>3</v>
      </c>
      <c r="R13" s="2">
        <f>IF(P13=UPPER("C"),Q13*$B$8/2*$N$4,IF(P13=UPPER("T"),(T13*$H$7/2+U13*$J$7/2+V13*$L$7/2+S13*$F$7/6)*$N$4,IF(P13=UPPER("CT"),Q13*$B$8/2*$N$4+(T13*$H$7/2+U13*$J$7/2+V13*$L$7/2+S13*$F$7/6)*$N$4,"Error")))</f>
        <v>7.1999999999999995E-2</v>
      </c>
      <c r="S13" s="12">
        <f>IF(OR($P13="T",$P13="CT"),"Input",0)</f>
        <v>0</v>
      </c>
      <c r="T13" s="12">
        <f t="shared" ref="T13:V20" si="6">IF(OR($P13="T",$P13="CT"),"Input",0)</f>
        <v>0</v>
      </c>
      <c r="U13" s="12">
        <f t="shared" si="6"/>
        <v>0</v>
      </c>
      <c r="V13" s="12">
        <f t="shared" si="6"/>
        <v>0</v>
      </c>
    </row>
    <row r="14" spans="1:22" x14ac:dyDescent="0.3">
      <c r="A14" s="2">
        <v>2</v>
      </c>
      <c r="B14" s="2">
        <f t="shared" si="0"/>
        <v>0.5</v>
      </c>
      <c r="C14" s="12">
        <v>45</v>
      </c>
      <c r="D14" s="12">
        <v>0</v>
      </c>
      <c r="E14" s="2">
        <f t="shared" ref="E14:E20" si="7">B14*C14</f>
        <v>22.5</v>
      </c>
      <c r="F14" s="2">
        <f t="shared" ref="F14:F20" si="8">B14*D14</f>
        <v>0</v>
      </c>
      <c r="G14" s="2">
        <f t="shared" si="1"/>
        <v>39.166666666666664</v>
      </c>
      <c r="H14" s="2">
        <f t="shared" si="2"/>
        <v>0</v>
      </c>
      <c r="I14" s="2">
        <f t="shared" si="3"/>
        <v>767.0138888888888</v>
      </c>
      <c r="J14" s="2">
        <f t="shared" si="4"/>
        <v>0</v>
      </c>
      <c r="K14" s="2">
        <f t="shared" ref="K14:K20" si="9">B14*G14*H14</f>
        <v>0</v>
      </c>
      <c r="L14" s="2">
        <f t="shared" ref="L14:L20" si="10">IF(B14=0,0,-($I$26*G14+$J$26*H14)+N14/B14)</f>
        <v>0</v>
      </c>
      <c r="M14" s="2">
        <f t="shared" ref="M14:M20" si="11">L14*B14</f>
        <v>0</v>
      </c>
      <c r="N14" s="2">
        <f t="shared" si="5"/>
        <v>0</v>
      </c>
      <c r="O14" s="12">
        <f t="shared" ref="O14:O18" si="12">$B$3</f>
        <v>0.5</v>
      </c>
      <c r="P14" s="12" t="s">
        <v>134</v>
      </c>
      <c r="Q14" s="12">
        <v>1</v>
      </c>
      <c r="R14" s="2">
        <f>IF(P14=UPPER("C"),Q14*$B$8/2*$N$4,IF(P14=UPPER("T"),(T14*$H$7/2+U14*$J$7/2+V14*$L$7/2+S14*$F$7/6)*$N$4,IF(P14=UPPER("CT"),Q14*$B$8/2*$N$4+(T14*$H$7/2+U14*$J$7/2+V14*$L$7/2+S14*$F$7/6)*$N$4,"Error")))</f>
        <v>0.52400000000000002</v>
      </c>
      <c r="S14" s="12">
        <v>0</v>
      </c>
      <c r="T14" s="12">
        <v>1</v>
      </c>
      <c r="U14" s="12">
        <v>0</v>
      </c>
      <c r="V14" s="12">
        <v>0</v>
      </c>
    </row>
    <row r="15" spans="1:22" x14ac:dyDescent="0.3">
      <c r="A15" s="2">
        <v>3</v>
      </c>
      <c r="B15" s="2">
        <f t="shared" si="0"/>
        <v>0.5</v>
      </c>
      <c r="C15" s="12">
        <v>25</v>
      </c>
      <c r="D15" s="12">
        <v>-15</v>
      </c>
      <c r="E15" s="2">
        <f t="shared" si="7"/>
        <v>12.5</v>
      </c>
      <c r="F15" s="2">
        <f t="shared" si="8"/>
        <v>-7.5</v>
      </c>
      <c r="G15" s="2">
        <f t="shared" si="1"/>
        <v>19.166666666666668</v>
      </c>
      <c r="H15" s="2">
        <f t="shared" si="2"/>
        <v>-15</v>
      </c>
      <c r="I15" s="2">
        <f t="shared" si="3"/>
        <v>183.68055555555557</v>
      </c>
      <c r="J15" s="2">
        <f t="shared" si="4"/>
        <v>112.5</v>
      </c>
      <c r="K15" s="2">
        <f t="shared" si="9"/>
        <v>-143.75</v>
      </c>
      <c r="L15" s="2">
        <f t="shared" si="10"/>
        <v>20000</v>
      </c>
      <c r="M15" s="2">
        <f t="shared" si="11"/>
        <v>10000</v>
      </c>
      <c r="N15" s="2">
        <f t="shared" si="5"/>
        <v>0</v>
      </c>
      <c r="O15" s="12">
        <f t="shared" si="12"/>
        <v>0.5</v>
      </c>
      <c r="P15" s="12" t="s">
        <v>113</v>
      </c>
      <c r="Q15" s="12">
        <f t="shared" ref="Q15:Q20" si="13">IF(OR($P15="C",$P15="CT"),"Input",0)</f>
        <v>0</v>
      </c>
      <c r="R15" s="2">
        <f t="shared" ref="R15:R18" si="14">IF(P15=UPPER("C"),Q15*$B$8/2*$N$4,IF(P15=UPPER("T"),(T15*$H$7/2+U15*$J$7/2+V15*$L$7/2+S15*$F$7/6)*$N$4,IF(P15=UPPER("CT"),Q15*$B$8/2*$N$4+(T15*$H$7/2+U15*$J$7/2+V15*$L$7/2+S15*$F$7/6)*$N$4,"Error")))</f>
        <v>1.2</v>
      </c>
      <c r="S15" s="12">
        <v>1</v>
      </c>
      <c r="T15" s="12">
        <v>1</v>
      </c>
      <c r="U15" s="12">
        <v>1</v>
      </c>
      <c r="V15" s="12">
        <v>0</v>
      </c>
    </row>
    <row r="16" spans="1:22" x14ac:dyDescent="0.3">
      <c r="A16" s="2">
        <v>4</v>
      </c>
      <c r="B16" s="2">
        <f t="shared" si="0"/>
        <v>0.5</v>
      </c>
      <c r="C16" s="12">
        <v>0</v>
      </c>
      <c r="D16" s="12">
        <v>-15</v>
      </c>
      <c r="E16" s="2">
        <f t="shared" si="7"/>
        <v>0</v>
      </c>
      <c r="F16" s="2">
        <f t="shared" si="8"/>
        <v>-7.5</v>
      </c>
      <c r="G16" s="2">
        <f t="shared" si="1"/>
        <v>-5.833333333333333</v>
      </c>
      <c r="H16" s="2">
        <f t="shared" si="2"/>
        <v>-15</v>
      </c>
      <c r="I16" s="2">
        <f t="shared" si="3"/>
        <v>17.013888888888886</v>
      </c>
      <c r="J16" s="2">
        <f t="shared" si="4"/>
        <v>112.5</v>
      </c>
      <c r="K16" s="2">
        <f t="shared" si="9"/>
        <v>43.75</v>
      </c>
      <c r="L16" s="2">
        <f t="shared" si="10"/>
        <v>20000</v>
      </c>
      <c r="M16" s="2">
        <f t="shared" si="11"/>
        <v>10000</v>
      </c>
      <c r="N16" s="2">
        <f t="shared" si="5"/>
        <v>0</v>
      </c>
      <c r="O16" s="12">
        <f t="shared" si="12"/>
        <v>0.5</v>
      </c>
      <c r="P16" s="12" t="s">
        <v>113</v>
      </c>
      <c r="Q16" s="12">
        <f t="shared" si="13"/>
        <v>0</v>
      </c>
      <c r="R16" s="2">
        <f t="shared" si="14"/>
        <v>1.736931687685298</v>
      </c>
      <c r="S16" s="12">
        <v>0</v>
      </c>
      <c r="T16" s="12">
        <v>0</v>
      </c>
      <c r="U16" s="12">
        <v>1</v>
      </c>
      <c r="V16" s="12">
        <v>1</v>
      </c>
    </row>
    <row r="17" spans="1:22" x14ac:dyDescent="0.3">
      <c r="A17" s="2">
        <v>5</v>
      </c>
      <c r="B17" s="2">
        <f t="shared" si="0"/>
        <v>0.5</v>
      </c>
      <c r="C17" s="12">
        <v>-60</v>
      </c>
      <c r="D17" s="12">
        <v>0</v>
      </c>
      <c r="E17" s="2">
        <f t="shared" si="7"/>
        <v>-30</v>
      </c>
      <c r="F17" s="2">
        <f t="shared" si="8"/>
        <v>0</v>
      </c>
      <c r="G17" s="2">
        <f t="shared" si="1"/>
        <v>-65.833333333333329</v>
      </c>
      <c r="H17" s="2">
        <f t="shared" si="2"/>
        <v>0</v>
      </c>
      <c r="I17" s="2">
        <f t="shared" si="3"/>
        <v>2167.0138888888887</v>
      </c>
      <c r="J17" s="2">
        <f t="shared" si="4"/>
        <v>0</v>
      </c>
      <c r="K17" s="2">
        <f t="shared" si="9"/>
        <v>0</v>
      </c>
      <c r="L17" s="2">
        <f t="shared" si="10"/>
        <v>0</v>
      </c>
      <c r="M17" s="2">
        <f t="shared" si="11"/>
        <v>0</v>
      </c>
      <c r="N17" s="2">
        <f t="shared" si="5"/>
        <v>0</v>
      </c>
      <c r="O17" s="12">
        <f t="shared" si="12"/>
        <v>0.5</v>
      </c>
      <c r="P17" s="12" t="s">
        <v>134</v>
      </c>
      <c r="Q17" s="12">
        <v>1</v>
      </c>
      <c r="R17" s="2">
        <f t="shared" si="14"/>
        <v>1.2609316876852983</v>
      </c>
      <c r="S17" s="12">
        <v>0</v>
      </c>
      <c r="T17" s="12">
        <v>0</v>
      </c>
      <c r="U17" s="12">
        <v>0</v>
      </c>
      <c r="V17" s="12">
        <v>1</v>
      </c>
    </row>
    <row r="18" spans="1:22" x14ac:dyDescent="0.3">
      <c r="A18" s="2">
        <v>6</v>
      </c>
      <c r="B18" s="2">
        <f t="shared" si="0"/>
        <v>0.5</v>
      </c>
      <c r="C18" s="12">
        <v>0</v>
      </c>
      <c r="D18" s="12">
        <v>15</v>
      </c>
      <c r="E18" s="2">
        <f t="shared" si="7"/>
        <v>0</v>
      </c>
      <c r="F18" s="2">
        <f t="shared" si="8"/>
        <v>7.5</v>
      </c>
      <c r="G18" s="2">
        <f t="shared" si="1"/>
        <v>-5.833333333333333</v>
      </c>
      <c r="H18" s="2">
        <f t="shared" si="2"/>
        <v>15</v>
      </c>
      <c r="I18" s="2">
        <f t="shared" si="3"/>
        <v>17.013888888888886</v>
      </c>
      <c r="J18" s="2">
        <f t="shared" si="4"/>
        <v>112.5</v>
      </c>
      <c r="K18" s="2">
        <f t="shared" si="9"/>
        <v>-43.75</v>
      </c>
      <c r="L18" s="2">
        <f t="shared" si="10"/>
        <v>-20000</v>
      </c>
      <c r="M18" s="2">
        <f t="shared" si="11"/>
        <v>-10000</v>
      </c>
      <c r="N18" s="2">
        <f t="shared" si="5"/>
        <v>0</v>
      </c>
      <c r="O18" s="12">
        <f t="shared" si="12"/>
        <v>0.5</v>
      </c>
      <c r="P18" s="12" t="s">
        <v>112</v>
      </c>
      <c r="Q18" s="12">
        <v>2</v>
      </c>
      <c r="R18" s="2">
        <f t="shared" si="14"/>
        <v>4.8000000000000001E-2</v>
      </c>
      <c r="S18" s="12">
        <f t="shared" ref="S18:S20" si="15">IF(OR($P18="T",$P18="CT"),"Input",0)</f>
        <v>0</v>
      </c>
      <c r="T18" s="12">
        <f t="shared" si="6"/>
        <v>0</v>
      </c>
      <c r="U18" s="12">
        <f t="shared" si="6"/>
        <v>0</v>
      </c>
      <c r="V18" s="12">
        <f t="shared" si="6"/>
        <v>0</v>
      </c>
    </row>
    <row r="19" spans="1:22" x14ac:dyDescent="0.3">
      <c r="A19" s="2">
        <v>7</v>
      </c>
      <c r="B19" s="2">
        <f t="shared" si="0"/>
        <v>0</v>
      </c>
      <c r="C19" s="12">
        <v>0</v>
      </c>
      <c r="D19" s="12">
        <v>0</v>
      </c>
      <c r="E19" s="2">
        <f t="shared" si="7"/>
        <v>0</v>
      </c>
      <c r="F19" s="2">
        <f>B19*D19</f>
        <v>0</v>
      </c>
      <c r="G19" s="2">
        <f t="shared" si="1"/>
        <v>-5.833333333333333</v>
      </c>
      <c r="H19" s="2">
        <f t="shared" si="2"/>
        <v>0</v>
      </c>
      <c r="I19" s="2">
        <f t="shared" si="3"/>
        <v>0</v>
      </c>
      <c r="J19" s="2">
        <f t="shared" si="4"/>
        <v>0</v>
      </c>
      <c r="K19" s="2">
        <f t="shared" si="9"/>
        <v>0</v>
      </c>
      <c r="L19" s="2">
        <f t="shared" si="10"/>
        <v>0</v>
      </c>
      <c r="M19" s="2">
        <f t="shared" si="11"/>
        <v>0</v>
      </c>
      <c r="N19" s="2">
        <f t="shared" si="5"/>
        <v>0</v>
      </c>
      <c r="O19" s="12">
        <v>0</v>
      </c>
      <c r="P19" s="12" t="s">
        <v>112</v>
      </c>
      <c r="Q19" s="12" t="str">
        <f t="shared" si="13"/>
        <v>Input</v>
      </c>
      <c r="R19" s="2">
        <v>0</v>
      </c>
      <c r="S19" s="12">
        <f t="shared" si="15"/>
        <v>0</v>
      </c>
      <c r="T19" s="12">
        <f t="shared" si="6"/>
        <v>0</v>
      </c>
      <c r="U19" s="12">
        <f t="shared" si="6"/>
        <v>0</v>
      </c>
      <c r="V19" s="12">
        <f t="shared" si="6"/>
        <v>0</v>
      </c>
    </row>
    <row r="20" spans="1:22" x14ac:dyDescent="0.3">
      <c r="A20" s="2">
        <v>8</v>
      </c>
      <c r="B20" s="2">
        <f t="shared" si="0"/>
        <v>0</v>
      </c>
      <c r="C20" s="12">
        <v>0</v>
      </c>
      <c r="D20" s="12">
        <v>0</v>
      </c>
      <c r="E20" s="2">
        <f t="shared" si="7"/>
        <v>0</v>
      </c>
      <c r="F20" s="2">
        <f t="shared" si="8"/>
        <v>0</v>
      </c>
      <c r="G20" s="2">
        <f t="shared" si="1"/>
        <v>-5.833333333333333</v>
      </c>
      <c r="H20" s="2">
        <f t="shared" si="2"/>
        <v>0</v>
      </c>
      <c r="I20" s="2">
        <f t="shared" si="3"/>
        <v>0</v>
      </c>
      <c r="J20" s="2">
        <f t="shared" si="4"/>
        <v>0</v>
      </c>
      <c r="K20" s="2">
        <f t="shared" si="9"/>
        <v>0</v>
      </c>
      <c r="L20" s="2">
        <f t="shared" si="10"/>
        <v>0</v>
      </c>
      <c r="M20" s="2">
        <f t="shared" si="11"/>
        <v>0</v>
      </c>
      <c r="N20" s="2">
        <f t="shared" si="5"/>
        <v>0</v>
      </c>
      <c r="O20" s="12">
        <v>0</v>
      </c>
      <c r="P20" s="12" t="s">
        <v>112</v>
      </c>
      <c r="Q20" s="12" t="str">
        <f t="shared" si="13"/>
        <v>Input</v>
      </c>
      <c r="R20" s="2">
        <v>0</v>
      </c>
      <c r="S20" s="12">
        <f t="shared" si="15"/>
        <v>0</v>
      </c>
      <c r="T20" s="12">
        <f t="shared" si="6"/>
        <v>0</v>
      </c>
      <c r="U20" s="12">
        <f t="shared" si="6"/>
        <v>0</v>
      </c>
      <c r="V20" s="12">
        <f t="shared" si="6"/>
        <v>0</v>
      </c>
    </row>
    <row r="21" spans="1:22" x14ac:dyDescent="0.3">
      <c r="B21" s="1" t="s">
        <v>15</v>
      </c>
      <c r="E21" s="1" t="s">
        <v>16</v>
      </c>
      <c r="F21" s="1" t="s">
        <v>17</v>
      </c>
      <c r="I21" s="1" t="s">
        <v>18</v>
      </c>
      <c r="J21" s="1" t="s">
        <v>19</v>
      </c>
      <c r="K21" s="1" t="s">
        <v>21</v>
      </c>
      <c r="M21" s="1" t="s">
        <v>71</v>
      </c>
      <c r="N21" s="1"/>
    </row>
    <row r="22" spans="1:22" x14ac:dyDescent="0.3">
      <c r="B22" s="2">
        <f>SUM(B13:B20)</f>
        <v>3</v>
      </c>
      <c r="E22" s="2">
        <f>SUM(E13:E20)</f>
        <v>17.5</v>
      </c>
      <c r="F22" s="2">
        <f>SUM(F13:F20)</f>
        <v>0</v>
      </c>
      <c r="I22" s="2">
        <f>SUM(I13:I20)</f>
        <v>3335.4166666666661</v>
      </c>
      <c r="J22" s="2">
        <f>SUM(J13:J20)</f>
        <v>450</v>
      </c>
      <c r="K22" s="2">
        <f>SUM(K13:K20)</f>
        <v>0</v>
      </c>
      <c r="M22" s="2">
        <f>ROUNDDOWN(SUM(M13:M20),1)</f>
        <v>0</v>
      </c>
      <c r="N22" s="1"/>
    </row>
    <row r="23" spans="1:22" x14ac:dyDescent="0.3">
      <c r="A23" s="4" t="s">
        <v>8</v>
      </c>
      <c r="B23" s="1"/>
      <c r="I23" s="1" t="s">
        <v>47</v>
      </c>
      <c r="J23" s="1" t="s">
        <v>33</v>
      </c>
      <c r="K23" s="1" t="s">
        <v>34</v>
      </c>
    </row>
    <row r="24" spans="1:22" x14ac:dyDescent="0.3">
      <c r="A24" s="2" t="s">
        <v>9</v>
      </c>
      <c r="B24" s="2">
        <f>E22/B22</f>
        <v>5.833333333333333</v>
      </c>
      <c r="I24" s="2">
        <f>K22/(J22*I22-K22^2)</f>
        <v>0</v>
      </c>
      <c r="J24" s="2">
        <f>I22/(J22*I22-K22^2)</f>
        <v>2.2222222222222222E-3</v>
      </c>
      <c r="K24" s="2">
        <f>J22/(J22*I22-K22^2)</f>
        <v>2.9981261711430361E-4</v>
      </c>
    </row>
    <row r="25" spans="1:22" x14ac:dyDescent="0.3">
      <c r="A25" s="2" t="s">
        <v>12</v>
      </c>
      <c r="B25" s="2">
        <f>F22/B22</f>
        <v>0</v>
      </c>
      <c r="I25" s="1" t="s">
        <v>23</v>
      </c>
      <c r="J25" s="1" t="s">
        <v>24</v>
      </c>
    </row>
    <row r="26" spans="1:22" x14ac:dyDescent="0.3">
      <c r="I26" s="2">
        <f>K24*E4-I24*E3</f>
        <v>0</v>
      </c>
      <c r="J26" s="2">
        <f>J24*E3-I24*E4</f>
        <v>1333.3333333333333</v>
      </c>
    </row>
    <row r="27" spans="1:22" ht="18" x14ac:dyDescent="0.3">
      <c r="A27" s="11" t="s">
        <v>31</v>
      </c>
      <c r="B27" s="10"/>
    </row>
    <row r="28" spans="1:22" x14ac:dyDescent="0.3">
      <c r="C28" s="1" t="s">
        <v>74</v>
      </c>
      <c r="D28" s="1"/>
    </row>
    <row r="29" spans="1:22" x14ac:dyDescent="0.3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10</v>
      </c>
      <c r="H29" s="1" t="s">
        <v>11</v>
      </c>
      <c r="I29" s="1" t="s">
        <v>13</v>
      </c>
      <c r="J29" s="1" t="s">
        <v>14</v>
      </c>
      <c r="K29" s="1" t="s">
        <v>20</v>
      </c>
      <c r="L29" s="1" t="s">
        <v>22</v>
      </c>
      <c r="M29" s="1" t="s">
        <v>25</v>
      </c>
      <c r="N29" s="1" t="s">
        <v>70</v>
      </c>
      <c r="O29" s="1" t="s">
        <v>100</v>
      </c>
      <c r="P29" s="1" t="s">
        <v>110</v>
      </c>
      <c r="Q29" s="1" t="s">
        <v>109</v>
      </c>
      <c r="R29" s="1" t="s">
        <v>101</v>
      </c>
      <c r="S29" s="1" t="s">
        <v>69</v>
      </c>
      <c r="T29" s="1" t="s">
        <v>104</v>
      </c>
      <c r="U29" s="1" t="s">
        <v>105</v>
      </c>
      <c r="V29" s="1" t="s">
        <v>111</v>
      </c>
    </row>
    <row r="30" spans="1:22" x14ac:dyDescent="0.3">
      <c r="A30" s="2">
        <v>1</v>
      </c>
      <c r="B30" s="2">
        <f t="shared" ref="B30:D37" si="16">B13</f>
        <v>0.5</v>
      </c>
      <c r="C30" s="12">
        <f t="shared" si="16"/>
        <v>25</v>
      </c>
      <c r="D30" s="12">
        <f t="shared" si="16"/>
        <v>15</v>
      </c>
      <c r="E30" s="2">
        <f>B30*C30</f>
        <v>12.5</v>
      </c>
      <c r="F30" s="2">
        <f>B30*D30</f>
        <v>7.5</v>
      </c>
      <c r="G30" s="2">
        <f t="shared" ref="G30:G37" si="17">C30-$B$24</f>
        <v>19.166666666666668</v>
      </c>
      <c r="H30" s="2">
        <f t="shared" ref="H30:H37" si="18">D30-$B$25</f>
        <v>15</v>
      </c>
      <c r="I30" s="2">
        <f t="shared" ref="I30:I37" si="19">B30*G30^2</f>
        <v>183.68055555555557</v>
      </c>
      <c r="J30" s="2">
        <f t="shared" ref="J30:J37" si="20">B30*H30^2</f>
        <v>112.5</v>
      </c>
      <c r="K30" s="2">
        <f>B30*G30*H30</f>
        <v>143.75</v>
      </c>
      <c r="L30" s="2">
        <f t="shared" ref="L30:L37" si="21">IF(B30=0,0,-($I$44*G30+$J$44*H30)+N30/B30)</f>
        <v>-10000</v>
      </c>
      <c r="M30" s="2">
        <f>L30*B30</f>
        <v>-5000</v>
      </c>
      <c r="N30" s="2">
        <f t="shared" ref="N30:N37" si="22">$T$3</f>
        <v>0</v>
      </c>
      <c r="O30" s="12">
        <f t="shared" ref="O30:R35" si="23">O13</f>
        <v>0.5</v>
      </c>
      <c r="P30" s="12" t="str">
        <f t="shared" si="23"/>
        <v>C</v>
      </c>
      <c r="Q30" s="12">
        <f t="shared" si="23"/>
        <v>3</v>
      </c>
      <c r="R30" s="2">
        <f>R13</f>
        <v>7.1999999999999995E-2</v>
      </c>
      <c r="S30" s="12">
        <f t="shared" ref="S30:S35" si="24">S13</f>
        <v>0</v>
      </c>
      <c r="T30" s="12">
        <f t="shared" ref="T30:V30" si="25">T13</f>
        <v>0</v>
      </c>
      <c r="U30" s="12">
        <f t="shared" si="25"/>
        <v>0</v>
      </c>
      <c r="V30" s="12">
        <f t="shared" si="25"/>
        <v>0</v>
      </c>
    </row>
    <row r="31" spans="1:22" x14ac:dyDescent="0.3">
      <c r="A31" s="2">
        <v>2</v>
      </c>
      <c r="B31" s="2">
        <f t="shared" si="16"/>
        <v>0.5</v>
      </c>
      <c r="C31" s="12">
        <f t="shared" si="16"/>
        <v>45</v>
      </c>
      <c r="D31" s="12">
        <f t="shared" si="16"/>
        <v>0</v>
      </c>
      <c r="E31" s="2">
        <f t="shared" ref="E31:E37" si="26">B31*C31</f>
        <v>22.5</v>
      </c>
      <c r="F31" s="2">
        <f t="shared" ref="F31:F37" si="27">B31*D31</f>
        <v>0</v>
      </c>
      <c r="G31" s="2">
        <f t="shared" si="17"/>
        <v>39.166666666666664</v>
      </c>
      <c r="H31" s="2">
        <f t="shared" si="18"/>
        <v>0</v>
      </c>
      <c r="I31" s="2">
        <f t="shared" si="19"/>
        <v>767.0138888888888</v>
      </c>
      <c r="J31" s="2">
        <f t="shared" si="20"/>
        <v>0</v>
      </c>
      <c r="K31" s="2">
        <f t="shared" ref="K31:K37" si="28">B31*G31*H31</f>
        <v>0</v>
      </c>
      <c r="L31" s="2">
        <f t="shared" si="21"/>
        <v>0</v>
      </c>
      <c r="M31" s="2">
        <f t="shared" ref="M31:M37" si="29">L31*B31</f>
        <v>0</v>
      </c>
      <c r="N31" s="2">
        <f t="shared" si="22"/>
        <v>0</v>
      </c>
      <c r="O31" s="12">
        <f t="shared" si="23"/>
        <v>0.5</v>
      </c>
      <c r="P31" s="12" t="str">
        <f t="shared" si="23"/>
        <v>CT</v>
      </c>
      <c r="Q31" s="12">
        <f t="shared" si="23"/>
        <v>1</v>
      </c>
      <c r="R31" s="2">
        <f t="shared" si="23"/>
        <v>0.52400000000000002</v>
      </c>
      <c r="S31" s="12">
        <f t="shared" si="24"/>
        <v>0</v>
      </c>
      <c r="T31" s="12">
        <f t="shared" ref="T31:V35" si="30">T14</f>
        <v>1</v>
      </c>
      <c r="U31" s="12">
        <f t="shared" si="30"/>
        <v>0</v>
      </c>
      <c r="V31" s="12">
        <f t="shared" si="30"/>
        <v>0</v>
      </c>
    </row>
    <row r="32" spans="1:22" x14ac:dyDescent="0.3">
      <c r="A32" s="2">
        <v>3</v>
      </c>
      <c r="B32" s="2">
        <f t="shared" si="16"/>
        <v>0.5</v>
      </c>
      <c r="C32" s="12">
        <f t="shared" si="16"/>
        <v>25</v>
      </c>
      <c r="D32" s="12">
        <f t="shared" si="16"/>
        <v>-15</v>
      </c>
      <c r="E32" s="2">
        <f t="shared" si="26"/>
        <v>12.5</v>
      </c>
      <c r="F32" s="2">
        <f t="shared" si="27"/>
        <v>-7.5</v>
      </c>
      <c r="G32" s="2">
        <f t="shared" si="17"/>
        <v>19.166666666666668</v>
      </c>
      <c r="H32" s="2">
        <f t="shared" si="18"/>
        <v>-15</v>
      </c>
      <c r="I32" s="2">
        <f t="shared" si="19"/>
        <v>183.68055555555557</v>
      </c>
      <c r="J32" s="2">
        <f t="shared" si="20"/>
        <v>112.5</v>
      </c>
      <c r="K32" s="2">
        <f t="shared" si="28"/>
        <v>-143.75</v>
      </c>
      <c r="L32" s="2">
        <f t="shared" si="21"/>
        <v>10000</v>
      </c>
      <c r="M32" s="2">
        <f t="shared" si="29"/>
        <v>5000</v>
      </c>
      <c r="N32" s="2">
        <f t="shared" si="22"/>
        <v>0</v>
      </c>
      <c r="O32" s="12">
        <f t="shared" si="23"/>
        <v>0.5</v>
      </c>
      <c r="P32" s="12" t="str">
        <f t="shared" si="23"/>
        <v>T</v>
      </c>
      <c r="Q32" s="12">
        <f t="shared" si="23"/>
        <v>0</v>
      </c>
      <c r="R32" s="2">
        <f t="shared" si="23"/>
        <v>1.2</v>
      </c>
      <c r="S32" s="12">
        <f t="shared" si="24"/>
        <v>1</v>
      </c>
      <c r="T32" s="12">
        <f t="shared" si="30"/>
        <v>1</v>
      </c>
      <c r="U32" s="12">
        <f t="shared" si="30"/>
        <v>1</v>
      </c>
      <c r="V32" s="12">
        <f t="shared" si="30"/>
        <v>0</v>
      </c>
    </row>
    <row r="33" spans="1:23" x14ac:dyDescent="0.3">
      <c r="A33" s="2">
        <v>4</v>
      </c>
      <c r="B33" s="2">
        <f t="shared" si="16"/>
        <v>0.5</v>
      </c>
      <c r="C33" s="12">
        <f t="shared" si="16"/>
        <v>0</v>
      </c>
      <c r="D33" s="12">
        <f t="shared" si="16"/>
        <v>-15</v>
      </c>
      <c r="E33" s="2">
        <f t="shared" si="26"/>
        <v>0</v>
      </c>
      <c r="F33" s="2">
        <f t="shared" si="27"/>
        <v>-7.5</v>
      </c>
      <c r="G33" s="2">
        <f t="shared" si="17"/>
        <v>-5.833333333333333</v>
      </c>
      <c r="H33" s="2">
        <f t="shared" si="18"/>
        <v>-15</v>
      </c>
      <c r="I33" s="2">
        <f t="shared" si="19"/>
        <v>17.013888888888886</v>
      </c>
      <c r="J33" s="2">
        <f t="shared" si="20"/>
        <v>112.5</v>
      </c>
      <c r="K33" s="2">
        <f t="shared" si="28"/>
        <v>43.75</v>
      </c>
      <c r="L33" s="2">
        <f t="shared" si="21"/>
        <v>10000</v>
      </c>
      <c r="M33" s="2">
        <f t="shared" si="29"/>
        <v>5000</v>
      </c>
      <c r="N33" s="2">
        <f t="shared" si="22"/>
        <v>0</v>
      </c>
      <c r="O33" s="12">
        <f t="shared" si="23"/>
        <v>0.5</v>
      </c>
      <c r="P33" s="12" t="str">
        <f t="shared" si="23"/>
        <v>T</v>
      </c>
      <c r="Q33" s="12">
        <f t="shared" si="23"/>
        <v>0</v>
      </c>
      <c r="R33" s="2">
        <f t="shared" si="23"/>
        <v>1.736931687685298</v>
      </c>
      <c r="S33" s="12">
        <f t="shared" si="24"/>
        <v>0</v>
      </c>
      <c r="T33" s="12">
        <f t="shared" si="30"/>
        <v>0</v>
      </c>
      <c r="U33" s="12">
        <f t="shared" si="30"/>
        <v>1</v>
      </c>
      <c r="V33" s="12">
        <f t="shared" si="30"/>
        <v>1</v>
      </c>
    </row>
    <row r="34" spans="1:23" x14ac:dyDescent="0.3">
      <c r="A34" s="2">
        <v>5</v>
      </c>
      <c r="B34" s="2">
        <f t="shared" si="16"/>
        <v>0.5</v>
      </c>
      <c r="C34" s="12">
        <f t="shared" si="16"/>
        <v>-60</v>
      </c>
      <c r="D34" s="12">
        <f t="shared" si="16"/>
        <v>0</v>
      </c>
      <c r="E34" s="2">
        <f t="shared" si="26"/>
        <v>-30</v>
      </c>
      <c r="F34" s="2">
        <f t="shared" si="27"/>
        <v>0</v>
      </c>
      <c r="G34" s="2">
        <f t="shared" si="17"/>
        <v>-65.833333333333329</v>
      </c>
      <c r="H34" s="2">
        <f t="shared" si="18"/>
        <v>0</v>
      </c>
      <c r="I34" s="2">
        <f t="shared" si="19"/>
        <v>2167.0138888888887</v>
      </c>
      <c r="J34" s="2">
        <f t="shared" si="20"/>
        <v>0</v>
      </c>
      <c r="K34" s="2">
        <f t="shared" si="28"/>
        <v>0</v>
      </c>
      <c r="L34" s="2">
        <f t="shared" si="21"/>
        <v>0</v>
      </c>
      <c r="M34" s="2">
        <f t="shared" si="29"/>
        <v>0</v>
      </c>
      <c r="N34" s="2">
        <f t="shared" si="22"/>
        <v>0</v>
      </c>
      <c r="O34" s="12">
        <f t="shared" si="23"/>
        <v>0.5</v>
      </c>
      <c r="P34" s="12" t="str">
        <f t="shared" si="23"/>
        <v>CT</v>
      </c>
      <c r="Q34" s="12">
        <f t="shared" si="23"/>
        <v>1</v>
      </c>
      <c r="R34" s="2">
        <f t="shared" si="23"/>
        <v>1.2609316876852983</v>
      </c>
      <c r="S34" s="12">
        <f t="shared" si="24"/>
        <v>0</v>
      </c>
      <c r="T34" s="12">
        <f t="shared" si="30"/>
        <v>0</v>
      </c>
      <c r="U34" s="12">
        <f t="shared" si="30"/>
        <v>0</v>
      </c>
      <c r="V34" s="12">
        <f t="shared" si="30"/>
        <v>1</v>
      </c>
    </row>
    <row r="35" spans="1:23" x14ac:dyDescent="0.3">
      <c r="A35" s="2">
        <v>6</v>
      </c>
      <c r="B35" s="2">
        <f t="shared" si="16"/>
        <v>0.5</v>
      </c>
      <c r="C35" s="12">
        <f t="shared" si="16"/>
        <v>0</v>
      </c>
      <c r="D35" s="12">
        <f t="shared" si="16"/>
        <v>15</v>
      </c>
      <c r="E35" s="2">
        <f t="shared" si="26"/>
        <v>0</v>
      </c>
      <c r="F35" s="2">
        <f t="shared" si="27"/>
        <v>7.5</v>
      </c>
      <c r="G35" s="2">
        <f t="shared" si="17"/>
        <v>-5.833333333333333</v>
      </c>
      <c r="H35" s="2">
        <f t="shared" si="18"/>
        <v>15</v>
      </c>
      <c r="I35" s="2">
        <f t="shared" si="19"/>
        <v>17.013888888888886</v>
      </c>
      <c r="J35" s="2">
        <f t="shared" si="20"/>
        <v>112.5</v>
      </c>
      <c r="K35" s="2">
        <f t="shared" si="28"/>
        <v>-43.75</v>
      </c>
      <c r="L35" s="2">
        <f t="shared" si="21"/>
        <v>-10000</v>
      </c>
      <c r="M35" s="2">
        <f t="shared" si="29"/>
        <v>-5000</v>
      </c>
      <c r="N35" s="2">
        <f t="shared" si="22"/>
        <v>0</v>
      </c>
      <c r="O35" s="12">
        <f t="shared" si="23"/>
        <v>0.5</v>
      </c>
      <c r="P35" s="12" t="str">
        <f t="shared" si="23"/>
        <v>C</v>
      </c>
      <c r="Q35" s="12">
        <f t="shared" si="23"/>
        <v>2</v>
      </c>
      <c r="R35" s="2">
        <f t="shared" si="23"/>
        <v>4.8000000000000001E-2</v>
      </c>
      <c r="S35" s="12">
        <f t="shared" si="24"/>
        <v>0</v>
      </c>
      <c r="T35" s="12">
        <f t="shared" si="30"/>
        <v>0</v>
      </c>
      <c r="U35" s="12">
        <f t="shared" si="30"/>
        <v>0</v>
      </c>
      <c r="V35" s="12">
        <f t="shared" si="30"/>
        <v>0</v>
      </c>
    </row>
    <row r="36" spans="1:23" x14ac:dyDescent="0.3">
      <c r="A36" s="2">
        <v>7</v>
      </c>
      <c r="B36" s="2">
        <f t="shared" si="16"/>
        <v>0</v>
      </c>
      <c r="C36" s="12">
        <f t="shared" si="16"/>
        <v>0</v>
      </c>
      <c r="D36" s="12">
        <f t="shared" si="16"/>
        <v>0</v>
      </c>
      <c r="E36" s="2">
        <f t="shared" si="26"/>
        <v>0</v>
      </c>
      <c r="F36" s="2">
        <f t="shared" si="27"/>
        <v>0</v>
      </c>
      <c r="G36" s="2">
        <f t="shared" si="17"/>
        <v>-5.833333333333333</v>
      </c>
      <c r="H36" s="2">
        <f t="shared" si="18"/>
        <v>0</v>
      </c>
      <c r="I36" s="2">
        <f t="shared" si="19"/>
        <v>0</v>
      </c>
      <c r="J36" s="2">
        <f t="shared" si="20"/>
        <v>0</v>
      </c>
      <c r="K36" s="2">
        <f t="shared" si="28"/>
        <v>0</v>
      </c>
      <c r="L36" s="2">
        <f t="shared" si="21"/>
        <v>0</v>
      </c>
      <c r="M36" s="2">
        <f t="shared" si="29"/>
        <v>0</v>
      </c>
      <c r="N36" s="2">
        <f t="shared" si="22"/>
        <v>0</v>
      </c>
      <c r="O36" s="12">
        <f t="shared" ref="O36:P37" si="31">O19</f>
        <v>0</v>
      </c>
      <c r="P36" s="12" t="str">
        <f t="shared" si="31"/>
        <v>C</v>
      </c>
      <c r="Q36" s="12" t="str">
        <f t="shared" ref="Q36:R37" si="32">Q19</f>
        <v>Input</v>
      </c>
      <c r="R36" s="2">
        <f t="shared" si="32"/>
        <v>0</v>
      </c>
      <c r="S36" s="12">
        <f t="shared" ref="S36:V37" si="33">S19</f>
        <v>0</v>
      </c>
      <c r="T36" s="12">
        <f t="shared" si="33"/>
        <v>0</v>
      </c>
      <c r="U36" s="12">
        <f t="shared" si="33"/>
        <v>0</v>
      </c>
      <c r="V36" s="12">
        <f t="shared" si="33"/>
        <v>0</v>
      </c>
    </row>
    <row r="37" spans="1:23" x14ac:dyDescent="0.3">
      <c r="A37" s="2">
        <v>8</v>
      </c>
      <c r="B37" s="2">
        <f t="shared" si="16"/>
        <v>0</v>
      </c>
      <c r="C37" s="12">
        <f t="shared" si="16"/>
        <v>0</v>
      </c>
      <c r="D37" s="12">
        <f t="shared" si="16"/>
        <v>0</v>
      </c>
      <c r="E37" s="2">
        <f t="shared" si="26"/>
        <v>0</v>
      </c>
      <c r="F37" s="2">
        <f t="shared" si="27"/>
        <v>0</v>
      </c>
      <c r="G37" s="2">
        <f t="shared" si="17"/>
        <v>-5.833333333333333</v>
      </c>
      <c r="H37" s="2">
        <f t="shared" si="18"/>
        <v>0</v>
      </c>
      <c r="I37" s="2">
        <f t="shared" si="19"/>
        <v>0</v>
      </c>
      <c r="J37" s="2">
        <f t="shared" si="20"/>
        <v>0</v>
      </c>
      <c r="K37" s="2">
        <f t="shared" si="28"/>
        <v>0</v>
      </c>
      <c r="L37" s="2">
        <f t="shared" si="21"/>
        <v>0</v>
      </c>
      <c r="M37" s="2">
        <f t="shared" si="29"/>
        <v>0</v>
      </c>
      <c r="N37" s="2">
        <f t="shared" si="22"/>
        <v>0</v>
      </c>
      <c r="O37" s="12">
        <f t="shared" si="31"/>
        <v>0</v>
      </c>
      <c r="P37" s="12" t="str">
        <f t="shared" si="31"/>
        <v>C</v>
      </c>
      <c r="Q37" s="12" t="str">
        <f t="shared" si="32"/>
        <v>Input</v>
      </c>
      <c r="R37" s="2">
        <f t="shared" si="32"/>
        <v>0</v>
      </c>
      <c r="S37" s="12">
        <f t="shared" si="33"/>
        <v>0</v>
      </c>
      <c r="T37" s="12">
        <f t="shared" si="33"/>
        <v>0</v>
      </c>
      <c r="U37" s="12">
        <f t="shared" si="33"/>
        <v>0</v>
      </c>
      <c r="V37" s="12">
        <f t="shared" si="33"/>
        <v>0</v>
      </c>
    </row>
    <row r="38" spans="1:23" x14ac:dyDescent="0.3">
      <c r="B38" s="1" t="s">
        <v>15</v>
      </c>
      <c r="E38" s="1" t="s">
        <v>16</v>
      </c>
      <c r="F38" s="1" t="s">
        <v>17</v>
      </c>
      <c r="I38" s="1" t="s">
        <v>18</v>
      </c>
      <c r="J38" s="1" t="s">
        <v>19</v>
      </c>
      <c r="K38" s="1" t="s">
        <v>21</v>
      </c>
      <c r="M38" s="1" t="s">
        <v>71</v>
      </c>
    </row>
    <row r="39" spans="1:23" x14ac:dyDescent="0.3">
      <c r="B39" s="2">
        <f>SUM(B30:B37)</f>
        <v>3</v>
      </c>
      <c r="E39" s="2">
        <f>SUM(E30:E37)</f>
        <v>17.5</v>
      </c>
      <c r="F39" s="2">
        <f>SUM(F30:F37)</f>
        <v>0</v>
      </c>
      <c r="I39" s="2">
        <f>SUM(I30:I37)</f>
        <v>3335.4166666666661</v>
      </c>
      <c r="J39" s="2">
        <f>SUM(J30:J37)</f>
        <v>450</v>
      </c>
      <c r="K39" s="2">
        <f>SUM(K30:K37)</f>
        <v>0</v>
      </c>
      <c r="M39" s="2">
        <f>ROUNDDOWN(SUM(M30:M37),1)</f>
        <v>0</v>
      </c>
    </row>
    <row r="41" spans="1:23" x14ac:dyDescent="0.3">
      <c r="A41" s="4" t="s">
        <v>8</v>
      </c>
      <c r="B41" s="1"/>
      <c r="I41" s="1" t="s">
        <v>47</v>
      </c>
      <c r="J41" s="1" t="s">
        <v>33</v>
      </c>
      <c r="K41" s="1" t="s">
        <v>34</v>
      </c>
    </row>
    <row r="42" spans="1:23" x14ac:dyDescent="0.3">
      <c r="A42" s="2" t="s">
        <v>9</v>
      </c>
      <c r="B42" s="2">
        <f>E39/B39</f>
        <v>5.833333333333333</v>
      </c>
      <c r="I42" s="2">
        <f>K39/(J39*I39-K39^2)</f>
        <v>0</v>
      </c>
      <c r="J42" s="2">
        <f>I39/(J39*I39-K39^2)</f>
        <v>2.2222222222222222E-3</v>
      </c>
      <c r="K42" s="2">
        <f>J39/(J39*I39-K39^2)</f>
        <v>2.9981261711430361E-4</v>
      </c>
      <c r="W42"/>
    </row>
    <row r="43" spans="1:23" x14ac:dyDescent="0.3">
      <c r="A43" s="2" t="s">
        <v>12</v>
      </c>
      <c r="B43" s="2">
        <f>F39/B39</f>
        <v>0</v>
      </c>
      <c r="I43" s="1" t="s">
        <v>23</v>
      </c>
      <c r="J43" s="1" t="s">
        <v>24</v>
      </c>
    </row>
    <row r="44" spans="1:23" x14ac:dyDescent="0.3">
      <c r="I44" s="2">
        <f>K42*H4-I42*H3</f>
        <v>0</v>
      </c>
      <c r="J44" s="2">
        <f>J42*H3-I42*H4</f>
        <v>666.66666666666663</v>
      </c>
    </row>
    <row r="45" spans="1:23" ht="18" x14ac:dyDescent="0.3">
      <c r="A45" s="11" t="s">
        <v>35</v>
      </c>
      <c r="B45" s="10"/>
    </row>
    <row r="46" spans="1:23" x14ac:dyDescent="0.3">
      <c r="D46" s="2" t="s">
        <v>72</v>
      </c>
    </row>
    <row r="47" spans="1:23" x14ac:dyDescent="0.3">
      <c r="A47" s="1" t="s">
        <v>2</v>
      </c>
      <c r="B47" s="1" t="s">
        <v>26</v>
      </c>
      <c r="C47" s="1" t="s">
        <v>27</v>
      </c>
      <c r="D47" s="1" t="s">
        <v>28</v>
      </c>
      <c r="E47" s="1" t="s">
        <v>29</v>
      </c>
    </row>
    <row r="48" spans="1:23" x14ac:dyDescent="0.3">
      <c r="A48" s="2">
        <v>1</v>
      </c>
      <c r="B48" s="2">
        <f t="shared" ref="B48:B55" si="34">M13</f>
        <v>-10000</v>
      </c>
      <c r="C48" s="2">
        <f t="shared" ref="C48:C55" si="35">M30</f>
        <v>-5000</v>
      </c>
      <c r="D48" s="2">
        <f>(C48-B48)</f>
        <v>5000</v>
      </c>
      <c r="E48" s="2">
        <f t="shared" ref="E48:E55" si="36">D48/$T$4</f>
        <v>100</v>
      </c>
    </row>
    <row r="49" spans="1:27" x14ac:dyDescent="0.3">
      <c r="A49" s="2">
        <v>2</v>
      </c>
      <c r="B49" s="2">
        <f t="shared" si="34"/>
        <v>0</v>
      </c>
      <c r="C49" s="2">
        <f t="shared" si="35"/>
        <v>0</v>
      </c>
      <c r="D49" s="2">
        <f t="shared" ref="D49:D55" si="37">(C49-B49)</f>
        <v>0</v>
      </c>
      <c r="E49" s="2">
        <f t="shared" si="36"/>
        <v>0</v>
      </c>
    </row>
    <row r="50" spans="1:27" x14ac:dyDescent="0.3">
      <c r="A50" s="2">
        <v>3</v>
      </c>
      <c r="B50" s="2">
        <f t="shared" si="34"/>
        <v>10000</v>
      </c>
      <c r="C50" s="2">
        <f t="shared" si="35"/>
        <v>5000</v>
      </c>
      <c r="D50" s="2">
        <f t="shared" si="37"/>
        <v>-5000</v>
      </c>
      <c r="E50" s="2">
        <f t="shared" si="36"/>
        <v>-100</v>
      </c>
    </row>
    <row r="51" spans="1:27" x14ac:dyDescent="0.3">
      <c r="A51" s="2">
        <v>4</v>
      </c>
      <c r="B51" s="2">
        <f t="shared" si="34"/>
        <v>10000</v>
      </c>
      <c r="C51" s="2">
        <f t="shared" si="35"/>
        <v>5000</v>
      </c>
      <c r="D51" s="2">
        <f t="shared" si="37"/>
        <v>-5000</v>
      </c>
      <c r="E51" s="2">
        <f t="shared" si="36"/>
        <v>-100</v>
      </c>
    </row>
    <row r="52" spans="1:27" x14ac:dyDescent="0.3">
      <c r="A52" s="2">
        <v>5</v>
      </c>
      <c r="B52" s="2">
        <f t="shared" si="34"/>
        <v>0</v>
      </c>
      <c r="C52" s="2">
        <f t="shared" si="35"/>
        <v>0</v>
      </c>
      <c r="D52" s="2">
        <f t="shared" si="37"/>
        <v>0</v>
      </c>
      <c r="E52" s="2">
        <f t="shared" si="36"/>
        <v>0</v>
      </c>
    </row>
    <row r="53" spans="1:27" x14ac:dyDescent="0.3">
      <c r="A53" s="2">
        <v>6</v>
      </c>
      <c r="B53" s="2">
        <f t="shared" si="34"/>
        <v>-10000</v>
      </c>
      <c r="C53" s="2">
        <f t="shared" si="35"/>
        <v>-5000</v>
      </c>
      <c r="D53" s="2">
        <f t="shared" si="37"/>
        <v>5000</v>
      </c>
      <c r="E53" s="2">
        <f t="shared" si="36"/>
        <v>100</v>
      </c>
    </row>
    <row r="54" spans="1:27" x14ac:dyDescent="0.3">
      <c r="A54" s="2">
        <v>7</v>
      </c>
      <c r="B54" s="2">
        <f t="shared" si="34"/>
        <v>0</v>
      </c>
      <c r="C54" s="2">
        <f t="shared" si="35"/>
        <v>0</v>
      </c>
      <c r="D54" s="2">
        <f t="shared" si="37"/>
        <v>0</v>
      </c>
      <c r="E54" s="2">
        <f t="shared" si="36"/>
        <v>0</v>
      </c>
    </row>
    <row r="55" spans="1:27" x14ac:dyDescent="0.3">
      <c r="A55" s="2">
        <v>8</v>
      </c>
      <c r="B55" s="2">
        <f t="shared" si="34"/>
        <v>0</v>
      </c>
      <c r="C55" s="2">
        <f t="shared" si="35"/>
        <v>0</v>
      </c>
      <c r="D55" s="2">
        <f t="shared" si="37"/>
        <v>0</v>
      </c>
      <c r="E55" s="2">
        <f t="shared" si="36"/>
        <v>0</v>
      </c>
      <c r="Q55"/>
    </row>
    <row r="57" spans="1:27" x14ac:dyDescent="0.3">
      <c r="A57" s="5" t="s">
        <v>138</v>
      </c>
      <c r="B57" s="5"/>
      <c r="C57" s="5"/>
      <c r="D57" s="5"/>
      <c r="E57" s="5"/>
      <c r="F57" s="5"/>
    </row>
    <row r="58" spans="1:27" x14ac:dyDescent="0.3">
      <c r="A58" s="5" t="s">
        <v>139</v>
      </c>
    </row>
    <row r="59" spans="1:27" x14ac:dyDescent="0.3">
      <c r="F59" s="6" t="s">
        <v>75</v>
      </c>
      <c r="G59" s="6"/>
      <c r="J59" s="6"/>
      <c r="K59" s="6" t="s">
        <v>76</v>
      </c>
    </row>
    <row r="60" spans="1:27" x14ac:dyDescent="0.3">
      <c r="A60" s="1" t="s">
        <v>30</v>
      </c>
      <c r="B60" s="1" t="s">
        <v>98</v>
      </c>
      <c r="C60" s="1" t="s">
        <v>99</v>
      </c>
      <c r="D60" s="1" t="s">
        <v>38</v>
      </c>
      <c r="E60" s="1" t="s">
        <v>77</v>
      </c>
      <c r="F60" s="1" t="s">
        <v>78</v>
      </c>
      <c r="G60" s="1" t="s">
        <v>79</v>
      </c>
      <c r="H60" s="1" t="s">
        <v>66</v>
      </c>
      <c r="I60" s="1" t="s">
        <v>67</v>
      </c>
      <c r="J60" s="1" t="s">
        <v>77</v>
      </c>
      <c r="K60" s="1" t="s">
        <v>78</v>
      </c>
      <c r="L60" s="1" t="s">
        <v>79</v>
      </c>
      <c r="M60" s="1" t="s">
        <v>45</v>
      </c>
      <c r="N60" s="1" t="s">
        <v>46</v>
      </c>
      <c r="P60" s="1" t="s">
        <v>36</v>
      </c>
      <c r="Q60" s="1" t="s">
        <v>37</v>
      </c>
      <c r="R60" s="1" t="s">
        <v>39</v>
      </c>
      <c r="S60" s="1" t="s">
        <v>48</v>
      </c>
      <c r="T60" s="1" t="s">
        <v>49</v>
      </c>
      <c r="U60" s="1" t="s">
        <v>50</v>
      </c>
      <c r="V60" s="1" t="s">
        <v>51</v>
      </c>
      <c r="Y60" s="1" t="s">
        <v>60</v>
      </c>
      <c r="Z60" s="1" t="s">
        <v>61</v>
      </c>
      <c r="AA60" s="1" t="s">
        <v>63</v>
      </c>
    </row>
    <row r="61" spans="1:27" x14ac:dyDescent="0.3">
      <c r="A61" s="2" t="s">
        <v>118</v>
      </c>
      <c r="E61" s="2" t="s">
        <v>115</v>
      </c>
      <c r="F61" s="2" t="s">
        <v>116</v>
      </c>
      <c r="G61" s="2" t="s">
        <v>117</v>
      </c>
      <c r="J61" s="2" t="s">
        <v>115</v>
      </c>
      <c r="K61" s="2" t="s">
        <v>116</v>
      </c>
      <c r="L61" s="2" t="s">
        <v>117</v>
      </c>
    </row>
    <row r="62" spans="1:27" x14ac:dyDescent="0.3">
      <c r="A62" s="7" t="s">
        <v>86</v>
      </c>
      <c r="B62" s="2" t="s">
        <v>97</v>
      </c>
      <c r="C62" s="2">
        <v>2</v>
      </c>
      <c r="D62" s="2">
        <f>IF(C62="None",0,D69+E48)</f>
        <v>0</v>
      </c>
      <c r="E62" s="2">
        <f>E77</f>
        <v>19.166666666666668</v>
      </c>
      <c r="F62" s="2">
        <f t="shared" ref="F62:F68" si="38">G13</f>
        <v>19.166666666666668</v>
      </c>
      <c r="G62" s="2">
        <f t="shared" ref="G62:G68" si="39">G14</f>
        <v>39.166666666666664</v>
      </c>
      <c r="H62" s="2">
        <f>F62-G62</f>
        <v>-19.999999999999996</v>
      </c>
      <c r="I62" s="2">
        <f>D62*H62</f>
        <v>0</v>
      </c>
      <c r="J62" s="2">
        <f>F77</f>
        <v>15</v>
      </c>
      <c r="K62" s="2">
        <f t="shared" ref="K62:K68" si="40">H13</f>
        <v>15</v>
      </c>
      <c r="L62" s="2">
        <f t="shared" ref="L62:L68" si="41">H14</f>
        <v>0</v>
      </c>
      <c r="M62" s="2">
        <f>K62-L62</f>
        <v>15</v>
      </c>
      <c r="N62" s="2">
        <f t="shared" ref="N62:N70" si="42">D62*M62</f>
        <v>0</v>
      </c>
      <c r="P62" s="2">
        <f>IF(C62="None",0,ABS(E62*(K62-L62)+F62*(L62-J62)+G62*(J62-K62))/2)</f>
        <v>0</v>
      </c>
      <c r="Q62" s="2">
        <f t="shared" ref="Q62:Q70" si="43">P62*2</f>
        <v>0</v>
      </c>
      <c r="R62" s="2">
        <f t="shared" ref="R62:R70" si="44">Q62*D62</f>
        <v>0</v>
      </c>
      <c r="S62" s="2">
        <f t="shared" ref="S62:S70" si="45">SQRT((F62-G62)^2+(K62-L62)^2)</f>
        <v>24.999999999999996</v>
      </c>
      <c r="T62" s="2">
        <f>$N$4</f>
        <v>0.04</v>
      </c>
      <c r="U62" s="2">
        <f t="shared" ref="U62:U70" si="46">S62/T62</f>
        <v>624.99999999999989</v>
      </c>
      <c r="V62" s="2">
        <f t="shared" ref="V62:V70" si="47">D62*U62</f>
        <v>0</v>
      </c>
      <c r="Y62" s="2">
        <f t="shared" ref="Y62:Y70" si="48">IF(C62="None",0,D62+IF(C62=1,$I$83,IF(C62=2,$I$84,IF(C62=12,$I$84-$I$83,"Error"))))</f>
        <v>66.32826861485249</v>
      </c>
      <c r="Z62" s="2">
        <f t="shared" ref="Z62:Z70" si="49">Y62*H62</f>
        <v>-1326.5653722970496</v>
      </c>
      <c r="AA62" s="2">
        <f t="shared" ref="AA62:AA70" si="50">Y62*M62</f>
        <v>994.92402922278734</v>
      </c>
    </row>
    <row r="63" spans="1:27" x14ac:dyDescent="0.3">
      <c r="A63" s="7" t="s">
        <v>87</v>
      </c>
      <c r="C63" s="2">
        <v>2</v>
      </c>
      <c r="D63" s="2">
        <f>IF(C63="None",0,E49)</f>
        <v>0</v>
      </c>
      <c r="E63" s="2">
        <f t="shared" ref="E63:E70" si="51">$E$62</f>
        <v>19.166666666666668</v>
      </c>
      <c r="F63" s="2">
        <f t="shared" si="38"/>
        <v>39.166666666666664</v>
      </c>
      <c r="G63" s="2">
        <f t="shared" si="39"/>
        <v>19.166666666666668</v>
      </c>
      <c r="H63" s="2">
        <f t="shared" ref="H63:H70" si="52">F63-G63</f>
        <v>19.999999999999996</v>
      </c>
      <c r="I63" s="2">
        <f t="shared" ref="I63:I70" si="53">D63*H63</f>
        <v>0</v>
      </c>
      <c r="J63" s="2">
        <f>$J$62</f>
        <v>15</v>
      </c>
      <c r="K63" s="2">
        <f t="shared" si="40"/>
        <v>0</v>
      </c>
      <c r="L63" s="2">
        <f t="shared" si="41"/>
        <v>-15</v>
      </c>
      <c r="M63" s="2">
        <f t="shared" ref="M63:M69" si="54">K63-L63</f>
        <v>15</v>
      </c>
      <c r="N63" s="2">
        <f t="shared" si="42"/>
        <v>0</v>
      </c>
      <c r="P63" s="2">
        <f t="shared" ref="P63:P70" si="55">IF(C63="None",0,ABS(E63*(K63-L63)+F63*(L63-J63)+G63*(J63-K63))/2)</f>
        <v>300</v>
      </c>
      <c r="Q63" s="2">
        <f t="shared" si="43"/>
        <v>600</v>
      </c>
      <c r="R63" s="2">
        <f t="shared" si="44"/>
        <v>0</v>
      </c>
      <c r="S63" s="2">
        <f t="shared" si="45"/>
        <v>24.999999999999996</v>
      </c>
      <c r="T63" s="2">
        <f t="shared" ref="T63:T70" si="56">$N$4</f>
        <v>0.04</v>
      </c>
      <c r="U63" s="2">
        <f t="shared" si="46"/>
        <v>624.99999999999989</v>
      </c>
      <c r="V63" s="2">
        <f t="shared" si="47"/>
        <v>0</v>
      </c>
      <c r="Y63" s="2">
        <f t="shared" si="48"/>
        <v>66.32826861485249</v>
      </c>
      <c r="Z63" s="2">
        <f t="shared" si="49"/>
        <v>1326.5653722970496</v>
      </c>
      <c r="AA63" s="2">
        <f t="shared" si="50"/>
        <v>994.92402922278734</v>
      </c>
    </row>
    <row r="64" spans="1:27" x14ac:dyDescent="0.3">
      <c r="A64" s="7" t="s">
        <v>88</v>
      </c>
      <c r="C64" s="2">
        <v>1</v>
      </c>
      <c r="D64" s="2">
        <f t="shared" ref="D64:D68" si="57">IF(C64="None",0,D63+E50)</f>
        <v>-100</v>
      </c>
      <c r="E64" s="2">
        <f t="shared" si="51"/>
        <v>19.166666666666668</v>
      </c>
      <c r="F64" s="2">
        <f t="shared" si="38"/>
        <v>19.166666666666668</v>
      </c>
      <c r="G64" s="2">
        <f t="shared" si="39"/>
        <v>-5.833333333333333</v>
      </c>
      <c r="H64" s="2">
        <f t="shared" si="52"/>
        <v>25</v>
      </c>
      <c r="I64" s="2">
        <f t="shared" si="53"/>
        <v>-2500</v>
      </c>
      <c r="J64" s="2">
        <f t="shared" ref="J64:J70" si="58">$J$62</f>
        <v>15</v>
      </c>
      <c r="K64" s="2">
        <f t="shared" si="40"/>
        <v>-15</v>
      </c>
      <c r="L64" s="2">
        <f t="shared" si="41"/>
        <v>-15</v>
      </c>
      <c r="M64" s="2">
        <f t="shared" si="54"/>
        <v>0</v>
      </c>
      <c r="N64" s="2">
        <f t="shared" si="42"/>
        <v>0</v>
      </c>
      <c r="P64" s="2">
        <f t="shared" si="55"/>
        <v>375</v>
      </c>
      <c r="Q64" s="2">
        <f t="shared" si="43"/>
        <v>750</v>
      </c>
      <c r="R64" s="2">
        <f t="shared" si="44"/>
        <v>-75000</v>
      </c>
      <c r="S64" s="2">
        <f t="shared" si="45"/>
        <v>25</v>
      </c>
      <c r="T64" s="2">
        <f t="shared" si="56"/>
        <v>0.04</v>
      </c>
      <c r="U64" s="2">
        <f t="shared" si="46"/>
        <v>625</v>
      </c>
      <c r="V64" s="2">
        <f t="shared" si="47"/>
        <v>-62500</v>
      </c>
      <c r="Y64" s="2">
        <f t="shared" si="48"/>
        <v>65.21304207002683</v>
      </c>
      <c r="Z64" s="2">
        <f t="shared" si="49"/>
        <v>1630.3260517506708</v>
      </c>
      <c r="AA64" s="2">
        <f t="shared" si="50"/>
        <v>0</v>
      </c>
    </row>
    <row r="65" spans="1:27" x14ac:dyDescent="0.3">
      <c r="A65" s="7" t="s">
        <v>89</v>
      </c>
      <c r="C65" s="2">
        <v>1</v>
      </c>
      <c r="D65" s="2">
        <f t="shared" si="57"/>
        <v>-200</v>
      </c>
      <c r="E65" s="2">
        <f t="shared" si="51"/>
        <v>19.166666666666668</v>
      </c>
      <c r="F65" s="2">
        <f t="shared" si="38"/>
        <v>-5.833333333333333</v>
      </c>
      <c r="G65" s="2">
        <f t="shared" si="39"/>
        <v>-65.833333333333329</v>
      </c>
      <c r="H65" s="2">
        <f t="shared" si="52"/>
        <v>59.999999999999993</v>
      </c>
      <c r="I65" s="2">
        <f t="shared" si="53"/>
        <v>-11999.999999999998</v>
      </c>
      <c r="J65" s="2">
        <f t="shared" si="58"/>
        <v>15</v>
      </c>
      <c r="K65" s="2">
        <f t="shared" si="40"/>
        <v>-15</v>
      </c>
      <c r="L65" s="2">
        <f t="shared" si="41"/>
        <v>0</v>
      </c>
      <c r="M65" s="2">
        <f t="shared" si="54"/>
        <v>-15</v>
      </c>
      <c r="N65" s="2">
        <f t="shared" si="42"/>
        <v>3000</v>
      </c>
      <c r="P65" s="2">
        <f t="shared" si="55"/>
        <v>1087.5</v>
      </c>
      <c r="Q65" s="2">
        <f t="shared" si="43"/>
        <v>2175</v>
      </c>
      <c r="R65" s="2">
        <f t="shared" si="44"/>
        <v>-435000</v>
      </c>
      <c r="S65" s="2">
        <f t="shared" si="45"/>
        <v>61.846584384264901</v>
      </c>
      <c r="T65" s="2">
        <f t="shared" si="56"/>
        <v>0.04</v>
      </c>
      <c r="U65" s="2">
        <f t="shared" si="46"/>
        <v>1546.1646096066224</v>
      </c>
      <c r="V65" s="2">
        <f t="shared" si="47"/>
        <v>-309232.92192132451</v>
      </c>
      <c r="Y65" s="2">
        <f t="shared" si="48"/>
        <v>-34.78695792997317</v>
      </c>
      <c r="Z65" s="2">
        <f t="shared" si="49"/>
        <v>-2087.2174757983898</v>
      </c>
      <c r="AA65" s="2">
        <f t="shared" si="50"/>
        <v>521.80436894959757</v>
      </c>
    </row>
    <row r="66" spans="1:27" x14ac:dyDescent="0.3">
      <c r="A66" s="7" t="s">
        <v>90</v>
      </c>
      <c r="C66" s="2">
        <v>1</v>
      </c>
      <c r="D66" s="2">
        <f t="shared" si="57"/>
        <v>-200</v>
      </c>
      <c r="E66" s="2">
        <f t="shared" si="51"/>
        <v>19.166666666666668</v>
      </c>
      <c r="F66" s="2">
        <f t="shared" si="38"/>
        <v>-65.833333333333329</v>
      </c>
      <c r="G66" s="2">
        <f t="shared" si="39"/>
        <v>-5.833333333333333</v>
      </c>
      <c r="H66" s="2">
        <f t="shared" si="52"/>
        <v>-59.999999999999993</v>
      </c>
      <c r="I66" s="2">
        <f t="shared" si="53"/>
        <v>11999.999999999998</v>
      </c>
      <c r="J66" s="2">
        <f t="shared" si="58"/>
        <v>15</v>
      </c>
      <c r="K66" s="2">
        <f t="shared" si="40"/>
        <v>0</v>
      </c>
      <c r="L66" s="2">
        <f t="shared" si="41"/>
        <v>15</v>
      </c>
      <c r="M66" s="2">
        <f t="shared" si="54"/>
        <v>-15</v>
      </c>
      <c r="N66" s="2">
        <f t="shared" si="42"/>
        <v>3000</v>
      </c>
      <c r="P66" s="2">
        <f t="shared" si="55"/>
        <v>187.5</v>
      </c>
      <c r="Q66" s="2">
        <f t="shared" si="43"/>
        <v>375</v>
      </c>
      <c r="R66" s="2">
        <f t="shared" si="44"/>
        <v>-75000</v>
      </c>
      <c r="S66" s="2">
        <f t="shared" si="45"/>
        <v>61.846584384264901</v>
      </c>
      <c r="T66" s="2">
        <f t="shared" si="56"/>
        <v>0.04</v>
      </c>
      <c r="U66" s="2">
        <f t="shared" si="46"/>
        <v>1546.1646096066224</v>
      </c>
      <c r="V66" s="2">
        <f t="shared" si="47"/>
        <v>-309232.92192132451</v>
      </c>
      <c r="Y66" s="2">
        <f t="shared" si="48"/>
        <v>-34.78695792997317</v>
      </c>
      <c r="Z66" s="2">
        <f t="shared" si="49"/>
        <v>2087.2174757983898</v>
      </c>
      <c r="AA66" s="2">
        <f t="shared" si="50"/>
        <v>521.80436894959757</v>
      </c>
    </row>
    <row r="67" spans="1:27" x14ac:dyDescent="0.3">
      <c r="A67" s="7" t="s">
        <v>91</v>
      </c>
      <c r="C67" s="2" t="s">
        <v>136</v>
      </c>
      <c r="D67" s="2">
        <f t="shared" si="57"/>
        <v>0</v>
      </c>
      <c r="E67" s="2">
        <f t="shared" si="51"/>
        <v>19.166666666666668</v>
      </c>
      <c r="F67" s="2">
        <f t="shared" si="38"/>
        <v>-5.833333333333333</v>
      </c>
      <c r="G67" s="2">
        <f t="shared" si="39"/>
        <v>-5.833333333333333</v>
      </c>
      <c r="H67" s="2">
        <f t="shared" si="52"/>
        <v>0</v>
      </c>
      <c r="I67" s="2">
        <f t="shared" si="53"/>
        <v>0</v>
      </c>
      <c r="J67" s="2">
        <f t="shared" si="58"/>
        <v>15</v>
      </c>
      <c r="K67" s="2">
        <f t="shared" si="40"/>
        <v>15</v>
      </c>
      <c r="L67" s="2">
        <f t="shared" si="41"/>
        <v>0</v>
      </c>
      <c r="M67" s="2">
        <f t="shared" si="54"/>
        <v>15</v>
      </c>
      <c r="N67" s="2">
        <f t="shared" si="42"/>
        <v>0</v>
      </c>
      <c r="P67" s="2">
        <f t="shared" si="55"/>
        <v>0</v>
      </c>
      <c r="Q67" s="2">
        <f t="shared" si="43"/>
        <v>0</v>
      </c>
      <c r="R67" s="2">
        <f t="shared" si="44"/>
        <v>0</v>
      </c>
      <c r="S67" s="2">
        <f t="shared" si="45"/>
        <v>15</v>
      </c>
      <c r="T67" s="2">
        <f t="shared" si="56"/>
        <v>0.04</v>
      </c>
      <c r="U67" s="2">
        <f t="shared" si="46"/>
        <v>375</v>
      </c>
      <c r="V67" s="2">
        <f t="shared" si="47"/>
        <v>0</v>
      </c>
      <c r="Y67" s="2">
        <f t="shared" si="48"/>
        <v>0</v>
      </c>
      <c r="Z67" s="2">
        <f t="shared" si="49"/>
        <v>0</v>
      </c>
      <c r="AA67" s="2">
        <f t="shared" si="50"/>
        <v>0</v>
      </c>
    </row>
    <row r="68" spans="1:27" x14ac:dyDescent="0.3">
      <c r="A68" s="7" t="s">
        <v>92</v>
      </c>
      <c r="C68" s="2" t="s">
        <v>136</v>
      </c>
      <c r="D68" s="2">
        <f t="shared" si="57"/>
        <v>0</v>
      </c>
      <c r="E68" s="2">
        <f t="shared" si="51"/>
        <v>19.166666666666668</v>
      </c>
      <c r="F68" s="2">
        <f t="shared" si="38"/>
        <v>-5.833333333333333</v>
      </c>
      <c r="G68" s="2">
        <f t="shared" si="39"/>
        <v>-5.833333333333333</v>
      </c>
      <c r="H68" s="2">
        <f t="shared" si="52"/>
        <v>0</v>
      </c>
      <c r="I68" s="2">
        <f t="shared" si="53"/>
        <v>0</v>
      </c>
      <c r="J68" s="2">
        <f t="shared" si="58"/>
        <v>15</v>
      </c>
      <c r="K68" s="2">
        <f t="shared" si="40"/>
        <v>0</v>
      </c>
      <c r="L68" s="2">
        <f t="shared" si="41"/>
        <v>0</v>
      </c>
      <c r="M68" s="2">
        <f t="shared" si="54"/>
        <v>0</v>
      </c>
      <c r="N68" s="2">
        <f t="shared" si="42"/>
        <v>0</v>
      </c>
      <c r="P68" s="2">
        <f t="shared" si="55"/>
        <v>0</v>
      </c>
      <c r="Q68" s="2">
        <f t="shared" si="43"/>
        <v>0</v>
      </c>
      <c r="R68" s="2">
        <f t="shared" si="44"/>
        <v>0</v>
      </c>
      <c r="S68" s="2">
        <f t="shared" si="45"/>
        <v>0</v>
      </c>
      <c r="T68" s="2">
        <f t="shared" si="56"/>
        <v>0.04</v>
      </c>
      <c r="U68" s="2">
        <f t="shared" si="46"/>
        <v>0</v>
      </c>
      <c r="V68" s="2">
        <f t="shared" si="47"/>
        <v>0</v>
      </c>
      <c r="Y68" s="2">
        <f t="shared" si="48"/>
        <v>0</v>
      </c>
      <c r="Z68" s="2">
        <f t="shared" si="49"/>
        <v>0</v>
      </c>
      <c r="AA68" s="2">
        <f t="shared" si="50"/>
        <v>0</v>
      </c>
    </row>
    <row r="69" spans="1:27" x14ac:dyDescent="0.3">
      <c r="A69" s="7" t="s">
        <v>137</v>
      </c>
      <c r="C69" s="2">
        <v>1</v>
      </c>
      <c r="D69" s="2">
        <f>IF(C69="None",0,D66+E53)</f>
        <v>-100</v>
      </c>
      <c r="E69" s="2">
        <f t="shared" si="51"/>
        <v>19.166666666666668</v>
      </c>
      <c r="F69" s="2">
        <f>G18</f>
        <v>-5.833333333333333</v>
      </c>
      <c r="G69" s="2">
        <f>G13</f>
        <v>19.166666666666668</v>
      </c>
      <c r="H69" s="2">
        <f t="shared" si="52"/>
        <v>-25</v>
      </c>
      <c r="I69" s="2">
        <f t="shared" si="53"/>
        <v>2500</v>
      </c>
      <c r="J69" s="2">
        <f t="shared" si="58"/>
        <v>15</v>
      </c>
      <c r="K69" s="2">
        <f>H18</f>
        <v>15</v>
      </c>
      <c r="L69" s="2">
        <f>H13</f>
        <v>15</v>
      </c>
      <c r="M69" s="2">
        <f t="shared" si="54"/>
        <v>0</v>
      </c>
      <c r="N69" s="2">
        <f t="shared" si="42"/>
        <v>0</v>
      </c>
      <c r="P69" s="2">
        <f t="shared" si="55"/>
        <v>0</v>
      </c>
      <c r="Q69" s="2">
        <f t="shared" si="43"/>
        <v>0</v>
      </c>
      <c r="R69" s="2">
        <f t="shared" si="44"/>
        <v>0</v>
      </c>
      <c r="S69" s="2">
        <f t="shared" si="45"/>
        <v>25</v>
      </c>
      <c r="T69" s="2">
        <f t="shared" si="56"/>
        <v>0.04</v>
      </c>
      <c r="U69" s="2">
        <f t="shared" si="46"/>
        <v>625</v>
      </c>
      <c r="V69" s="2">
        <f t="shared" si="47"/>
        <v>-62500</v>
      </c>
      <c r="Y69" s="2">
        <f t="shared" si="48"/>
        <v>65.21304207002683</v>
      </c>
      <c r="Z69" s="2">
        <f t="shared" si="49"/>
        <v>-1630.3260517506708</v>
      </c>
      <c r="AA69" s="2">
        <f t="shared" si="50"/>
        <v>0</v>
      </c>
    </row>
    <row r="70" spans="1:27" x14ac:dyDescent="0.3">
      <c r="A70" s="7" t="s">
        <v>135</v>
      </c>
      <c r="B70" s="2" t="s">
        <v>97</v>
      </c>
      <c r="C70" s="2">
        <v>12</v>
      </c>
      <c r="D70" s="2">
        <f>IF(C70="None",0,D64-D63-E50)</f>
        <v>0</v>
      </c>
      <c r="E70" s="2">
        <f t="shared" si="51"/>
        <v>19.166666666666668</v>
      </c>
      <c r="F70" s="2">
        <f>G13</f>
        <v>19.166666666666668</v>
      </c>
      <c r="G70" s="2">
        <f>G15</f>
        <v>19.166666666666668</v>
      </c>
      <c r="H70" s="2">
        <f t="shared" si="52"/>
        <v>0</v>
      </c>
      <c r="I70" s="2">
        <f t="shared" si="53"/>
        <v>0</v>
      </c>
      <c r="J70" s="2">
        <f t="shared" si="58"/>
        <v>15</v>
      </c>
      <c r="K70" s="2">
        <f>H13</f>
        <v>15</v>
      </c>
      <c r="L70" s="2">
        <f>H15</f>
        <v>-15</v>
      </c>
      <c r="M70" s="2">
        <f>K70-L70</f>
        <v>30</v>
      </c>
      <c r="N70" s="2">
        <f t="shared" si="42"/>
        <v>0</v>
      </c>
      <c r="P70" s="2">
        <f t="shared" si="55"/>
        <v>0</v>
      </c>
      <c r="Q70" s="2">
        <f t="shared" si="43"/>
        <v>0</v>
      </c>
      <c r="R70" s="2">
        <f t="shared" si="44"/>
        <v>0</v>
      </c>
      <c r="S70" s="2">
        <f t="shared" si="45"/>
        <v>30</v>
      </c>
      <c r="T70" s="2">
        <f t="shared" si="56"/>
        <v>0.04</v>
      </c>
      <c r="U70" s="2">
        <f t="shared" si="46"/>
        <v>750</v>
      </c>
      <c r="V70" s="2">
        <f t="shared" si="47"/>
        <v>0</v>
      </c>
      <c r="Y70" s="2">
        <f>IF(C70="None",0,D70+IF(C70=1,$I$83,IF(C70=2,$I$84,IF(C70=12,-($I$84-$I$83),"Error"))))</f>
        <v>98.88477345517434</v>
      </c>
      <c r="Z70" s="2">
        <f t="shared" si="49"/>
        <v>0</v>
      </c>
      <c r="AA70" s="2">
        <f t="shared" si="50"/>
        <v>2966.5432036552302</v>
      </c>
    </row>
    <row r="71" spans="1:27" x14ac:dyDescent="0.3">
      <c r="I71" s="2">
        <f>ROUNDDOWN(SUM(I62:I70),1)</f>
        <v>0</v>
      </c>
      <c r="N71" s="2">
        <f>ROUNDDOWN(SUM(N62:N70),1)</f>
        <v>6000</v>
      </c>
      <c r="P71" s="1" t="s">
        <v>15</v>
      </c>
      <c r="Q71" s="1" t="s">
        <v>41</v>
      </c>
      <c r="R71" s="1" t="s">
        <v>40</v>
      </c>
      <c r="V71" s="1" t="s">
        <v>52</v>
      </c>
      <c r="W71" s="1" t="s">
        <v>53</v>
      </c>
      <c r="X71" s="1" t="s">
        <v>54</v>
      </c>
      <c r="Z71" s="1" t="s">
        <v>62</v>
      </c>
      <c r="AA71" s="1" t="s">
        <v>64</v>
      </c>
    </row>
    <row r="72" spans="1:27" x14ac:dyDescent="0.3">
      <c r="I72" s="2" t="str">
        <f>IF(I71+Q3=0,"Balance",IF(I71-Q3=0,"Equivalence","Error"))</f>
        <v>Balance</v>
      </c>
      <c r="N72" s="2" t="str">
        <f>IF(N71+K3=0,"Balance",IF(N71-K3=0,"Equivalence","Error"))</f>
        <v>Balance</v>
      </c>
      <c r="O72" s="1" t="s">
        <v>80</v>
      </c>
      <c r="P72" s="12">
        <f>SUM(P64:P66)+SUM(P69:P70)</f>
        <v>1650</v>
      </c>
      <c r="Q72" s="12">
        <f t="shared" ref="Q72:V72" si="59">SUM(Q64:Q66)+SUM(Q69:Q70)</f>
        <v>3300</v>
      </c>
      <c r="R72" s="12">
        <f t="shared" si="59"/>
        <v>-585000</v>
      </c>
      <c r="V72" s="12">
        <f t="shared" si="59"/>
        <v>-743465.84384264902</v>
      </c>
      <c r="W72" s="12">
        <f>SUM(U64:U66)+SUM(U69:U70)</f>
        <v>5092.3292192132449</v>
      </c>
      <c r="X72" s="12">
        <f>-U70</f>
        <v>-750</v>
      </c>
      <c r="Z72" s="2">
        <f>ROUNDDOWN(SUM(Z62:Z70),1)</f>
        <v>0</v>
      </c>
      <c r="AA72" s="2">
        <f>ROUNDDOWN(SUM(AA62:AA70),1)</f>
        <v>6000</v>
      </c>
    </row>
    <row r="73" spans="1:27" x14ac:dyDescent="0.3">
      <c r="O73" s="1" t="s">
        <v>81</v>
      </c>
      <c r="P73" s="12">
        <f>SUM(P62:P63)+P70</f>
        <v>300</v>
      </c>
      <c r="Q73" s="12">
        <f>SUM(Q62:Q63)+Q70</f>
        <v>600</v>
      </c>
      <c r="R73" s="12">
        <f t="shared" ref="R73:V73" si="60">SUM(R62:R63)+R70</f>
        <v>0</v>
      </c>
      <c r="V73" s="12">
        <f t="shared" si="60"/>
        <v>0</v>
      </c>
      <c r="W73" s="12">
        <f>-U70</f>
        <v>-750</v>
      </c>
      <c r="X73" s="12">
        <f>SUM(U62:U63)+U70</f>
        <v>1999.9999999999998</v>
      </c>
      <c r="Z73" s="2" t="str">
        <f>IF(Z72+Q3=0,"Balance",IF(AA72-K3=0,"Equivalence","Error"))</f>
        <v>Balance</v>
      </c>
      <c r="AA73" s="2" t="str">
        <f>IF(AA72+K3=0,"Balance",IF(AA72-K3=0,"Equivalence","Error"))</f>
        <v>Balance</v>
      </c>
    </row>
    <row r="74" spans="1:27" x14ac:dyDescent="0.3">
      <c r="A74" s="4" t="s">
        <v>93</v>
      </c>
      <c r="C74" s="4"/>
      <c r="D74" s="4"/>
      <c r="L74" s="8"/>
      <c r="M74" s="8"/>
      <c r="N74" s="8"/>
      <c r="O74" s="8"/>
      <c r="P74" s="8"/>
      <c r="Q74" s="8"/>
      <c r="R74" s="8"/>
    </row>
    <row r="75" spans="1:27" x14ac:dyDescent="0.3">
      <c r="A75" s="1" t="s">
        <v>53</v>
      </c>
      <c r="B75" s="1" t="s">
        <v>54</v>
      </c>
      <c r="C75" s="1" t="s">
        <v>55</v>
      </c>
      <c r="E75" s="14" t="s">
        <v>119</v>
      </c>
      <c r="K75" s="8"/>
      <c r="L75" s="8"/>
      <c r="M75" s="8"/>
      <c r="N75" s="8"/>
      <c r="O75" s="8"/>
      <c r="P75" s="8"/>
      <c r="Q75" s="8"/>
    </row>
    <row r="76" spans="1:27" x14ac:dyDescent="0.3">
      <c r="A76" s="2">
        <f>1/$Q$72*(W72)-1/$Q$73*(W73)</f>
        <v>2.7931300664282563</v>
      </c>
      <c r="B76" s="2">
        <f>1/$Q$72*(X72)-1/$Q$73*(X73)</f>
        <v>-3.5606060606060601</v>
      </c>
      <c r="C76" s="2">
        <f>1/$Q$73*(V73)-1/$Q$72*(V72)</f>
        <v>225.29267995231788</v>
      </c>
      <c r="E76" s="1" t="s">
        <v>10</v>
      </c>
      <c r="F76" s="1" t="s">
        <v>11</v>
      </c>
      <c r="J76" s="8"/>
      <c r="K76" s="8"/>
      <c r="L76" s="8"/>
      <c r="M76" s="8"/>
      <c r="N76" s="8"/>
      <c r="O76" s="8"/>
      <c r="P76" s="8"/>
      <c r="Q76" s="8"/>
    </row>
    <row r="77" spans="1:27" x14ac:dyDescent="0.3">
      <c r="A77" s="9" t="s">
        <v>94</v>
      </c>
      <c r="B77" s="9"/>
      <c r="C77" s="9"/>
      <c r="E77" s="2">
        <f>G13</f>
        <v>19.166666666666668</v>
      </c>
      <c r="F77" s="2">
        <f>H13</f>
        <v>15</v>
      </c>
      <c r="J77" s="8"/>
      <c r="K77" s="8"/>
      <c r="L77" s="8"/>
      <c r="M77" s="8"/>
      <c r="N77" s="8"/>
      <c r="O77" s="8"/>
      <c r="P77" s="8"/>
      <c r="Q77" s="8"/>
    </row>
    <row r="78" spans="1:27" x14ac:dyDescent="0.3">
      <c r="A78" s="1" t="s">
        <v>53</v>
      </c>
      <c r="B78" s="1" t="s">
        <v>54</v>
      </c>
      <c r="C78" s="1" t="s">
        <v>55</v>
      </c>
      <c r="E78" s="1" t="s">
        <v>42</v>
      </c>
      <c r="F78" s="1" t="s">
        <v>120</v>
      </c>
      <c r="G78" s="1" t="s">
        <v>131</v>
      </c>
      <c r="H78" s="4" t="s">
        <v>73</v>
      </c>
      <c r="J78" s="8"/>
      <c r="K78" s="8"/>
      <c r="L78" s="8"/>
      <c r="M78" s="8"/>
      <c r="N78" s="8"/>
      <c r="O78" s="8"/>
      <c r="P78" s="8"/>
      <c r="Q78" s="8"/>
    </row>
    <row r="79" spans="1:27" x14ac:dyDescent="0.3">
      <c r="A79" s="2">
        <f>Q72</f>
        <v>3300</v>
      </c>
      <c r="B79" s="2">
        <f>Q73</f>
        <v>600</v>
      </c>
      <c r="C79" s="2">
        <f>-(E79+F79+G79+H79)</f>
        <v>585000</v>
      </c>
      <c r="E79" s="2">
        <f>K3*(K4-E77)</f>
        <v>0</v>
      </c>
      <c r="F79" s="2">
        <f>-Q3*(Q4-F77)</f>
        <v>0</v>
      </c>
      <c r="G79" s="2">
        <f>E5+H5</f>
        <v>0</v>
      </c>
      <c r="H79" s="2">
        <f>SUM(R72:R73)</f>
        <v>-585000</v>
      </c>
      <c r="J79" s="8"/>
      <c r="K79" s="8"/>
      <c r="L79" s="8"/>
      <c r="M79" s="8"/>
      <c r="N79" s="8"/>
      <c r="O79" s="8"/>
      <c r="P79" s="8"/>
      <c r="Q79" s="8"/>
    </row>
    <row r="80" spans="1:27" x14ac:dyDescent="0.3">
      <c r="A80" s="4" t="s">
        <v>68</v>
      </c>
      <c r="B80" s="4"/>
      <c r="C80" s="4"/>
      <c r="D80" s="1"/>
      <c r="J80" s="8"/>
      <c r="K80" s="8"/>
      <c r="L80" s="8"/>
      <c r="M80" s="8"/>
      <c r="N80" s="8"/>
      <c r="O80" s="8"/>
      <c r="P80" s="8"/>
      <c r="Q80" s="8"/>
    </row>
    <row r="81" spans="1:13" x14ac:dyDescent="0.3">
      <c r="A81" s="1" t="s">
        <v>56</v>
      </c>
    </row>
    <row r="82" spans="1:13" x14ac:dyDescent="0.3">
      <c r="A82" s="1" t="s">
        <v>36</v>
      </c>
      <c r="D82" s="1" t="s">
        <v>57</v>
      </c>
      <c r="G82" s="1" t="s">
        <v>58</v>
      </c>
      <c r="I82" s="1" t="s">
        <v>59</v>
      </c>
    </row>
    <row r="83" spans="1:13" x14ac:dyDescent="0.3">
      <c r="A83" s="2">
        <f>A76</f>
        <v>2.7931300664282563</v>
      </c>
      <c r="B83" s="2">
        <f>B76</f>
        <v>-3.5606060606060601</v>
      </c>
      <c r="D83" s="2">
        <f t="array" ref="D83:E84">MINVERSE(A83:B84)</f>
        <v>4.4689814566972838E-2</v>
      </c>
      <c r="E83" s="7">
        <v>2.6520470765754081E-4</v>
      </c>
      <c r="G83" s="2">
        <f>C76</f>
        <v>225.29267995231788</v>
      </c>
      <c r="I83" s="2">
        <f t="array" ref="I83:I84">MMULT(D83:E84,G83:G84)</f>
        <v>165.21304207002683</v>
      </c>
    </row>
    <row r="84" spans="1:13" x14ac:dyDescent="0.3">
      <c r="A84" s="2">
        <f>A79</f>
        <v>3300</v>
      </c>
      <c r="B84" s="2">
        <f>B79</f>
        <v>600</v>
      </c>
      <c r="D84" s="2">
        <v>-0.24579398011835063</v>
      </c>
      <c r="E84" s="2">
        <v>2.0804077455019221E-4</v>
      </c>
      <c r="G84" s="2">
        <f>C79</f>
        <v>585000</v>
      </c>
      <c r="I84" s="2">
        <v>66.32826861485249</v>
      </c>
    </row>
    <row r="85" spans="1:13" x14ac:dyDescent="0.3">
      <c r="K85" s="1"/>
      <c r="L85" s="1"/>
      <c r="M85" s="1"/>
    </row>
  </sheetData>
  <mergeCells count="3">
    <mergeCell ref="A1:V1"/>
    <mergeCell ref="G6:L6"/>
    <mergeCell ref="E6:F6"/>
  </mergeCells>
  <phoneticPr fontId="1" type="noConversion"/>
  <conditionalFormatting sqref="I71">
    <cfRule type="cellIs" dxfId="10" priority="28" operator="equal">
      <formula>-$Q$3</formula>
    </cfRule>
  </conditionalFormatting>
  <conditionalFormatting sqref="N71">
    <cfRule type="cellIs" dxfId="9" priority="22" operator="equal">
      <formula>-$K$3</formula>
    </cfRule>
  </conditionalFormatting>
  <conditionalFormatting sqref="AA72">
    <cfRule type="cellIs" dxfId="8" priority="21" operator="equal">
      <formula>-$K$3</formula>
    </cfRule>
  </conditionalFormatting>
  <conditionalFormatting sqref="Z72">
    <cfRule type="cellIs" dxfId="7" priority="20" operator="equal">
      <formula>-$Q$3</formula>
    </cfRule>
  </conditionalFormatting>
  <conditionalFormatting sqref="D62:D70">
    <cfRule type="cellIs" dxfId="6" priority="1" operator="equal">
      <formula>IF($B62="Cut",0,na)</formula>
    </cfRule>
  </conditionalFormatting>
  <conditionalFormatting sqref="D8">
    <cfRule type="containsText" dxfId="5" priority="4" operator="containsText" text="Yes">
      <formula>NOT(ISERROR(SEARCH("Yes",D8)))</formula>
    </cfRule>
    <cfRule type="containsText" dxfId="4" priority="5" operator="containsText" text="No">
      <formula>NOT(ISERROR(SEARCH("No",D8)))</formula>
    </cfRule>
  </conditionalFormatting>
  <conditionalFormatting sqref="Y62:AA70 A62:N70 P62:V70">
    <cfRule type="expression" dxfId="3" priority="2">
      <formula>$C62=12</formula>
    </cfRule>
    <cfRule type="expression" dxfId="2" priority="3">
      <formula>$C62=2</formula>
    </cfRule>
    <cfRule type="expression" dxfId="1" priority="6">
      <formula>$C62=1</formula>
    </cfRule>
  </conditionalFormatting>
  <conditionalFormatting sqref="M22 M38:M39">
    <cfRule type="cellIs" dxfId="0" priority="29" operator="equal">
      <formula>$T$3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Symmetrical_TwoCell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 Tareq</dc:creator>
  <cp:lastModifiedBy>Roaa Tareq</cp:lastModifiedBy>
  <dcterms:created xsi:type="dcterms:W3CDTF">2015-06-05T18:17:20Z</dcterms:created>
  <dcterms:modified xsi:type="dcterms:W3CDTF">2023-01-16T11:59:34Z</dcterms:modified>
</cp:coreProperties>
</file>