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Backup\Aerospace\AER4210—Design of Aircraft Structures\Exam(OpenBook)\Finalized\"/>
    </mc:Choice>
  </mc:AlternateContent>
  <xr:revisionPtr revIDLastSave="0" documentId="13_ncr:1_{8DC44BD7-8B52-4DA6-8C74-66AFF659ABB0}" xr6:coauthVersionLast="47" xr6:coauthVersionMax="47" xr10:uidLastSave="{00000000-0000-0000-0000-000000000000}"/>
  <bookViews>
    <workbookView xWindow="1032" yWindow="1896" windowWidth="11820" windowHeight="8964" xr2:uid="{00000000-000D-0000-FFFF-FFFF00000000}"/>
  </bookViews>
  <sheets>
    <sheet name="Symmetrical_TwoCe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73" i="1" l="1"/>
  <c r="T74" i="1"/>
  <c r="T76" i="1"/>
  <c r="P73" i="1"/>
  <c r="P74" i="1"/>
  <c r="P76" i="1"/>
  <c r="R36" i="1" l="1"/>
  <c r="R37" i="1"/>
  <c r="O17" i="1"/>
  <c r="O16" i="1"/>
  <c r="C63" i="1" l="1"/>
  <c r="S32" i="1"/>
  <c r="T32" i="1"/>
  <c r="U32" i="1"/>
  <c r="V32" i="1"/>
  <c r="S17" i="1"/>
  <c r="S34" i="1" s="1"/>
  <c r="T17" i="1"/>
  <c r="T34" i="1" s="1"/>
  <c r="U17" i="1"/>
  <c r="U34" i="1" s="1"/>
  <c r="V17" i="1"/>
  <c r="V34" i="1" s="1"/>
  <c r="S18" i="1"/>
  <c r="T18" i="1"/>
  <c r="U18" i="1"/>
  <c r="V18" i="1"/>
  <c r="S19" i="1"/>
  <c r="T19" i="1"/>
  <c r="U19" i="1"/>
  <c r="U36" i="1" s="1"/>
  <c r="V19" i="1"/>
  <c r="V36" i="1" s="1"/>
  <c r="S20" i="1"/>
  <c r="T20" i="1"/>
  <c r="U20" i="1"/>
  <c r="V20" i="1"/>
  <c r="T13" i="1"/>
  <c r="U13" i="1"/>
  <c r="V13" i="1"/>
  <c r="S13" i="1"/>
  <c r="Q16" i="1"/>
  <c r="Q34" i="1"/>
  <c r="Q19" i="1"/>
  <c r="Q36" i="1" s="1"/>
  <c r="Q20" i="1"/>
  <c r="Q30" i="1"/>
  <c r="Q14" i="1"/>
  <c r="Q31" i="1" s="1"/>
  <c r="Q15" i="1"/>
  <c r="Q32" i="1" s="1"/>
  <c r="R14" i="1"/>
  <c r="R31" i="1" s="1"/>
  <c r="T35" i="1"/>
  <c r="U37" i="1"/>
  <c r="V37" i="1"/>
  <c r="S35" i="1"/>
  <c r="S37" i="1"/>
  <c r="S30" i="1"/>
  <c r="T30" i="1"/>
  <c r="V30" i="1"/>
  <c r="Q33" i="1"/>
  <c r="Q35" i="1"/>
  <c r="H3" i="1"/>
  <c r="P30" i="1"/>
  <c r="P31" i="1"/>
  <c r="P32" i="1"/>
  <c r="P33" i="1"/>
  <c r="P34" i="1"/>
  <c r="P35" i="1"/>
  <c r="P36" i="1"/>
  <c r="P37" i="1"/>
  <c r="R16" i="1"/>
  <c r="R33" i="1" s="1"/>
  <c r="U31" i="1"/>
  <c r="V31" i="1"/>
  <c r="T33" i="1"/>
  <c r="U33" i="1"/>
  <c r="V33" i="1"/>
  <c r="U35" i="1"/>
  <c r="V35" i="1"/>
  <c r="T36" i="1"/>
  <c r="T37" i="1"/>
  <c r="S31" i="1"/>
  <c r="S33" i="1"/>
  <c r="S36" i="1"/>
  <c r="Q37" i="1"/>
  <c r="N31" i="1"/>
  <c r="N32" i="1"/>
  <c r="N33" i="1"/>
  <c r="N34" i="1"/>
  <c r="N35" i="1"/>
  <c r="N36" i="1"/>
  <c r="N37" i="1"/>
  <c r="N30" i="1"/>
  <c r="N14" i="1"/>
  <c r="N15" i="1"/>
  <c r="N16" i="1"/>
  <c r="N17" i="1"/>
  <c r="N18" i="1"/>
  <c r="N19" i="1"/>
  <c r="N20" i="1"/>
  <c r="N13" i="1"/>
  <c r="D37" i="1"/>
  <c r="C37" i="1"/>
  <c r="D36" i="1"/>
  <c r="C36" i="1"/>
  <c r="D35" i="1"/>
  <c r="C35" i="1"/>
  <c r="D34" i="1"/>
  <c r="C34" i="1"/>
  <c r="D33" i="1"/>
  <c r="D32" i="1"/>
  <c r="D31" i="1"/>
  <c r="D30" i="1"/>
  <c r="O37" i="1"/>
  <c r="O36" i="1"/>
  <c r="O18" i="1"/>
  <c r="B18" i="1" s="1"/>
  <c r="B35" i="1" s="1"/>
  <c r="O34" i="1"/>
  <c r="O33" i="1"/>
  <c r="C33" i="1"/>
  <c r="O15" i="1"/>
  <c r="O32" i="1" s="1"/>
  <c r="C32" i="1"/>
  <c r="O14" i="1"/>
  <c r="O31" i="1" s="1"/>
  <c r="C31" i="1"/>
  <c r="O13" i="1"/>
  <c r="O30" i="1" s="1"/>
  <c r="C30" i="1"/>
  <c r="B8" i="1"/>
  <c r="R17" i="1" l="1"/>
  <c r="R34" i="1" s="1"/>
  <c r="T31" i="1"/>
  <c r="R15" i="1"/>
  <c r="R32" i="1" s="1"/>
  <c r="R13" i="1"/>
  <c r="B17" i="1"/>
  <c r="B34" i="1" s="1"/>
  <c r="E34" i="1" s="1"/>
  <c r="B19" i="1"/>
  <c r="F19" i="1" s="1"/>
  <c r="B15" i="1"/>
  <c r="B32" i="1" s="1"/>
  <c r="B13" i="1"/>
  <c r="B16" i="1"/>
  <c r="F16" i="1" s="1"/>
  <c r="B20" i="1"/>
  <c r="F20" i="1" s="1"/>
  <c r="B14" i="1"/>
  <c r="F14" i="1" s="1"/>
  <c r="O35" i="1"/>
  <c r="R18" i="1"/>
  <c r="R35" i="1" s="1"/>
  <c r="E35" i="1"/>
  <c r="F35" i="1"/>
  <c r="E18" i="1"/>
  <c r="F18" i="1"/>
  <c r="U30" i="1" l="1"/>
  <c r="R30" i="1"/>
  <c r="F13" i="1"/>
  <c r="F15" i="1"/>
  <c r="B36" i="1"/>
  <c r="E36" i="1" s="1"/>
  <c r="F34" i="1"/>
  <c r="F17" i="1"/>
  <c r="E17" i="1"/>
  <c r="E19" i="1"/>
  <c r="E15" i="1"/>
  <c r="E20" i="1"/>
  <c r="E16" i="1"/>
  <c r="B33" i="1"/>
  <c r="E33" i="1" s="1"/>
  <c r="B30" i="1"/>
  <c r="E30" i="1" s="1"/>
  <c r="E13" i="1"/>
  <c r="E14" i="1"/>
  <c r="B37" i="1"/>
  <c r="F37" i="1" s="1"/>
  <c r="B22" i="1"/>
  <c r="B31" i="1"/>
  <c r="F31" i="1" s="1"/>
  <c r="E32" i="1"/>
  <c r="F32" i="1"/>
  <c r="F22" i="1" l="1"/>
  <c r="B25" i="1" s="1"/>
  <c r="F36" i="1"/>
  <c r="F33" i="1"/>
  <c r="E22" i="1"/>
  <c r="B24" i="1" s="1"/>
  <c r="F30" i="1"/>
  <c r="E31" i="1"/>
  <c r="B39" i="1"/>
  <c r="E37" i="1"/>
  <c r="F39" i="1" l="1"/>
  <c r="B43" i="1" s="1"/>
  <c r="E39" i="1"/>
  <c r="B42" i="1" s="1"/>
  <c r="H37" i="1"/>
  <c r="J37" i="1" s="1"/>
  <c r="G18" i="1"/>
  <c r="G37" i="1"/>
  <c r="I37" i="1" s="1"/>
  <c r="H33" i="1"/>
  <c r="J33" i="1" s="1"/>
  <c r="H32" i="1"/>
  <c r="J32" i="1" s="1"/>
  <c r="H19" i="1"/>
  <c r="H34" i="1"/>
  <c r="J34" i="1" s="1"/>
  <c r="G36" i="1"/>
  <c r="I36" i="1" s="1"/>
  <c r="G35" i="1"/>
  <c r="I35" i="1" s="1"/>
  <c r="G32" i="1"/>
  <c r="I32" i="1" s="1"/>
  <c r="G17" i="1"/>
  <c r="F72" i="1" s="1"/>
  <c r="G31" i="1"/>
  <c r="I31" i="1" s="1"/>
  <c r="H36" i="1"/>
  <c r="J36" i="1" s="1"/>
  <c r="H16" i="1"/>
  <c r="J16" i="1" s="1"/>
  <c r="G16" i="1"/>
  <c r="G70" i="1" s="1"/>
  <c r="H17" i="1"/>
  <c r="K72" i="1" s="1"/>
  <c r="G34" i="1"/>
  <c r="I34" i="1" s="1"/>
  <c r="G13" i="1"/>
  <c r="G75" i="1" s="1"/>
  <c r="H18" i="1"/>
  <c r="H31" i="1"/>
  <c r="J31" i="1" s="1"/>
  <c r="G30" i="1"/>
  <c r="I30" i="1" s="1"/>
  <c r="H30" i="1"/>
  <c r="J30" i="1" s="1"/>
  <c r="G19" i="1"/>
  <c r="G14" i="1"/>
  <c r="G68" i="1" s="1"/>
  <c r="G33" i="1"/>
  <c r="I33" i="1" s="1"/>
  <c r="H14" i="1"/>
  <c r="K69" i="1" s="1"/>
  <c r="H13" i="1"/>
  <c r="H20" i="1"/>
  <c r="G15" i="1"/>
  <c r="I15" i="1" s="1"/>
  <c r="G20" i="1"/>
  <c r="H15" i="1"/>
  <c r="K70" i="1" s="1"/>
  <c r="H35" i="1"/>
  <c r="J35" i="1" s="1"/>
  <c r="K68" i="1" l="1"/>
  <c r="L75" i="1"/>
  <c r="I18" i="1"/>
  <c r="F75" i="1"/>
  <c r="H75" i="1" s="1"/>
  <c r="J18" i="1"/>
  <c r="K75" i="1"/>
  <c r="F68" i="1"/>
  <c r="H68" i="1" s="1"/>
  <c r="K4" i="1"/>
  <c r="G73" i="1"/>
  <c r="E68" i="1"/>
  <c r="E72" i="1" s="1"/>
  <c r="K76" i="1"/>
  <c r="B63" i="1"/>
  <c r="G72" i="1"/>
  <c r="H72" i="1" s="1"/>
  <c r="F73" i="1"/>
  <c r="K37" i="1"/>
  <c r="L73" i="1"/>
  <c r="K74" i="1"/>
  <c r="J19" i="1"/>
  <c r="F69" i="1"/>
  <c r="L71" i="1"/>
  <c r="G71" i="1"/>
  <c r="K32" i="1"/>
  <c r="I19" i="1"/>
  <c r="I14" i="1"/>
  <c r="J17" i="1"/>
  <c r="F70" i="1"/>
  <c r="H70" i="1" s="1"/>
  <c r="I13" i="1"/>
  <c r="K16" i="1"/>
  <c r="I17" i="1"/>
  <c r="K73" i="1"/>
  <c r="J39" i="1"/>
  <c r="K71" i="1"/>
  <c r="L70" i="1"/>
  <c r="K17" i="1"/>
  <c r="L76" i="1"/>
  <c r="F76" i="1"/>
  <c r="F74" i="1"/>
  <c r="K36" i="1"/>
  <c r="L72" i="1"/>
  <c r="M72" i="1" s="1"/>
  <c r="I16" i="1"/>
  <c r="K34" i="1"/>
  <c r="K19" i="1"/>
  <c r="G76" i="1"/>
  <c r="F71" i="1"/>
  <c r="I39" i="1"/>
  <c r="K18" i="1"/>
  <c r="G74" i="1"/>
  <c r="K14" i="1"/>
  <c r="J13" i="1"/>
  <c r="K30" i="1"/>
  <c r="K31" i="1"/>
  <c r="K33" i="1"/>
  <c r="J14" i="1"/>
  <c r="L68" i="1"/>
  <c r="K35" i="1"/>
  <c r="K15" i="1"/>
  <c r="J15" i="1"/>
  <c r="L69" i="1"/>
  <c r="M69" i="1" s="1"/>
  <c r="I20" i="1"/>
  <c r="G69" i="1"/>
  <c r="K13" i="1"/>
  <c r="J20" i="1"/>
  <c r="K20" i="1"/>
  <c r="L74" i="1"/>
  <c r="P75" i="1" l="1"/>
  <c r="M68" i="1"/>
  <c r="P70" i="1"/>
  <c r="P72" i="1"/>
  <c r="P69" i="1"/>
  <c r="P71" i="1"/>
  <c r="P68" i="1"/>
  <c r="A63" i="1"/>
  <c r="M76" i="1"/>
  <c r="H73" i="1"/>
  <c r="J68" i="1"/>
  <c r="J69" i="1" s="1"/>
  <c r="M74" i="1"/>
  <c r="H69" i="1"/>
  <c r="M71" i="1"/>
  <c r="H71" i="1"/>
  <c r="M73" i="1"/>
  <c r="H74" i="1"/>
  <c r="E73" i="1"/>
  <c r="E76" i="1"/>
  <c r="E75" i="1"/>
  <c r="I22" i="1"/>
  <c r="M70" i="1"/>
  <c r="K39" i="1"/>
  <c r="I42" i="1" s="1"/>
  <c r="E70" i="1"/>
  <c r="E74" i="1"/>
  <c r="E71" i="1"/>
  <c r="E69" i="1"/>
  <c r="H76" i="1"/>
  <c r="M75" i="1"/>
  <c r="K22" i="1"/>
  <c r="J22" i="1"/>
  <c r="Q69" i="1" l="1"/>
  <c r="J71" i="1"/>
  <c r="Q71" i="1" s="1"/>
  <c r="J70" i="1"/>
  <c r="Q70" i="1" s="1"/>
  <c r="J74" i="1"/>
  <c r="Q74" i="1" s="1"/>
  <c r="J75" i="1"/>
  <c r="Q75" i="1" s="1"/>
  <c r="J76" i="1"/>
  <c r="Q76" i="1" s="1"/>
  <c r="J72" i="1"/>
  <c r="Q72" i="1" s="1"/>
  <c r="J73" i="1"/>
  <c r="Q73" i="1" s="1"/>
  <c r="K42" i="1"/>
  <c r="I44" i="1" s="1"/>
  <c r="J42" i="1"/>
  <c r="J44" i="1" s="1"/>
  <c r="I24" i="1"/>
  <c r="K24" i="1"/>
  <c r="J24" i="1"/>
  <c r="Q68" i="1" l="1"/>
  <c r="Q78" i="1" s="1"/>
  <c r="P81" i="1" s="1"/>
  <c r="P78" i="1"/>
  <c r="L35" i="1"/>
  <c r="M35" i="1" s="1"/>
  <c r="C53" i="1" s="1"/>
  <c r="L33" i="1"/>
  <c r="M33" i="1" s="1"/>
  <c r="C51" i="1" s="1"/>
  <c r="L31" i="1"/>
  <c r="M31" i="1" s="1"/>
  <c r="C49" i="1" s="1"/>
  <c r="L34" i="1"/>
  <c r="M34" i="1" s="1"/>
  <c r="C52" i="1" s="1"/>
  <c r="L30" i="1"/>
  <c r="M30" i="1" s="1"/>
  <c r="L37" i="1"/>
  <c r="M37" i="1" s="1"/>
  <c r="C55" i="1" s="1"/>
  <c r="L36" i="1"/>
  <c r="M36" i="1" s="1"/>
  <c r="C54" i="1" s="1"/>
  <c r="L32" i="1"/>
  <c r="M32" i="1" s="1"/>
  <c r="C50" i="1" s="1"/>
  <c r="I26" i="1"/>
  <c r="J26" i="1"/>
  <c r="L13" i="1" l="1"/>
  <c r="C48" i="1"/>
  <c r="M39" i="1"/>
  <c r="L16" i="1"/>
  <c r="M16" i="1" s="1"/>
  <c r="B51" i="1" s="1"/>
  <c r="D51" i="1" s="1"/>
  <c r="L18" i="1"/>
  <c r="M18" i="1" s="1"/>
  <c r="B53" i="1" s="1"/>
  <c r="D53" i="1" s="1"/>
  <c r="L14" i="1"/>
  <c r="M14" i="1" s="1"/>
  <c r="B49" i="1" s="1"/>
  <c r="D49" i="1" s="1"/>
  <c r="L19" i="1"/>
  <c r="M19" i="1" s="1"/>
  <c r="B54" i="1" s="1"/>
  <c r="D54" i="1" s="1"/>
  <c r="L20" i="1"/>
  <c r="M20" i="1" s="1"/>
  <c r="B55" i="1" s="1"/>
  <c r="D55" i="1" s="1"/>
  <c r="L15" i="1"/>
  <c r="M15" i="1" s="1"/>
  <c r="B50" i="1" s="1"/>
  <c r="D50" i="1" s="1"/>
  <c r="L17" i="1"/>
  <c r="M17" i="1" s="1"/>
  <c r="B52" i="1" s="1"/>
  <c r="D52" i="1" s="1"/>
  <c r="E51" i="1" l="1"/>
  <c r="E54" i="1"/>
  <c r="E53" i="1"/>
  <c r="E55" i="1"/>
  <c r="E52" i="1"/>
  <c r="E50" i="1"/>
  <c r="E49" i="1"/>
  <c r="D76" i="1" l="1"/>
  <c r="R76" i="1" s="1"/>
  <c r="D73" i="1" l="1"/>
  <c r="R73" i="1" s="1"/>
  <c r="N76" i="1"/>
  <c r="I76" i="1"/>
  <c r="D74" i="1" l="1"/>
  <c r="I73" i="1"/>
  <c r="N73" i="1"/>
  <c r="I74" i="1" l="1"/>
  <c r="D75" i="1"/>
  <c r="R74" i="1"/>
  <c r="N74" i="1"/>
  <c r="R75" i="1" l="1"/>
  <c r="I75" i="1"/>
  <c r="N75" i="1"/>
  <c r="M13" i="1" l="1"/>
  <c r="M22" i="1" s="1"/>
  <c r="B48" i="1" l="1"/>
  <c r="D48" i="1" s="1"/>
  <c r="E48" i="1" s="1"/>
  <c r="D68" i="1" s="1"/>
  <c r="D69" i="1" l="1"/>
  <c r="N68" i="1"/>
  <c r="I68" i="1"/>
  <c r="R68" i="1"/>
  <c r="D70" i="1" l="1"/>
  <c r="R69" i="1"/>
  <c r="N69" i="1"/>
  <c r="I69" i="1"/>
  <c r="I70" i="1" l="1"/>
  <c r="N70" i="1"/>
  <c r="D71" i="1"/>
  <c r="R70" i="1"/>
  <c r="V74" i="1"/>
  <c r="V76" i="1"/>
  <c r="R71" i="1" l="1"/>
  <c r="N71" i="1"/>
  <c r="I71" i="1"/>
  <c r="D72" i="1"/>
  <c r="U74" i="1"/>
  <c r="U76" i="1"/>
  <c r="U73" i="1"/>
  <c r="V73" i="1"/>
  <c r="I72" i="1" l="1"/>
  <c r="I77" i="1" s="1"/>
  <c r="I78" i="1" s="1"/>
  <c r="N72" i="1"/>
  <c r="N77" i="1" s="1"/>
  <c r="N78" i="1" s="1"/>
  <c r="R72" i="1"/>
  <c r="R78" i="1" s="1"/>
  <c r="D63" i="1" s="1"/>
  <c r="Q81" i="1" s="1"/>
  <c r="R81" i="1" s="1"/>
  <c r="T75" i="1" l="1"/>
  <c r="T68" i="1"/>
  <c r="T69" i="1"/>
  <c r="T70" i="1"/>
  <c r="T71" i="1"/>
  <c r="T72" i="1"/>
  <c r="V69" i="1" l="1"/>
  <c r="U69" i="1"/>
  <c r="U72" i="1"/>
  <c r="V72" i="1"/>
  <c r="V71" i="1"/>
  <c r="U71" i="1"/>
  <c r="U70" i="1"/>
  <c r="V70" i="1"/>
  <c r="U68" i="1"/>
  <c r="V68" i="1"/>
  <c r="V75" i="1"/>
  <c r="U75" i="1"/>
  <c r="V78" i="1" l="1"/>
  <c r="V79" i="1" s="1"/>
  <c r="U78" i="1"/>
  <c r="U79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Roaa Tareq</author>
  </authors>
  <commentList>
    <comment ref="D5" authorId="0" shapeId="0" xr:uid="{DA9FF977-5571-4F15-8DF7-DFB269E08FBD}">
      <text>
        <r>
          <rPr>
            <b/>
            <sz val="9"/>
            <color indexed="81"/>
            <rFont val="Tahoma"/>
            <family val="2"/>
          </rPr>
          <t>Roaa Tareq:</t>
        </r>
        <r>
          <rPr>
            <sz val="9"/>
            <color indexed="81"/>
            <rFont val="Tahoma"/>
            <family val="2"/>
          </rPr>
          <t xml:space="preserve">
Depending on the moment direction assumed in tourque balance equation.</t>
        </r>
      </text>
    </comment>
    <comment ref="G5" authorId="0" shapeId="0" xr:uid="{119BB8F8-6556-4E5B-B9EB-6A76EE9EBBB3}">
      <text>
        <r>
          <rPr>
            <b/>
            <sz val="9"/>
            <color indexed="81"/>
            <rFont val="Tahoma"/>
            <family val="2"/>
          </rPr>
          <t>Roaa Tareq:</t>
        </r>
        <r>
          <rPr>
            <sz val="9"/>
            <color indexed="81"/>
            <rFont val="Tahoma"/>
            <family val="2"/>
          </rPr>
          <t xml:space="preserve">
Depending on the moment direction assumed in tourque balance equation.</t>
        </r>
      </text>
    </comment>
    <comment ref="B8" authorId="0" shapeId="0" xr:uid="{B6363336-E510-4A6C-8FA5-637887AE81E0}">
      <text>
        <r>
          <rPr>
            <b/>
            <sz val="9"/>
            <color indexed="81"/>
            <rFont val="Tahoma"/>
            <family val="2"/>
          </rPr>
          <t>Roaa Tareq:</t>
        </r>
        <r>
          <rPr>
            <sz val="9"/>
            <color indexed="81"/>
            <rFont val="Tahoma"/>
            <family val="2"/>
          </rPr>
          <t xml:space="preserve">
If not given: 30*t</t>
        </r>
      </text>
    </comment>
    <comment ref="D8" authorId="0" shapeId="0" xr:uid="{AA3368BA-51E2-42E9-8E64-ADE72DD7ED16}">
      <text>
        <r>
          <rPr>
            <b/>
            <sz val="9"/>
            <color indexed="81"/>
            <rFont val="Tahoma"/>
            <family val="2"/>
          </rPr>
          <t>Roaa Tareq:</t>
        </r>
        <r>
          <rPr>
            <sz val="9"/>
            <color indexed="81"/>
            <rFont val="Tahoma"/>
            <family val="2"/>
          </rPr>
          <t xml:space="preserve">
Yes: Area Effective included
No: Area Effective ignored</t>
        </r>
      </text>
    </comment>
    <comment ref="P12" authorId="0" shapeId="0" xr:uid="{5B2BD3B1-1E46-41F4-9254-947C53375F51}">
      <text>
        <r>
          <rPr>
            <b/>
            <sz val="9"/>
            <color indexed="81"/>
            <rFont val="Tahoma"/>
            <family val="2"/>
          </rPr>
          <t>Roaa Tareq:</t>
        </r>
        <r>
          <rPr>
            <sz val="9"/>
            <color indexed="81"/>
            <rFont val="Tahoma"/>
            <family val="2"/>
          </rPr>
          <t xml:space="preserve">
C: Compression
T: Tension
CT: Neutral(i.e., P=0)</t>
        </r>
      </text>
    </comment>
    <comment ref="Q12" authorId="0" shapeId="0" xr:uid="{9D626D27-530A-419E-86BF-A5AF1D9FBC65}">
      <text>
        <r>
          <rPr>
            <b/>
            <sz val="9"/>
            <color indexed="81"/>
            <rFont val="Tahoma"/>
            <family val="2"/>
          </rPr>
          <t>Roaa Tareq:</t>
        </r>
        <r>
          <rPr>
            <sz val="9"/>
            <color indexed="81"/>
            <rFont val="Tahoma"/>
            <family val="2"/>
          </rPr>
          <t xml:space="preserve">
Number of webs connected to the stringer.</t>
        </r>
      </text>
    </comment>
    <comment ref="A59" authorId="0" shapeId="0" xr:uid="{2AA1B890-6A2B-4B84-9D2F-060750C5CA5E}">
      <text>
        <r>
          <rPr>
            <b/>
            <sz val="9"/>
            <color indexed="81"/>
            <rFont val="Tahoma"/>
            <family val="2"/>
          </rPr>
          <t>Roaa Tareq:</t>
        </r>
        <r>
          <rPr>
            <sz val="9"/>
            <color indexed="81"/>
            <rFont val="Tahoma"/>
            <family val="2"/>
          </rPr>
          <t xml:space="preserve">
X=0 and Y=0 at c.g.</t>
        </r>
      </text>
    </comment>
  </commentList>
</comments>
</file>

<file path=xl/sharedStrings.xml><?xml version="1.0" encoding="utf-8"?>
<sst xmlns="http://schemas.openxmlformats.org/spreadsheetml/2006/main" count="189" uniqueCount="128">
  <si>
    <t>A1(in^2)</t>
  </si>
  <si>
    <t>A2(in^2)</t>
  </si>
  <si>
    <t>Stringer No.</t>
  </si>
  <si>
    <t>Area(in^2)</t>
  </si>
  <si>
    <t>x</t>
  </si>
  <si>
    <t>z</t>
  </si>
  <si>
    <t>A*x</t>
  </si>
  <si>
    <t>A*z</t>
  </si>
  <si>
    <t>Location of c.g.:</t>
  </si>
  <si>
    <t>X_bar</t>
  </si>
  <si>
    <t>X</t>
  </si>
  <si>
    <t>Z</t>
  </si>
  <si>
    <t>Z_bar</t>
  </si>
  <si>
    <t>A*X^2</t>
  </si>
  <si>
    <t>A*Z^2</t>
  </si>
  <si>
    <t>∑A</t>
  </si>
  <si>
    <t>∑Ax</t>
  </si>
  <si>
    <t>∑Az</t>
  </si>
  <si>
    <t>Iz</t>
  </si>
  <si>
    <t>Ix</t>
  </si>
  <si>
    <t>A*X*Z</t>
  </si>
  <si>
    <t>Ixz</t>
  </si>
  <si>
    <t>Stress</t>
  </si>
  <si>
    <t>B1</t>
  </si>
  <si>
    <t>B2</t>
  </si>
  <si>
    <t>P</t>
  </si>
  <si>
    <t>P(y = 0)</t>
  </si>
  <si>
    <t>P(y = 10)</t>
  </si>
  <si>
    <t>∆P</t>
  </si>
  <si>
    <t>∆q</t>
  </si>
  <si>
    <t>Web No.</t>
  </si>
  <si>
    <t>Station 2 (y = 10)</t>
  </si>
  <si>
    <t>Station 1 (y = 0)</t>
  </si>
  <si>
    <t>Kz</t>
  </si>
  <si>
    <t>Kx</t>
  </si>
  <si>
    <t>Shear Calculations</t>
  </si>
  <si>
    <t>A</t>
  </si>
  <si>
    <t>2A</t>
  </si>
  <si>
    <t>qc(lbs/in)</t>
  </si>
  <si>
    <t>Mc=qc*2A</t>
  </si>
  <si>
    <t>∑Mc</t>
  </si>
  <si>
    <t>∑2A</t>
  </si>
  <si>
    <t>Pz*d</t>
  </si>
  <si>
    <t>Pz</t>
  </si>
  <si>
    <t xml:space="preserve">d </t>
  </si>
  <si>
    <t>dz</t>
  </si>
  <si>
    <t>Vz</t>
  </si>
  <si>
    <t>Kxz</t>
  </si>
  <si>
    <t>L</t>
  </si>
  <si>
    <t>t</t>
  </si>
  <si>
    <t>free term</t>
  </si>
  <si>
    <t>q_tot</t>
  </si>
  <si>
    <t>Fx</t>
  </si>
  <si>
    <t>∑ Fx</t>
  </si>
  <si>
    <t>Fz</t>
  </si>
  <si>
    <t>∑ Fz</t>
  </si>
  <si>
    <t>Px</t>
  </si>
  <si>
    <t>dx</t>
  </si>
  <si>
    <t>Vx</t>
  </si>
  <si>
    <t>a</t>
  </si>
  <si>
    <t>Paxial</t>
  </si>
  <si>
    <t>∑P</t>
  </si>
  <si>
    <t>P2-P1</t>
  </si>
  <si>
    <t>∑Mc_open</t>
  </si>
  <si>
    <t>Origin located at 5</t>
  </si>
  <si>
    <t>x position</t>
  </si>
  <si>
    <t>z position</t>
  </si>
  <si>
    <t>Point 1</t>
  </si>
  <si>
    <t>Point 2</t>
  </si>
  <si>
    <t>Point 3</t>
  </si>
  <si>
    <t>4-7</t>
  </si>
  <si>
    <t>Mx 1</t>
  </si>
  <si>
    <t>Mz 1</t>
  </si>
  <si>
    <t>Mx 2</t>
  </si>
  <si>
    <t>Mz 2</t>
  </si>
  <si>
    <t>2-1</t>
  </si>
  <si>
    <t>3-2</t>
  </si>
  <si>
    <t>4-3</t>
  </si>
  <si>
    <t>5-4</t>
  </si>
  <si>
    <t>6-5</t>
  </si>
  <si>
    <t>7-6</t>
  </si>
  <si>
    <t>8-7</t>
  </si>
  <si>
    <t>Tourque Balance Equation Coefficients</t>
  </si>
  <si>
    <t>Skin 2-1 and 4-7 are temporarily cut, then shear flow in those web should be zero.</t>
  </si>
  <si>
    <t>Assuming counter-clockwise for the shear flow with 4-7 in the dirction of cell 2</t>
  </si>
  <si>
    <t>Set up a table to determine section Properties and determine stringer load P at each station</t>
  </si>
  <si>
    <r>
      <t>∆</t>
    </r>
    <r>
      <rPr>
        <b/>
        <sz val="8.25"/>
        <color theme="1"/>
        <rFont val="Calibri Light"/>
        <family val="2"/>
        <scheme val="major"/>
      </rPr>
      <t>y</t>
    </r>
  </si>
  <si>
    <t>Cut</t>
  </si>
  <si>
    <t>Web Cut</t>
  </si>
  <si>
    <t>Cell</t>
  </si>
  <si>
    <t>A_boom</t>
  </si>
  <si>
    <t>A_eff</t>
  </si>
  <si>
    <t>E</t>
  </si>
  <si>
    <t>Fcy</t>
  </si>
  <si>
    <t>b1</t>
  </si>
  <si>
    <t>b2</t>
  </si>
  <si>
    <t>w</t>
  </si>
  <si>
    <t>Eff</t>
  </si>
  <si>
    <t>No. Sides</t>
  </si>
  <si>
    <t>Comp/Ten</t>
  </si>
  <si>
    <t>b3</t>
  </si>
  <si>
    <t>C</t>
  </si>
  <si>
    <t>T</t>
  </si>
  <si>
    <t>c</t>
  </si>
  <si>
    <t>Ref</t>
  </si>
  <si>
    <t>Final</t>
  </si>
  <si>
    <t>Initial</t>
  </si>
  <si>
    <t>Initial-Final</t>
  </si>
  <si>
    <t xml:space="preserve">Moment at </t>
  </si>
  <si>
    <t>Px*c</t>
  </si>
  <si>
    <t>Redundant</t>
  </si>
  <si>
    <t>Moment at Station 1</t>
  </si>
  <si>
    <t>Moment at Station 2</t>
  </si>
  <si>
    <t>Force in z-direction located at d from c.g.</t>
  </si>
  <si>
    <t>Force in x-direction located at c from c.g.</t>
  </si>
  <si>
    <t>بسم الله الرحمن الرحيم</t>
  </si>
  <si>
    <t>Horizontal Web Length</t>
  </si>
  <si>
    <t>Vertical Web Length</t>
  </si>
  <si>
    <t>For redundant stringers, set A_boom and A_eff =0</t>
  </si>
  <si>
    <t>Force in y-direction</t>
  </si>
  <si>
    <t>Ty 1</t>
  </si>
  <si>
    <t>Ty 2</t>
  </si>
  <si>
    <t>T_external</t>
  </si>
  <si>
    <t>None</t>
  </si>
  <si>
    <t>1-6</t>
  </si>
  <si>
    <t>coef q_cor</t>
  </si>
  <si>
    <t>q_cor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</si>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</sst>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b/>
      <sz val="8.25"/>
      <color theme="1"/>
      <name val="Calibri Light"/>
      <family val="2"/>
      <scheme val="major"/>
    </font>
    <font>
      <b/>
      <sz val="14"/>
      <color theme="1"/>
      <name val="Calibri Light"/>
      <family val="2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vertical="center"/>
    </xf>
    <xf numFmtId="49" fontId="3" fillId="0" borderId="0" xfId="0" applyNumberFormat="1" applyFont="1" applyAlignment="1">
      <alignment horizontal="center" vertical="center"/>
    </xf>
    <xf numFmtId="0" fontId="3" fillId="0" borderId="0" xfId="0" applyFont="1"/>
    <xf numFmtId="0" fontId="2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49" fontId="2" fillId="0" borderId="0" xfId="0" applyNumberFormat="1" applyFont="1" applyAlignment="1">
      <alignment horizontal="lef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font>
        <color rgb="FF006100"/>
      </font>
      <fill>
        <patternFill>
          <bgColor rgb="FFC6EFCE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9" tint="-0.499984740745262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C6EFCE"/>
      <color rgb="FFCCFFFF"/>
      <color rgb="FF66FFFF"/>
      <color rgb="FFCCCCFF"/>
      <color rgb="FFCC99FF"/>
      <color rgb="FFCC66FF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emf"/><Relationship Id="rId1" Type="http://schemas.openxmlformats.org/officeDocument/2006/relationships/image" Target="../media/image1.png"/><Relationship Id="rId5" Type="http://schemas.openxmlformats.org/officeDocument/2006/relationships/image" Target="../media/image5.emf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23092</xdr:colOff>
      <xdr:row>22</xdr:row>
      <xdr:rowOff>99290</xdr:rowOff>
    </xdr:from>
    <xdr:to>
      <xdr:col>25</xdr:col>
      <xdr:colOff>323273</xdr:colOff>
      <xdr:row>37</xdr:row>
      <xdr:rowOff>87971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1E6045-E280-E77B-1752-EAE1EEC6E2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417772" y="3985490"/>
          <a:ext cx="3150061" cy="2777601"/>
        </a:xfrm>
        <a:prstGeom prst="rect">
          <a:avLst/>
        </a:prstGeom>
      </xdr:spPr>
    </xdr:pic>
    <xdr:clientData/>
  </xdr:twoCellAnchor>
  <xdr:twoCellAnchor editAs="oneCell">
    <xdr:from>
      <xdr:col>11</xdr:col>
      <xdr:colOff>53340</xdr:colOff>
      <xdr:row>22</xdr:row>
      <xdr:rowOff>44370</xdr:rowOff>
    </xdr:from>
    <xdr:to>
      <xdr:col>14</xdr:col>
      <xdr:colOff>361212</xdr:colOff>
      <xdr:row>26</xdr:row>
      <xdr:rowOff>144780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388DA2C-2CD4-A332-0ECE-279EC20BA0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486900" y="4113450"/>
          <a:ext cx="2228112" cy="83193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22</xdr:col>
      <xdr:colOff>40430</xdr:colOff>
      <xdr:row>65</xdr:row>
      <xdr:rowOff>34290</xdr:rowOff>
    </xdr:from>
    <xdr:to>
      <xdr:col>27</xdr:col>
      <xdr:colOff>183847</xdr:colOff>
      <xdr:row>79</xdr:row>
      <xdr:rowOff>1693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ED1D75C-C679-5C48-4434-A719BC0DDB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343670" y="12058650"/>
          <a:ext cx="4502057" cy="252772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425026</xdr:colOff>
      <xdr:row>60</xdr:row>
      <xdr:rowOff>121750</xdr:rowOff>
    </xdr:from>
    <xdr:to>
      <xdr:col>17</xdr:col>
      <xdr:colOff>343747</xdr:colOff>
      <xdr:row>64</xdr:row>
      <xdr:rowOff>68580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D60873-83A3-00FA-3C30-4AE6D3AF45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17026" y="11231710"/>
          <a:ext cx="1785621" cy="678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20</xdr:col>
      <xdr:colOff>76200</xdr:colOff>
      <xdr:row>0</xdr:row>
      <xdr:rowOff>152400</xdr:rowOff>
    </xdr:from>
    <xdr:to>
      <xdr:col>23</xdr:col>
      <xdr:colOff>1036320</xdr:colOff>
      <xdr:row>10</xdr:row>
      <xdr:rowOff>99060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121393F-8320-F784-BEC9-B9C3BE8FB92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0" y="152400"/>
          <a:ext cx="4046220" cy="1821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85"/>
  <sheetViews>
    <sheetView tabSelected="1" topLeftCell="Q7" zoomScaleNormal="100" workbookViewId="0">
      <selection activeCell="R18" sqref="R18"/>
    </sheetView>
  </sheetViews>
  <sheetFormatPr defaultRowHeight="14.4" x14ac:dyDescent="0.3"/>
  <cols>
    <col min="1" max="1" width="14.21875" style="2" customWidth="1"/>
    <col min="2" max="2" width="13" style="2" bestFit="1" customWidth="1"/>
    <col min="3" max="3" width="11.33203125" style="2" bestFit="1" customWidth="1"/>
    <col min="4" max="4" width="15.44140625" style="2" bestFit="1" customWidth="1"/>
    <col min="5" max="5" width="11.21875" style="2" bestFit="1" customWidth="1"/>
    <col min="6" max="6" width="11.44140625" style="2" bestFit="1" customWidth="1"/>
    <col min="7" max="7" width="10.109375" style="2" customWidth="1"/>
    <col min="8" max="8" width="11.5546875" style="2" bestFit="1" customWidth="1"/>
    <col min="9" max="9" width="12.77734375" style="2" bestFit="1" customWidth="1"/>
    <col min="10" max="10" width="13" style="2" customWidth="1"/>
    <col min="11" max="11" width="13.44140625" style="2" customWidth="1"/>
    <col min="12" max="14" width="9.33203125" style="2" bestFit="1" customWidth="1"/>
    <col min="15" max="15" width="12.21875" style="2" bestFit="1" customWidth="1"/>
    <col min="16" max="16" width="13.44140625" style="2" bestFit="1" customWidth="1"/>
    <col min="17" max="17" width="13.77734375" style="2" bestFit="1" customWidth="1"/>
    <col min="18" max="18" width="10.6640625" style="2" bestFit="1" customWidth="1"/>
    <col min="19" max="19" width="9.33203125" style="2" bestFit="1" customWidth="1"/>
    <col min="20" max="20" width="12.77734375" style="2" bestFit="1" customWidth="1"/>
    <col min="21" max="21" width="13.6640625" style="2" bestFit="1" customWidth="1"/>
    <col min="22" max="22" width="15.44140625" style="2" bestFit="1" customWidth="1"/>
    <col min="23" max="23" width="15.88671875" style="2" bestFit="1" customWidth="1"/>
    <col min="24" max="24" width="16.21875" style="2" bestFit="1" customWidth="1"/>
    <col min="25" max="25" width="9.33203125" style="2" bestFit="1" customWidth="1"/>
    <col min="26" max="26" width="12.77734375" style="2" bestFit="1" customWidth="1"/>
    <col min="27" max="27" width="9.33203125" style="2" bestFit="1" customWidth="1"/>
    <col min="28" max="28" width="11" style="2" bestFit="1" customWidth="1"/>
    <col min="29" max="29" width="12.77734375" style="2" bestFit="1" customWidth="1"/>
    <col min="30" max="30" width="13.33203125" style="2" bestFit="1" customWidth="1"/>
    <col min="31" max="31" width="11.44140625" style="2" bestFit="1" customWidth="1"/>
    <col min="32" max="32" width="12.109375" style="2" bestFit="1" customWidth="1"/>
    <col min="33" max="16384" width="8.88671875" style="2"/>
  </cols>
  <sheetData>
    <row r="1" spans="1:22" x14ac:dyDescent="0.3">
      <c r="A1" s="16" t="s">
        <v>115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</row>
    <row r="2" spans="1:22" x14ac:dyDescent="0.3">
      <c r="A2" s="1" t="s">
        <v>110</v>
      </c>
      <c r="D2" s="4" t="s">
        <v>111</v>
      </c>
      <c r="G2" s="4" t="s">
        <v>112</v>
      </c>
      <c r="I2" s="5"/>
      <c r="J2" s="4" t="s">
        <v>113</v>
      </c>
      <c r="P2" s="4" t="s">
        <v>114</v>
      </c>
      <c r="S2" s="4" t="s">
        <v>119</v>
      </c>
    </row>
    <row r="3" spans="1:22" x14ac:dyDescent="0.3">
      <c r="A3" s="1" t="s">
        <v>0</v>
      </c>
      <c r="B3" s="12">
        <v>0.5</v>
      </c>
      <c r="D3" s="1" t="s">
        <v>71</v>
      </c>
      <c r="E3" s="12">
        <v>0</v>
      </c>
      <c r="G3" s="1" t="s">
        <v>73</v>
      </c>
      <c r="H3" s="12">
        <f>E3+K3*T4</f>
        <v>50000</v>
      </c>
      <c r="J3" s="1" t="s">
        <v>43</v>
      </c>
      <c r="K3" s="12">
        <v>5000</v>
      </c>
      <c r="M3" s="1" t="s">
        <v>48</v>
      </c>
      <c r="N3" s="12">
        <v>10</v>
      </c>
      <c r="P3" s="1" t="s">
        <v>56</v>
      </c>
      <c r="Q3" s="12">
        <v>0</v>
      </c>
      <c r="S3" s="3" t="s">
        <v>60</v>
      </c>
      <c r="T3" s="13">
        <v>0</v>
      </c>
    </row>
    <row r="4" spans="1:22" x14ac:dyDescent="0.3">
      <c r="A4" s="1" t="s">
        <v>1</v>
      </c>
      <c r="B4" s="12">
        <v>1</v>
      </c>
      <c r="D4" s="1" t="s">
        <v>72</v>
      </c>
      <c r="E4" s="12">
        <v>0</v>
      </c>
      <c r="G4" s="1" t="s">
        <v>74</v>
      </c>
      <c r="H4" s="12">
        <v>0</v>
      </c>
      <c r="J4" s="1" t="s">
        <v>44</v>
      </c>
      <c r="K4" s="12">
        <f>G13-7.5</f>
        <v>4.4675376631085211</v>
      </c>
      <c r="M4" s="1" t="s">
        <v>49</v>
      </c>
      <c r="N4" s="12">
        <v>0.04</v>
      </c>
      <c r="P4" s="1" t="s">
        <v>103</v>
      </c>
      <c r="Q4" s="12">
        <v>0</v>
      </c>
      <c r="S4" s="3" t="s">
        <v>86</v>
      </c>
      <c r="T4" s="13">
        <v>10</v>
      </c>
    </row>
    <row r="5" spans="1:22" x14ac:dyDescent="0.3">
      <c r="A5" s="1"/>
      <c r="D5" s="1" t="s">
        <v>120</v>
      </c>
      <c r="E5" s="12">
        <v>0</v>
      </c>
      <c r="G5" s="1" t="s">
        <v>121</v>
      </c>
      <c r="H5" s="12">
        <v>0</v>
      </c>
      <c r="J5" s="1"/>
      <c r="M5" s="1"/>
      <c r="P5" s="1"/>
      <c r="S5" s="3"/>
      <c r="T5" s="15"/>
    </row>
    <row r="6" spans="1:22" x14ac:dyDescent="0.3">
      <c r="E6" s="16" t="s">
        <v>117</v>
      </c>
      <c r="F6" s="16"/>
      <c r="G6" s="16" t="s">
        <v>116</v>
      </c>
      <c r="H6" s="16"/>
      <c r="I6" s="16"/>
      <c r="J6" s="16"/>
      <c r="K6" s="16"/>
      <c r="L6" s="16"/>
    </row>
    <row r="7" spans="1:22" x14ac:dyDescent="0.3">
      <c r="A7" s="1" t="s">
        <v>92</v>
      </c>
      <c r="B7" s="12">
        <v>10700000</v>
      </c>
      <c r="C7" s="1" t="s">
        <v>93</v>
      </c>
      <c r="D7" s="12">
        <v>40000</v>
      </c>
      <c r="E7" s="1" t="s">
        <v>59</v>
      </c>
      <c r="F7" s="12">
        <v>10</v>
      </c>
      <c r="G7" s="1" t="s">
        <v>94</v>
      </c>
      <c r="H7" s="12">
        <v>10</v>
      </c>
      <c r="I7" s="1" t="s">
        <v>95</v>
      </c>
      <c r="J7" s="12">
        <v>10</v>
      </c>
      <c r="K7" s="1" t="s">
        <v>100</v>
      </c>
      <c r="L7" s="12">
        <v>10</v>
      </c>
    </row>
    <row r="8" spans="1:22" x14ac:dyDescent="0.3">
      <c r="A8" s="1" t="s">
        <v>96</v>
      </c>
      <c r="B8" s="2">
        <f>1.9*N4*SQRT(B7/D7)</f>
        <v>1.2430124697685054</v>
      </c>
      <c r="C8" s="1" t="s">
        <v>97</v>
      </c>
      <c r="D8" s="1" t="s">
        <v>127</v>
      </c>
      <c r="G8" s="1"/>
      <c r="J8" s="1"/>
    </row>
    <row r="9" spans="1:22" x14ac:dyDescent="0.3">
      <c r="A9" s="4" t="s">
        <v>85</v>
      </c>
      <c r="D9" s="1"/>
    </row>
    <row r="10" spans="1:22" ht="18" x14ac:dyDescent="0.3">
      <c r="A10" s="11" t="s">
        <v>32</v>
      </c>
      <c r="B10" s="10"/>
      <c r="D10" s="1"/>
    </row>
    <row r="11" spans="1:22" x14ac:dyDescent="0.3">
      <c r="C11" s="1" t="s">
        <v>64</v>
      </c>
      <c r="D11" s="1"/>
      <c r="O11" s="5" t="s">
        <v>118</v>
      </c>
    </row>
    <row r="12" spans="1:22" x14ac:dyDescent="0.3">
      <c r="A12" s="1" t="s">
        <v>2</v>
      </c>
      <c r="B12" s="1" t="s">
        <v>3</v>
      </c>
      <c r="C12" s="1" t="s">
        <v>4</v>
      </c>
      <c r="D12" s="1" t="s">
        <v>5</v>
      </c>
      <c r="E12" s="1" t="s">
        <v>6</v>
      </c>
      <c r="F12" s="1" t="s">
        <v>7</v>
      </c>
      <c r="G12" s="1" t="s">
        <v>10</v>
      </c>
      <c r="H12" s="1" t="s">
        <v>11</v>
      </c>
      <c r="I12" s="1" t="s">
        <v>13</v>
      </c>
      <c r="J12" s="1" t="s">
        <v>14</v>
      </c>
      <c r="K12" s="1" t="s">
        <v>20</v>
      </c>
      <c r="L12" s="1" t="s">
        <v>22</v>
      </c>
      <c r="M12" s="1" t="s">
        <v>25</v>
      </c>
      <c r="N12" s="1" t="s">
        <v>60</v>
      </c>
      <c r="O12" s="1" t="s">
        <v>90</v>
      </c>
      <c r="P12" s="1" t="s">
        <v>99</v>
      </c>
      <c r="Q12" s="1" t="s">
        <v>98</v>
      </c>
      <c r="R12" s="1" t="s">
        <v>91</v>
      </c>
      <c r="S12" s="1" t="s">
        <v>59</v>
      </c>
      <c r="T12" s="1" t="s">
        <v>94</v>
      </c>
      <c r="U12" s="1" t="s">
        <v>95</v>
      </c>
      <c r="V12" s="1" t="s">
        <v>100</v>
      </c>
    </row>
    <row r="13" spans="1:22" x14ac:dyDescent="0.3">
      <c r="A13" s="2">
        <v>1</v>
      </c>
      <c r="B13" s="2">
        <f t="shared" ref="B13:B20" si="0">IF($D$8=UPPER("No"),O13,O13+R13)</f>
        <v>0.54972049879074025</v>
      </c>
      <c r="C13" s="12">
        <v>20</v>
      </c>
      <c r="D13" s="12">
        <v>10</v>
      </c>
      <c r="E13" s="2">
        <f>B13*C13</f>
        <v>10.994409975814804</v>
      </c>
      <c r="F13" s="2">
        <f>B13*D13</f>
        <v>5.4972049879074021</v>
      </c>
      <c r="G13" s="2">
        <f t="shared" ref="G13:G20" si="1">C13-$B$24</f>
        <v>11.967537663108521</v>
      </c>
      <c r="H13" s="2">
        <f t="shared" ref="H13:H20" si="2">D13-$B$25</f>
        <v>5.7714438117849909</v>
      </c>
      <c r="I13" s="2">
        <f t="shared" ref="I13:I20" si="3">B13*G13^2</f>
        <v>78.732046034481826</v>
      </c>
      <c r="J13" s="2">
        <f t="shared" ref="J13:J20" si="4">B13*H13^2</f>
        <v>18.310949956598794</v>
      </c>
      <c r="K13" s="2">
        <f>B13*G13*H13</f>
        <v>37.969179012957717</v>
      </c>
      <c r="L13" s="2">
        <f>IF(B13=0,0,-($I$26*G13+$J$26*H13)+N13/B13)</f>
        <v>0</v>
      </c>
      <c r="M13" s="2">
        <f>L13*B13</f>
        <v>0</v>
      </c>
      <c r="N13" s="2">
        <f t="shared" ref="N13:N20" si="5">$T$3</f>
        <v>0</v>
      </c>
      <c r="O13" s="12">
        <f>$B$3</f>
        <v>0.5</v>
      </c>
      <c r="P13" s="12" t="s">
        <v>101</v>
      </c>
      <c r="Q13" s="12">
        <v>2</v>
      </c>
      <c r="R13" s="2">
        <f t="shared" ref="R13:R20" si="6">IF(P13=UPPER("C"),Q13*$B$8/2*$N$4,IF(P13=UPPER("T"),(T13*$H$7/2+U13*$J$7/2+V13*$L$7/2+S13*$F$7/6)*$N$4,"Error"))</f>
        <v>4.9720498790740218E-2</v>
      </c>
      <c r="S13" s="12">
        <f>IF(OR($P13="T",$P13="CT"),"Input",0)</f>
        <v>0</v>
      </c>
      <c r="T13" s="12">
        <f t="shared" ref="T13:V20" si="7">IF(OR($P13="T",$P13="CT"),"Input",0)</f>
        <v>0</v>
      </c>
      <c r="U13" s="12">
        <f t="shared" si="7"/>
        <v>0</v>
      </c>
      <c r="V13" s="12">
        <f t="shared" si="7"/>
        <v>0</v>
      </c>
    </row>
    <row r="14" spans="1:22" x14ac:dyDescent="0.3">
      <c r="A14" s="2">
        <v>2</v>
      </c>
      <c r="B14" s="2">
        <f t="shared" si="0"/>
        <v>0.76666666666666661</v>
      </c>
      <c r="C14" s="12">
        <v>20</v>
      </c>
      <c r="D14" s="12">
        <v>0</v>
      </c>
      <c r="E14" s="2">
        <f t="shared" ref="E14:E20" si="8">B14*C14</f>
        <v>15.333333333333332</v>
      </c>
      <c r="F14" s="2">
        <f t="shared" ref="F14:F20" si="9">B14*D14</f>
        <v>0</v>
      </c>
      <c r="G14" s="2">
        <f t="shared" si="1"/>
        <v>11.967537663108521</v>
      </c>
      <c r="H14" s="2">
        <f t="shared" si="2"/>
        <v>-4.2285561882150091</v>
      </c>
      <c r="I14" s="2">
        <f t="shared" si="3"/>
        <v>109.80350091707272</v>
      </c>
      <c r="J14" s="2">
        <f t="shared" si="4"/>
        <v>13.70852703495011</v>
      </c>
      <c r="K14" s="2">
        <f t="shared" ref="K14:K20" si="10">B14*G14*H14</f>
        <v>-38.797477506325855</v>
      </c>
      <c r="L14" s="2">
        <f t="shared" ref="L14:L20" si="11">IF(B14=0,0,-($I$26*G14+$J$26*H14)+N14/B14)</f>
        <v>0</v>
      </c>
      <c r="M14" s="2">
        <f t="shared" ref="M14:M20" si="12">L14*B14</f>
        <v>0</v>
      </c>
      <c r="N14" s="2">
        <f t="shared" si="5"/>
        <v>0</v>
      </c>
      <c r="O14" s="12">
        <f t="shared" ref="O14:O20" si="13">$B$3</f>
        <v>0.5</v>
      </c>
      <c r="P14" s="12" t="s">
        <v>102</v>
      </c>
      <c r="Q14" s="12">
        <f t="shared" ref="Q13:Q20" si="14">IF(OR($P14="C",$P14="CT"),"Input",0)</f>
        <v>0</v>
      </c>
      <c r="R14" s="2">
        <f t="shared" si="6"/>
        <v>0.26666666666666666</v>
      </c>
      <c r="S14" s="12">
        <v>1</v>
      </c>
      <c r="T14" s="12">
        <v>0</v>
      </c>
      <c r="U14" s="12">
        <v>1</v>
      </c>
      <c r="V14" s="12">
        <v>0</v>
      </c>
    </row>
    <row r="15" spans="1:22" x14ac:dyDescent="0.3">
      <c r="A15" s="2">
        <v>3</v>
      </c>
      <c r="B15" s="2">
        <f t="shared" si="0"/>
        <v>0.9</v>
      </c>
      <c r="C15" s="12">
        <v>10</v>
      </c>
      <c r="D15" s="12">
        <v>0</v>
      </c>
      <c r="E15" s="2">
        <f t="shared" si="8"/>
        <v>9</v>
      </c>
      <c r="F15" s="2">
        <f t="shared" si="9"/>
        <v>0</v>
      </c>
      <c r="G15" s="2">
        <f t="shared" si="1"/>
        <v>1.9675376631085211</v>
      </c>
      <c r="H15" s="2">
        <f t="shared" si="2"/>
        <v>-4.2285561882150091</v>
      </c>
      <c r="I15" s="2">
        <f t="shared" si="3"/>
        <v>3.484084010175486</v>
      </c>
      <c r="J15" s="2">
        <f t="shared" si="4"/>
        <v>16.092618693202304</v>
      </c>
      <c r="K15" s="2">
        <f t="shared" si="10"/>
        <v>-7.4878592047952717</v>
      </c>
      <c r="L15" s="2">
        <f t="shared" si="11"/>
        <v>0</v>
      </c>
      <c r="M15" s="2">
        <f t="shared" si="12"/>
        <v>0</v>
      </c>
      <c r="N15" s="2">
        <f t="shared" si="5"/>
        <v>0</v>
      </c>
      <c r="O15" s="12">
        <f t="shared" si="13"/>
        <v>0.5</v>
      </c>
      <c r="P15" s="12" t="s">
        <v>102</v>
      </c>
      <c r="Q15" s="12">
        <f>IF(OR($P15="C",$P15="CT"),"Input",0)</f>
        <v>0</v>
      </c>
      <c r="R15" s="2">
        <f t="shared" si="6"/>
        <v>0.4</v>
      </c>
      <c r="S15" s="12">
        <v>0</v>
      </c>
      <c r="T15" s="12">
        <v>1</v>
      </c>
      <c r="U15" s="12">
        <v>1</v>
      </c>
      <c r="V15" s="12">
        <v>0</v>
      </c>
    </row>
    <row r="16" spans="1:22" x14ac:dyDescent="0.3">
      <c r="A16" s="2">
        <v>4</v>
      </c>
      <c r="B16" s="2">
        <f t="shared" si="0"/>
        <v>1.2666666666666666</v>
      </c>
      <c r="C16" s="12">
        <v>0</v>
      </c>
      <c r="D16" s="12">
        <v>0</v>
      </c>
      <c r="E16" s="2">
        <f t="shared" si="8"/>
        <v>0</v>
      </c>
      <c r="F16" s="2">
        <f t="shared" si="9"/>
        <v>0</v>
      </c>
      <c r="G16" s="2">
        <f t="shared" si="1"/>
        <v>-8.0324623368914789</v>
      </c>
      <c r="H16" s="2">
        <f t="shared" si="2"/>
        <v>-4.2285561882150091</v>
      </c>
      <c r="I16" s="2">
        <f t="shared" si="3"/>
        <v>81.72590484520147</v>
      </c>
      <c r="J16" s="2">
        <f t="shared" si="4"/>
        <v>22.648870753395833</v>
      </c>
      <c r="K16" s="2">
        <f t="shared" si="10"/>
        <v>43.023243206937515</v>
      </c>
      <c r="L16" s="2">
        <f t="shared" si="11"/>
        <v>0</v>
      </c>
      <c r="M16" s="2">
        <f t="shared" si="12"/>
        <v>0</v>
      </c>
      <c r="N16" s="2">
        <f t="shared" si="5"/>
        <v>0</v>
      </c>
      <c r="O16" s="12">
        <f>$B$4</f>
        <v>1</v>
      </c>
      <c r="P16" s="12" t="s">
        <v>102</v>
      </c>
      <c r="Q16" s="12">
        <f t="shared" si="14"/>
        <v>0</v>
      </c>
      <c r="R16" s="2">
        <f t="shared" si="6"/>
        <v>0.26666666666666666</v>
      </c>
      <c r="S16" s="12">
        <v>1</v>
      </c>
      <c r="T16" s="12">
        <v>1</v>
      </c>
      <c r="U16" s="12">
        <v>0</v>
      </c>
      <c r="V16" s="12">
        <v>0</v>
      </c>
    </row>
    <row r="17" spans="1:22" x14ac:dyDescent="0.3">
      <c r="A17" s="2">
        <v>5</v>
      </c>
      <c r="B17" s="2">
        <f t="shared" si="0"/>
        <v>1.0497204987907403</v>
      </c>
      <c r="C17" s="12">
        <v>0</v>
      </c>
      <c r="D17" s="12">
        <v>10</v>
      </c>
      <c r="E17" s="2">
        <f t="shared" si="8"/>
        <v>0</v>
      </c>
      <c r="F17" s="2">
        <f t="shared" si="9"/>
        <v>10.497204987907402</v>
      </c>
      <c r="G17" s="2">
        <f t="shared" si="1"/>
        <v>-8.0324623368914789</v>
      </c>
      <c r="H17" s="2">
        <f t="shared" si="2"/>
        <v>5.7714438117849909</v>
      </c>
      <c r="I17" s="2">
        <f t="shared" si="3"/>
        <v>67.728440209128536</v>
      </c>
      <c r="J17" s="2">
        <f t="shared" si="4"/>
        <v>34.965731792894424</v>
      </c>
      <c r="K17" s="2">
        <f t="shared" si="10"/>
        <v>-48.663892930009972</v>
      </c>
      <c r="L17" s="2">
        <f t="shared" si="11"/>
        <v>0</v>
      </c>
      <c r="M17" s="2">
        <f t="shared" si="12"/>
        <v>0</v>
      </c>
      <c r="N17" s="2">
        <f t="shared" si="5"/>
        <v>0</v>
      </c>
      <c r="O17" s="12">
        <f>$B$4</f>
        <v>1</v>
      </c>
      <c r="P17" s="12" t="s">
        <v>101</v>
      </c>
      <c r="Q17" s="12">
        <v>2</v>
      </c>
      <c r="R17" s="2">
        <f t="shared" si="6"/>
        <v>4.9720498790740218E-2</v>
      </c>
      <c r="S17" s="12">
        <f t="shared" ref="S14:S20" si="15">IF(OR($P17="T",$P17="CT"),"Input",0)</f>
        <v>0</v>
      </c>
      <c r="T17" s="12">
        <f t="shared" si="7"/>
        <v>0</v>
      </c>
      <c r="U17" s="12">
        <f t="shared" si="7"/>
        <v>0</v>
      </c>
      <c r="V17" s="12">
        <f t="shared" si="7"/>
        <v>0</v>
      </c>
    </row>
    <row r="18" spans="1:22" x14ac:dyDescent="0.3">
      <c r="A18" s="2">
        <v>6</v>
      </c>
      <c r="B18" s="2">
        <f t="shared" si="0"/>
        <v>0.54972049879074025</v>
      </c>
      <c r="C18" s="12">
        <v>10</v>
      </c>
      <c r="D18" s="12">
        <v>10</v>
      </c>
      <c r="E18" s="2">
        <f t="shared" si="8"/>
        <v>5.4972049879074021</v>
      </c>
      <c r="F18" s="2">
        <f t="shared" si="9"/>
        <v>5.4972049879074021</v>
      </c>
      <c r="G18" s="2">
        <f t="shared" si="1"/>
        <v>1.9675376631085211</v>
      </c>
      <c r="H18" s="2">
        <f t="shared" si="2"/>
        <v>5.7714438117849909</v>
      </c>
      <c r="I18" s="2">
        <f t="shared" si="3"/>
        <v>2.1280804443361232</v>
      </c>
      <c r="J18" s="2">
        <f t="shared" si="4"/>
        <v>18.310949956598794</v>
      </c>
      <c r="K18" s="2">
        <f t="shared" si="10"/>
        <v>6.2423693033859564</v>
      </c>
      <c r="L18" s="2">
        <f t="shared" si="11"/>
        <v>0</v>
      </c>
      <c r="M18" s="2">
        <f t="shared" si="12"/>
        <v>0</v>
      </c>
      <c r="N18" s="2">
        <f t="shared" si="5"/>
        <v>0</v>
      </c>
      <c r="O18" s="12">
        <f t="shared" si="13"/>
        <v>0.5</v>
      </c>
      <c r="P18" s="12" t="s">
        <v>101</v>
      </c>
      <c r="Q18" s="12">
        <v>2</v>
      </c>
      <c r="R18" s="2">
        <f t="shared" si="6"/>
        <v>4.9720498790740218E-2</v>
      </c>
      <c r="S18" s="12">
        <f t="shared" si="15"/>
        <v>0</v>
      </c>
      <c r="T18" s="12">
        <f t="shared" si="7"/>
        <v>0</v>
      </c>
      <c r="U18" s="12">
        <f t="shared" si="7"/>
        <v>0</v>
      </c>
      <c r="V18" s="12">
        <f t="shared" si="7"/>
        <v>0</v>
      </c>
    </row>
    <row r="19" spans="1:22" x14ac:dyDescent="0.3">
      <c r="A19" s="2">
        <v>7</v>
      </c>
      <c r="B19" s="2">
        <f t="shared" si="0"/>
        <v>0</v>
      </c>
      <c r="C19" s="12">
        <v>0</v>
      </c>
      <c r="D19" s="12">
        <v>0</v>
      </c>
      <c r="E19" s="2">
        <f t="shared" si="8"/>
        <v>0</v>
      </c>
      <c r="F19" s="2">
        <f>B19*D19</f>
        <v>0</v>
      </c>
      <c r="G19" s="2">
        <f t="shared" si="1"/>
        <v>-8.0324623368914789</v>
      </c>
      <c r="H19" s="2">
        <f t="shared" si="2"/>
        <v>-4.2285561882150091</v>
      </c>
      <c r="I19" s="2">
        <f t="shared" si="3"/>
        <v>0</v>
      </c>
      <c r="J19" s="2">
        <f t="shared" si="4"/>
        <v>0</v>
      </c>
      <c r="K19" s="2">
        <f t="shared" si="10"/>
        <v>0</v>
      </c>
      <c r="L19" s="2">
        <f t="shared" si="11"/>
        <v>0</v>
      </c>
      <c r="M19" s="2">
        <f t="shared" si="12"/>
        <v>0</v>
      </c>
      <c r="N19" s="2">
        <f t="shared" si="5"/>
        <v>0</v>
      </c>
      <c r="O19" s="12">
        <v>0</v>
      </c>
      <c r="P19" s="12" t="s">
        <v>101</v>
      </c>
      <c r="Q19" s="12" t="str">
        <f t="shared" si="14"/>
        <v>Input</v>
      </c>
      <c r="R19" s="2">
        <v>0</v>
      </c>
      <c r="S19" s="12">
        <f t="shared" si="15"/>
        <v>0</v>
      </c>
      <c r="T19" s="12">
        <f t="shared" si="7"/>
        <v>0</v>
      </c>
      <c r="U19" s="12">
        <f t="shared" si="7"/>
        <v>0</v>
      </c>
      <c r="V19" s="12">
        <f t="shared" si="7"/>
        <v>0</v>
      </c>
    </row>
    <row r="20" spans="1:22" x14ac:dyDescent="0.3">
      <c r="A20" s="2">
        <v>8</v>
      </c>
      <c r="B20" s="2">
        <f t="shared" si="0"/>
        <v>0</v>
      </c>
      <c r="C20" s="12">
        <v>0</v>
      </c>
      <c r="D20" s="12">
        <v>0</v>
      </c>
      <c r="E20" s="2">
        <f t="shared" si="8"/>
        <v>0</v>
      </c>
      <c r="F20" s="2">
        <f t="shared" si="9"/>
        <v>0</v>
      </c>
      <c r="G20" s="2">
        <f t="shared" si="1"/>
        <v>-8.0324623368914789</v>
      </c>
      <c r="H20" s="2">
        <f t="shared" si="2"/>
        <v>-4.2285561882150091</v>
      </c>
      <c r="I20" s="2">
        <f t="shared" si="3"/>
        <v>0</v>
      </c>
      <c r="J20" s="2">
        <f t="shared" si="4"/>
        <v>0</v>
      </c>
      <c r="K20" s="2">
        <f t="shared" si="10"/>
        <v>0</v>
      </c>
      <c r="L20" s="2">
        <f t="shared" si="11"/>
        <v>0</v>
      </c>
      <c r="M20" s="2">
        <f t="shared" si="12"/>
        <v>0</v>
      </c>
      <c r="N20" s="2">
        <f t="shared" si="5"/>
        <v>0</v>
      </c>
      <c r="O20" s="12">
        <v>0</v>
      </c>
      <c r="P20" s="12" t="s">
        <v>101</v>
      </c>
      <c r="Q20" s="12" t="str">
        <f t="shared" si="14"/>
        <v>Input</v>
      </c>
      <c r="R20" s="2">
        <v>0</v>
      </c>
      <c r="S20" s="12">
        <f t="shared" si="15"/>
        <v>0</v>
      </c>
      <c r="T20" s="12">
        <f t="shared" si="7"/>
        <v>0</v>
      </c>
      <c r="U20" s="12">
        <f t="shared" si="7"/>
        <v>0</v>
      </c>
      <c r="V20" s="12">
        <f t="shared" si="7"/>
        <v>0</v>
      </c>
    </row>
    <row r="21" spans="1:22" x14ac:dyDescent="0.3">
      <c r="B21" s="1" t="s">
        <v>15</v>
      </c>
      <c r="E21" s="1" t="s">
        <v>16</v>
      </c>
      <c r="F21" s="1" t="s">
        <v>17</v>
      </c>
      <c r="I21" s="1" t="s">
        <v>18</v>
      </c>
      <c r="J21" s="1" t="s">
        <v>19</v>
      </c>
      <c r="K21" s="1" t="s">
        <v>21</v>
      </c>
      <c r="M21" s="1" t="s">
        <v>61</v>
      </c>
      <c r="N21" s="1"/>
    </row>
    <row r="22" spans="1:22" x14ac:dyDescent="0.3">
      <c r="B22" s="2">
        <f>SUM(B13:B20)</f>
        <v>5.0824948297055537</v>
      </c>
      <c r="E22" s="2">
        <f>SUM(E13:E20)</f>
        <v>40.824948297055535</v>
      </c>
      <c r="F22" s="2">
        <f>SUM(F13:F20)</f>
        <v>21.491614963722206</v>
      </c>
      <c r="I22" s="2">
        <f>SUM(I13:I20)</f>
        <v>343.60205646039623</v>
      </c>
      <c r="J22" s="2">
        <f>SUM(J13:J20)</f>
        <v>124.03764818764026</v>
      </c>
      <c r="K22" s="2">
        <f>SUM(K13:K20)</f>
        <v>-7.7144381178499088</v>
      </c>
      <c r="M22" s="2">
        <f>ROUNDDOWN(SUM(M13:M20),1)</f>
        <v>0</v>
      </c>
      <c r="N22" s="1"/>
    </row>
    <row r="23" spans="1:22" x14ac:dyDescent="0.3">
      <c r="A23" s="4" t="s">
        <v>8</v>
      </c>
      <c r="B23" s="1"/>
      <c r="I23" s="1" t="s">
        <v>47</v>
      </c>
      <c r="J23" s="1" t="s">
        <v>33</v>
      </c>
      <c r="K23" s="1" t="s">
        <v>34</v>
      </c>
    </row>
    <row r="24" spans="1:22" x14ac:dyDescent="0.3">
      <c r="A24" s="2" t="s">
        <v>9</v>
      </c>
      <c r="B24" s="2">
        <f>E22/B22</f>
        <v>8.0324623368914789</v>
      </c>
      <c r="I24" s="2">
        <f>K22/(J22*I22-K22^2)</f>
        <v>-1.8125996005080867E-4</v>
      </c>
      <c r="J24" s="2">
        <f>I22/(J22*I22-K22^2)</f>
        <v>8.0733417101731247E-3</v>
      </c>
      <c r="K24" s="2">
        <f>J22/(J22*I22-K22^2)</f>
        <v>2.9144130540454949E-3</v>
      </c>
    </row>
    <row r="25" spans="1:22" x14ac:dyDescent="0.3">
      <c r="A25" s="2" t="s">
        <v>12</v>
      </c>
      <c r="B25" s="2">
        <f>F22/B22</f>
        <v>4.2285561882150091</v>
      </c>
      <c r="I25" s="1" t="s">
        <v>23</v>
      </c>
      <c r="J25" s="1" t="s">
        <v>24</v>
      </c>
    </row>
    <row r="26" spans="1:22" x14ac:dyDescent="0.3">
      <c r="I26" s="2">
        <f>K24*E4-I24*E3</f>
        <v>0</v>
      </c>
      <c r="J26" s="2">
        <f>J24*E3-I24*E4</f>
        <v>0</v>
      </c>
    </row>
    <row r="27" spans="1:22" ht="18" x14ac:dyDescent="0.3">
      <c r="A27" s="11" t="s">
        <v>31</v>
      </c>
      <c r="B27" s="10"/>
    </row>
    <row r="28" spans="1:22" x14ac:dyDescent="0.3">
      <c r="C28" s="1" t="s">
        <v>64</v>
      </c>
      <c r="D28" s="1"/>
    </row>
    <row r="29" spans="1:22" x14ac:dyDescent="0.3">
      <c r="A29" s="1" t="s">
        <v>2</v>
      </c>
      <c r="B29" s="1" t="s">
        <v>3</v>
      </c>
      <c r="C29" s="1" t="s">
        <v>4</v>
      </c>
      <c r="D29" s="1" t="s">
        <v>5</v>
      </c>
      <c r="E29" s="1" t="s">
        <v>6</v>
      </c>
      <c r="F29" s="1" t="s">
        <v>7</v>
      </c>
      <c r="G29" s="1" t="s">
        <v>10</v>
      </c>
      <c r="H29" s="1" t="s">
        <v>11</v>
      </c>
      <c r="I29" s="1" t="s">
        <v>13</v>
      </c>
      <c r="J29" s="1" t="s">
        <v>14</v>
      </c>
      <c r="K29" s="1" t="s">
        <v>20</v>
      </c>
      <c r="L29" s="1" t="s">
        <v>22</v>
      </c>
      <c r="M29" s="1" t="s">
        <v>25</v>
      </c>
      <c r="N29" s="1" t="s">
        <v>60</v>
      </c>
      <c r="O29" s="1" t="s">
        <v>90</v>
      </c>
      <c r="P29" s="1" t="s">
        <v>99</v>
      </c>
      <c r="Q29" s="1" t="s">
        <v>98</v>
      </c>
      <c r="R29" s="1" t="s">
        <v>91</v>
      </c>
      <c r="S29" s="1" t="s">
        <v>59</v>
      </c>
      <c r="T29" s="1" t="s">
        <v>94</v>
      </c>
      <c r="U29" s="1" t="s">
        <v>95</v>
      </c>
      <c r="V29" s="1" t="s">
        <v>100</v>
      </c>
    </row>
    <row r="30" spans="1:22" x14ac:dyDescent="0.3">
      <c r="A30" s="2">
        <v>1</v>
      </c>
      <c r="B30" s="2">
        <f t="shared" ref="B30:D37" si="16">B13</f>
        <v>0.54972049879074025</v>
      </c>
      <c r="C30" s="12">
        <f t="shared" si="16"/>
        <v>20</v>
      </c>
      <c r="D30" s="12">
        <f t="shared" si="16"/>
        <v>10</v>
      </c>
      <c r="E30" s="2">
        <f>B30*C30</f>
        <v>10.994409975814804</v>
      </c>
      <c r="F30" s="2">
        <f>B30*D30</f>
        <v>5.4972049879074021</v>
      </c>
      <c r="G30" s="2">
        <f t="shared" ref="G30:G37" si="17">C30-$B$24</f>
        <v>11.967537663108521</v>
      </c>
      <c r="H30" s="2">
        <f t="shared" ref="H30:H37" si="18">D30-$B$25</f>
        <v>5.7714438117849909</v>
      </c>
      <c r="I30" s="2">
        <f t="shared" ref="I30:I37" si="19">B30*G30^2</f>
        <v>78.732046034481826</v>
      </c>
      <c r="J30" s="2">
        <f t="shared" ref="J30:J37" si="20">B30*H30^2</f>
        <v>18.310949956598794</v>
      </c>
      <c r="K30" s="2">
        <f>B30*G30*H30</f>
        <v>37.969179012957717</v>
      </c>
      <c r="L30" s="2">
        <f t="shared" ref="L30:L37" si="21">IF(B30=0,0,-($I$44*G30+$J$44*H30)+N30/B30)</f>
        <v>-2438.2036726162969</v>
      </c>
      <c r="M30" s="2">
        <f>L30*B30</f>
        <v>-1340.3305390640455</v>
      </c>
      <c r="N30" s="2">
        <f t="shared" ref="N30:N37" si="22">$T$3</f>
        <v>0</v>
      </c>
      <c r="O30" s="12">
        <f t="shared" ref="O30:R35" si="23">O13</f>
        <v>0.5</v>
      </c>
      <c r="P30" s="12" t="str">
        <f t="shared" si="23"/>
        <v>C</v>
      </c>
      <c r="Q30" s="12">
        <f t="shared" si="23"/>
        <v>2</v>
      </c>
      <c r="R30" s="2">
        <f>R13</f>
        <v>4.9720498790740218E-2</v>
      </c>
      <c r="S30" s="12">
        <f t="shared" ref="S30:S35" si="24">S13</f>
        <v>0</v>
      </c>
      <c r="T30" s="12">
        <f t="shared" ref="T30:V30" si="25">T13</f>
        <v>0</v>
      </c>
      <c r="U30" s="12">
        <f t="shared" si="25"/>
        <v>0</v>
      </c>
      <c r="V30" s="12">
        <f t="shared" si="25"/>
        <v>0</v>
      </c>
    </row>
    <row r="31" spans="1:22" x14ac:dyDescent="0.3">
      <c r="A31" s="2">
        <v>2</v>
      </c>
      <c r="B31" s="2">
        <f t="shared" si="16"/>
        <v>0.76666666666666661</v>
      </c>
      <c r="C31" s="12">
        <f t="shared" si="16"/>
        <v>20</v>
      </c>
      <c r="D31" s="12">
        <f t="shared" si="16"/>
        <v>0</v>
      </c>
      <c r="E31" s="2">
        <f t="shared" ref="E31:E37" si="26">B31*C31</f>
        <v>15.333333333333332</v>
      </c>
      <c r="F31" s="2">
        <f t="shared" ref="F31:F37" si="27">B31*D31</f>
        <v>0</v>
      </c>
      <c r="G31" s="2">
        <f t="shared" si="17"/>
        <v>11.967537663108521</v>
      </c>
      <c r="H31" s="2">
        <f t="shared" si="18"/>
        <v>-4.2285561882150091</v>
      </c>
      <c r="I31" s="2">
        <f t="shared" si="19"/>
        <v>109.80350091707272</v>
      </c>
      <c r="J31" s="2">
        <f t="shared" si="20"/>
        <v>13.70852703495011</v>
      </c>
      <c r="K31" s="2">
        <f t="shared" ref="K31:K37" si="28">B31*G31*H31</f>
        <v>-38.797477506325855</v>
      </c>
      <c r="L31" s="2">
        <f t="shared" si="21"/>
        <v>1598.4671824702655</v>
      </c>
      <c r="M31" s="2">
        <f t="shared" ref="M31:M37" si="29">L31*B31</f>
        <v>1225.4915065605367</v>
      </c>
      <c r="N31" s="2">
        <f t="shared" si="22"/>
        <v>0</v>
      </c>
      <c r="O31" s="12">
        <f t="shared" si="23"/>
        <v>0.5</v>
      </c>
      <c r="P31" s="12" t="str">
        <f t="shared" si="23"/>
        <v>T</v>
      </c>
      <c r="Q31" s="12">
        <f t="shared" si="23"/>
        <v>0</v>
      </c>
      <c r="R31" s="2">
        <f t="shared" si="23"/>
        <v>0.26666666666666666</v>
      </c>
      <c r="S31" s="12">
        <f t="shared" si="24"/>
        <v>1</v>
      </c>
      <c r="T31" s="12">
        <f t="shared" ref="T31:V35" si="30">T14</f>
        <v>0</v>
      </c>
      <c r="U31" s="12">
        <f t="shared" si="30"/>
        <v>1</v>
      </c>
      <c r="V31" s="12">
        <f t="shared" si="30"/>
        <v>0</v>
      </c>
    </row>
    <row r="32" spans="1:22" x14ac:dyDescent="0.3">
      <c r="A32" s="2">
        <v>3</v>
      </c>
      <c r="B32" s="2">
        <f t="shared" si="16"/>
        <v>0.9</v>
      </c>
      <c r="C32" s="12">
        <f t="shared" si="16"/>
        <v>10</v>
      </c>
      <c r="D32" s="12">
        <f t="shared" si="16"/>
        <v>0</v>
      </c>
      <c r="E32" s="2">
        <f t="shared" si="26"/>
        <v>9</v>
      </c>
      <c r="F32" s="2">
        <f t="shared" si="27"/>
        <v>0</v>
      </c>
      <c r="G32" s="2">
        <f t="shared" si="17"/>
        <v>1.9675376631085211</v>
      </c>
      <c r="H32" s="2">
        <f t="shared" si="18"/>
        <v>-4.2285561882150091</v>
      </c>
      <c r="I32" s="2">
        <f t="shared" si="19"/>
        <v>3.484084010175486</v>
      </c>
      <c r="J32" s="2">
        <f t="shared" si="20"/>
        <v>16.092618693202304</v>
      </c>
      <c r="K32" s="2">
        <f t="shared" si="28"/>
        <v>-7.4878592047952717</v>
      </c>
      <c r="L32" s="2">
        <f t="shared" si="21"/>
        <v>1689.0971624956699</v>
      </c>
      <c r="M32" s="2">
        <f t="shared" si="29"/>
        <v>1520.1874462461028</v>
      </c>
      <c r="N32" s="2">
        <f t="shared" si="22"/>
        <v>0</v>
      </c>
      <c r="O32" s="12">
        <f t="shared" si="23"/>
        <v>0.5</v>
      </c>
      <c r="P32" s="12" t="str">
        <f t="shared" si="23"/>
        <v>T</v>
      </c>
      <c r="Q32" s="12">
        <f t="shared" si="23"/>
        <v>0</v>
      </c>
      <c r="R32" s="2">
        <f t="shared" si="23"/>
        <v>0.4</v>
      </c>
      <c r="S32" s="12">
        <f t="shared" si="24"/>
        <v>0</v>
      </c>
      <c r="T32" s="12">
        <f t="shared" si="30"/>
        <v>1</v>
      </c>
      <c r="U32" s="12">
        <f t="shared" si="30"/>
        <v>1</v>
      </c>
      <c r="V32" s="12">
        <f t="shared" si="30"/>
        <v>0</v>
      </c>
    </row>
    <row r="33" spans="1:23" x14ac:dyDescent="0.3">
      <c r="A33" s="2">
        <v>4</v>
      </c>
      <c r="B33" s="2">
        <f t="shared" si="16"/>
        <v>1.2666666666666666</v>
      </c>
      <c r="C33" s="12">
        <f t="shared" si="16"/>
        <v>0</v>
      </c>
      <c r="D33" s="12">
        <f t="shared" si="16"/>
        <v>0</v>
      </c>
      <c r="E33" s="2">
        <f t="shared" si="26"/>
        <v>0</v>
      </c>
      <c r="F33" s="2">
        <f t="shared" si="27"/>
        <v>0</v>
      </c>
      <c r="G33" s="2">
        <f t="shared" si="17"/>
        <v>-8.0324623368914789</v>
      </c>
      <c r="H33" s="2">
        <f t="shared" si="18"/>
        <v>-4.2285561882150091</v>
      </c>
      <c r="I33" s="2">
        <f t="shared" si="19"/>
        <v>81.72590484520147</v>
      </c>
      <c r="J33" s="2">
        <f t="shared" si="20"/>
        <v>22.648870753395833</v>
      </c>
      <c r="K33" s="2">
        <f t="shared" si="28"/>
        <v>43.023243206937515</v>
      </c>
      <c r="L33" s="2">
        <f t="shared" si="21"/>
        <v>1779.727142521074</v>
      </c>
      <c r="M33" s="2">
        <f t="shared" si="29"/>
        <v>2254.3210471933603</v>
      </c>
      <c r="N33" s="2">
        <f t="shared" si="22"/>
        <v>0</v>
      </c>
      <c r="O33" s="12">
        <f t="shared" si="23"/>
        <v>1</v>
      </c>
      <c r="P33" s="12" t="str">
        <f t="shared" si="23"/>
        <v>T</v>
      </c>
      <c r="Q33" s="12">
        <f t="shared" si="23"/>
        <v>0</v>
      </c>
      <c r="R33" s="2">
        <f t="shared" si="23"/>
        <v>0.26666666666666666</v>
      </c>
      <c r="S33" s="12">
        <f t="shared" si="24"/>
        <v>1</v>
      </c>
      <c r="T33" s="12">
        <f t="shared" si="30"/>
        <v>1</v>
      </c>
      <c r="U33" s="12">
        <f t="shared" si="30"/>
        <v>0</v>
      </c>
      <c r="V33" s="12">
        <f t="shared" si="30"/>
        <v>0</v>
      </c>
    </row>
    <row r="34" spans="1:23" x14ac:dyDescent="0.3">
      <c r="A34" s="2">
        <v>5</v>
      </c>
      <c r="B34" s="2">
        <f t="shared" si="16"/>
        <v>1.0497204987907403</v>
      </c>
      <c r="C34" s="12">
        <f t="shared" si="16"/>
        <v>0</v>
      </c>
      <c r="D34" s="12">
        <f t="shared" si="16"/>
        <v>10</v>
      </c>
      <c r="E34" s="2">
        <f t="shared" si="26"/>
        <v>0</v>
      </c>
      <c r="F34" s="2">
        <f t="shared" si="27"/>
        <v>10.497204987907402</v>
      </c>
      <c r="G34" s="2">
        <f t="shared" si="17"/>
        <v>-8.0324623368914789</v>
      </c>
      <c r="H34" s="2">
        <f t="shared" si="18"/>
        <v>5.7714438117849909</v>
      </c>
      <c r="I34" s="2">
        <f t="shared" si="19"/>
        <v>67.728440209128536</v>
      </c>
      <c r="J34" s="2">
        <f t="shared" si="20"/>
        <v>34.965731792894424</v>
      </c>
      <c r="K34" s="2">
        <f t="shared" si="28"/>
        <v>-48.663892930009972</v>
      </c>
      <c r="L34" s="2">
        <f t="shared" si="21"/>
        <v>-2256.9437125654881</v>
      </c>
      <c r="M34" s="2">
        <f t="shared" si="29"/>
        <v>-2369.1600796968692</v>
      </c>
      <c r="N34" s="2">
        <f t="shared" si="22"/>
        <v>0</v>
      </c>
      <c r="O34" s="12">
        <f t="shared" si="23"/>
        <v>1</v>
      </c>
      <c r="P34" s="12" t="str">
        <f t="shared" si="23"/>
        <v>C</v>
      </c>
      <c r="Q34" s="12">
        <f t="shared" si="23"/>
        <v>2</v>
      </c>
      <c r="R34" s="2">
        <f t="shared" si="23"/>
        <v>4.9720498790740218E-2</v>
      </c>
      <c r="S34" s="12">
        <f t="shared" si="24"/>
        <v>0</v>
      </c>
      <c r="T34" s="12">
        <f t="shared" si="30"/>
        <v>0</v>
      </c>
      <c r="U34" s="12">
        <f t="shared" si="30"/>
        <v>0</v>
      </c>
      <c r="V34" s="12">
        <f t="shared" si="30"/>
        <v>0</v>
      </c>
    </row>
    <row r="35" spans="1:23" x14ac:dyDescent="0.3">
      <c r="A35" s="2">
        <v>6</v>
      </c>
      <c r="B35" s="2">
        <f t="shared" si="16"/>
        <v>0.54972049879074025</v>
      </c>
      <c r="C35" s="12">
        <f t="shared" si="16"/>
        <v>10</v>
      </c>
      <c r="D35" s="12">
        <f t="shared" si="16"/>
        <v>10</v>
      </c>
      <c r="E35" s="2">
        <f t="shared" si="26"/>
        <v>5.4972049879074021</v>
      </c>
      <c r="F35" s="2">
        <f t="shared" si="27"/>
        <v>5.4972049879074021</v>
      </c>
      <c r="G35" s="2">
        <f t="shared" si="17"/>
        <v>1.9675376631085211</v>
      </c>
      <c r="H35" s="2">
        <f t="shared" si="18"/>
        <v>5.7714438117849909</v>
      </c>
      <c r="I35" s="2">
        <f t="shared" si="19"/>
        <v>2.1280804443361232</v>
      </c>
      <c r="J35" s="2">
        <f t="shared" si="20"/>
        <v>18.310949956598794</v>
      </c>
      <c r="K35" s="2">
        <f t="shared" si="28"/>
        <v>6.2423693033859564</v>
      </c>
      <c r="L35" s="2">
        <f t="shared" si="21"/>
        <v>-2347.5736925908923</v>
      </c>
      <c r="M35" s="2">
        <f t="shared" si="29"/>
        <v>-1290.5093812390853</v>
      </c>
      <c r="N35" s="2">
        <f t="shared" si="22"/>
        <v>0</v>
      </c>
      <c r="O35" s="12">
        <f t="shared" si="23"/>
        <v>0.5</v>
      </c>
      <c r="P35" s="12" t="str">
        <f t="shared" si="23"/>
        <v>C</v>
      </c>
      <c r="Q35" s="12">
        <f t="shared" si="23"/>
        <v>2</v>
      </c>
      <c r="R35" s="2">
        <f t="shared" si="23"/>
        <v>4.9720498790740218E-2</v>
      </c>
      <c r="S35" s="12">
        <f t="shared" si="24"/>
        <v>0</v>
      </c>
      <c r="T35" s="12">
        <f t="shared" si="30"/>
        <v>0</v>
      </c>
      <c r="U35" s="12">
        <f t="shared" si="30"/>
        <v>0</v>
      </c>
      <c r="V35" s="12">
        <f t="shared" si="30"/>
        <v>0</v>
      </c>
    </row>
    <row r="36" spans="1:23" x14ac:dyDescent="0.3">
      <c r="A36" s="2">
        <v>7</v>
      </c>
      <c r="B36" s="2">
        <f t="shared" si="16"/>
        <v>0</v>
      </c>
      <c r="C36" s="12">
        <f t="shared" si="16"/>
        <v>0</v>
      </c>
      <c r="D36" s="12">
        <f t="shared" si="16"/>
        <v>0</v>
      </c>
      <c r="E36" s="2">
        <f t="shared" si="26"/>
        <v>0</v>
      </c>
      <c r="F36" s="2">
        <f t="shared" si="27"/>
        <v>0</v>
      </c>
      <c r="G36" s="2">
        <f t="shared" si="17"/>
        <v>-8.0324623368914789</v>
      </c>
      <c r="H36" s="2">
        <f t="shared" si="18"/>
        <v>-4.2285561882150091</v>
      </c>
      <c r="I36" s="2">
        <f t="shared" si="19"/>
        <v>0</v>
      </c>
      <c r="J36" s="2">
        <f t="shared" si="20"/>
        <v>0</v>
      </c>
      <c r="K36" s="2">
        <f t="shared" si="28"/>
        <v>0</v>
      </c>
      <c r="L36" s="2">
        <f t="shared" si="21"/>
        <v>0</v>
      </c>
      <c r="M36" s="2">
        <f t="shared" si="29"/>
        <v>0</v>
      </c>
      <c r="N36" s="2">
        <f t="shared" si="22"/>
        <v>0</v>
      </c>
      <c r="O36" s="12">
        <f t="shared" ref="O36:P37" si="31">O19</f>
        <v>0</v>
      </c>
      <c r="P36" s="12" t="str">
        <f t="shared" si="31"/>
        <v>C</v>
      </c>
      <c r="Q36" s="12" t="str">
        <f t="shared" ref="Q36:R37" si="32">Q19</f>
        <v>Input</v>
      </c>
      <c r="R36" s="2">
        <f t="shared" si="32"/>
        <v>0</v>
      </c>
      <c r="S36" s="12">
        <f t="shared" ref="S36:V37" si="33">S19</f>
        <v>0</v>
      </c>
      <c r="T36" s="12">
        <f t="shared" si="33"/>
        <v>0</v>
      </c>
      <c r="U36" s="12">
        <f t="shared" si="33"/>
        <v>0</v>
      </c>
      <c r="V36" s="12">
        <f t="shared" si="33"/>
        <v>0</v>
      </c>
    </row>
    <row r="37" spans="1:23" x14ac:dyDescent="0.3">
      <c r="A37" s="2">
        <v>8</v>
      </c>
      <c r="B37" s="2">
        <f t="shared" si="16"/>
        <v>0</v>
      </c>
      <c r="C37" s="12">
        <f t="shared" si="16"/>
        <v>0</v>
      </c>
      <c r="D37" s="12">
        <f t="shared" si="16"/>
        <v>0</v>
      </c>
      <c r="E37" s="2">
        <f t="shared" si="26"/>
        <v>0</v>
      </c>
      <c r="F37" s="2">
        <f t="shared" si="27"/>
        <v>0</v>
      </c>
      <c r="G37" s="2">
        <f t="shared" si="17"/>
        <v>-8.0324623368914789</v>
      </c>
      <c r="H37" s="2">
        <f t="shared" si="18"/>
        <v>-4.2285561882150091</v>
      </c>
      <c r="I37" s="2">
        <f t="shared" si="19"/>
        <v>0</v>
      </c>
      <c r="J37" s="2">
        <f t="shared" si="20"/>
        <v>0</v>
      </c>
      <c r="K37" s="2">
        <f t="shared" si="28"/>
        <v>0</v>
      </c>
      <c r="L37" s="2">
        <f t="shared" si="21"/>
        <v>0</v>
      </c>
      <c r="M37" s="2">
        <f t="shared" si="29"/>
        <v>0</v>
      </c>
      <c r="N37" s="2">
        <f t="shared" si="22"/>
        <v>0</v>
      </c>
      <c r="O37" s="12">
        <f t="shared" si="31"/>
        <v>0</v>
      </c>
      <c r="P37" s="12" t="str">
        <f t="shared" si="31"/>
        <v>C</v>
      </c>
      <c r="Q37" s="12" t="str">
        <f t="shared" si="32"/>
        <v>Input</v>
      </c>
      <c r="R37" s="2">
        <f t="shared" si="32"/>
        <v>0</v>
      </c>
      <c r="S37" s="12">
        <f t="shared" si="33"/>
        <v>0</v>
      </c>
      <c r="T37" s="12">
        <f t="shared" si="33"/>
        <v>0</v>
      </c>
      <c r="U37" s="12">
        <f t="shared" si="33"/>
        <v>0</v>
      </c>
      <c r="V37" s="12">
        <f t="shared" si="33"/>
        <v>0</v>
      </c>
    </row>
    <row r="38" spans="1:23" x14ac:dyDescent="0.3">
      <c r="B38" s="1" t="s">
        <v>15</v>
      </c>
      <c r="E38" s="1" t="s">
        <v>16</v>
      </c>
      <c r="F38" s="1" t="s">
        <v>17</v>
      </c>
      <c r="I38" s="1" t="s">
        <v>18</v>
      </c>
      <c r="J38" s="1" t="s">
        <v>19</v>
      </c>
      <c r="K38" s="1" t="s">
        <v>21</v>
      </c>
      <c r="M38" s="1" t="s">
        <v>61</v>
      </c>
    </row>
    <row r="39" spans="1:23" x14ac:dyDescent="0.3">
      <c r="B39" s="2">
        <f>SUM(B30:B37)</f>
        <v>5.0824948297055537</v>
      </c>
      <c r="E39" s="2">
        <f>SUM(E30:E37)</f>
        <v>40.824948297055535</v>
      </c>
      <c r="F39" s="2">
        <f>SUM(F30:F37)</f>
        <v>21.491614963722206</v>
      </c>
      <c r="I39" s="2">
        <f>SUM(I30:I37)</f>
        <v>343.60205646039623</v>
      </c>
      <c r="J39" s="2">
        <f>SUM(J30:J37)</f>
        <v>124.03764818764026</v>
      </c>
      <c r="K39" s="2">
        <f>SUM(K30:K37)</f>
        <v>-7.7144381178499088</v>
      </c>
      <c r="M39" s="2">
        <f>ROUNDDOWN(SUM(M30:M37),1)</f>
        <v>0</v>
      </c>
    </row>
    <row r="41" spans="1:23" x14ac:dyDescent="0.3">
      <c r="A41" s="4" t="s">
        <v>8</v>
      </c>
      <c r="B41" s="1"/>
      <c r="I41" s="1" t="s">
        <v>47</v>
      </c>
      <c r="J41" s="1" t="s">
        <v>33</v>
      </c>
      <c r="K41" s="1" t="s">
        <v>34</v>
      </c>
    </row>
    <row r="42" spans="1:23" x14ac:dyDescent="0.3">
      <c r="A42" s="2" t="s">
        <v>9</v>
      </c>
      <c r="B42" s="2">
        <f>E39/B39</f>
        <v>8.0324623368914789</v>
      </c>
      <c r="I42" s="2">
        <f>K39/(J39*I39-K39^2)</f>
        <v>-1.8125996005080867E-4</v>
      </c>
      <c r="J42" s="2">
        <f>I39/(J39*I39-K39^2)</f>
        <v>8.0733417101731247E-3</v>
      </c>
      <c r="K42" s="2">
        <f>J39/(J39*I39-K39^2)</f>
        <v>2.9144130540454949E-3</v>
      </c>
      <c r="W42"/>
    </row>
    <row r="43" spans="1:23" x14ac:dyDescent="0.3">
      <c r="A43" s="2" t="s">
        <v>12</v>
      </c>
      <c r="B43" s="2">
        <f>F39/B39</f>
        <v>4.2285561882150091</v>
      </c>
      <c r="I43" s="1" t="s">
        <v>23</v>
      </c>
      <c r="J43" s="1" t="s">
        <v>24</v>
      </c>
    </row>
    <row r="44" spans="1:23" x14ac:dyDescent="0.3">
      <c r="I44" s="2">
        <f>K42*H4-I42*H3</f>
        <v>9.062998002540434</v>
      </c>
      <c r="J44" s="2">
        <f>J42*H3-I42*H4</f>
        <v>403.66708550865621</v>
      </c>
    </row>
    <row r="45" spans="1:23" ht="18" x14ac:dyDescent="0.3">
      <c r="A45" s="11" t="s">
        <v>35</v>
      </c>
      <c r="B45" s="10"/>
    </row>
    <row r="46" spans="1:23" x14ac:dyDescent="0.3">
      <c r="D46" s="2" t="s">
        <v>62</v>
      </c>
    </row>
    <row r="47" spans="1:23" x14ac:dyDescent="0.3">
      <c r="A47" s="1" t="s">
        <v>2</v>
      </c>
      <c r="B47" s="1" t="s">
        <v>26</v>
      </c>
      <c r="C47" s="1" t="s">
        <v>27</v>
      </c>
      <c r="D47" s="1" t="s">
        <v>28</v>
      </c>
      <c r="E47" s="1" t="s">
        <v>29</v>
      </c>
    </row>
    <row r="48" spans="1:23" x14ac:dyDescent="0.3">
      <c r="A48" s="2">
        <v>1</v>
      </c>
      <c r="B48" s="2">
        <f t="shared" ref="B48:B55" si="34">M13</f>
        <v>0</v>
      </c>
      <c r="C48" s="2">
        <f t="shared" ref="C48:C55" si="35">M30</f>
        <v>-1340.3305390640455</v>
      </c>
      <c r="D48" s="2">
        <f>(C48-B48)</f>
        <v>-1340.3305390640455</v>
      </c>
      <c r="E48" s="2">
        <f t="shared" ref="E48:E55" si="36">D48/$T$4</f>
        <v>-134.03305390640455</v>
      </c>
    </row>
    <row r="49" spans="1:24" x14ac:dyDescent="0.3">
      <c r="A49" s="2">
        <v>2</v>
      </c>
      <c r="B49" s="2">
        <f t="shared" si="34"/>
        <v>0</v>
      </c>
      <c r="C49" s="2">
        <f t="shared" si="35"/>
        <v>1225.4915065605367</v>
      </c>
      <c r="D49" s="2">
        <f t="shared" ref="D49:D55" si="37">(C49-B49)</f>
        <v>1225.4915065605367</v>
      </c>
      <c r="E49" s="2">
        <f t="shared" si="36"/>
        <v>122.54915065605367</v>
      </c>
    </row>
    <row r="50" spans="1:24" x14ac:dyDescent="0.3">
      <c r="A50" s="2">
        <v>3</v>
      </c>
      <c r="B50" s="2">
        <f t="shared" si="34"/>
        <v>0</v>
      </c>
      <c r="C50" s="2">
        <f t="shared" si="35"/>
        <v>1520.1874462461028</v>
      </c>
      <c r="D50" s="2">
        <f t="shared" si="37"/>
        <v>1520.1874462461028</v>
      </c>
      <c r="E50" s="2">
        <f t="shared" si="36"/>
        <v>152.01874462461029</v>
      </c>
    </row>
    <row r="51" spans="1:24" x14ac:dyDescent="0.3">
      <c r="A51" s="2">
        <v>4</v>
      </c>
      <c r="B51" s="2">
        <f t="shared" si="34"/>
        <v>0</v>
      </c>
      <c r="C51" s="2">
        <f t="shared" si="35"/>
        <v>2254.3210471933603</v>
      </c>
      <c r="D51" s="2">
        <f t="shared" si="37"/>
        <v>2254.3210471933603</v>
      </c>
      <c r="E51" s="2">
        <f t="shared" si="36"/>
        <v>225.43210471933602</v>
      </c>
    </row>
    <row r="52" spans="1:24" x14ac:dyDescent="0.3">
      <c r="A52" s="2">
        <v>5</v>
      </c>
      <c r="B52" s="2">
        <f t="shared" si="34"/>
        <v>0</v>
      </c>
      <c r="C52" s="2">
        <f t="shared" si="35"/>
        <v>-2369.1600796968692</v>
      </c>
      <c r="D52" s="2">
        <f t="shared" si="37"/>
        <v>-2369.1600796968692</v>
      </c>
      <c r="E52" s="2">
        <f t="shared" si="36"/>
        <v>-236.91600796968692</v>
      </c>
    </row>
    <row r="53" spans="1:24" x14ac:dyDescent="0.3">
      <c r="A53" s="2">
        <v>6</v>
      </c>
      <c r="B53" s="2">
        <f t="shared" si="34"/>
        <v>0</v>
      </c>
      <c r="C53" s="2">
        <f t="shared" si="35"/>
        <v>-1290.5093812390853</v>
      </c>
      <c r="D53" s="2">
        <f t="shared" si="37"/>
        <v>-1290.5093812390853</v>
      </c>
      <c r="E53" s="2">
        <f t="shared" si="36"/>
        <v>-129.05093812390854</v>
      </c>
    </row>
    <row r="54" spans="1:24" x14ac:dyDescent="0.3">
      <c r="A54" s="2">
        <v>7</v>
      </c>
      <c r="B54" s="2">
        <f t="shared" si="34"/>
        <v>0</v>
      </c>
      <c r="C54" s="2">
        <f t="shared" si="35"/>
        <v>0</v>
      </c>
      <c r="D54" s="2">
        <f t="shared" si="37"/>
        <v>0</v>
      </c>
      <c r="E54" s="2">
        <f t="shared" si="36"/>
        <v>0</v>
      </c>
    </row>
    <row r="55" spans="1:24" x14ac:dyDescent="0.3">
      <c r="A55" s="2">
        <v>8</v>
      </c>
      <c r="B55" s="2">
        <f t="shared" si="34"/>
        <v>0</v>
      </c>
      <c r="C55" s="2">
        <f t="shared" si="35"/>
        <v>0</v>
      </c>
      <c r="D55" s="2">
        <f t="shared" si="37"/>
        <v>0</v>
      </c>
      <c r="E55" s="2">
        <f t="shared" si="36"/>
        <v>0</v>
      </c>
      <c r="Q55"/>
    </row>
    <row r="57" spans="1:24" x14ac:dyDescent="0.3">
      <c r="A57" s="5" t="s">
        <v>83</v>
      </c>
      <c r="B57" s="5"/>
      <c r="C57" s="5"/>
      <c r="D57" s="5"/>
      <c r="E57" s="5"/>
      <c r="F57" s="5"/>
    </row>
    <row r="58" spans="1:24" x14ac:dyDescent="0.3">
      <c r="A58" s="5" t="s">
        <v>84</v>
      </c>
    </row>
    <row r="59" spans="1:24" x14ac:dyDescent="0.3">
      <c r="A59" s="14" t="s">
        <v>108</v>
      </c>
    </row>
    <row r="60" spans="1:24" x14ac:dyDescent="0.3">
      <c r="A60" s="1" t="s">
        <v>4</v>
      </c>
      <c r="B60" s="1" t="s">
        <v>5</v>
      </c>
      <c r="W60" s="18"/>
      <c r="X60" s="18"/>
    </row>
    <row r="61" spans="1:24" x14ac:dyDescent="0.3">
      <c r="A61" s="2">
        <v>0</v>
      </c>
      <c r="B61" s="2">
        <v>0</v>
      </c>
      <c r="W61" s="18"/>
      <c r="X61" s="18"/>
    </row>
    <row r="62" spans="1:24" x14ac:dyDescent="0.3">
      <c r="A62" s="1" t="s">
        <v>42</v>
      </c>
      <c r="B62" s="1" t="s">
        <v>109</v>
      </c>
      <c r="C62" s="1" t="s">
        <v>122</v>
      </c>
      <c r="D62" s="4" t="s">
        <v>63</v>
      </c>
      <c r="W62" s="18"/>
      <c r="X62" s="18"/>
    </row>
    <row r="63" spans="1:24" x14ac:dyDescent="0.3">
      <c r="A63" s="2">
        <f>K3*(K4-A61)</f>
        <v>22337.688315542604</v>
      </c>
      <c r="B63" s="2">
        <f>-Q3*(Q4-B61)</f>
        <v>0</v>
      </c>
      <c r="C63" s="2">
        <f>E5+H5</f>
        <v>0</v>
      </c>
      <c r="D63" s="19">
        <f>R78</f>
        <v>26260.794715567332</v>
      </c>
      <c r="W63" s="18"/>
      <c r="X63" s="18"/>
    </row>
    <row r="64" spans="1:24" x14ac:dyDescent="0.3">
      <c r="W64" s="18"/>
      <c r="X64" s="18"/>
    </row>
    <row r="65" spans="1:24" x14ac:dyDescent="0.3">
      <c r="F65" s="6" t="s">
        <v>65</v>
      </c>
      <c r="G65" s="6"/>
      <c r="J65" s="6"/>
      <c r="K65" s="6" t="s">
        <v>66</v>
      </c>
      <c r="W65" s="18"/>
      <c r="X65" s="18"/>
    </row>
    <row r="66" spans="1:24" x14ac:dyDescent="0.3">
      <c r="A66" s="1" t="s">
        <v>30</v>
      </c>
      <c r="B66" s="1" t="s">
        <v>88</v>
      </c>
      <c r="C66" s="1" t="s">
        <v>89</v>
      </c>
      <c r="D66" s="1" t="s">
        <v>38</v>
      </c>
      <c r="E66" s="1" t="s">
        <v>67</v>
      </c>
      <c r="F66" s="1" t="s">
        <v>68</v>
      </c>
      <c r="G66" s="1" t="s">
        <v>69</v>
      </c>
      <c r="H66" s="1" t="s">
        <v>57</v>
      </c>
      <c r="I66" s="1" t="s">
        <v>58</v>
      </c>
      <c r="J66" s="1" t="s">
        <v>67</v>
      </c>
      <c r="K66" s="1" t="s">
        <v>68</v>
      </c>
      <c r="L66" s="1" t="s">
        <v>69</v>
      </c>
      <c r="M66" s="1" t="s">
        <v>45</v>
      </c>
      <c r="N66" s="1" t="s">
        <v>46</v>
      </c>
      <c r="P66" s="1" t="s">
        <v>36</v>
      </c>
      <c r="Q66" s="1" t="s">
        <v>37</v>
      </c>
      <c r="R66" s="1" t="s">
        <v>39</v>
      </c>
      <c r="S66" s="17"/>
      <c r="T66" s="1" t="s">
        <v>51</v>
      </c>
      <c r="U66" s="1" t="s">
        <v>52</v>
      </c>
      <c r="V66" s="1" t="s">
        <v>54</v>
      </c>
      <c r="W66" s="18"/>
      <c r="X66" s="18"/>
    </row>
    <row r="67" spans="1:24" x14ac:dyDescent="0.3">
      <c r="A67" s="2" t="s">
        <v>107</v>
      </c>
      <c r="E67" s="2" t="s">
        <v>104</v>
      </c>
      <c r="F67" s="2" t="s">
        <v>105</v>
      </c>
      <c r="G67" s="2" t="s">
        <v>106</v>
      </c>
      <c r="J67" s="2" t="s">
        <v>104</v>
      </c>
      <c r="K67" s="2" t="s">
        <v>105</v>
      </c>
      <c r="L67" s="2" t="s">
        <v>106</v>
      </c>
      <c r="S67" s="18"/>
      <c r="W67" s="18"/>
      <c r="X67" s="18"/>
    </row>
    <row r="68" spans="1:24" x14ac:dyDescent="0.3">
      <c r="A68" s="7" t="s">
        <v>75</v>
      </c>
      <c r="D68" s="2">
        <f>IF(C68="None",0,E48)</f>
        <v>-134.03305390640455</v>
      </c>
      <c r="E68" s="2">
        <f>A61</f>
        <v>0</v>
      </c>
      <c r="F68" s="2">
        <f>G13</f>
        <v>11.967537663108521</v>
      </c>
      <c r="G68" s="2">
        <f>G14</f>
        <v>11.967537663108521</v>
      </c>
      <c r="H68" s="2">
        <f>F68-G68</f>
        <v>0</v>
      </c>
      <c r="I68" s="2">
        <f>D68*H68</f>
        <v>0</v>
      </c>
      <c r="J68" s="2">
        <f>B61</f>
        <v>0</v>
      </c>
      <c r="K68" s="2">
        <f>H13</f>
        <v>5.7714438117849909</v>
      </c>
      <c r="L68" s="2">
        <f>H14</f>
        <v>-4.2285561882150091</v>
      </c>
      <c r="M68" s="2">
        <f>K68-L68</f>
        <v>10</v>
      </c>
      <c r="N68" s="2">
        <f t="shared" ref="N68:N76" si="38">D68*M68</f>
        <v>-1340.3305390640455</v>
      </c>
      <c r="P68" s="2">
        <f>IF(C68="None",0,ABS(E68*(K68-L68)+F68*(L68-J68)+G68*(J68-K68))/2)</f>
        <v>59.837688315542607</v>
      </c>
      <c r="Q68" s="2">
        <f t="shared" ref="Q68:Q76" si="39">P68*2</f>
        <v>119.67537663108521</v>
      </c>
      <c r="R68" s="2">
        <f t="shared" ref="R68:R76" si="40">Q68*D68</f>
        <v>-16040.456207263511</v>
      </c>
      <c r="S68" s="18"/>
      <c r="T68" s="2">
        <f>IF(C68="None",0,D68+$R$81)</f>
        <v>-255.52926148417939</v>
      </c>
      <c r="U68" s="2">
        <f>T68*H68</f>
        <v>0</v>
      </c>
      <c r="V68" s="2">
        <f>T68*M68</f>
        <v>-2555.2926148417937</v>
      </c>
      <c r="W68" s="18"/>
      <c r="X68" s="18"/>
    </row>
    <row r="69" spans="1:24" x14ac:dyDescent="0.3">
      <c r="A69" s="7" t="s">
        <v>76</v>
      </c>
      <c r="D69" s="2">
        <f>IF(C69="None",0,D68+E49)</f>
        <v>-11.483903250350878</v>
      </c>
      <c r="E69" s="2">
        <f>$E$68</f>
        <v>0</v>
      </c>
      <c r="F69" s="2">
        <f>G14</f>
        <v>11.967537663108521</v>
      </c>
      <c r="G69" s="2">
        <f>G15</f>
        <v>1.9675376631085211</v>
      </c>
      <c r="H69" s="2">
        <f t="shared" ref="H69:H76" si="41">F69-G69</f>
        <v>10</v>
      </c>
      <c r="I69" s="2">
        <f t="shared" ref="I69:I76" si="42">D69*H69</f>
        <v>-114.83903250350878</v>
      </c>
      <c r="J69" s="2">
        <f>$J$68</f>
        <v>0</v>
      </c>
      <c r="K69" s="2">
        <f>H14</f>
        <v>-4.2285561882150091</v>
      </c>
      <c r="L69" s="2">
        <f>H15</f>
        <v>-4.2285561882150091</v>
      </c>
      <c r="M69" s="2">
        <f t="shared" ref="M69:M75" si="43">K69-L69</f>
        <v>0</v>
      </c>
      <c r="N69" s="2">
        <f t="shared" si="38"/>
        <v>0</v>
      </c>
      <c r="P69" s="2">
        <f t="shared" ref="P69:P76" si="44">IF(C69="None",0,ABS(E69*(K69-L69)+F69*(L69-J69)+G69*(J69-K69))/2)</f>
        <v>21.142780941075046</v>
      </c>
      <c r="Q69" s="2">
        <f t="shared" si="39"/>
        <v>42.285561882150091</v>
      </c>
      <c r="R69" s="2">
        <f t="shared" si="40"/>
        <v>-485.60330154133658</v>
      </c>
      <c r="S69" s="18"/>
      <c r="T69" s="2">
        <f t="shared" ref="T69:T76" si="45">IF(C69="None",0,D69+$R$81)</f>
        <v>-132.9801108281257</v>
      </c>
      <c r="U69" s="2">
        <f>T69*H69</f>
        <v>-1329.801108281257</v>
      </c>
      <c r="V69" s="2">
        <f>T69*M69</f>
        <v>0</v>
      </c>
      <c r="W69" s="18"/>
      <c r="X69" s="18"/>
    </row>
    <row r="70" spans="1:24" x14ac:dyDescent="0.3">
      <c r="A70" s="7" t="s">
        <v>77</v>
      </c>
      <c r="D70" s="2">
        <f>IF(C70="None",0,D69+E50)</f>
        <v>140.53484137425943</v>
      </c>
      <c r="E70" s="2">
        <f>$E$68</f>
        <v>0</v>
      </c>
      <c r="F70" s="2">
        <f>G15</f>
        <v>1.9675376631085211</v>
      </c>
      <c r="G70" s="2">
        <f>G16</f>
        <v>-8.0324623368914789</v>
      </c>
      <c r="H70" s="2">
        <f t="shared" si="41"/>
        <v>10</v>
      </c>
      <c r="I70" s="2">
        <f t="shared" si="42"/>
        <v>1405.3484137425944</v>
      </c>
      <c r="J70" s="2">
        <f>$J$68</f>
        <v>0</v>
      </c>
      <c r="K70" s="2">
        <f>H15</f>
        <v>-4.2285561882150091</v>
      </c>
      <c r="L70" s="2">
        <f>H16</f>
        <v>-4.2285561882150091</v>
      </c>
      <c r="M70" s="2">
        <f t="shared" si="43"/>
        <v>0</v>
      </c>
      <c r="N70" s="2">
        <f t="shared" si="38"/>
        <v>0</v>
      </c>
      <c r="P70" s="2">
        <f t="shared" si="44"/>
        <v>21.142780941075046</v>
      </c>
      <c r="Q70" s="2">
        <f t="shared" si="39"/>
        <v>42.285561882150091</v>
      </c>
      <c r="R70" s="2">
        <f t="shared" si="40"/>
        <v>5942.5947315293943</v>
      </c>
      <c r="S70" s="18"/>
      <c r="T70" s="2">
        <f t="shared" si="45"/>
        <v>19.038633796484589</v>
      </c>
      <c r="U70" s="2">
        <f>T70*H70</f>
        <v>190.38633796484589</v>
      </c>
      <c r="V70" s="2">
        <f>T70*M70</f>
        <v>0</v>
      </c>
      <c r="W70" s="18"/>
      <c r="X70" s="18"/>
    </row>
    <row r="71" spans="1:24" x14ac:dyDescent="0.3">
      <c r="A71" s="7" t="s">
        <v>78</v>
      </c>
      <c r="D71" s="2">
        <f>IF(C71="None",0,D70+E51)</f>
        <v>365.96694609359542</v>
      </c>
      <c r="E71" s="2">
        <f>$E$68</f>
        <v>0</v>
      </c>
      <c r="F71" s="2">
        <f>G16</f>
        <v>-8.0324623368914789</v>
      </c>
      <c r="G71" s="2">
        <f>G17</f>
        <v>-8.0324623368914789</v>
      </c>
      <c r="H71" s="2">
        <f t="shared" si="41"/>
        <v>0</v>
      </c>
      <c r="I71" s="2">
        <f t="shared" si="42"/>
        <v>0</v>
      </c>
      <c r="J71" s="2">
        <f>$J$68</f>
        <v>0</v>
      </c>
      <c r="K71" s="2">
        <f>H16</f>
        <v>-4.2285561882150091</v>
      </c>
      <c r="L71" s="2">
        <f>H17</f>
        <v>5.7714438117849909</v>
      </c>
      <c r="M71" s="2">
        <f t="shared" si="43"/>
        <v>-10</v>
      </c>
      <c r="N71" s="2">
        <f t="shared" si="38"/>
        <v>-3659.6694609359542</v>
      </c>
      <c r="P71" s="2">
        <f t="shared" si="44"/>
        <v>40.162311684457393</v>
      </c>
      <c r="Q71" s="2">
        <f t="shared" si="39"/>
        <v>80.324623368914786</v>
      </c>
      <c r="R71" s="2">
        <f t="shared" si="40"/>
        <v>29396.157110439992</v>
      </c>
      <c r="S71" s="18"/>
      <c r="T71" s="2">
        <f t="shared" si="45"/>
        <v>244.47073851582059</v>
      </c>
      <c r="U71" s="2">
        <f>T71*H71</f>
        <v>0</v>
      </c>
      <c r="V71" s="2">
        <f>T71*M71</f>
        <v>-2444.7073851582059</v>
      </c>
      <c r="W71" s="17"/>
      <c r="X71" s="17"/>
    </row>
    <row r="72" spans="1:24" x14ac:dyDescent="0.3">
      <c r="A72" s="7" t="s">
        <v>79</v>
      </c>
      <c r="D72" s="2">
        <f>IF(C72="None",0,D71+E52)</f>
        <v>129.05093812390851</v>
      </c>
      <c r="E72" s="2">
        <f>$E$68</f>
        <v>0</v>
      </c>
      <c r="F72" s="2">
        <f>G17</f>
        <v>-8.0324623368914789</v>
      </c>
      <c r="G72" s="2">
        <f>G18</f>
        <v>1.9675376631085211</v>
      </c>
      <c r="H72" s="2">
        <f t="shared" si="41"/>
        <v>-10</v>
      </c>
      <c r="I72" s="2">
        <f t="shared" si="42"/>
        <v>-1290.5093812390851</v>
      </c>
      <c r="J72" s="2">
        <f>$J$68</f>
        <v>0</v>
      </c>
      <c r="K72" s="2">
        <f>H17</f>
        <v>5.7714438117849909</v>
      </c>
      <c r="L72" s="2">
        <f>H18</f>
        <v>5.7714438117849909</v>
      </c>
      <c r="M72" s="2">
        <f t="shared" si="43"/>
        <v>0</v>
      </c>
      <c r="N72" s="2">
        <f t="shared" si="38"/>
        <v>0</v>
      </c>
      <c r="P72" s="2">
        <f t="shared" si="44"/>
        <v>28.857219058924954</v>
      </c>
      <c r="Q72" s="2">
        <f t="shared" si="39"/>
        <v>57.714438117849909</v>
      </c>
      <c r="R72" s="2">
        <f t="shared" si="40"/>
        <v>7448.1023824027952</v>
      </c>
      <c r="S72" s="18"/>
      <c r="T72" s="2">
        <f t="shared" si="45"/>
        <v>7.5547305461336691</v>
      </c>
      <c r="U72" s="2">
        <f>T72*H72</f>
        <v>-75.547305461336691</v>
      </c>
      <c r="V72" s="2">
        <f>T72*M72</f>
        <v>0</v>
      </c>
      <c r="W72" s="18"/>
      <c r="X72" s="18"/>
    </row>
    <row r="73" spans="1:24" x14ac:dyDescent="0.3">
      <c r="A73" s="7" t="s">
        <v>80</v>
      </c>
      <c r="C73" s="2" t="s">
        <v>123</v>
      </c>
      <c r="D73" s="2">
        <f>IF(C73="None",0,D72+E53)</f>
        <v>0</v>
      </c>
      <c r="E73" s="2">
        <f>$E$68</f>
        <v>0</v>
      </c>
      <c r="F73" s="2">
        <f>G18</f>
        <v>1.9675376631085211</v>
      </c>
      <c r="G73" s="2">
        <f>G19</f>
        <v>-8.0324623368914789</v>
      </c>
      <c r="H73" s="2">
        <f t="shared" si="41"/>
        <v>10</v>
      </c>
      <c r="I73" s="2">
        <f t="shared" si="42"/>
        <v>0</v>
      </c>
      <c r="J73" s="2">
        <f>$J$68</f>
        <v>0</v>
      </c>
      <c r="K73" s="2">
        <f>H18</f>
        <v>5.7714438117849909</v>
      </c>
      <c r="L73" s="2">
        <f>H19</f>
        <v>-4.2285561882150091</v>
      </c>
      <c r="M73" s="2">
        <f t="shared" si="43"/>
        <v>10</v>
      </c>
      <c r="N73" s="2">
        <f t="shared" si="38"/>
        <v>0</v>
      </c>
      <c r="P73" s="2">
        <f t="shared" si="44"/>
        <v>0</v>
      </c>
      <c r="Q73" s="2">
        <f t="shared" si="39"/>
        <v>0</v>
      </c>
      <c r="R73" s="2">
        <f t="shared" si="40"/>
        <v>0</v>
      </c>
      <c r="S73" s="18"/>
      <c r="T73" s="2">
        <f t="shared" si="45"/>
        <v>0</v>
      </c>
      <c r="U73" s="2">
        <f>T73*H73</f>
        <v>0</v>
      </c>
      <c r="V73" s="2">
        <f>T73*M73</f>
        <v>0</v>
      </c>
      <c r="W73" s="18"/>
      <c r="X73" s="18"/>
    </row>
    <row r="74" spans="1:24" x14ac:dyDescent="0.3">
      <c r="A74" s="7" t="s">
        <v>81</v>
      </c>
      <c r="C74" s="2" t="s">
        <v>123</v>
      </c>
      <c r="D74" s="2">
        <f>IF(C74="None",0,D73+E54)</f>
        <v>0</v>
      </c>
      <c r="E74" s="2">
        <f>$E$68</f>
        <v>0</v>
      </c>
      <c r="F74" s="2">
        <f>G19</f>
        <v>-8.0324623368914789</v>
      </c>
      <c r="G74" s="2">
        <f>G20</f>
        <v>-8.0324623368914789</v>
      </c>
      <c r="H74" s="2">
        <f t="shared" si="41"/>
        <v>0</v>
      </c>
      <c r="I74" s="2">
        <f t="shared" si="42"/>
        <v>0</v>
      </c>
      <c r="J74" s="2">
        <f>$J$68</f>
        <v>0</v>
      </c>
      <c r="K74" s="2">
        <f>H19</f>
        <v>-4.2285561882150091</v>
      </c>
      <c r="L74" s="2">
        <f>H20</f>
        <v>-4.2285561882150091</v>
      </c>
      <c r="M74" s="2">
        <f t="shared" si="43"/>
        <v>0</v>
      </c>
      <c r="N74" s="2">
        <f t="shared" si="38"/>
        <v>0</v>
      </c>
      <c r="P74" s="2">
        <f t="shared" si="44"/>
        <v>0</v>
      </c>
      <c r="Q74" s="2">
        <f t="shared" si="39"/>
        <v>0</v>
      </c>
      <c r="R74" s="2">
        <f t="shared" si="40"/>
        <v>0</v>
      </c>
      <c r="S74" s="18"/>
      <c r="T74" s="2">
        <f t="shared" si="45"/>
        <v>0</v>
      </c>
      <c r="U74" s="2">
        <f>T74*H74</f>
        <v>0</v>
      </c>
      <c r="V74" s="2">
        <f>T74*M74</f>
        <v>0</v>
      </c>
    </row>
    <row r="75" spans="1:24" x14ac:dyDescent="0.3">
      <c r="A75" s="7" t="s">
        <v>124</v>
      </c>
      <c r="B75" s="2" t="s">
        <v>87</v>
      </c>
      <c r="D75" s="2">
        <f>IF(C75="None",0,D74+E55)</f>
        <v>0</v>
      </c>
      <c r="E75" s="2">
        <f>$E$68</f>
        <v>0</v>
      </c>
      <c r="F75" s="2">
        <f>G18</f>
        <v>1.9675376631085211</v>
      </c>
      <c r="G75" s="2">
        <f>G13</f>
        <v>11.967537663108521</v>
      </c>
      <c r="H75" s="2">
        <f t="shared" si="41"/>
        <v>-10</v>
      </c>
      <c r="I75" s="2">
        <f t="shared" si="42"/>
        <v>0</v>
      </c>
      <c r="J75" s="2">
        <f>$J$68</f>
        <v>0</v>
      </c>
      <c r="K75" s="2">
        <f>H18</f>
        <v>5.7714438117849909</v>
      </c>
      <c r="L75" s="2">
        <f>H13</f>
        <v>5.7714438117849909</v>
      </c>
      <c r="M75" s="2">
        <f t="shared" si="43"/>
        <v>0</v>
      </c>
      <c r="N75" s="2">
        <f t="shared" si="38"/>
        <v>0</v>
      </c>
      <c r="P75" s="2">
        <f t="shared" si="44"/>
        <v>28.857219058924954</v>
      </c>
      <c r="Q75" s="2">
        <f t="shared" si="39"/>
        <v>57.714438117849909</v>
      </c>
      <c r="R75" s="2">
        <f t="shared" si="40"/>
        <v>0</v>
      </c>
      <c r="S75" s="18"/>
      <c r="T75" s="2">
        <f t="shared" si="45"/>
        <v>-121.49620757777484</v>
      </c>
      <c r="U75" s="2">
        <f>T75*H75</f>
        <v>1214.9620757777484</v>
      </c>
      <c r="V75" s="2">
        <f>T75*M75</f>
        <v>0</v>
      </c>
    </row>
    <row r="76" spans="1:24" x14ac:dyDescent="0.3">
      <c r="A76" s="7" t="s">
        <v>70</v>
      </c>
      <c r="C76" s="2" t="s">
        <v>123</v>
      </c>
      <c r="D76" s="2">
        <f>IF(C76="None",0,D71-D70-E51)</f>
        <v>0</v>
      </c>
      <c r="E76" s="2">
        <f>$E$68</f>
        <v>0</v>
      </c>
      <c r="F76" s="2">
        <f>G19</f>
        <v>-8.0324623368914789</v>
      </c>
      <c r="G76" s="2">
        <f>G16</f>
        <v>-8.0324623368914789</v>
      </c>
      <c r="H76" s="2">
        <f t="shared" si="41"/>
        <v>0</v>
      </c>
      <c r="I76" s="2">
        <f t="shared" si="42"/>
        <v>0</v>
      </c>
      <c r="J76" s="2">
        <f>$J$68</f>
        <v>0</v>
      </c>
      <c r="K76" s="2">
        <f>H19</f>
        <v>-4.2285561882150091</v>
      </c>
      <c r="L76" s="2">
        <f>H16</f>
        <v>-4.2285561882150091</v>
      </c>
      <c r="M76" s="2">
        <f>K76-L76</f>
        <v>0</v>
      </c>
      <c r="N76" s="2">
        <f t="shared" si="38"/>
        <v>0</v>
      </c>
      <c r="P76" s="2">
        <f t="shared" si="44"/>
        <v>0</v>
      </c>
      <c r="Q76" s="2">
        <f t="shared" si="39"/>
        <v>0</v>
      </c>
      <c r="R76" s="2">
        <f t="shared" si="40"/>
        <v>0</v>
      </c>
      <c r="S76" s="18"/>
      <c r="T76" s="2">
        <f t="shared" si="45"/>
        <v>0</v>
      </c>
      <c r="U76" s="2">
        <f>T76*H76</f>
        <v>0</v>
      </c>
      <c r="V76" s="2">
        <f>T76*M76</f>
        <v>0</v>
      </c>
    </row>
    <row r="77" spans="1:24" x14ac:dyDescent="0.3">
      <c r="I77" s="2">
        <f>ROUNDDOWN(SUM(I68:I76),1)</f>
        <v>0</v>
      </c>
      <c r="N77" s="2">
        <f>ROUNDDOWN(SUM(N68:N76),1)</f>
        <v>-5000</v>
      </c>
      <c r="P77" s="1" t="s">
        <v>15</v>
      </c>
      <c r="Q77" s="1" t="s">
        <v>41</v>
      </c>
      <c r="R77" s="1" t="s">
        <v>40</v>
      </c>
      <c r="S77" s="18"/>
      <c r="U77" s="1" t="s">
        <v>53</v>
      </c>
      <c r="V77" s="1" t="s">
        <v>55</v>
      </c>
    </row>
    <row r="78" spans="1:24" x14ac:dyDescent="0.3">
      <c r="I78" s="2" t="str">
        <f>IF(I77+Q3=0,"Balance",IF(I77-Q3=0,"Equivalence","Error"))</f>
        <v>Balance</v>
      </c>
      <c r="N78" s="2" t="str">
        <f>IF(N77+K3=0,"Balance",IF(N77-K3=0,"Equivalence","Error"))</f>
        <v>Balance</v>
      </c>
      <c r="O78" s="1"/>
      <c r="P78" s="12">
        <f>SUM(P68:P76)</f>
        <v>200</v>
      </c>
      <c r="Q78" s="12">
        <f>SUM(Q68:Q76)</f>
        <v>400</v>
      </c>
      <c r="R78" s="12">
        <f>SUM(R68:R76)</f>
        <v>26260.794715567332</v>
      </c>
      <c r="S78" s="18"/>
      <c r="U78" s="2">
        <f>ROUNDDOWN(SUM(U68:U76),1)</f>
        <v>0</v>
      </c>
      <c r="V78" s="2">
        <f>ROUNDDOWN(SUM(V68:V76),1)</f>
        <v>-5000</v>
      </c>
    </row>
    <row r="79" spans="1:24" x14ac:dyDescent="0.3">
      <c r="O79" s="17"/>
      <c r="P79" s="9" t="s">
        <v>82</v>
      </c>
      <c r="Q79" s="9"/>
      <c r="R79" s="9"/>
      <c r="S79" s="18"/>
      <c r="U79" s="2" t="str">
        <f>IF(U78+Q3=0,"Balance",IF(V78-K3=0,"Equivalence","Error"))</f>
        <v>Balance</v>
      </c>
      <c r="V79" s="2" t="str">
        <f>IF(V78+K3=0,"Balance",IF(V78-K3=0,"Equivalence","Error"))</f>
        <v>Balance</v>
      </c>
    </row>
    <row r="80" spans="1:24" x14ac:dyDescent="0.3">
      <c r="A80" s="4"/>
      <c r="L80" s="8"/>
      <c r="M80" s="8"/>
      <c r="N80" s="8"/>
      <c r="O80" s="8"/>
      <c r="P80" s="1" t="s">
        <v>125</v>
      </c>
      <c r="Q80" s="1" t="s">
        <v>50</v>
      </c>
      <c r="R80" s="1" t="s">
        <v>126</v>
      </c>
    </row>
    <row r="81" spans="1:18" x14ac:dyDescent="0.3">
      <c r="A81" s="1"/>
      <c r="K81" s="8"/>
      <c r="L81" s="8"/>
      <c r="M81" s="8"/>
      <c r="N81" s="8"/>
      <c r="O81" s="8"/>
      <c r="P81" s="2">
        <f>Q78</f>
        <v>400</v>
      </c>
      <c r="Q81" s="2">
        <f>-(A63+B63+C63+D63)</f>
        <v>-48598.483031109936</v>
      </c>
      <c r="R81" s="2">
        <f>Q81/P81</f>
        <v>-121.49620757777484</v>
      </c>
    </row>
    <row r="83" spans="1:18" x14ac:dyDescent="0.3">
      <c r="E83" s="7"/>
    </row>
    <row r="85" spans="1:18" x14ac:dyDescent="0.3">
      <c r="K85" s="1"/>
      <c r="L85" s="1"/>
      <c r="M85" s="1"/>
    </row>
  </sheetData>
  <mergeCells count="3">
    <mergeCell ref="A1:V1"/>
    <mergeCell ref="G6:L6"/>
    <mergeCell ref="E6:F6"/>
  </mergeCells>
  <phoneticPr fontId="1" type="noConversion"/>
  <conditionalFormatting sqref="I77">
    <cfRule type="cellIs" dxfId="10" priority="28" operator="equal">
      <formula>-$Q$3</formula>
    </cfRule>
  </conditionalFormatting>
  <conditionalFormatting sqref="N77">
    <cfRule type="cellIs" dxfId="9" priority="22" operator="equal">
      <formula>-$K$3</formula>
    </cfRule>
  </conditionalFormatting>
  <conditionalFormatting sqref="V78">
    <cfRule type="cellIs" dxfId="8" priority="21" operator="equal">
      <formula>-$K$3</formula>
    </cfRule>
  </conditionalFormatting>
  <conditionalFormatting sqref="U78">
    <cfRule type="cellIs" dxfId="7" priority="20" operator="equal">
      <formula>-$Q$3</formula>
    </cfRule>
  </conditionalFormatting>
  <conditionalFormatting sqref="D68:D76">
    <cfRule type="cellIs" dxfId="6" priority="1" operator="equal">
      <formula>IF($B68="Cut",0,na)</formula>
    </cfRule>
  </conditionalFormatting>
  <conditionalFormatting sqref="D8">
    <cfRule type="containsText" dxfId="5" priority="4" operator="containsText" text="Yes">
      <formula>NOT(ISERROR(SEARCH("Yes",D8)))</formula>
    </cfRule>
    <cfRule type="containsText" dxfId="4" priority="5" operator="containsText" text="No">
      <formula>NOT(ISERROR(SEARCH("No",D8)))</formula>
    </cfRule>
  </conditionalFormatting>
  <conditionalFormatting sqref="A68:N76 P68:V76">
    <cfRule type="expression" dxfId="3" priority="2">
      <formula>$C68=12</formula>
    </cfRule>
    <cfRule type="expression" dxfId="2" priority="3">
      <formula>$C68=2</formula>
    </cfRule>
    <cfRule type="expression" dxfId="1" priority="6">
      <formula>$C68=1</formula>
    </cfRule>
  </conditionalFormatting>
  <conditionalFormatting sqref="M22 M38:M39">
    <cfRule type="cellIs" dxfId="0" priority="29" operator="equal">
      <formula>$T$3</formula>
    </cfRule>
  </conditionalFormatting>
  <dataValidations count="4">
    <dataValidation type="list" allowBlank="1" showInputMessage="1" showErrorMessage="1" sqref="D8" xr:uid="{C56382AE-CCD0-4F06-BA9D-6F5567C75C5C}">
      <formula1>"Yes,No"</formula1>
    </dataValidation>
    <dataValidation type="list" allowBlank="1" showInputMessage="1" showErrorMessage="1" sqref="P13:P20" xr:uid="{5783B9DA-1C07-45AD-A1E9-89C387C8C50A}">
      <formula1>"C,T,CT"</formula1>
    </dataValidation>
    <dataValidation type="list" allowBlank="1" showInputMessage="1" showErrorMessage="1" sqref="C68:C76" xr:uid="{6A4F3C8C-3740-42F0-989D-EED2EF103060}">
      <formula1>"None"</formula1>
    </dataValidation>
    <dataValidation type="list" allowBlank="1" showInputMessage="1" showErrorMessage="1" sqref="B68:B76" xr:uid="{E29F8C31-A671-4292-B69B-E60E39E16336}">
      <formula1>"Cut"</formula1>
    </dataValidation>
  </dataValidations>
  <pageMargins left="0.7" right="0.7" top="0.75" bottom="0.75" header="0.3" footer="0.3"/>
  <pageSetup orientation="portrait" horizontalDpi="1200" verticalDpi="12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Symmetrical_TwoCell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Roaa Tareq</dc:creator>
  <cp:lastModifiedBy>Roaa Tareq</cp:lastModifiedBy>
  <dcterms:created xsi:type="dcterms:W3CDTF">2015-06-05T18:17:20Z</dcterms:created>
  <dcterms:modified xsi:type="dcterms:W3CDTF">2023-01-16T04:06:30Z</dcterms:modified>
</cp:coreProperties>
</file>