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eha Excelr\Data Science Student Share Folder\Tables &amp; Other Files\"/>
    </mc:Choice>
  </mc:AlternateContent>
  <xr:revisionPtr revIDLastSave="0" documentId="13_ncr:1_{A7D42D0C-1D82-4474-87F9-724E6A3B98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actice Questions Solutions" sheetId="2" r:id="rId1"/>
    <sheet name="Confidence Intervals" sheetId="3" r:id="rId2"/>
    <sheet name="ANOV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4" l="1"/>
  <c r="I34" i="4" s="1"/>
  <c r="E38" i="4"/>
  <c r="F37" i="4" s="1"/>
  <c r="B38" i="4"/>
  <c r="C32" i="4" s="1"/>
  <c r="I37" i="4"/>
  <c r="I36" i="4"/>
  <c r="C35" i="4"/>
  <c r="I32" i="4"/>
  <c r="F32" i="4"/>
  <c r="I30" i="4"/>
  <c r="F30" i="4"/>
  <c r="I28" i="4"/>
  <c r="C28" i="4"/>
  <c r="I27" i="4"/>
  <c r="M21" i="4"/>
  <c r="B17" i="4"/>
  <c r="M16" i="4"/>
  <c r="D16" i="4"/>
  <c r="D18" i="4" s="1"/>
  <c r="D19" i="4" s="1"/>
  <c r="D21" i="4" s="1"/>
  <c r="C16" i="4"/>
  <c r="C18" i="4" s="1"/>
  <c r="C19" i="4" s="1"/>
  <c r="C21" i="4" s="1"/>
  <c r="B16" i="4"/>
  <c r="B18" i="4" s="1"/>
  <c r="B19" i="4" s="1"/>
  <c r="B21" i="4" s="1"/>
  <c r="B22" i="4" s="1"/>
  <c r="M14" i="4" s="1"/>
  <c r="C15" i="3"/>
  <c r="C17" i="3"/>
  <c r="C21" i="3" s="1"/>
  <c r="I26" i="3"/>
  <c r="I27" i="3"/>
  <c r="C28" i="3"/>
  <c r="C29" i="3"/>
  <c r="C30" i="3"/>
  <c r="H4" i="2"/>
  <c r="J4" i="2"/>
  <c r="N24" i="4" l="1"/>
  <c r="F35" i="4"/>
  <c r="C26" i="4"/>
  <c r="C38" i="4" s="1"/>
  <c r="F28" i="4"/>
  <c r="C33" i="4"/>
  <c r="I35" i="4"/>
  <c r="I26" i="4"/>
  <c r="C29" i="4"/>
  <c r="C31" i="4"/>
  <c r="I33" i="4"/>
  <c r="F36" i="4"/>
  <c r="F33" i="4"/>
  <c r="F26" i="4"/>
  <c r="C36" i="4"/>
  <c r="F29" i="4"/>
  <c r="F31" i="4"/>
  <c r="C34" i="4"/>
  <c r="C27" i="4"/>
  <c r="I29" i="4"/>
  <c r="I31" i="4"/>
  <c r="F34" i="4"/>
  <c r="C37" i="4"/>
  <c r="F27" i="4"/>
  <c r="C30" i="4"/>
  <c r="G22" i="3"/>
  <c r="C22" i="3"/>
  <c r="G21" i="3"/>
  <c r="H9" i="2"/>
  <c r="H10" i="2"/>
  <c r="G16" i="2" a="1"/>
  <c r="G16" i="2" s="1"/>
  <c r="G18" i="2"/>
  <c r="G19" i="2"/>
  <c r="G20" i="2"/>
  <c r="G23" i="2"/>
  <c r="F47" i="2"/>
  <c r="F48" i="2"/>
  <c r="F49" i="2"/>
  <c r="F50" i="2" s="1"/>
  <c r="E61" i="2"/>
  <c r="E62" i="2"/>
  <c r="E63" i="2"/>
  <c r="E64" i="2"/>
  <c r="E65" i="2"/>
  <c r="E70" i="2"/>
  <c r="G70" i="2"/>
  <c r="H70" i="2"/>
  <c r="I70" i="2"/>
  <c r="E71" i="2"/>
  <c r="G71" i="2"/>
  <c r="H71" i="2"/>
  <c r="I71" i="2"/>
  <c r="G72" i="2"/>
  <c r="I72" i="2"/>
  <c r="E73" i="2"/>
  <c r="G73" i="2"/>
  <c r="I73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95" i="2"/>
  <c r="C96" i="2"/>
  <c r="C98" i="2"/>
  <c r="C99" i="2"/>
  <c r="J16" i="2"/>
  <c r="J19" i="2"/>
  <c r="H50" i="2"/>
  <c r="D88" i="2"/>
  <c r="D78" i="2"/>
  <c r="J70" i="2"/>
  <c r="J72" i="2"/>
  <c r="D95" i="2"/>
  <c r="D76" i="2"/>
  <c r="J23" i="2"/>
  <c r="D79" i="2"/>
  <c r="H49" i="2"/>
  <c r="J20" i="2"/>
  <c r="D77" i="2"/>
  <c r="H48" i="2"/>
  <c r="D99" i="2"/>
  <c r="H47" i="2"/>
  <c r="D81" i="2"/>
  <c r="D86" i="2"/>
  <c r="J10" i="2"/>
  <c r="D84" i="2"/>
  <c r="D85" i="2"/>
  <c r="D96" i="2"/>
  <c r="D82" i="2"/>
  <c r="D98" i="2"/>
  <c r="D80" i="2"/>
  <c r="J18" i="2"/>
  <c r="J9" i="2"/>
  <c r="D87" i="2"/>
  <c r="J73" i="2"/>
  <c r="J71" i="2"/>
  <c r="D83" i="2"/>
  <c r="I38" i="4" l="1"/>
  <c r="F38" i="4"/>
  <c r="B40" i="4" s="1"/>
  <c r="M19" i="4" s="1"/>
  <c r="N26" i="4" l="1"/>
  <c r="N30" i="4" s="1"/>
  <c r="L3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<sst xmlns="http://schemas.openxmlformats.org/spreadsheetml/2006/main" count="215" uniqueCount="171">
  <si>
    <t>In favour of Team B</t>
  </si>
  <si>
    <t>In favour of Team A</t>
  </si>
  <si>
    <t>Find the probability that Team B will loose 13 matches.</t>
  </si>
  <si>
    <t>What is the probability that Team B will win 6 matches?</t>
  </si>
  <si>
    <t>Team A &amp; Team B are going to play 15 matches. In the past, Team A against Team B has been winning 65% of the times.</t>
  </si>
  <si>
    <t>3,4,5,6,7,8</t>
  </si>
  <si>
    <t>P(Greater than 2 but not more than 8 heads)</t>
  </si>
  <si>
    <t>3,4,5,6</t>
  </si>
  <si>
    <t>P(Between 3 to 6 heads) Both Inclusive</t>
  </si>
  <si>
    <t>0,1,2</t>
  </si>
  <si>
    <t>P(Less than 3 heads)</t>
  </si>
  <si>
    <t>P(Not more than 2 heads)</t>
  </si>
  <si>
    <t>0,1,2,3,4,5,6,7</t>
  </si>
  <si>
    <t>P(7 or less heads)</t>
  </si>
  <si>
    <t>6,7,8,9,10</t>
  </si>
  <si>
    <t>P(Greater than 5 heads)</t>
  </si>
  <si>
    <t>0,1,2,3</t>
  </si>
  <si>
    <t>P(At most 3 heads)</t>
  </si>
  <si>
    <t>0,1,2,3,4</t>
  </si>
  <si>
    <t>P(less than 5 heads)</t>
  </si>
  <si>
    <t>5,6,7,8,9,10</t>
  </si>
  <si>
    <t>P(5 or more heads)</t>
  </si>
  <si>
    <t>0,1,2,3,4,5,6,7,8</t>
  </si>
  <si>
    <t>P(8 Or less than 8 Heads)</t>
  </si>
  <si>
    <t>P(Atleast 6 heads)</t>
  </si>
  <si>
    <t>0,1,2,3,4,5,6,7,8,9</t>
  </si>
  <si>
    <t>P(9 or less heads)</t>
  </si>
  <si>
    <t>P(Less than 4 heads)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</si>
  <si>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greater than 20.09 mm.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</si>
  <si>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>less than 20.01 mm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</si>
  <si>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20.06 mm and 20.07 mm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</si>
  <si>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20.03 mm and 20.08 mm</t>
    </r>
  </si>
  <si>
    <t>Find the probability that a part selected at random would have a length</t>
  </si>
  <si>
    <t xml:space="preserve">It was found that the mean length of 100 parts produced by a lathe was 20.05 mm with a standard deviation of 0.02 mm. </t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</si>
  <si>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to the right of z = −1.33.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</si>
  <si>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>between z = 0.44 and z = 1.50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</si>
  <si>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z = −0.43 and z = 0.78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</si>
  <si>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z = −0.56 and z = 0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</si>
  <si>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between z = 0 and z = 0.78</t>
    </r>
  </si>
  <si>
    <t>Find the area under the standard normal curve for the following, using the z-table. Sketch each one.</t>
  </si>
  <si>
    <t>IQR</t>
  </si>
  <si>
    <t>Q3</t>
  </si>
  <si>
    <t>Q1</t>
  </si>
  <si>
    <t xml:space="preserve">Median </t>
  </si>
  <si>
    <t>Index</t>
  </si>
  <si>
    <t>Find: the median, the first quartile, the third quartile, the interquartile range (IQR).</t>
  </si>
  <si>
    <t>Given the data set: 62 , 65 , 68 , 70 , 72 , 74 , 76 , 78 , 80 , 82 , 96 , 101</t>
  </si>
  <si>
    <t>y</t>
  </si>
  <si>
    <t>Middle Value 2</t>
  </si>
  <si>
    <t>x</t>
  </si>
  <si>
    <t>77 = y</t>
  </si>
  <si>
    <t>Middle Value 1</t>
  </si>
  <si>
    <t>42*10 - 343 = y</t>
  </si>
  <si>
    <t>42 = (343+y)/10</t>
  </si>
  <si>
    <t>x= (35*2)-34 = 36</t>
  </si>
  <si>
    <t>Mean= (343+y)/10</t>
  </si>
  <si>
    <t>(34+x)/2 = 35</t>
  </si>
  <si>
    <t>(34+x)/2 = Median</t>
  </si>
  <si>
    <t>17 , 22 , 26 , 29 , 34 , x , 42 , 67 , 70 , y .</t>
  </si>
  <si>
    <t xml:space="preserve">Find x and y so that the ordered data set has a mean of 42 and a median of 35. </t>
  </si>
  <si>
    <t>Standard Deviation</t>
  </si>
  <si>
    <t>If I Change the value from 6 to 24</t>
  </si>
  <si>
    <t>Mean</t>
  </si>
  <si>
    <t>Median</t>
  </si>
  <si>
    <t>Mode</t>
  </si>
  <si>
    <t>If we replace the data value 6 in the data set above by 24, will the standard deviation increase, decrease or stay the same?</t>
  </si>
  <si>
    <t xml:space="preserve">Given the data set: 4, 10, 7, 7, 6, 9, 3, 8, 9. Find the mode, the median, the mean, the sample standard deviation. </t>
  </si>
  <si>
    <t>Prob(Less than 9 customers ask for water with meal)</t>
  </si>
  <si>
    <t>Prob(Exactly 6 customers ask for water with meal)</t>
  </si>
  <si>
    <t>Find the probability that exactly 6 ask for water with their meal, and find the probability that less than 9 ask for water with their meal.</t>
  </si>
  <si>
    <t xml:space="preserve">In a large restaurant, an average of 3 out of every 5 customers ask for water with their meal. A random sample of 10 customers is selected.  </t>
  </si>
  <si>
    <t>Prob (Exactly 6 women pet insurance owners being women)</t>
  </si>
  <si>
    <t>If 9 pet insurance owners are randomly selected, find the probability that exactly 6 are women.</t>
  </si>
  <si>
    <t xml:space="preserve">80% of people who purchase pet insurance are women.  </t>
  </si>
  <si>
    <t>35-49</t>
  </si>
  <si>
    <t>42-48</t>
  </si>
  <si>
    <t>Out of 50</t>
  </si>
  <si>
    <t>Sum</t>
  </si>
  <si>
    <t>e</t>
  </si>
  <si>
    <t>d</t>
  </si>
  <si>
    <t>c</t>
  </si>
  <si>
    <t>b</t>
  </si>
  <si>
    <t>Denominator</t>
  </si>
  <si>
    <t>a</t>
  </si>
  <si>
    <t>Numerator</t>
  </si>
  <si>
    <t>95% of the times, average balance maintained by any alumni would be between 1514.967 &amp; 2465.033.</t>
  </si>
  <si>
    <t>C11+(C16*C28)</t>
  </si>
  <si>
    <t>Upper Limit</t>
  </si>
  <si>
    <t>C11-(C16*C28)</t>
  </si>
  <si>
    <t>Lower Limit</t>
  </si>
  <si>
    <t>2833/ SQRT(140)</t>
  </si>
  <si>
    <t>Std Error</t>
  </si>
  <si>
    <t>95% confidence interval when Sample Deviation is 2833 &amp; Sample mean is 1990</t>
  </si>
  <si>
    <t>When Population Standard Deviation is not given</t>
  </si>
  <si>
    <t>t= (x - mean) / (Stdev/sqrt(n))</t>
  </si>
  <si>
    <t>5/2</t>
  </si>
  <si>
    <t>Std Dev / SQRT(n)</t>
  </si>
  <si>
    <t>95% of the times, average balance maintained by any randomly selected alumni from the given University would be between 1570.803 &amp; 2409.197.</t>
  </si>
  <si>
    <r>
      <rPr>
        <sz val="11"/>
        <color theme="1"/>
        <rFont val="Calibri"/>
        <family val="2"/>
      </rPr>
      <t>↓</t>
    </r>
    <r>
      <rPr>
        <sz val="11"/>
        <color theme="1"/>
        <rFont val="Calibri"/>
        <family val="2"/>
        <scheme val="minor"/>
      </rPr>
      <t xml:space="preserve"> Denominator</t>
    </r>
  </si>
  <si>
    <r>
      <rPr>
        <sz val="11"/>
        <color theme="1"/>
        <rFont val="Calibri"/>
        <family val="2"/>
      </rPr>
      <t>↑</t>
    </r>
    <r>
      <rPr>
        <sz val="11"/>
        <color theme="1"/>
        <rFont val="Calibri"/>
        <family val="2"/>
        <scheme val="minor"/>
      </rPr>
      <t xml:space="preserve"> Denominator</t>
    </r>
  </si>
  <si>
    <t>C11+(C16*C17)</t>
  </si>
  <si>
    <t>99% Confidence</t>
  </si>
  <si>
    <t>C11-(C16*C17)</t>
  </si>
  <si>
    <t>95% confidence interval when Pop Deviation is 2500 &amp; Sample mean is 1990</t>
  </si>
  <si>
    <t>When Population Standard Deviation is given</t>
  </si>
  <si>
    <t>But incorporating the above fact, that sample size has the impact on deviation, we will use the formula below to calculate probabilities now.</t>
  </si>
  <si>
    <t>2500/SQRT(140)</t>
  </si>
  <si>
    <t>By far we were treating the data as population data, &amp; were using z-scores to find the probability.</t>
  </si>
  <si>
    <t>From the T-Dist Table</t>
  </si>
  <si>
    <t>t_95%</t>
  </si>
  <si>
    <t>The smaller the sample, the lesser closer its mean will be to it population mean, hence higher the deviation from population mean.</t>
  </si>
  <si>
    <t>Sample size minus one</t>
  </si>
  <si>
    <t>degrees of freedom (n-1)</t>
  </si>
  <si>
    <t>The larger the sample, the more closer its mean will be to its population mean, hence lesser the deviation from population mean.</t>
  </si>
  <si>
    <t>n (Sample Size)</t>
  </si>
  <si>
    <t>20-45</t>
  </si>
  <si>
    <t>Population St Dev</t>
  </si>
  <si>
    <t>Avg Bal</t>
  </si>
  <si>
    <t>25-40</t>
  </si>
  <si>
    <t>Sample Std Dev</t>
  </si>
  <si>
    <t>30-35</t>
  </si>
  <si>
    <t>Sample Mean</t>
  </si>
  <si>
    <t>Hence we are 95% confident about the specified range</t>
  </si>
  <si>
    <t>95% of the times, the estimated value will lie within the calculated range</t>
  </si>
  <si>
    <t>75 to 95</t>
  </si>
  <si>
    <t>Right</t>
  </si>
  <si>
    <t>The temperature will be between 18 to 25 degrees</t>
  </si>
  <si>
    <t>80 to 90</t>
  </si>
  <si>
    <t>Wrong</t>
  </si>
  <si>
    <t>The temperature will be between 20 to 23 degrees</t>
  </si>
  <si>
    <t>80-95</t>
  </si>
  <si>
    <t>The temperature of bangalore tomorrow will be exact 23 degrees</t>
  </si>
  <si>
    <t>U.L.</t>
  </si>
  <si>
    <t>L.L.</t>
  </si>
  <si>
    <t>85-90</t>
  </si>
  <si>
    <t>The temperature of bangalore lies between 18 to 31 degrees</t>
  </si>
  <si>
    <t>Confidence Intervals &amp; Central Limit Theorem</t>
  </si>
  <si>
    <t>ANOVA - Analysis of Variance</t>
  </si>
  <si>
    <t>Null Hypothesis : All the diet plans are similar with respect to weight loss. Any variation is only due to random chance.</t>
  </si>
  <si>
    <t>S.No</t>
  </si>
  <si>
    <t>Atkins</t>
  </si>
  <si>
    <t>GM</t>
  </si>
  <si>
    <t>South Beach</t>
  </si>
  <si>
    <t>Alternate Hypothesis : Atleast 1 of the diet plan is significantly more effective than the others in terms of weight loss.</t>
  </si>
  <si>
    <t>SSC (Sum of Squares Columns)</t>
  </si>
  <si>
    <t>Degrees of Freedom (Numerator)</t>
  </si>
  <si>
    <t>Grand Mean</t>
  </si>
  <si>
    <t>(No. of categories minus 1)</t>
  </si>
  <si>
    <t>D=M-GM</t>
  </si>
  <si>
    <t>D^2</t>
  </si>
  <si>
    <t>SSE (Sum of Squares Errors)</t>
  </si>
  <si>
    <t>n</t>
  </si>
  <si>
    <t>D^2*(n)</t>
  </si>
  <si>
    <t>Degrees of Freedom (Denominator)</t>
  </si>
  <si>
    <t>SSC</t>
  </si>
  <si>
    <t>(No. of total elements minus no. of categories)</t>
  </si>
  <si>
    <t>Mean Square Column</t>
  </si>
  <si>
    <t>(X-Average)^2</t>
  </si>
  <si>
    <t>Mean Square Error</t>
  </si>
  <si>
    <t>F-Statistic</t>
  </si>
  <si>
    <t>F-Critical</t>
  </si>
  <si>
    <t>Intersection of Numerator DF &amp; Denominator DF in the F-Dist Table</t>
  </si>
  <si>
    <t>If F-Statistic &lt; F-Critical, Fail to reject Null Hypothesis</t>
  </si>
  <si>
    <t>If F-Statistic &gt; F-Critical, Accept Alternate Hypothesis</t>
  </si>
  <si>
    <t>Average</t>
  </si>
  <si>
    <t>Hence we accept Alternate Hypothesis that atleast 1 of the diet plans is statistically different than others.</t>
  </si>
  <si>
    <t>SSE</t>
  </si>
  <si>
    <t xml:space="preserve">New Soft Drink </t>
  </si>
  <si>
    <t>Shelf Level 1 - Lowest</t>
  </si>
  <si>
    <t>Shelf Level 2 - Eye Level</t>
  </si>
  <si>
    <t xml:space="preserve">Shelf Level 5 - High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</si>
</sst>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vertical="center"/>
    </xf>
    <xf numFmtId="9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47FE88-CC59-44BF-AC9C-DD30B7CEC5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386715</xdr:colOff>
      <xdr:row>5</xdr:row>
      <xdr:rowOff>87630</xdr:rowOff>
    </xdr:from>
    <xdr:ext cx="6191250" cy="1085850"/>
    <xdr:pic>
      <xdr:nvPicPr>
        <xdr:cNvPr id="2" name="Picture 1">
          <a:extLst>
            <a:ext uri="{FF2B5EF4-FFF2-40B4-BE49-F238E27FC236}">
              <a16:creationId xmlns:a16="http://schemas.microsoft.com/office/drawing/2014/main" id="{B28CFF48-3A49-4441-936E-8623E301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69895" y="1017270"/>
          <a:ext cx="6191250" cy="108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7245-E32B-4C4D-9A6D-C6C822143CFC}">
  <dimension ref="A1:J99"/>
  <sheetViews>
    <sheetView topLeftCell="A76" workbookViewId="0">
      <selection activeCell="N85" sqref="N85"/>
    </sheetView>
  </sheetViews>
  <sheetFormatPr defaultRowHeight="14.4" x14ac:dyDescent="0.3"/>
  <cols>
    <col min="3" max="3" width="11" customWidth="1"/>
    <col min="6" max="6" width="17.109375" customWidth="1"/>
  </cols>
  <sheetData>
    <row r="1" spans="1:10" x14ac:dyDescent="0.3">
      <c r="A1" t="s">
        <v>73</v>
      </c>
    </row>
    <row r="2" spans="1:10" x14ac:dyDescent="0.3">
      <c r="A2" t="s">
        <v>72</v>
      </c>
    </row>
    <row r="4" spans="1:10" x14ac:dyDescent="0.3">
      <c r="B4" t="s">
        <v>71</v>
      </c>
      <c r="H4">
        <f>_xlfn.BINOM.DIST(6,9,0.8,FALSE)</f>
        <v>0.17616076800000002</v>
      </c>
      <c r="J4" t="str">
        <f ca="1">_xlfn.FORMULATEXT(H4)</f>
        <v>=BINOM.DIST(6,9,0.8,FALSE)</v>
      </c>
    </row>
    <row r="6" spans="1:10" x14ac:dyDescent="0.3">
      <c r="A6" t="s">
        <v>70</v>
      </c>
    </row>
    <row r="7" spans="1:10" x14ac:dyDescent="0.3">
      <c r="A7" t="s">
        <v>69</v>
      </c>
    </row>
    <row r="9" spans="1:10" x14ac:dyDescent="0.3">
      <c r="B9" t="s">
        <v>68</v>
      </c>
      <c r="H9">
        <f>_xlfn.BINOM.DIST(6,10, 0.6, FALSE)</f>
        <v>0.25082265600000009</v>
      </c>
      <c r="J9" t="str">
        <f ca="1">_xlfn.FORMULATEXT(H9)</f>
        <v>=BINOM.DIST(6,10, 0.6, FALSE)</v>
      </c>
    </row>
    <row r="10" spans="1:10" x14ac:dyDescent="0.3">
      <c r="B10" t="s">
        <v>67</v>
      </c>
      <c r="H10">
        <f>_xlfn.BINOM.DIST(8,10,0.6,TRUE)</f>
        <v>0.95364259839999999</v>
      </c>
      <c r="J10" t="str">
        <f ca="1">_xlfn.FORMULATEXT(H10)</f>
        <v>=BINOM.DIST(8,10,0.6,TRUE)</v>
      </c>
    </row>
    <row r="12" spans="1:10" x14ac:dyDescent="0.3">
      <c r="A12" t="s">
        <v>66</v>
      </c>
    </row>
    <row r="13" spans="1:10" x14ac:dyDescent="0.3">
      <c r="A13" t="s">
        <v>65</v>
      </c>
    </row>
    <row r="15" spans="1:10" x14ac:dyDescent="0.3">
      <c r="C15">
        <v>3</v>
      </c>
      <c r="D15">
        <v>3</v>
      </c>
    </row>
    <row r="16" spans="1:10" x14ac:dyDescent="0.3">
      <c r="C16">
        <v>4</v>
      </c>
      <c r="D16">
        <v>4</v>
      </c>
      <c r="F16" t="s">
        <v>64</v>
      </c>
      <c r="G16" cm="1">
        <f t="array" ref="G16:G17">_xlfn.MODE.MULT(C15:C23)</f>
        <v>7</v>
      </c>
      <c r="J16" t="str">
        <f ca="1">_xlfn.FORMULATEXT(G16)</f>
        <v>=MODE.MULT(C15:C23)</v>
      </c>
    </row>
    <row r="17" spans="1:10" x14ac:dyDescent="0.3">
      <c r="C17">
        <v>6</v>
      </c>
      <c r="D17">
        <v>24</v>
      </c>
      <c r="G17">
        <v>9</v>
      </c>
    </row>
    <row r="18" spans="1:10" x14ac:dyDescent="0.3">
      <c r="C18">
        <v>7</v>
      </c>
      <c r="D18">
        <v>7</v>
      </c>
      <c r="F18" t="s">
        <v>63</v>
      </c>
      <c r="G18">
        <f>MEDIAN(C15:C23)</f>
        <v>7</v>
      </c>
      <c r="J18" t="str">
        <f ca="1">_xlfn.FORMULATEXT(G18)</f>
        <v>=MEDIAN(C15:C23)</v>
      </c>
    </row>
    <row r="19" spans="1:10" x14ac:dyDescent="0.3">
      <c r="C19">
        <v>7</v>
      </c>
      <c r="D19">
        <v>7</v>
      </c>
      <c r="F19" t="s">
        <v>62</v>
      </c>
      <c r="G19">
        <f>AVERAGE(C15:C23)</f>
        <v>7</v>
      </c>
      <c r="J19" t="str">
        <f ca="1">_xlfn.FORMULATEXT(G19)</f>
        <v>=AVERAGE(C15:C23)</v>
      </c>
    </row>
    <row r="20" spans="1:10" x14ac:dyDescent="0.3">
      <c r="C20">
        <v>8</v>
      </c>
      <c r="D20">
        <v>8</v>
      </c>
      <c r="F20" t="s">
        <v>60</v>
      </c>
      <c r="G20">
        <f>STDEV(C15:C23)</f>
        <v>2.3452078799117149</v>
      </c>
      <c r="J20" t="str">
        <f ca="1">_xlfn.FORMULATEXT(G20)</f>
        <v>=STDEV(C15:C23)</v>
      </c>
    </row>
    <row r="21" spans="1:10" x14ac:dyDescent="0.3">
      <c r="C21">
        <v>9</v>
      </c>
      <c r="D21">
        <v>9</v>
      </c>
    </row>
    <row r="22" spans="1:10" x14ac:dyDescent="0.3">
      <c r="C22">
        <v>9</v>
      </c>
      <c r="D22">
        <v>9</v>
      </c>
      <c r="F22" t="s">
        <v>61</v>
      </c>
    </row>
    <row r="23" spans="1:10" x14ac:dyDescent="0.3">
      <c r="C23">
        <v>10</v>
      </c>
      <c r="D23">
        <v>10</v>
      </c>
      <c r="F23" t="s">
        <v>60</v>
      </c>
      <c r="G23">
        <f>STDEV(D15:D23)</f>
        <v>6.0827625302982193</v>
      </c>
      <c r="J23" t="str">
        <f ca="1">_xlfn.FORMULATEXT(G23)</f>
        <v>=STDEV(D15:D23)</v>
      </c>
    </row>
    <row r="26" spans="1:10" x14ac:dyDescent="0.3">
      <c r="A26" t="s">
        <v>59</v>
      </c>
    </row>
    <row r="27" spans="1:10" x14ac:dyDescent="0.3">
      <c r="A27" t="s">
        <v>58</v>
      </c>
    </row>
    <row r="29" spans="1:10" x14ac:dyDescent="0.3">
      <c r="B29" t="s">
        <v>44</v>
      </c>
    </row>
    <row r="30" spans="1:10" x14ac:dyDescent="0.3">
      <c r="B30">
        <v>1</v>
      </c>
      <c r="C30" s="1">
        <v>17</v>
      </c>
      <c r="F30" t="s">
        <v>57</v>
      </c>
      <c r="H30" s="1">
        <v>17</v>
      </c>
    </row>
    <row r="31" spans="1:10" x14ac:dyDescent="0.3">
      <c r="B31">
        <v>2</v>
      </c>
      <c r="C31" s="1">
        <v>22</v>
      </c>
      <c r="F31" t="s">
        <v>56</v>
      </c>
      <c r="H31" s="1">
        <v>22</v>
      </c>
      <c r="J31" t="s">
        <v>55</v>
      </c>
    </row>
    <row r="32" spans="1:10" x14ac:dyDescent="0.3">
      <c r="B32">
        <v>3</v>
      </c>
      <c r="C32" s="1">
        <v>26</v>
      </c>
      <c r="F32" t="s">
        <v>54</v>
      </c>
      <c r="H32" s="1">
        <v>26</v>
      </c>
      <c r="J32" t="s">
        <v>53</v>
      </c>
    </row>
    <row r="33" spans="1:10" x14ac:dyDescent="0.3">
      <c r="B33">
        <v>4</v>
      </c>
      <c r="C33" s="1">
        <v>29</v>
      </c>
      <c r="H33" s="1">
        <v>29</v>
      </c>
      <c r="J33" t="s">
        <v>52</v>
      </c>
    </row>
    <row r="34" spans="1:10" x14ac:dyDescent="0.3">
      <c r="B34">
        <v>5</v>
      </c>
      <c r="C34" s="1">
        <v>34</v>
      </c>
      <c r="D34" t="s">
        <v>51</v>
      </c>
      <c r="H34" s="1">
        <v>34</v>
      </c>
      <c r="J34" t="s">
        <v>50</v>
      </c>
    </row>
    <row r="35" spans="1:10" x14ac:dyDescent="0.3">
      <c r="B35">
        <v>6</v>
      </c>
      <c r="C35" s="1" t="s">
        <v>49</v>
      </c>
      <c r="D35" t="s">
        <v>48</v>
      </c>
      <c r="H35" s="1">
        <v>36</v>
      </c>
    </row>
    <row r="36" spans="1:10" x14ac:dyDescent="0.3">
      <c r="B36">
        <v>7</v>
      </c>
      <c r="C36" s="1">
        <v>42</v>
      </c>
      <c r="H36" s="1">
        <v>42</v>
      </c>
    </row>
    <row r="37" spans="1:10" x14ac:dyDescent="0.3">
      <c r="B37">
        <v>8</v>
      </c>
      <c r="C37" s="1">
        <v>67</v>
      </c>
      <c r="H37" s="1">
        <v>67</v>
      </c>
    </row>
    <row r="38" spans="1:10" x14ac:dyDescent="0.3">
      <c r="B38">
        <v>9</v>
      </c>
      <c r="C38" s="1">
        <v>70</v>
      </c>
      <c r="H38" s="1">
        <v>70</v>
      </c>
    </row>
    <row r="39" spans="1:10" x14ac:dyDescent="0.3">
      <c r="B39">
        <v>10</v>
      </c>
      <c r="C39" s="1" t="s">
        <v>47</v>
      </c>
      <c r="H39" s="1" t="s">
        <v>47</v>
      </c>
    </row>
    <row r="42" spans="1:10" x14ac:dyDescent="0.3">
      <c r="A42" t="s">
        <v>46</v>
      </c>
    </row>
    <row r="43" spans="1:10" x14ac:dyDescent="0.3">
      <c r="A43" t="s">
        <v>45</v>
      </c>
    </row>
    <row r="45" spans="1:10" x14ac:dyDescent="0.3">
      <c r="B45" t="s">
        <v>44</v>
      </c>
    </row>
    <row r="46" spans="1:10" x14ac:dyDescent="0.3">
      <c r="B46">
        <v>1</v>
      </c>
      <c r="C46">
        <v>62</v>
      </c>
    </row>
    <row r="47" spans="1:10" x14ac:dyDescent="0.3">
      <c r="B47">
        <v>2</v>
      </c>
      <c r="C47">
        <v>65</v>
      </c>
      <c r="E47" t="s">
        <v>43</v>
      </c>
      <c r="F47">
        <f>MEDIAN(C46:C57)</f>
        <v>75</v>
      </c>
      <c r="H47" t="str">
        <f ca="1">_xlfn.FORMULATEXT(F47)</f>
        <v>=MEDIAN(C46:C57)</v>
      </c>
    </row>
    <row r="48" spans="1:10" x14ac:dyDescent="0.3">
      <c r="B48">
        <v>3</v>
      </c>
      <c r="C48">
        <v>68</v>
      </c>
      <c r="E48" t="s">
        <v>42</v>
      </c>
      <c r="F48">
        <f>QUARTILE(C46:C57, 1)</f>
        <v>69.5</v>
      </c>
      <c r="H48" t="str">
        <f ca="1">_xlfn.FORMULATEXT(F48)</f>
        <v>=QUARTILE(C46:C57, 1)</v>
      </c>
    </row>
    <row r="49" spans="1:8" x14ac:dyDescent="0.3">
      <c r="B49">
        <v>4</v>
      </c>
      <c r="C49">
        <v>70</v>
      </c>
      <c r="E49" t="s">
        <v>41</v>
      </c>
      <c r="F49">
        <f>QUARTILE(C46:C57, 3)</f>
        <v>80.5</v>
      </c>
      <c r="H49" t="str">
        <f ca="1">_xlfn.FORMULATEXT(F49)</f>
        <v>=QUARTILE(C46:C57, 3)</v>
      </c>
    </row>
    <row r="50" spans="1:8" x14ac:dyDescent="0.3">
      <c r="B50">
        <v>5</v>
      </c>
      <c r="C50">
        <v>72</v>
      </c>
      <c r="E50" t="s">
        <v>40</v>
      </c>
      <c r="F50">
        <f>F49-F48</f>
        <v>11</v>
      </c>
      <c r="H50" t="str">
        <f ca="1">_xlfn.FORMULATEXT(F50)</f>
        <v>=F49-F48</v>
      </c>
    </row>
    <row r="51" spans="1:8" x14ac:dyDescent="0.3">
      <c r="B51">
        <v>6</v>
      </c>
      <c r="C51">
        <v>74</v>
      </c>
    </row>
    <row r="52" spans="1:8" x14ac:dyDescent="0.3">
      <c r="B52">
        <v>7</v>
      </c>
      <c r="C52">
        <v>76</v>
      </c>
    </row>
    <row r="53" spans="1:8" x14ac:dyDescent="0.3">
      <c r="B53">
        <v>8</v>
      </c>
      <c r="C53">
        <v>78</v>
      </c>
    </row>
    <row r="54" spans="1:8" x14ac:dyDescent="0.3">
      <c r="B54">
        <v>9</v>
      </c>
      <c r="C54">
        <v>80</v>
      </c>
    </row>
    <row r="55" spans="1:8" x14ac:dyDescent="0.3">
      <c r="B55">
        <v>10</v>
      </c>
      <c r="C55">
        <v>82</v>
      </c>
    </row>
    <row r="56" spans="1:8" x14ac:dyDescent="0.3">
      <c r="B56">
        <v>11</v>
      </c>
      <c r="C56">
        <v>96</v>
      </c>
    </row>
    <row r="57" spans="1:8" x14ac:dyDescent="0.3">
      <c r="B57">
        <v>12</v>
      </c>
      <c r="C57">
        <v>101</v>
      </c>
    </row>
    <row r="60" spans="1:8" ht="18" x14ac:dyDescent="0.3">
      <c r="A60" s="3" t="s">
        <v>39</v>
      </c>
    </row>
    <row r="61" spans="1:8" ht="18" x14ac:dyDescent="0.3">
      <c r="A61" s="3" t="s">
        <v>38</v>
      </c>
      <c r="E61">
        <f>0.7823 -0.5</f>
        <v>0.2823</v>
      </c>
    </row>
    <row r="62" spans="1:8" ht="18" x14ac:dyDescent="0.3">
      <c r="A62" s="3" t="s">
        <v>37</v>
      </c>
      <c r="E62">
        <f>0.5 - 0.2877</f>
        <v>0.21229999999999999</v>
      </c>
    </row>
    <row r="63" spans="1:8" ht="18" x14ac:dyDescent="0.3">
      <c r="A63" s="3" t="s">
        <v>36</v>
      </c>
      <c r="E63">
        <f>0.7823 - 0.3336</f>
        <v>0.44869999999999999</v>
      </c>
    </row>
    <row r="64" spans="1:8" ht="18" x14ac:dyDescent="0.3">
      <c r="A64" s="3" t="s">
        <v>35</v>
      </c>
      <c r="E64">
        <f>0.9332 - 0.67</f>
        <v>0.26319999999999999</v>
      </c>
    </row>
    <row r="65" spans="1:10" ht="18" x14ac:dyDescent="0.3">
      <c r="A65" s="3" t="s">
        <v>34</v>
      </c>
      <c r="E65">
        <f>1 - 0.0918</f>
        <v>0.90820000000000001</v>
      </c>
    </row>
    <row r="68" spans="1:10" ht="18" x14ac:dyDescent="0.3">
      <c r="A68" s="3" t="s">
        <v>33</v>
      </c>
    </row>
    <row r="69" spans="1:10" ht="18" x14ac:dyDescent="0.3">
      <c r="A69" s="3" t="s">
        <v>32</v>
      </c>
    </row>
    <row r="70" spans="1:10" ht="18" x14ac:dyDescent="0.3">
      <c r="A70" s="3" t="s">
        <v>31</v>
      </c>
      <c r="E70">
        <f>0.9332 - 0.1587</f>
        <v>0.77449999999999997</v>
      </c>
      <c r="G70" s="2">
        <f>(20.03-20.05)/0.02</f>
        <v>-0.99999999999997868</v>
      </c>
      <c r="H70" s="2">
        <f>(20.08-20.05)/0.02</f>
        <v>1.4999999999998792</v>
      </c>
      <c r="I70">
        <f>_xlfn.NORM.DIST(20.08,20.05,0.02,TRUE) - _xlfn.NORM.DIST(20.03,20.05,0.02,TRUE)</f>
        <v>0.77453754479966419</v>
      </c>
      <c r="J70" t="str">
        <f ca="1">_xlfn.FORMULATEXT(I70)</f>
        <v>=NORM.DIST(20.08,20.05,0.02,TRUE) - NORM.DIST(20.03,20.05,0.02,TRUE)</v>
      </c>
    </row>
    <row r="71" spans="1:10" ht="18" x14ac:dyDescent="0.3">
      <c r="A71" s="3" t="s">
        <v>30</v>
      </c>
      <c r="E71">
        <f>0.8413-0.6915</f>
        <v>0.14980000000000004</v>
      </c>
      <c r="G71" s="2">
        <f>(20.06-20.05)/0.02</f>
        <v>0.49999999999990052</v>
      </c>
      <c r="H71" s="2">
        <f>(20.07-20.05)/0.02</f>
        <v>0.99999999999997868</v>
      </c>
      <c r="I71">
        <f>_xlfn.NORM.DIST(20.07,20.05,0.02,TRUE) - _xlfn.NORM.DIST(20.06,20.05,0.02,TRUE)</f>
        <v>0.14988228479455967</v>
      </c>
      <c r="J71" t="str">
        <f ca="1">_xlfn.FORMULATEXT(I71)</f>
        <v>=NORM.DIST(20.07,20.05,0.02,TRUE) - NORM.DIST(20.06,20.05,0.02,TRUE)</v>
      </c>
    </row>
    <row r="72" spans="1:10" ht="18" x14ac:dyDescent="0.3">
      <c r="A72" s="3" t="s">
        <v>29</v>
      </c>
      <c r="E72">
        <v>2.2800000000000001E-2</v>
      </c>
      <c r="G72" s="2">
        <f>(20.01-20.05)/0.02</f>
        <v>-1.9999999999999574</v>
      </c>
      <c r="H72" s="2"/>
      <c r="I72">
        <f>_xlfn.NORM.DIST(20.01,20.05,0.02,TRUE)</f>
        <v>2.2750131948181502E-2</v>
      </c>
      <c r="J72" t="str">
        <f ca="1">_xlfn.FORMULATEXT(I72)</f>
        <v>=NORM.DIST(20.01,20.05,0.02,TRUE)</v>
      </c>
    </row>
    <row r="73" spans="1:10" ht="18" x14ac:dyDescent="0.3">
      <c r="A73" s="3" t="s">
        <v>28</v>
      </c>
      <c r="E73">
        <f>1 - 0.9772</f>
        <v>2.2800000000000042E-2</v>
      </c>
      <c r="G73" s="2">
        <f>(20.09-20.05)/0.02</f>
        <v>1.9999999999999574</v>
      </c>
      <c r="H73" s="2"/>
      <c r="I73">
        <f>1 - _xlfn.NORM.DIST(20.09,20.05,0.02,TRUE)</f>
        <v>2.275013194818154E-2</v>
      </c>
      <c r="J73" t="str">
        <f ca="1">_xlfn.FORMULATEXT(I73)</f>
        <v>=1 - NORM.DIST(20.09,20.05,0.02,TRUE)</v>
      </c>
    </row>
    <row r="76" spans="1:10" x14ac:dyDescent="0.3">
      <c r="A76" t="s">
        <v>27</v>
      </c>
      <c r="B76" t="s">
        <v>16</v>
      </c>
      <c r="C76">
        <f>_xlfn.BINOM.DIST(3,10,0.5,TRUE)</f>
        <v>0.17187500000000006</v>
      </c>
      <c r="D76" s="1" t="str">
        <f t="shared" ref="D76:D88" ca="1" si="0">_xlfn.FORMULATEXT(C76)</f>
        <v>=BINOM.DIST(3,10,0.5,TRUE)</v>
      </c>
    </row>
    <row r="77" spans="1:10" x14ac:dyDescent="0.3">
      <c r="A77" t="s">
        <v>26</v>
      </c>
      <c r="B77" t="s">
        <v>25</v>
      </c>
      <c r="C77">
        <f>_xlfn.BINOM.DIST(9,10,0.5,TRUE)</f>
        <v>0.9990234375</v>
      </c>
      <c r="D77" s="1" t="str">
        <f t="shared" ca="1" si="0"/>
        <v>=BINOM.DIST(9,10,0.5,TRUE)</v>
      </c>
    </row>
    <row r="78" spans="1:10" x14ac:dyDescent="0.3">
      <c r="A78" t="s">
        <v>24</v>
      </c>
      <c r="B78" t="s">
        <v>14</v>
      </c>
      <c r="C78">
        <f>1-_xlfn.BINOM.DIST(5,10,0.5,TRUE)</f>
        <v>0.376953125</v>
      </c>
      <c r="D78" s="1" t="str">
        <f t="shared" ca="1" si="0"/>
        <v>=1-BINOM.DIST(5,10,0.5,TRUE)</v>
      </c>
    </row>
    <row r="79" spans="1:10" x14ac:dyDescent="0.3">
      <c r="A79" t="s">
        <v>23</v>
      </c>
      <c r="B79" t="s">
        <v>22</v>
      </c>
      <c r="C79">
        <f>_xlfn.BINOM.DIST(8,10,0.5,TRUE)</f>
        <v>0.9892578125</v>
      </c>
      <c r="D79" s="1" t="str">
        <f t="shared" ca="1" si="0"/>
        <v>=BINOM.DIST(8,10,0.5,TRUE)</v>
      </c>
    </row>
    <row r="80" spans="1:10" x14ac:dyDescent="0.3">
      <c r="A80" t="s">
        <v>21</v>
      </c>
      <c r="B80" t="s">
        <v>20</v>
      </c>
      <c r="C80">
        <f>1 - _xlfn.BINOM.DIST(4,10,0.5,TRUE)</f>
        <v>0.623046875</v>
      </c>
      <c r="D80" s="1" t="str">
        <f t="shared" ca="1" si="0"/>
        <v>=1 - BINOM.DIST(4,10,0.5,TRUE)</v>
      </c>
    </row>
    <row r="81" spans="1:4" x14ac:dyDescent="0.3">
      <c r="A81" t="s">
        <v>19</v>
      </c>
      <c r="B81" t="s">
        <v>18</v>
      </c>
      <c r="C81">
        <f>_xlfn.BINOM.DIST(4,10,0.5,TRUE)</f>
        <v>0.376953125</v>
      </c>
      <c r="D81" s="1" t="str">
        <f t="shared" ca="1" si="0"/>
        <v>=BINOM.DIST(4,10,0.5,TRUE)</v>
      </c>
    </row>
    <row r="82" spans="1:4" x14ac:dyDescent="0.3">
      <c r="A82" t="s">
        <v>17</v>
      </c>
      <c r="B82" t="s">
        <v>16</v>
      </c>
      <c r="C82">
        <f>_xlfn.BINOM.DIST(3,10,0.5,TRUE)</f>
        <v>0.17187500000000006</v>
      </c>
      <c r="D82" s="1" t="str">
        <f t="shared" ca="1" si="0"/>
        <v>=BINOM.DIST(3,10,0.5,TRUE)</v>
      </c>
    </row>
    <row r="83" spans="1:4" x14ac:dyDescent="0.3">
      <c r="A83" t="s">
        <v>15</v>
      </c>
      <c r="B83" t="s">
        <v>14</v>
      </c>
      <c r="C83">
        <f>1 - _xlfn.BINOM.DIST(5,10,0.5,TRUE)</f>
        <v>0.376953125</v>
      </c>
      <c r="D83" s="1" t="str">
        <f t="shared" ca="1" si="0"/>
        <v>=1 - BINOM.DIST(5,10,0.5,TRUE)</v>
      </c>
    </row>
    <row r="84" spans="1:4" x14ac:dyDescent="0.3">
      <c r="A84" t="s">
        <v>13</v>
      </c>
      <c r="B84" t="s">
        <v>12</v>
      </c>
      <c r="C84">
        <f>_xlfn.BINOM.DIST(7,10,0.5,TRUE)</f>
        <v>0.9453125</v>
      </c>
      <c r="D84" s="1" t="str">
        <f t="shared" ca="1" si="0"/>
        <v>=BINOM.DIST(7,10,0.5,TRUE)</v>
      </c>
    </row>
    <row r="85" spans="1:4" x14ac:dyDescent="0.3">
      <c r="A85" t="s">
        <v>11</v>
      </c>
      <c r="B85" t="s">
        <v>9</v>
      </c>
      <c r="C85">
        <f>_xlfn.BINOM.DIST(2,10,0.5, TRUE)</f>
        <v>5.46875E-2</v>
      </c>
      <c r="D85" s="1" t="str">
        <f t="shared" ca="1" si="0"/>
        <v>=BINOM.DIST(2,10,0.5, TRUE)</v>
      </c>
    </row>
    <row r="86" spans="1:4" x14ac:dyDescent="0.3">
      <c r="A86" t="s">
        <v>10</v>
      </c>
      <c r="B86" t="s">
        <v>9</v>
      </c>
      <c r="C86">
        <f>_xlfn.BINOM.DIST(2,10,0.5, TRUE)</f>
        <v>5.46875E-2</v>
      </c>
      <c r="D86" s="1" t="str">
        <f t="shared" ca="1" si="0"/>
        <v>=BINOM.DIST(2,10,0.5, TRUE)</v>
      </c>
    </row>
    <row r="87" spans="1:4" x14ac:dyDescent="0.3">
      <c r="A87" t="s">
        <v>8</v>
      </c>
      <c r="B87" t="s">
        <v>7</v>
      </c>
      <c r="C87">
        <f>_xlfn.BINOM.DIST(6,10,0.5,TRUE) - _xlfn.BINOM.DIST(2,10,0.5,TRUE)</f>
        <v>0.7734375</v>
      </c>
      <c r="D87" s="1" t="str">
        <f t="shared" ca="1" si="0"/>
        <v>=BINOM.DIST(6,10,0.5,TRUE) - BINOM.DIST(2,10,0.5,TRUE)</v>
      </c>
    </row>
    <row r="88" spans="1:4" x14ac:dyDescent="0.3">
      <c r="A88" t="s">
        <v>6</v>
      </c>
      <c r="B88" t="s">
        <v>5</v>
      </c>
      <c r="C88">
        <f>_xlfn.BINOM.DIST(8,10,0.5,TRUE) - _xlfn.BINOM.DIST(2,10,0.5,TRUE)</f>
        <v>0.9345703125</v>
      </c>
      <c r="D88" s="1" t="str">
        <f t="shared" ca="1" si="0"/>
        <v>=BINOM.DIST(8,10,0.5,TRUE) - BINOM.DIST(2,10,0.5,TRUE)</v>
      </c>
    </row>
    <row r="91" spans="1:4" x14ac:dyDescent="0.3">
      <c r="A91" t="s">
        <v>4</v>
      </c>
    </row>
    <row r="92" spans="1:4" x14ac:dyDescent="0.3">
      <c r="A92" t="s">
        <v>3</v>
      </c>
    </row>
    <row r="93" spans="1:4" x14ac:dyDescent="0.3">
      <c r="A93" t="s">
        <v>2</v>
      </c>
    </row>
    <row r="95" spans="1:4" x14ac:dyDescent="0.3">
      <c r="A95" t="s">
        <v>1</v>
      </c>
      <c r="C95">
        <f>_xlfn.BINOM.DIST(9,15,0.65,FALSE)</f>
        <v>0.19056035697644208</v>
      </c>
      <c r="D95" t="str">
        <f ca="1">_xlfn.FORMULATEXT(C95)</f>
        <v>=BINOM.DIST(9,15,0.65,FALSE)</v>
      </c>
    </row>
    <row r="96" spans="1:4" x14ac:dyDescent="0.3">
      <c r="A96" t="s">
        <v>0</v>
      </c>
      <c r="C96">
        <f>_xlfn.BINOM.DIST(6,15,0.35,FALSE)</f>
        <v>0.19056035697644208</v>
      </c>
      <c r="D96" t="str">
        <f ca="1">_xlfn.FORMULATEXT(C96)</f>
        <v>=BINOM.DIST(6,15,0.35,FALSE)</v>
      </c>
    </row>
    <row r="98" spans="1:4" x14ac:dyDescent="0.3">
      <c r="A98" t="s">
        <v>1</v>
      </c>
      <c r="C98">
        <f>_xlfn.BINOM.DIST(13,15,0.65,FALSE)</f>
        <v>4.7555310773228214E-2</v>
      </c>
      <c r="D98" t="str">
        <f ca="1">_xlfn.FORMULATEXT(C98)</f>
        <v>=BINOM.DIST(13,15,0.65,FALSE)</v>
      </c>
    </row>
    <row r="99" spans="1:4" x14ac:dyDescent="0.3">
      <c r="A99" t="s">
        <v>0</v>
      </c>
      <c r="C99">
        <f>_xlfn.BINOM.DIST(2,15,0.35,FALSE)</f>
        <v>4.7555310773228228E-2</v>
      </c>
      <c r="D99" t="str">
        <f ca="1">_xlfn.FORMULATEXT(C99)</f>
        <v>=BINOM.DIST(2,15,0.35,FALSE)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52ED-1D14-4CB9-A3E4-776ADE7EC0C9}">
  <dimension ref="A1:P55"/>
  <sheetViews>
    <sheetView topLeftCell="A8" zoomScale="150" zoomScaleNormal="150" workbookViewId="0">
      <selection activeCell="D19" sqref="D19"/>
    </sheetView>
  </sheetViews>
  <sheetFormatPr defaultRowHeight="14.4" x14ac:dyDescent="0.3"/>
  <cols>
    <col min="1" max="13" width="16.6640625" customWidth="1"/>
  </cols>
  <sheetData>
    <row r="1" spans="1:16" ht="25.8" x14ac:dyDescent="0.5">
      <c r="A1" s="9" t="s">
        <v>136</v>
      </c>
    </row>
    <row r="3" spans="1:16" x14ac:dyDescent="0.3">
      <c r="A3" t="s">
        <v>135</v>
      </c>
      <c r="E3" t="s">
        <v>134</v>
      </c>
      <c r="F3">
        <v>91</v>
      </c>
      <c r="K3" t="s">
        <v>133</v>
      </c>
      <c r="L3" t="s">
        <v>132</v>
      </c>
      <c r="M3" s="4">
        <v>0.95</v>
      </c>
      <c r="O3" t="s">
        <v>83</v>
      </c>
      <c r="P3">
        <v>2000</v>
      </c>
    </row>
    <row r="4" spans="1:16" x14ac:dyDescent="0.3">
      <c r="A4" t="s">
        <v>131</v>
      </c>
      <c r="E4" t="s">
        <v>130</v>
      </c>
      <c r="G4" t="s">
        <v>128</v>
      </c>
      <c r="L4" s="4"/>
      <c r="O4" t="s">
        <v>81</v>
      </c>
      <c r="P4">
        <v>3000</v>
      </c>
    </row>
    <row r="5" spans="1:16" x14ac:dyDescent="0.3">
      <c r="A5" t="s">
        <v>129</v>
      </c>
      <c r="G5" t="s">
        <v>128</v>
      </c>
      <c r="H5">
        <v>19.600000000000001</v>
      </c>
      <c r="J5">
        <v>85</v>
      </c>
      <c r="K5" t="s">
        <v>127</v>
      </c>
      <c r="L5">
        <v>91</v>
      </c>
      <c r="O5" t="s">
        <v>80</v>
      </c>
      <c r="P5">
        <v>5000</v>
      </c>
    </row>
    <row r="6" spans="1:16" x14ac:dyDescent="0.3">
      <c r="A6" t="s">
        <v>126</v>
      </c>
      <c r="G6" t="s">
        <v>125</v>
      </c>
      <c r="O6" t="s">
        <v>79</v>
      </c>
      <c r="P6">
        <v>1000</v>
      </c>
    </row>
    <row r="7" spans="1:16" x14ac:dyDescent="0.3">
      <c r="J7">
        <v>85</v>
      </c>
      <c r="K7" t="s">
        <v>124</v>
      </c>
      <c r="L7">
        <v>91</v>
      </c>
      <c r="O7" t="s">
        <v>78</v>
      </c>
      <c r="P7">
        <v>-1000</v>
      </c>
    </row>
    <row r="8" spans="1:16" x14ac:dyDescent="0.3">
      <c r="C8" t="s">
        <v>123</v>
      </c>
    </row>
    <row r="9" spans="1:16" x14ac:dyDescent="0.3">
      <c r="C9" t="s">
        <v>122</v>
      </c>
      <c r="N9" t="s">
        <v>77</v>
      </c>
      <c r="P9">
        <v>10000</v>
      </c>
    </row>
    <row r="10" spans="1:16" x14ac:dyDescent="0.3">
      <c r="G10" s="7"/>
      <c r="H10" s="7"/>
      <c r="I10" s="7" t="s">
        <v>117</v>
      </c>
      <c r="J10" s="7"/>
      <c r="K10" s="7"/>
    </row>
    <row r="11" spans="1:16" x14ac:dyDescent="0.3">
      <c r="A11" t="s">
        <v>121</v>
      </c>
      <c r="C11">
        <v>1990</v>
      </c>
      <c r="E11" t="s">
        <v>120</v>
      </c>
      <c r="G11" s="7"/>
      <c r="H11" s="7"/>
      <c r="I11" s="7">
        <v>100000</v>
      </c>
      <c r="J11" s="7"/>
      <c r="K11" s="7"/>
    </row>
    <row r="12" spans="1:16" x14ac:dyDescent="0.3">
      <c r="A12" t="s">
        <v>119</v>
      </c>
      <c r="C12">
        <v>2833</v>
      </c>
      <c r="E12" t="s">
        <v>118</v>
      </c>
      <c r="G12" s="7" t="s">
        <v>117</v>
      </c>
      <c r="H12" s="7">
        <v>140</v>
      </c>
      <c r="I12" s="7"/>
      <c r="J12" s="7">
        <v>1400</v>
      </c>
      <c r="K12" s="7" t="s">
        <v>117</v>
      </c>
      <c r="L12">
        <v>14000</v>
      </c>
    </row>
    <row r="13" spans="1:16" x14ac:dyDescent="0.3">
      <c r="A13" t="s">
        <v>116</v>
      </c>
      <c r="C13">
        <v>2500</v>
      </c>
      <c r="E13" t="s">
        <v>115</v>
      </c>
    </row>
    <row r="14" spans="1:16" x14ac:dyDescent="0.3">
      <c r="A14" t="s">
        <v>114</v>
      </c>
      <c r="C14">
        <v>140</v>
      </c>
      <c r="G14" t="s">
        <v>113</v>
      </c>
    </row>
    <row r="15" spans="1:16" x14ac:dyDescent="0.3">
      <c r="A15" t="s">
        <v>112</v>
      </c>
      <c r="C15">
        <f>C14-1</f>
        <v>139</v>
      </c>
      <c r="E15" t="s">
        <v>111</v>
      </c>
      <c r="G15" t="s">
        <v>110</v>
      </c>
    </row>
    <row r="16" spans="1:16" x14ac:dyDescent="0.3">
      <c r="A16" t="s">
        <v>109</v>
      </c>
      <c r="C16">
        <v>1.984</v>
      </c>
      <c r="E16" t="s">
        <v>108</v>
      </c>
      <c r="G16" t="s">
        <v>107</v>
      </c>
    </row>
    <row r="17" spans="1:13" x14ac:dyDescent="0.3">
      <c r="A17" t="s">
        <v>91</v>
      </c>
      <c r="C17">
        <f>C13/SQRT(C14)</f>
        <v>211.28856368212914</v>
      </c>
      <c r="E17" t="s">
        <v>106</v>
      </c>
      <c r="G17" t="s">
        <v>105</v>
      </c>
    </row>
    <row r="19" spans="1:13" ht="18" x14ac:dyDescent="0.35">
      <c r="A19" s="5" t="s">
        <v>104</v>
      </c>
    </row>
    <row r="20" spans="1:13" x14ac:dyDescent="0.3">
      <c r="A20" s="4" t="s">
        <v>103</v>
      </c>
    </row>
    <row r="21" spans="1:13" x14ac:dyDescent="0.3">
      <c r="A21" t="s">
        <v>89</v>
      </c>
      <c r="C21">
        <f>C11-(C16*C17)</f>
        <v>1570.8034896546558</v>
      </c>
      <c r="E21" t="s">
        <v>102</v>
      </c>
      <c r="G21">
        <f>C11-(2.626*C17)</f>
        <v>1435.1562317707289</v>
      </c>
      <c r="I21" t="s">
        <v>101</v>
      </c>
      <c r="K21" s="8" t="s">
        <v>84</v>
      </c>
      <c r="L21" s="8" t="s">
        <v>84</v>
      </c>
      <c r="M21" s="8" t="s">
        <v>84</v>
      </c>
    </row>
    <row r="22" spans="1:13" x14ac:dyDescent="0.3">
      <c r="A22" t="s">
        <v>87</v>
      </c>
      <c r="C22">
        <f>C11+(C16*C17)</f>
        <v>2409.196510345344</v>
      </c>
      <c r="E22" t="s">
        <v>100</v>
      </c>
      <c r="G22">
        <f>C11+(2.626*C17)</f>
        <v>2544.8437682292711</v>
      </c>
      <c r="K22" s="7" t="s">
        <v>82</v>
      </c>
      <c r="L22" s="7" t="s">
        <v>99</v>
      </c>
      <c r="M22" s="7" t="s">
        <v>98</v>
      </c>
    </row>
    <row r="24" spans="1:13" x14ac:dyDescent="0.3">
      <c r="A24" t="s">
        <v>97</v>
      </c>
      <c r="K24" t="s">
        <v>96</v>
      </c>
    </row>
    <row r="25" spans="1:13" x14ac:dyDescent="0.3">
      <c r="I25" s="6" t="s">
        <v>95</v>
      </c>
      <c r="K25" t="s">
        <v>94</v>
      </c>
    </row>
    <row r="26" spans="1:13" ht="18" x14ac:dyDescent="0.35">
      <c r="A26" s="5" t="s">
        <v>93</v>
      </c>
      <c r="I26">
        <f>5/3</f>
        <v>1.6666666666666667</v>
      </c>
    </row>
    <row r="27" spans="1:13" x14ac:dyDescent="0.3">
      <c r="A27" s="4" t="s">
        <v>92</v>
      </c>
      <c r="I27">
        <f>5/1.5</f>
        <v>3.3333333333333335</v>
      </c>
      <c r="K27" t="s">
        <v>83</v>
      </c>
      <c r="L27">
        <v>250</v>
      </c>
    </row>
    <row r="28" spans="1:13" x14ac:dyDescent="0.3">
      <c r="A28" t="s">
        <v>91</v>
      </c>
      <c r="C28">
        <f>2833/ SQRT(140)</f>
        <v>239.43220036458874</v>
      </c>
      <c r="E28" t="s">
        <v>90</v>
      </c>
      <c r="K28" t="s">
        <v>81</v>
      </c>
      <c r="L28">
        <v>200</v>
      </c>
    </row>
    <row r="29" spans="1:13" x14ac:dyDescent="0.3">
      <c r="A29" t="s">
        <v>89</v>
      </c>
      <c r="C29">
        <f>C11-(C16*C28)</f>
        <v>1514.9665144766559</v>
      </c>
      <c r="E29" t="s">
        <v>88</v>
      </c>
      <c r="K29" t="s">
        <v>80</v>
      </c>
      <c r="L29">
        <v>190</v>
      </c>
    </row>
    <row r="30" spans="1:13" x14ac:dyDescent="0.3">
      <c r="A30" t="s">
        <v>87</v>
      </c>
      <c r="C30">
        <f>C11+(C16*C28)</f>
        <v>2465.0334855233441</v>
      </c>
      <c r="E30" t="s">
        <v>86</v>
      </c>
      <c r="K30" t="s">
        <v>79</v>
      </c>
      <c r="L30">
        <v>310</v>
      </c>
    </row>
    <row r="31" spans="1:13" x14ac:dyDescent="0.3">
      <c r="K31" t="s">
        <v>78</v>
      </c>
      <c r="L31">
        <v>50</v>
      </c>
    </row>
    <row r="32" spans="1:13" x14ac:dyDescent="0.3">
      <c r="A32" t="s">
        <v>85</v>
      </c>
    </row>
    <row r="33" spans="2:12" x14ac:dyDescent="0.3">
      <c r="K33" t="s">
        <v>77</v>
      </c>
      <c r="L33">
        <v>1000</v>
      </c>
    </row>
    <row r="37" spans="2:12" x14ac:dyDescent="0.3">
      <c r="B37" t="s">
        <v>84</v>
      </c>
      <c r="E37" t="s">
        <v>83</v>
      </c>
      <c r="F37">
        <v>300</v>
      </c>
    </row>
    <row r="38" spans="2:12" x14ac:dyDescent="0.3">
      <c r="B38" t="s">
        <v>82</v>
      </c>
      <c r="E38" t="s">
        <v>81</v>
      </c>
      <c r="F38">
        <v>200</v>
      </c>
    </row>
    <row r="39" spans="2:12" x14ac:dyDescent="0.3">
      <c r="E39" t="s">
        <v>80</v>
      </c>
      <c r="F39">
        <v>100</v>
      </c>
    </row>
    <row r="40" spans="2:12" x14ac:dyDescent="0.3">
      <c r="E40" t="s">
        <v>79</v>
      </c>
      <c r="F40">
        <v>50</v>
      </c>
    </row>
    <row r="41" spans="2:12" x14ac:dyDescent="0.3">
      <c r="E41" t="s">
        <v>78</v>
      </c>
      <c r="F41">
        <v>350</v>
      </c>
    </row>
    <row r="43" spans="2:12" x14ac:dyDescent="0.3">
      <c r="E43" t="s">
        <v>77</v>
      </c>
      <c r="F43">
        <v>1000</v>
      </c>
    </row>
    <row r="47" spans="2:12" x14ac:dyDescent="0.3">
      <c r="C47" s="1"/>
      <c r="D47" s="1">
        <v>100000</v>
      </c>
      <c r="E47" s="1"/>
    </row>
    <row r="48" spans="2:12" x14ac:dyDescent="0.3">
      <c r="C48" s="1"/>
      <c r="D48" s="1" t="s">
        <v>62</v>
      </c>
      <c r="E48" s="1"/>
    </row>
    <row r="49" spans="1:5" x14ac:dyDescent="0.3">
      <c r="C49" s="1">
        <v>1000</v>
      </c>
      <c r="D49" s="1"/>
      <c r="E49" s="1">
        <v>100</v>
      </c>
    </row>
    <row r="50" spans="1:5" x14ac:dyDescent="0.3">
      <c r="C50" s="1" t="s">
        <v>62</v>
      </c>
      <c r="D50" s="1"/>
      <c r="E50" s="1" t="s">
        <v>62</v>
      </c>
    </row>
    <row r="53" spans="1:5" x14ac:dyDescent="0.3">
      <c r="A53" t="s">
        <v>76</v>
      </c>
    </row>
    <row r="54" spans="1:5" x14ac:dyDescent="0.3">
      <c r="A54" t="s">
        <v>75</v>
      </c>
      <c r="B54">
        <v>41</v>
      </c>
    </row>
    <row r="55" spans="1:5" x14ac:dyDescent="0.3">
      <c r="A55" t="s">
        <v>74</v>
      </c>
      <c r="B55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2E89-3D63-462B-A63F-110A858BD032}">
  <dimension ref="A1:S45"/>
  <sheetViews>
    <sheetView tabSelected="1" topLeftCell="A9" zoomScale="150" zoomScaleNormal="150" workbookViewId="0">
      <selection activeCell="M22" sqref="M22"/>
    </sheetView>
  </sheetViews>
  <sheetFormatPr defaultRowHeight="14.4" x14ac:dyDescent="0.3"/>
  <cols>
    <col min="1" max="1" width="11" customWidth="1"/>
  </cols>
  <sheetData>
    <row r="1" spans="1:19" x14ac:dyDescent="0.3">
      <c r="A1" t="s">
        <v>137</v>
      </c>
    </row>
    <row r="2" spans="1:19" ht="15" thickBot="1" x14ac:dyDescent="0.35">
      <c r="F2" t="s">
        <v>138</v>
      </c>
    </row>
    <row r="3" spans="1:19" ht="15" thickBot="1" x14ac:dyDescent="0.35">
      <c r="A3" s="10" t="s">
        <v>139</v>
      </c>
      <c r="B3" s="11" t="s">
        <v>140</v>
      </c>
      <c r="C3" s="11" t="s">
        <v>141</v>
      </c>
      <c r="D3" s="11" t="s">
        <v>142</v>
      </c>
    </row>
    <row r="4" spans="1:19" x14ac:dyDescent="0.3">
      <c r="A4" s="12">
        <v>1</v>
      </c>
      <c r="B4" s="13">
        <v>6</v>
      </c>
      <c r="C4" s="13">
        <v>4</v>
      </c>
      <c r="D4" s="13">
        <v>6</v>
      </c>
      <c r="F4" t="s">
        <v>143</v>
      </c>
    </row>
    <row r="5" spans="1:19" x14ac:dyDescent="0.3">
      <c r="A5" s="12">
        <v>2</v>
      </c>
      <c r="B5" s="13">
        <v>2</v>
      </c>
      <c r="C5" s="13">
        <v>4</v>
      </c>
      <c r="D5" s="13">
        <v>7</v>
      </c>
    </row>
    <row r="6" spans="1:19" x14ac:dyDescent="0.3">
      <c r="A6" s="12">
        <v>3</v>
      </c>
      <c r="B6" s="13">
        <v>3</v>
      </c>
      <c r="C6" s="13">
        <v>5</v>
      </c>
      <c r="D6" s="13">
        <v>5</v>
      </c>
    </row>
    <row r="7" spans="1:19" x14ac:dyDescent="0.3">
      <c r="A7" s="12">
        <v>4</v>
      </c>
      <c r="B7" s="13">
        <v>4</v>
      </c>
      <c r="C7" s="13">
        <v>7</v>
      </c>
      <c r="D7" s="13">
        <v>6</v>
      </c>
    </row>
    <row r="8" spans="1:19" x14ac:dyDescent="0.3">
      <c r="A8" s="12">
        <v>5</v>
      </c>
      <c r="B8" s="13">
        <v>2</v>
      </c>
      <c r="C8" s="13">
        <v>8</v>
      </c>
      <c r="D8" s="13">
        <v>8</v>
      </c>
    </row>
    <row r="9" spans="1:19" x14ac:dyDescent="0.3">
      <c r="A9" s="12">
        <v>6</v>
      </c>
      <c r="B9" s="13">
        <v>3</v>
      </c>
      <c r="C9" s="13">
        <v>5</v>
      </c>
      <c r="D9" s="13">
        <v>7</v>
      </c>
    </row>
    <row r="10" spans="1:19" x14ac:dyDescent="0.3">
      <c r="A10" s="12">
        <v>7</v>
      </c>
      <c r="B10" s="13">
        <v>3</v>
      </c>
      <c r="C10" s="13">
        <v>3</v>
      </c>
      <c r="D10" s="13">
        <v>8</v>
      </c>
    </row>
    <row r="11" spans="1:19" x14ac:dyDescent="0.3">
      <c r="A11" s="12">
        <v>8</v>
      </c>
      <c r="B11" s="13">
        <v>2</v>
      </c>
      <c r="C11" s="13">
        <v>7</v>
      </c>
      <c r="D11" s="13">
        <v>9</v>
      </c>
    </row>
    <row r="12" spans="1:19" x14ac:dyDescent="0.3">
      <c r="A12" s="12">
        <v>9</v>
      </c>
      <c r="B12" s="13">
        <v>7</v>
      </c>
      <c r="C12" s="13">
        <v>10</v>
      </c>
      <c r="D12" s="13">
        <v>6</v>
      </c>
      <c r="R12" t="s">
        <v>83</v>
      </c>
      <c r="S12">
        <v>17</v>
      </c>
    </row>
    <row r="13" spans="1:19" x14ac:dyDescent="0.3">
      <c r="A13" s="12">
        <v>10</v>
      </c>
      <c r="B13" s="13">
        <v>8</v>
      </c>
      <c r="C13" s="13">
        <v>4</v>
      </c>
      <c r="D13" s="13">
        <v>5</v>
      </c>
      <c r="R13" t="s">
        <v>81</v>
      </c>
      <c r="S13">
        <v>25</v>
      </c>
    </row>
    <row r="14" spans="1:19" x14ac:dyDescent="0.3">
      <c r="A14" s="12">
        <v>11</v>
      </c>
      <c r="B14" s="13">
        <v>10</v>
      </c>
      <c r="C14" s="13">
        <v>5</v>
      </c>
      <c r="D14" s="13">
        <v>5</v>
      </c>
      <c r="H14" t="s">
        <v>144</v>
      </c>
      <c r="M14">
        <f>B22</f>
        <v>38.888888888888886</v>
      </c>
      <c r="R14" t="s">
        <v>80</v>
      </c>
      <c r="S14">
        <v>37</v>
      </c>
    </row>
    <row r="15" spans="1:19" ht="15" thickBot="1" x14ac:dyDescent="0.35">
      <c r="A15" s="12">
        <v>12</v>
      </c>
      <c r="B15" s="13">
        <v>4</v>
      </c>
      <c r="C15" s="13">
        <v>2</v>
      </c>
      <c r="D15" s="13">
        <v>12</v>
      </c>
      <c r="R15" t="s">
        <v>79</v>
      </c>
      <c r="S15">
        <v>26</v>
      </c>
    </row>
    <row r="16" spans="1:19" ht="15" thickBot="1" x14ac:dyDescent="0.35">
      <c r="A16" s="11" t="s">
        <v>62</v>
      </c>
      <c r="B16" s="14">
        <f>AVERAGE(B4:B15)</f>
        <v>4.5</v>
      </c>
      <c r="C16" s="14">
        <f>AVERAGE(C4:C15)</f>
        <v>5.333333333333333</v>
      </c>
      <c r="D16" s="14">
        <f>AVERAGE(D4:D15)</f>
        <v>7</v>
      </c>
      <c r="H16" t="s">
        <v>145</v>
      </c>
      <c r="M16">
        <f>3-1</f>
        <v>2</v>
      </c>
      <c r="R16" t="s">
        <v>78</v>
      </c>
      <c r="S16">
        <v>-5</v>
      </c>
    </row>
    <row r="17" spans="1:19" ht="15" thickBot="1" x14ac:dyDescent="0.35">
      <c r="A17" s="15" t="s">
        <v>146</v>
      </c>
      <c r="B17" s="16">
        <f>AVERAGE(B4:D15)</f>
        <v>5.6111111111111107</v>
      </c>
      <c r="C17" s="16"/>
      <c r="D17" s="17"/>
      <c r="H17" t="s">
        <v>147</v>
      </c>
      <c r="S17">
        <v>100</v>
      </c>
    </row>
    <row r="18" spans="1:19" x14ac:dyDescent="0.3">
      <c r="A18" s="18" t="s">
        <v>148</v>
      </c>
      <c r="B18" s="18">
        <f>B16-$B$17</f>
        <v>-1.1111111111111107</v>
      </c>
      <c r="C18" s="19">
        <f>C16-$B$17</f>
        <v>-0.27777777777777768</v>
      </c>
      <c r="D18" s="20">
        <f>D16-$B$17</f>
        <v>1.3888888888888893</v>
      </c>
    </row>
    <row r="19" spans="1:19" x14ac:dyDescent="0.3">
      <c r="A19" s="12" t="s">
        <v>149</v>
      </c>
      <c r="B19" s="12">
        <f>B18^2</f>
        <v>1.2345679012345669</v>
      </c>
      <c r="C19" s="13">
        <f>C18^2</f>
        <v>7.7160493827160434E-2</v>
      </c>
      <c r="D19" s="21">
        <f>D18^2</f>
        <v>1.9290123456790134</v>
      </c>
      <c r="H19" t="s">
        <v>150</v>
      </c>
      <c r="M19">
        <f>B40</f>
        <v>179.66666666666669</v>
      </c>
    </row>
    <row r="20" spans="1:19" x14ac:dyDescent="0.3">
      <c r="A20" s="12" t="s">
        <v>151</v>
      </c>
      <c r="B20" s="12">
        <v>12</v>
      </c>
      <c r="C20" s="13">
        <v>12</v>
      </c>
      <c r="D20" s="21">
        <v>12</v>
      </c>
    </row>
    <row r="21" spans="1:19" ht="15" thickBot="1" x14ac:dyDescent="0.35">
      <c r="A21" s="12" t="s">
        <v>152</v>
      </c>
      <c r="B21" s="22">
        <f>B19*B20</f>
        <v>14.814814814814802</v>
      </c>
      <c r="C21" s="15">
        <f>C19*C20</f>
        <v>0.92592592592592515</v>
      </c>
      <c r="D21" s="23">
        <f>D19*D20</f>
        <v>23.148148148148159</v>
      </c>
      <c r="H21" t="s">
        <v>153</v>
      </c>
      <c r="M21">
        <f>36-3</f>
        <v>33</v>
      </c>
    </row>
    <row r="22" spans="1:19" ht="15" thickBot="1" x14ac:dyDescent="0.35">
      <c r="A22" s="11" t="s">
        <v>154</v>
      </c>
      <c r="B22" s="24">
        <f>SUM(B21:D21)</f>
        <v>38.888888888888886</v>
      </c>
      <c r="C22" s="25"/>
      <c r="D22" s="26"/>
      <c r="H22" t="s">
        <v>155</v>
      </c>
    </row>
    <row r="24" spans="1:19" ht="15" thickBot="1" x14ac:dyDescent="0.35">
      <c r="K24" t="s">
        <v>156</v>
      </c>
      <c r="N24">
        <f>M14/M16</f>
        <v>19.444444444444443</v>
      </c>
    </row>
    <row r="25" spans="1:19" ht="15" thickBot="1" x14ac:dyDescent="0.35">
      <c r="B25" s="27" t="s">
        <v>140</v>
      </c>
      <c r="C25" s="28" t="s">
        <v>157</v>
      </c>
      <c r="D25" s="29"/>
      <c r="E25" s="27" t="s">
        <v>141</v>
      </c>
      <c r="F25" s="28" t="s">
        <v>157</v>
      </c>
      <c r="G25" s="29"/>
      <c r="H25" s="27" t="s">
        <v>142</v>
      </c>
      <c r="I25" s="28" t="s">
        <v>157</v>
      </c>
    </row>
    <row r="26" spans="1:19" x14ac:dyDescent="0.3">
      <c r="B26" s="30">
        <v>6</v>
      </c>
      <c r="C26" s="30">
        <f>(B26-B$38)^2</f>
        <v>2.25</v>
      </c>
      <c r="D26" s="7"/>
      <c r="E26" s="30">
        <v>4</v>
      </c>
      <c r="F26" s="30">
        <f>(E26-$E$38)^2</f>
        <v>1.777777777777777</v>
      </c>
      <c r="G26" s="7"/>
      <c r="H26" s="30">
        <v>6</v>
      </c>
      <c r="I26" s="30">
        <f>(H26-$H$38)^2</f>
        <v>1</v>
      </c>
      <c r="K26" t="s">
        <v>158</v>
      </c>
      <c r="N26">
        <f>M19/M21</f>
        <v>5.4444444444444446</v>
      </c>
    </row>
    <row r="27" spans="1:19" x14ac:dyDescent="0.3">
      <c r="B27" s="30">
        <v>2</v>
      </c>
      <c r="C27" s="30">
        <f>(B27-$B$38)^2</f>
        <v>6.25</v>
      </c>
      <c r="D27" s="7"/>
      <c r="E27" s="30">
        <v>4</v>
      </c>
      <c r="F27" s="30">
        <f t="shared" ref="F27:F37" si="0">(E27-$E$38)^2</f>
        <v>1.777777777777777</v>
      </c>
      <c r="G27" s="7"/>
      <c r="H27" s="30">
        <v>7</v>
      </c>
      <c r="I27" s="30">
        <f t="shared" ref="I27:I37" si="1">(H27-$H$38)^2</f>
        <v>0</v>
      </c>
    </row>
    <row r="28" spans="1:19" x14ac:dyDescent="0.3">
      <c r="B28" s="30">
        <v>3</v>
      </c>
      <c r="C28" s="30">
        <f t="shared" ref="C28:C37" si="2">(B28-$B$38)^2</f>
        <v>2.25</v>
      </c>
      <c r="D28" s="7"/>
      <c r="E28" s="30">
        <v>5</v>
      </c>
      <c r="F28" s="30">
        <f t="shared" si="0"/>
        <v>0.11111111111111091</v>
      </c>
      <c r="G28" s="7"/>
      <c r="H28" s="30">
        <v>5</v>
      </c>
      <c r="I28" s="30">
        <f t="shared" si="1"/>
        <v>4</v>
      </c>
    </row>
    <row r="29" spans="1:19" x14ac:dyDescent="0.3">
      <c r="B29" s="30">
        <v>4</v>
      </c>
      <c r="C29" s="30">
        <f t="shared" si="2"/>
        <v>0.25</v>
      </c>
      <c r="D29" s="7"/>
      <c r="E29" s="30">
        <v>7</v>
      </c>
      <c r="F29" s="30">
        <f t="shared" si="0"/>
        <v>2.7777777777777786</v>
      </c>
      <c r="G29" s="7"/>
      <c r="H29" s="30">
        <v>6</v>
      </c>
      <c r="I29" s="30">
        <f t="shared" si="1"/>
        <v>1</v>
      </c>
    </row>
    <row r="30" spans="1:19" x14ac:dyDescent="0.3">
      <c r="B30" s="30">
        <v>2</v>
      </c>
      <c r="C30" s="30">
        <f>(B30-$B$38)^2</f>
        <v>6.25</v>
      </c>
      <c r="D30" s="7"/>
      <c r="E30" s="30">
        <v>8</v>
      </c>
      <c r="F30" s="30">
        <f t="shared" si="0"/>
        <v>7.1111111111111125</v>
      </c>
      <c r="G30" s="7"/>
      <c r="H30" s="30">
        <v>8</v>
      </c>
      <c r="I30" s="30">
        <f t="shared" si="1"/>
        <v>1</v>
      </c>
      <c r="K30" t="s">
        <v>159</v>
      </c>
      <c r="L30">
        <f>(M14/M16) / (M19/M21)</f>
        <v>3.5714285714285712</v>
      </c>
      <c r="N30">
        <f>N24/N26</f>
        <v>3.5714285714285712</v>
      </c>
    </row>
    <row r="31" spans="1:19" x14ac:dyDescent="0.3">
      <c r="B31" s="30">
        <v>3</v>
      </c>
      <c r="C31" s="30">
        <f t="shared" si="2"/>
        <v>2.25</v>
      </c>
      <c r="D31" s="7"/>
      <c r="E31" s="30">
        <v>5</v>
      </c>
      <c r="F31" s="30">
        <f t="shared" si="0"/>
        <v>0.11111111111111091</v>
      </c>
      <c r="G31" s="7"/>
      <c r="H31" s="30">
        <v>7</v>
      </c>
      <c r="I31" s="30">
        <f t="shared" si="1"/>
        <v>0</v>
      </c>
    </row>
    <row r="32" spans="1:19" x14ac:dyDescent="0.3">
      <c r="B32" s="30">
        <v>3</v>
      </c>
      <c r="C32" s="30">
        <f t="shared" si="2"/>
        <v>2.25</v>
      </c>
      <c r="D32" s="7"/>
      <c r="E32" s="30">
        <v>3</v>
      </c>
      <c r="F32" s="30">
        <f t="shared" si="0"/>
        <v>5.4444444444444429</v>
      </c>
      <c r="G32" s="7"/>
      <c r="H32" s="30">
        <v>8</v>
      </c>
      <c r="I32" s="30">
        <f t="shared" si="1"/>
        <v>1</v>
      </c>
      <c r="K32" t="s">
        <v>160</v>
      </c>
      <c r="N32">
        <v>3.3157999999999999</v>
      </c>
      <c r="P32" t="s">
        <v>161</v>
      </c>
    </row>
    <row r="33" spans="1:11" x14ac:dyDescent="0.3">
      <c r="B33" s="30">
        <v>2</v>
      </c>
      <c r="C33" s="30">
        <f t="shared" si="2"/>
        <v>6.25</v>
      </c>
      <c r="D33" s="7"/>
      <c r="E33" s="30">
        <v>7</v>
      </c>
      <c r="F33" s="30">
        <f t="shared" si="0"/>
        <v>2.7777777777777786</v>
      </c>
      <c r="G33" s="7"/>
      <c r="H33" s="30">
        <v>9</v>
      </c>
      <c r="I33" s="30">
        <f t="shared" si="1"/>
        <v>4</v>
      </c>
    </row>
    <row r="34" spans="1:11" x14ac:dyDescent="0.3">
      <c r="B34" s="30">
        <v>7</v>
      </c>
      <c r="C34" s="30">
        <f t="shared" si="2"/>
        <v>6.25</v>
      </c>
      <c r="D34" s="7"/>
      <c r="E34" s="30">
        <v>10</v>
      </c>
      <c r="F34" s="30">
        <f t="shared" si="0"/>
        <v>21.777777777777782</v>
      </c>
      <c r="G34" s="7"/>
      <c r="H34" s="30">
        <v>6</v>
      </c>
      <c r="I34" s="30">
        <f t="shared" si="1"/>
        <v>1</v>
      </c>
      <c r="K34" t="s">
        <v>162</v>
      </c>
    </row>
    <row r="35" spans="1:11" x14ac:dyDescent="0.3">
      <c r="B35" s="30">
        <v>8</v>
      </c>
      <c r="C35" s="30">
        <f t="shared" si="2"/>
        <v>12.25</v>
      </c>
      <c r="D35" s="7"/>
      <c r="E35" s="30">
        <v>4</v>
      </c>
      <c r="F35" s="30">
        <f t="shared" si="0"/>
        <v>1.777777777777777</v>
      </c>
      <c r="G35" s="7"/>
      <c r="H35" s="30">
        <v>5</v>
      </c>
      <c r="I35" s="30">
        <f t="shared" si="1"/>
        <v>4</v>
      </c>
    </row>
    <row r="36" spans="1:11" x14ac:dyDescent="0.3">
      <c r="B36" s="30">
        <v>10</v>
      </c>
      <c r="C36" s="30">
        <f t="shared" si="2"/>
        <v>30.25</v>
      </c>
      <c r="D36" s="7"/>
      <c r="E36" s="30">
        <v>5</v>
      </c>
      <c r="F36" s="30">
        <f t="shared" si="0"/>
        <v>0.11111111111111091</v>
      </c>
      <c r="G36" s="7"/>
      <c r="H36" s="30">
        <v>5</v>
      </c>
      <c r="I36" s="30">
        <f t="shared" si="1"/>
        <v>4</v>
      </c>
      <c r="K36" t="s">
        <v>163</v>
      </c>
    </row>
    <row r="37" spans="1:11" ht="15" thickBot="1" x14ac:dyDescent="0.35">
      <c r="B37" s="30">
        <v>4</v>
      </c>
      <c r="C37" s="30">
        <f t="shared" si="2"/>
        <v>0.25</v>
      </c>
      <c r="D37" s="7"/>
      <c r="E37" s="30">
        <v>2</v>
      </c>
      <c r="F37" s="30">
        <f t="shared" si="0"/>
        <v>11.111111111111109</v>
      </c>
      <c r="G37" s="7"/>
      <c r="H37" s="30">
        <v>12</v>
      </c>
      <c r="I37" s="30">
        <f t="shared" si="1"/>
        <v>25</v>
      </c>
    </row>
    <row r="38" spans="1:11" ht="15" thickBot="1" x14ac:dyDescent="0.35">
      <c r="A38" t="s">
        <v>164</v>
      </c>
      <c r="B38" s="31">
        <f>AVERAGE(B26:B37)</f>
        <v>4.5</v>
      </c>
      <c r="C38" s="27">
        <f>SUM(C26:C37)</f>
        <v>77</v>
      </c>
      <c r="D38" s="27"/>
      <c r="E38" s="27">
        <f>AVERAGE(E26:E37)</f>
        <v>5.333333333333333</v>
      </c>
      <c r="F38" s="27">
        <f>SUM(F26:F37)</f>
        <v>56.666666666666671</v>
      </c>
      <c r="G38" s="27"/>
      <c r="H38" s="27">
        <f>AVERAGE(H26:H37)</f>
        <v>7</v>
      </c>
      <c r="I38" s="27">
        <f>SUM(I26:I37)</f>
        <v>46</v>
      </c>
      <c r="K38" t="s">
        <v>165</v>
      </c>
    </row>
    <row r="40" spans="1:11" x14ac:dyDescent="0.3">
      <c r="A40" t="s">
        <v>166</v>
      </c>
      <c r="B40">
        <f>C38+F38+I38</f>
        <v>179.66666666666669</v>
      </c>
    </row>
    <row r="43" spans="1:11" x14ac:dyDescent="0.3">
      <c r="B43" t="s">
        <v>167</v>
      </c>
      <c r="E43" t="s">
        <v>168</v>
      </c>
    </row>
    <row r="44" spans="1:11" x14ac:dyDescent="0.3">
      <c r="E44" t="s">
        <v>169</v>
      </c>
    </row>
    <row r="45" spans="1:11" x14ac:dyDescent="0.3">
      <c r="E45" t="s">
        <v>170</v>
      </c>
    </row>
  </sheetData>
  <mergeCells count="2">
    <mergeCell ref="B17:D17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Questions Solutions</vt:lpstr>
      <vt:lpstr>Confidence Intervals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Excelr</dc:creator>
  <cp:lastModifiedBy>Neha Ramchandani</cp:lastModifiedBy>
  <dcterms:created xsi:type="dcterms:W3CDTF">2015-06-05T18:17:20Z</dcterms:created>
  <dcterms:modified xsi:type="dcterms:W3CDTF">2024-08-07T06:14:02Z</dcterms:modified>
</cp:coreProperties>
</file>