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xcel\Downloads\"/>
    </mc:Choice>
  </mc:AlternateContent>
  <xr:revisionPtr revIDLastSave="0" documentId="13_ncr:1_{2227F540-9C9F-4B7D-9FBD-7DF1F5F24BB7}" xr6:coauthVersionLast="47" xr6:coauthVersionMax="47" xr10:uidLastSave="{00000000-0000-0000-0000-000000000000}"/>
  <bookViews>
    <workbookView xWindow="-108" yWindow="-108" windowWidth="23256" windowHeight="12456" firstSheet="17" activeTab="20" xr2:uid="{00000000-000D-0000-FFFF-FFFF00000000}"/>
  </bookViews>
  <sheets>
    <sheet name="Measures of Statistics" sheetId="1" r:id="rId1"/>
    <sheet name="Measures of Central Tendencies" sheetId="2" r:id="rId2"/>
    <sheet name="Difference Betwn Variance &amp; SD" sheetId="3" r:id="rId3"/>
    <sheet name="Measures of DispersionSpread" sheetId="4" r:id="rId4"/>
    <sheet name="Histogram" sheetId="5" r:id="rId5"/>
    <sheet name="Empirical Rule" sheetId="6" r:id="rId6"/>
    <sheet name="Boxplot Interpretation" sheetId="7" r:id="rId7"/>
    <sheet name="Quantiles" sheetId="8" r:id="rId8"/>
    <sheet name="Stock Data" sheetId="9" r:id="rId9"/>
    <sheet name="Probability Concept" sheetId="10" r:id="rId10"/>
    <sheet name="Probability" sheetId="11" r:id="rId11"/>
    <sheet name="Continuous Data" sheetId="12" r:id="rId12"/>
    <sheet name="Continuous Prob Distribution" sheetId="13" r:id="rId13"/>
    <sheet name="Sheet1" sheetId="14" r:id="rId14"/>
    <sheet name="Iris Data" sheetId="15" r:id="rId15"/>
    <sheet name="Practice Exercises" sheetId="16" r:id="rId16"/>
    <sheet name="Confidence Intervals" sheetId="17" r:id="rId17"/>
    <sheet name="Type 1 &amp; Type 2 Errors" sheetId="18" r:id="rId18"/>
    <sheet name="ANOVA" sheetId="19" r:id="rId19"/>
    <sheet name="Chi-Square" sheetId="20" r:id="rId20"/>
    <sheet name="Sheet2" sheetId="22" r:id="rId21"/>
    <sheet name="Sheet6" sheetId="23" r:id="rId22"/>
  </sheets>
  <definedNames>
    <definedName name="_xlnm._FilterDatabase" localSheetId="12" hidden="1">'Continuous Prob Distribution'!$A$5:$B$155</definedName>
    <definedName name="_xlcn.WorksheetConnection_BinomialDistBoxplotJ39Q581">'Probability Concept'!$J$39:$Q$58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8" roundtripDataChecksum="57R3VfZzxBxShNF/+g1d29uXAL29A3VM0vJohYrLpUw="/>
    </ext>
  </extLst>
</workbook>
</file>

<file path=xl/calcChain.xml><?xml version="1.0" encoding="utf-8"?>
<calcChain xmlns="http://schemas.openxmlformats.org/spreadsheetml/2006/main">
  <c r="D23" i="23" l="1"/>
  <c r="G146" i="20"/>
  <c r="G133" i="20"/>
  <c r="F133" i="20"/>
  <c r="E133" i="20"/>
  <c r="F102" i="20"/>
  <c r="K95" i="20"/>
  <c r="F95" i="20"/>
  <c r="L95" i="20" s="1"/>
  <c r="E95" i="20"/>
  <c r="D95" i="20"/>
  <c r="J95" i="20" s="1"/>
  <c r="F94" i="20"/>
  <c r="L94" i="20" s="1"/>
  <c r="E94" i="20"/>
  <c r="K94" i="20" s="1"/>
  <c r="D94" i="20"/>
  <c r="J94" i="20" s="1"/>
  <c r="K93" i="20"/>
  <c r="F93" i="20"/>
  <c r="L93" i="20" s="1"/>
  <c r="E93" i="20"/>
  <c r="D93" i="20"/>
  <c r="J93" i="20" s="1"/>
  <c r="F100" i="20" s="1"/>
  <c r="E69" i="20"/>
  <c r="F63" i="20"/>
  <c r="E63" i="20"/>
  <c r="G62" i="20"/>
  <c r="D62" i="20"/>
  <c r="G55" i="20"/>
  <c r="G63" i="20" s="1"/>
  <c r="F55" i="20"/>
  <c r="E55" i="20"/>
  <c r="D55" i="20"/>
  <c r="D63" i="20" s="1"/>
  <c r="G54" i="20"/>
  <c r="F54" i="20"/>
  <c r="F62" i="20" s="1"/>
  <c r="E54" i="20"/>
  <c r="E62" i="20" s="1"/>
  <c r="E67" i="20" s="1"/>
  <c r="D54" i="20"/>
  <c r="E30" i="20"/>
  <c r="E25" i="20"/>
  <c r="D25" i="20"/>
  <c r="C25" i="20"/>
  <c r="H24" i="20"/>
  <c r="G24" i="20"/>
  <c r="F24" i="20"/>
  <c r="E23" i="20"/>
  <c r="D23" i="20"/>
  <c r="C23" i="20"/>
  <c r="H16" i="20"/>
  <c r="H25" i="20" s="1"/>
  <c r="G16" i="20"/>
  <c r="G25" i="20" s="1"/>
  <c r="F16" i="20"/>
  <c r="F25" i="20" s="1"/>
  <c r="E16" i="20"/>
  <c r="D16" i="20"/>
  <c r="C16" i="20"/>
  <c r="H15" i="20"/>
  <c r="G15" i="20"/>
  <c r="F15" i="20"/>
  <c r="E15" i="20"/>
  <c r="E24" i="20" s="1"/>
  <c r="D15" i="20"/>
  <c r="D24" i="20" s="1"/>
  <c r="C15" i="20"/>
  <c r="C24" i="20" s="1"/>
  <c r="H14" i="20"/>
  <c r="H23" i="20" s="1"/>
  <c r="G14" i="20"/>
  <c r="G23" i="20" s="1"/>
  <c r="F14" i="20"/>
  <c r="F23" i="20" s="1"/>
  <c r="E14" i="20"/>
  <c r="D14" i="20"/>
  <c r="C14" i="20"/>
  <c r="H38" i="19"/>
  <c r="I30" i="19" s="1"/>
  <c r="E38" i="19"/>
  <c r="F28" i="19" s="1"/>
  <c r="B38" i="19"/>
  <c r="C36" i="19" s="1"/>
  <c r="I37" i="19"/>
  <c r="F37" i="19"/>
  <c r="C37" i="19"/>
  <c r="I35" i="19"/>
  <c r="C35" i="19"/>
  <c r="I34" i="19"/>
  <c r="C34" i="19"/>
  <c r="I33" i="19"/>
  <c r="F33" i="19"/>
  <c r="C33" i="19"/>
  <c r="I31" i="19"/>
  <c r="C31" i="19"/>
  <c r="F30" i="19"/>
  <c r="C30" i="19"/>
  <c r="I29" i="19"/>
  <c r="C29" i="19"/>
  <c r="C28" i="19"/>
  <c r="I27" i="19"/>
  <c r="F27" i="19"/>
  <c r="C27" i="19"/>
  <c r="I26" i="19"/>
  <c r="F26" i="19"/>
  <c r="C26" i="19"/>
  <c r="M21" i="19"/>
  <c r="D18" i="19"/>
  <c r="D19" i="19" s="1"/>
  <c r="D21" i="19" s="1"/>
  <c r="B17" i="19"/>
  <c r="C18" i="19" s="1"/>
  <c r="C19" i="19" s="1"/>
  <c r="C21" i="19" s="1"/>
  <c r="M16" i="19"/>
  <c r="D16" i="19"/>
  <c r="C16" i="19"/>
  <c r="B16" i="19"/>
  <c r="B18" i="19" s="1"/>
  <c r="B19" i="19" s="1"/>
  <c r="B21" i="19" s="1"/>
  <c r="C28" i="17"/>
  <c r="C30" i="17" s="1"/>
  <c r="I27" i="17"/>
  <c r="I26" i="17"/>
  <c r="C22" i="17"/>
  <c r="C21" i="17"/>
  <c r="C17" i="17"/>
  <c r="G22" i="17" s="1"/>
  <c r="C15" i="17"/>
  <c r="D283" i="16"/>
  <c r="C283" i="16"/>
  <c r="D282" i="16"/>
  <c r="C282" i="16"/>
  <c r="D280" i="16"/>
  <c r="C280" i="16"/>
  <c r="D279" i="16"/>
  <c r="C279" i="16"/>
  <c r="K259" i="16"/>
  <c r="K258" i="16"/>
  <c r="H255" i="16"/>
  <c r="G233" i="16"/>
  <c r="E233" i="16"/>
  <c r="E232" i="16"/>
  <c r="G231" i="16"/>
  <c r="F231" i="16"/>
  <c r="E231" i="16"/>
  <c r="G230" i="16"/>
  <c r="F230" i="16"/>
  <c r="E230" i="16"/>
  <c r="H225" i="16"/>
  <c r="I209" i="16"/>
  <c r="I208" i="16"/>
  <c r="I210" i="16" s="1"/>
  <c r="I207" i="16"/>
  <c r="Q206" i="16"/>
  <c r="O206" i="16"/>
  <c r="Q204" i="16"/>
  <c r="O204" i="16"/>
  <c r="Q203" i="16"/>
  <c r="O203" i="16"/>
  <c r="Q202" i="16"/>
  <c r="O202" i="16"/>
  <c r="Q200" i="16"/>
  <c r="O200" i="16" a="1"/>
  <c r="O201" i="16" s="1"/>
  <c r="Q198" i="16"/>
  <c r="O198" i="16"/>
  <c r="Q197" i="16"/>
  <c r="O197" i="16"/>
  <c r="Q195" i="16"/>
  <c r="O195" i="16"/>
  <c r="I188" i="16"/>
  <c r="G188" i="16"/>
  <c r="F188" i="16"/>
  <c r="E188" i="16"/>
  <c r="D188" i="16"/>
  <c r="I187" i="16"/>
  <c r="E187" i="16"/>
  <c r="F187" i="16" s="1"/>
  <c r="D187" i="16"/>
  <c r="I186" i="16"/>
  <c r="G186" i="16"/>
  <c r="F186" i="16"/>
  <c r="E186" i="16"/>
  <c r="I185" i="16"/>
  <c r="I184" i="16"/>
  <c r="E184" i="16"/>
  <c r="F184" i="16" s="1"/>
  <c r="I183" i="16"/>
  <c r="F183" i="16"/>
  <c r="I182" i="16"/>
  <c r="E182" i="16"/>
  <c r="F182" i="16" s="1"/>
  <c r="C182" i="16"/>
  <c r="I181" i="16"/>
  <c r="F181" i="16"/>
  <c r="E178" i="16"/>
  <c r="D178" i="16"/>
  <c r="C178" i="16"/>
  <c r="B178" i="16"/>
  <c r="E177" i="16"/>
  <c r="C188" i="16" s="1"/>
  <c r="D177" i="16"/>
  <c r="G183" i="16" s="1"/>
  <c r="C177" i="16"/>
  <c r="B177" i="16"/>
  <c r="G184" i="16" s="1"/>
  <c r="K20" i="16"/>
  <c r="G20" i="16"/>
  <c r="E20" i="16"/>
  <c r="K19" i="16"/>
  <c r="G19" i="16"/>
  <c r="K18" i="16"/>
  <c r="H18" i="16"/>
  <c r="G18" i="16"/>
  <c r="E18" i="16"/>
  <c r="K17" i="16"/>
  <c r="H17" i="16"/>
  <c r="G17" i="16"/>
  <c r="E17" i="16"/>
  <c r="E7" i="16"/>
  <c r="E6" i="16"/>
  <c r="E5" i="16"/>
  <c r="E4" i="16"/>
  <c r="E3" i="16"/>
  <c r="G165" i="15"/>
  <c r="H165" i="15" s="1"/>
  <c r="J164" i="15"/>
  <c r="G164" i="15"/>
  <c r="H164" i="15" s="1"/>
  <c r="E164" i="15"/>
  <c r="H163" i="15"/>
  <c r="G163" i="15"/>
  <c r="J162" i="15"/>
  <c r="H162" i="15"/>
  <c r="D162" i="15"/>
  <c r="G161" i="15"/>
  <c r="H161" i="15" s="1"/>
  <c r="H160" i="15"/>
  <c r="G159" i="15"/>
  <c r="H159" i="15" s="1"/>
  <c r="J158" i="15"/>
  <c r="H158" i="15"/>
  <c r="D155" i="15"/>
  <c r="E165" i="15" s="1"/>
  <c r="C155" i="15"/>
  <c r="D164" i="15" s="1"/>
  <c r="B155" i="15"/>
  <c r="A155" i="15"/>
  <c r="D154" i="15"/>
  <c r="J165" i="15" s="1"/>
  <c r="C154" i="15"/>
  <c r="B154" i="15"/>
  <c r="J163" i="15" s="1"/>
  <c r="A154" i="15"/>
  <c r="H29" i="14"/>
  <c r="H30" i="14" s="1"/>
  <c r="H28" i="14"/>
  <c r="H27" i="14"/>
  <c r="Q20" i="14"/>
  <c r="Q19" i="14"/>
  <c r="Q18" i="14"/>
  <c r="Q17" i="14"/>
  <c r="Q16" i="14" a="1"/>
  <c r="Q16" i="14" s="1"/>
  <c r="O14" i="14"/>
  <c r="O13" i="14"/>
  <c r="K11" i="14"/>
  <c r="B140" i="13"/>
  <c r="B116" i="13"/>
  <c r="B95" i="13"/>
  <c r="B93" i="13"/>
  <c r="B72" i="13"/>
  <c r="B52" i="13"/>
  <c r="B32" i="13"/>
  <c r="O23" i="13"/>
  <c r="H18" i="13"/>
  <c r="B18" i="13"/>
  <c r="H12" i="13"/>
  <c r="G11" i="13"/>
  <c r="E8" i="13"/>
  <c r="B137" i="13" s="1"/>
  <c r="E7" i="13"/>
  <c r="B151" i="13" s="1"/>
  <c r="E6" i="13"/>
  <c r="E5" i="13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Y31" i="12"/>
  <c r="D31" i="12"/>
  <c r="D30" i="12"/>
  <c r="D29" i="12"/>
  <c r="D28" i="12"/>
  <c r="D27" i="12"/>
  <c r="D26" i="12"/>
  <c r="D25" i="12"/>
  <c r="Y24" i="12"/>
  <c r="D24" i="12"/>
  <c r="D23" i="12"/>
  <c r="D22" i="12"/>
  <c r="D21" i="12"/>
  <c r="H20" i="12"/>
  <c r="D20" i="12"/>
  <c r="Z19" i="12"/>
  <c r="D19" i="12"/>
  <c r="Y18" i="12"/>
  <c r="D18" i="12"/>
  <c r="H17" i="12"/>
  <c r="D17" i="12"/>
  <c r="D16" i="12"/>
  <c r="D15" i="12"/>
  <c r="D14" i="12"/>
  <c r="H13" i="12"/>
  <c r="K15" i="12" s="1"/>
  <c r="D13" i="12"/>
  <c r="AH12" i="12"/>
  <c r="H12" i="12"/>
  <c r="D12" i="12"/>
  <c r="AF11" i="12"/>
  <c r="Y6" i="12"/>
  <c r="Y5" i="12"/>
  <c r="D5" i="12"/>
  <c r="AB4" i="12"/>
  <c r="Y4" i="12"/>
  <c r="D4" i="12"/>
  <c r="AB3" i="12"/>
  <c r="Y3" i="12"/>
  <c r="D3" i="12"/>
  <c r="G143" i="11"/>
  <c r="B143" i="11"/>
  <c r="K142" i="11"/>
  <c r="G142" i="11"/>
  <c r="B142" i="11"/>
  <c r="G141" i="11"/>
  <c r="B141" i="11"/>
  <c r="G140" i="11"/>
  <c r="B140" i="11"/>
  <c r="G139" i="11"/>
  <c r="B139" i="11"/>
  <c r="G138" i="11"/>
  <c r="B138" i="11"/>
  <c r="G137" i="11"/>
  <c r="B137" i="11"/>
  <c r="G136" i="11"/>
  <c r="B136" i="11"/>
  <c r="G135" i="11"/>
  <c r="B135" i="11"/>
  <c r="G134" i="11"/>
  <c r="B134" i="11"/>
  <c r="G133" i="11"/>
  <c r="B133" i="11"/>
  <c r="G99" i="11"/>
  <c r="C98" i="11"/>
  <c r="G97" i="11"/>
  <c r="C97" i="11"/>
  <c r="C96" i="11"/>
  <c r="G95" i="11"/>
  <c r="C95" i="11"/>
  <c r="C94" i="11"/>
  <c r="G93" i="11"/>
  <c r="C93" i="11"/>
  <c r="C92" i="11"/>
  <c r="C91" i="11"/>
  <c r="C90" i="11"/>
  <c r="C89" i="11"/>
  <c r="C100" i="11" s="1"/>
  <c r="H88" i="11"/>
  <c r="G88" i="11"/>
  <c r="C88" i="11"/>
  <c r="H87" i="11"/>
  <c r="G87" i="11"/>
  <c r="H86" i="11"/>
  <c r="G86" i="11"/>
  <c r="H85" i="11"/>
  <c r="G85" i="11"/>
  <c r="H84" i="11"/>
  <c r="G84" i="11"/>
  <c r="H83" i="11"/>
  <c r="G83" i="11"/>
  <c r="H82" i="11"/>
  <c r="G82" i="11"/>
  <c r="H81" i="11"/>
  <c r="G81" i="11"/>
  <c r="H80" i="11"/>
  <c r="G80" i="11"/>
  <c r="H79" i="11"/>
  <c r="G79" i="11"/>
  <c r="H78" i="11"/>
  <c r="G78" i="11"/>
  <c r="H77" i="11"/>
  <c r="G77" i="11"/>
  <c r="H76" i="11"/>
  <c r="G76" i="11"/>
  <c r="H73" i="11"/>
  <c r="G73" i="11"/>
  <c r="F73" i="11"/>
  <c r="E73" i="11"/>
  <c r="D73" i="11"/>
  <c r="C73" i="11"/>
  <c r="N72" i="11"/>
  <c r="H72" i="11"/>
  <c r="G72" i="11"/>
  <c r="F72" i="11"/>
  <c r="E72" i="11"/>
  <c r="D72" i="11"/>
  <c r="C72" i="11"/>
  <c r="N71" i="11"/>
  <c r="H71" i="11"/>
  <c r="G71" i="11"/>
  <c r="F71" i="11"/>
  <c r="E71" i="11"/>
  <c r="D71" i="11"/>
  <c r="C71" i="11"/>
  <c r="N70" i="11"/>
  <c r="J70" i="11"/>
  <c r="H70" i="11"/>
  <c r="G70" i="11"/>
  <c r="F70" i="11"/>
  <c r="E70" i="11"/>
  <c r="D70" i="11"/>
  <c r="C70" i="11"/>
  <c r="N69" i="11"/>
  <c r="H69" i="11"/>
  <c r="G69" i="11"/>
  <c r="F69" i="11"/>
  <c r="E69" i="11"/>
  <c r="D69" i="11"/>
  <c r="C69" i="11"/>
  <c r="N68" i="11"/>
  <c r="H68" i="11"/>
  <c r="G68" i="11"/>
  <c r="F68" i="11"/>
  <c r="E68" i="11"/>
  <c r="D68" i="11"/>
  <c r="C68" i="11"/>
  <c r="N67" i="11"/>
  <c r="N66" i="11"/>
  <c r="N65" i="11"/>
  <c r="N64" i="11"/>
  <c r="N63" i="11"/>
  <c r="H63" i="11"/>
  <c r="G63" i="11"/>
  <c r="F63" i="11"/>
  <c r="E63" i="11"/>
  <c r="D63" i="11"/>
  <c r="C63" i="11"/>
  <c r="N62" i="11"/>
  <c r="H62" i="11"/>
  <c r="G62" i="11"/>
  <c r="F62" i="11"/>
  <c r="E62" i="11"/>
  <c r="D62" i="11"/>
  <c r="C62" i="11"/>
  <c r="N61" i="11"/>
  <c r="H61" i="11"/>
  <c r="G61" i="11"/>
  <c r="F61" i="11"/>
  <c r="E61" i="11"/>
  <c r="D61" i="11"/>
  <c r="C61" i="11"/>
  <c r="N60" i="11"/>
  <c r="H60" i="11"/>
  <c r="G60" i="11"/>
  <c r="F60" i="11"/>
  <c r="E60" i="11"/>
  <c r="D60" i="11"/>
  <c r="C60" i="11"/>
  <c r="N59" i="11"/>
  <c r="H59" i="11"/>
  <c r="G59" i="11"/>
  <c r="F59" i="11"/>
  <c r="E59" i="11"/>
  <c r="D59" i="11"/>
  <c r="C59" i="11"/>
  <c r="J62" i="11" s="1"/>
  <c r="H58" i="11"/>
  <c r="G58" i="11"/>
  <c r="F58" i="11"/>
  <c r="E58" i="11"/>
  <c r="D58" i="11"/>
  <c r="C58" i="11"/>
  <c r="D50" i="11"/>
  <c r="C50" i="11"/>
  <c r="D49" i="11"/>
  <c r="C49" i="11"/>
  <c r="D48" i="11"/>
  <c r="C48" i="11"/>
  <c r="D47" i="11"/>
  <c r="C47" i="11"/>
  <c r="G46" i="11"/>
  <c r="D46" i="11"/>
  <c r="C46" i="11"/>
  <c r="M45" i="11"/>
  <c r="G45" i="11"/>
  <c r="D45" i="11"/>
  <c r="C45" i="11"/>
  <c r="G44" i="11"/>
  <c r="D44" i="11"/>
  <c r="C44" i="11"/>
  <c r="M43" i="11"/>
  <c r="D43" i="11"/>
  <c r="C43" i="11"/>
  <c r="D42" i="11"/>
  <c r="C42" i="11"/>
  <c r="D41" i="11"/>
  <c r="C41" i="11"/>
  <c r="G40" i="11"/>
  <c r="F40" i="11"/>
  <c r="D40" i="11"/>
  <c r="D51" i="11" s="1"/>
  <c r="C40" i="11"/>
  <c r="D35" i="11"/>
  <c r="D34" i="11"/>
  <c r="D33" i="11"/>
  <c r="D32" i="11"/>
  <c r="D31" i="11"/>
  <c r="D30" i="11"/>
  <c r="C25" i="11"/>
  <c r="C24" i="11"/>
  <c r="C23" i="11"/>
  <c r="C22" i="11"/>
  <c r="C21" i="11"/>
  <c r="C20" i="11"/>
  <c r="H19" i="11"/>
  <c r="C19" i="11"/>
  <c r="C18" i="11"/>
  <c r="H17" i="11"/>
  <c r="C17" i="11"/>
  <c r="D17" i="11" s="1"/>
  <c r="D18" i="11" s="1"/>
  <c r="D19" i="11" s="1"/>
  <c r="D20" i="11" s="1"/>
  <c r="D21" i="11" s="1"/>
  <c r="D22" i="11" s="1"/>
  <c r="D23" i="11" s="1"/>
  <c r="D24" i="11" s="1"/>
  <c r="D25" i="11" s="1"/>
  <c r="H16" i="11"/>
  <c r="C16" i="11"/>
  <c r="C26" i="11" s="1"/>
  <c r="D15" i="11"/>
  <c r="D16" i="11" s="1"/>
  <c r="C15" i="11"/>
  <c r="E11" i="11"/>
  <c r="E10" i="11"/>
  <c r="B9" i="11"/>
  <c r="E8" i="11"/>
  <c r="B8" i="11"/>
  <c r="B7" i="11"/>
  <c r="B10" i="11" s="1"/>
  <c r="B6" i="11"/>
  <c r="B5" i="11"/>
  <c r="B4" i="11"/>
  <c r="V30" i="10"/>
  <c r="U30" i="10"/>
  <c r="T30" i="10"/>
  <c r="S30" i="10"/>
  <c r="R30" i="10"/>
  <c r="Q30" i="10"/>
  <c r="V29" i="10"/>
  <c r="U29" i="10"/>
  <c r="T29" i="10"/>
  <c r="S29" i="10"/>
  <c r="R29" i="10"/>
  <c r="Q29" i="10"/>
  <c r="V28" i="10"/>
  <c r="U28" i="10"/>
  <c r="T28" i="10"/>
  <c r="S28" i="10"/>
  <c r="R28" i="10"/>
  <c r="Q28" i="10"/>
  <c r="V27" i="10"/>
  <c r="U27" i="10"/>
  <c r="T27" i="10"/>
  <c r="S27" i="10"/>
  <c r="R27" i="10"/>
  <c r="Q27" i="10"/>
  <c r="V26" i="10"/>
  <c r="U26" i="10"/>
  <c r="T26" i="10"/>
  <c r="S26" i="10"/>
  <c r="R26" i="10"/>
  <c r="Q26" i="10"/>
  <c r="V25" i="10"/>
  <c r="U25" i="10"/>
  <c r="T25" i="10"/>
  <c r="S25" i="10"/>
  <c r="R25" i="10"/>
  <c r="Q25" i="10"/>
  <c r="K21" i="10"/>
  <c r="K19" i="10"/>
  <c r="K17" i="10"/>
  <c r="B17" i="10"/>
  <c r="C17" i="10" s="1"/>
  <c r="B16" i="10"/>
  <c r="C16" i="10" s="1"/>
  <c r="K15" i="10"/>
  <c r="B15" i="10"/>
  <c r="C15" i="10" s="1"/>
  <c r="B14" i="10"/>
  <c r="C14" i="10" s="1"/>
  <c r="K13" i="10"/>
  <c r="B13" i="10"/>
  <c r="C13" i="10" s="1"/>
  <c r="H12" i="10"/>
  <c r="B12" i="10"/>
  <c r="C12" i="10" s="1"/>
  <c r="K11" i="10"/>
  <c r="B11" i="10"/>
  <c r="C11" i="10" s="1"/>
  <c r="B10" i="10"/>
  <c r="C10" i="10" s="1"/>
  <c r="C9" i="10"/>
  <c r="B9" i="10"/>
  <c r="B8" i="10"/>
  <c r="B18" i="10" s="1"/>
  <c r="C18" i="10" s="1"/>
  <c r="C7" i="10"/>
  <c r="B7" i="10"/>
  <c r="B1744" i="9"/>
  <c r="A1744" i="9"/>
  <c r="B1742" i="9"/>
  <c r="A1742" i="9"/>
  <c r="O39" i="9"/>
  <c r="O38" i="9"/>
  <c r="P52" i="7" a="1"/>
  <c r="P52" i="7" s="1"/>
  <c r="Q40" i="7"/>
  <c r="P40" i="7"/>
  <c r="Q39" i="7"/>
  <c r="Q38" i="7"/>
  <c r="P38" i="7"/>
  <c r="Q37" i="7"/>
  <c r="P37" i="7"/>
  <c r="P39" i="7" s="1" a="1"/>
  <c r="P39" i="7" s="1"/>
  <c r="Q35" i="7"/>
  <c r="P35" i="7"/>
  <c r="Q33" i="7"/>
  <c r="P33" i="7" a="1"/>
  <c r="P33" i="7" s="1"/>
  <c r="Q32" i="7"/>
  <c r="P32" i="7"/>
  <c r="Q31" i="7"/>
  <c r="P31" i="7"/>
  <c r="Q29" i="7"/>
  <c r="P29" i="7" a="1"/>
  <c r="P29" i="7"/>
  <c r="Q28" i="7"/>
  <c r="P28" i="7"/>
  <c r="Q27" i="7"/>
  <c r="P27" i="7"/>
  <c r="Q25" i="7"/>
  <c r="P25" i="7"/>
  <c r="Q24" i="7"/>
  <c r="P24" i="7"/>
  <c r="Q23" i="7"/>
  <c r="P23" i="7"/>
  <c r="Q22" i="7"/>
  <c r="P22" i="7"/>
  <c r="Q21" i="7"/>
  <c r="P21" i="7"/>
  <c r="L35" i="6"/>
  <c r="L33" i="6"/>
  <c r="K33" i="6"/>
  <c r="K35" i="6" s="1"/>
  <c r="L31" i="6"/>
  <c r="L29" i="6"/>
  <c r="L24" i="6"/>
  <c r="L22" i="6"/>
  <c r="K22" i="6"/>
  <c r="K24" i="6" s="1"/>
  <c r="L20" i="6"/>
  <c r="L18" i="6"/>
  <c r="L13" i="6"/>
  <c r="L11" i="6"/>
  <c r="K11" i="6"/>
  <c r="K13" i="6" s="1"/>
  <c r="L9" i="6"/>
  <c r="L7" i="6"/>
  <c r="L3" i="6"/>
  <c r="K3" i="6"/>
  <c r="K9" i="6" s="1"/>
  <c r="L2" i="6"/>
  <c r="K2" i="6"/>
  <c r="L1" i="5"/>
  <c r="L86" i="4"/>
  <c r="F86" i="4"/>
  <c r="J84" i="4"/>
  <c r="D84" i="4"/>
  <c r="L82" i="4"/>
  <c r="K82" i="4"/>
  <c r="E82" i="4"/>
  <c r="F82" i="4" s="1"/>
  <c r="K81" i="4"/>
  <c r="L81" i="4" s="1"/>
  <c r="E81" i="4"/>
  <c r="F81" i="4" s="1"/>
  <c r="K80" i="4"/>
  <c r="L80" i="4" s="1"/>
  <c r="F80" i="4"/>
  <c r="E80" i="4"/>
  <c r="K79" i="4"/>
  <c r="L79" i="4" s="1"/>
  <c r="E79" i="4"/>
  <c r="F79" i="4" s="1"/>
  <c r="K78" i="4"/>
  <c r="L78" i="4" s="1"/>
  <c r="F78" i="4"/>
  <c r="E78" i="4"/>
  <c r="K77" i="4"/>
  <c r="L77" i="4" s="1"/>
  <c r="F77" i="4"/>
  <c r="E77" i="4"/>
  <c r="K76" i="4"/>
  <c r="L76" i="4" s="1"/>
  <c r="E76" i="4"/>
  <c r="F76" i="4" s="1"/>
  <c r="K75" i="4"/>
  <c r="L75" i="4" s="1"/>
  <c r="E75" i="4"/>
  <c r="F75" i="4" s="1"/>
  <c r="K74" i="4"/>
  <c r="L74" i="4" s="1"/>
  <c r="F74" i="4"/>
  <c r="E74" i="4"/>
  <c r="K73" i="4"/>
  <c r="L73" i="4" s="1"/>
  <c r="E73" i="4"/>
  <c r="F73" i="4" s="1"/>
  <c r="L72" i="4"/>
  <c r="K72" i="4"/>
  <c r="E72" i="4"/>
  <c r="F72" i="4" s="1"/>
  <c r="L71" i="4"/>
  <c r="K71" i="4"/>
  <c r="F71" i="4"/>
  <c r="E71" i="4"/>
  <c r="K70" i="4"/>
  <c r="L70" i="4" s="1"/>
  <c r="E70" i="4"/>
  <c r="F70" i="4" s="1"/>
  <c r="K69" i="4"/>
  <c r="L69" i="4" s="1"/>
  <c r="E69" i="4"/>
  <c r="F69" i="4" s="1"/>
  <c r="K68" i="4"/>
  <c r="L68" i="4" s="1"/>
  <c r="F68" i="4"/>
  <c r="E68" i="4"/>
  <c r="K67" i="4"/>
  <c r="L67" i="4" s="1"/>
  <c r="E67" i="4"/>
  <c r="F67" i="4" s="1"/>
  <c r="K66" i="4"/>
  <c r="L66" i="4" s="1"/>
  <c r="F66" i="4"/>
  <c r="E66" i="4"/>
  <c r="K65" i="4"/>
  <c r="L65" i="4" s="1"/>
  <c r="F65" i="4"/>
  <c r="E65" i="4"/>
  <c r="K64" i="4"/>
  <c r="L64" i="4" s="1"/>
  <c r="E64" i="4"/>
  <c r="F64" i="4" s="1"/>
  <c r="K63" i="4"/>
  <c r="L63" i="4" s="1"/>
  <c r="E63" i="4"/>
  <c r="F63" i="4" s="1"/>
  <c r="F84" i="4" s="1"/>
  <c r="F88" i="4" s="1"/>
  <c r="F89" i="4" s="1"/>
  <c r="D45" i="4"/>
  <c r="B43" i="4"/>
  <c r="C34" i="4" s="1"/>
  <c r="D34" i="4" s="1"/>
  <c r="C40" i="4"/>
  <c r="D40" i="4" s="1"/>
  <c r="C39" i="4"/>
  <c r="D39" i="4" s="1"/>
  <c r="C38" i="4"/>
  <c r="D38" i="4" s="1"/>
  <c r="C37" i="4"/>
  <c r="D37" i="4" s="1"/>
  <c r="C32" i="4"/>
  <c r="D32" i="4" s="1"/>
  <c r="C31" i="4"/>
  <c r="D31" i="4" s="1"/>
  <c r="C30" i="4"/>
  <c r="D30" i="4" s="1"/>
  <c r="C28" i="4"/>
  <c r="D28" i="4" s="1"/>
  <c r="C12" i="4"/>
  <c r="C14" i="4" s="1"/>
  <c r="C11" i="4"/>
  <c r="C7" i="4"/>
  <c r="J142" i="2"/>
  <c r="M134" i="2"/>
  <c r="M135" i="2" s="1"/>
  <c r="I112" i="2"/>
  <c r="I113" i="2" s="1"/>
  <c r="L98" i="2"/>
  <c r="M98" i="2" s="1"/>
  <c r="L97" i="2"/>
  <c r="M97" i="2" s="1"/>
  <c r="L96" i="2"/>
  <c r="M96" i="2" s="1"/>
  <c r="M95" i="2"/>
  <c r="L95" i="2"/>
  <c r="L94" i="2"/>
  <c r="M94" i="2" s="1"/>
  <c r="L93" i="2"/>
  <c r="M93" i="2" s="1"/>
  <c r="L92" i="2"/>
  <c r="M92" i="2" s="1"/>
  <c r="M91" i="2"/>
  <c r="L91" i="2"/>
  <c r="K73" i="2"/>
  <c r="G68" i="2"/>
  <c r="G60" i="2"/>
  <c r="G59" i="2"/>
  <c r="G58" i="2"/>
  <c r="G48" i="2" a="1"/>
  <c r="G48" i="2" s="1"/>
  <c r="H37" i="2"/>
  <c r="S34" i="2"/>
  <c r="G34" i="2"/>
  <c r="G35" i="2" s="1"/>
  <c r="G14" i="2"/>
  <c r="G11" i="2"/>
  <c r="G7" i="2"/>
  <c r="G5" i="2"/>
  <c r="G4" i="2"/>
  <c r="G9" i="2" s="1"/>
  <c r="L84" i="4" l="1"/>
  <c r="L88" i="4" s="1"/>
  <c r="L89" i="4" s="1"/>
  <c r="B141" i="13"/>
  <c r="K7" i="6"/>
  <c r="B11" i="13"/>
  <c r="B120" i="13"/>
  <c r="B37" i="13"/>
  <c r="K29" i="6"/>
  <c r="B23" i="13"/>
  <c r="B149" i="13"/>
  <c r="B9" i="13"/>
  <c r="B35" i="13"/>
  <c r="B56" i="13"/>
  <c r="B143" i="13"/>
  <c r="E28" i="20"/>
  <c r="B36" i="13"/>
  <c r="B77" i="13"/>
  <c r="B97" i="13"/>
  <c r="P11" i="13"/>
  <c r="B40" i="13"/>
  <c r="B60" i="13"/>
  <c r="B101" i="13"/>
  <c r="B25" i="13"/>
  <c r="B108" i="13"/>
  <c r="K31" i="6"/>
  <c r="B16" i="13"/>
  <c r="B28" i="13"/>
  <c r="B48" i="13"/>
  <c r="B69" i="13"/>
  <c r="B89" i="13"/>
  <c r="B112" i="13"/>
  <c r="B136" i="13"/>
  <c r="B22" i="13"/>
  <c r="B59" i="13"/>
  <c r="B100" i="13"/>
  <c r="B124" i="13"/>
  <c r="B148" i="13"/>
  <c r="C181" i="16"/>
  <c r="C186" i="16"/>
  <c r="G185" i="16"/>
  <c r="C185" i="16"/>
  <c r="G181" i="16"/>
  <c r="B145" i="11"/>
  <c r="B81" i="13"/>
  <c r="C41" i="4"/>
  <c r="D41" i="4" s="1"/>
  <c r="C35" i="4"/>
  <c r="D35" i="4" s="1"/>
  <c r="C29" i="4"/>
  <c r="D29" i="4" s="1"/>
  <c r="K18" i="6"/>
  <c r="B15" i="13"/>
  <c r="B47" i="13"/>
  <c r="B68" i="13"/>
  <c r="B88" i="13"/>
  <c r="B132" i="13"/>
  <c r="D161" i="15"/>
  <c r="C38" i="19"/>
  <c r="C27" i="4"/>
  <c r="D27" i="4" s="1"/>
  <c r="P42" i="7" a="1"/>
  <c r="P42" i="7" s="1"/>
  <c r="C8" i="10"/>
  <c r="C36" i="4"/>
  <c r="D36" i="4" s="1"/>
  <c r="K20" i="6"/>
  <c r="K20" i="12"/>
  <c r="B7" i="13"/>
  <c r="B17" i="13"/>
  <c r="B29" i="13"/>
  <c r="B49" i="13"/>
  <c r="B71" i="13"/>
  <c r="B92" i="13"/>
  <c r="B113" i="13"/>
  <c r="D186" i="16"/>
  <c r="B22" i="19"/>
  <c r="M14" i="19" s="1"/>
  <c r="B146" i="13"/>
  <c r="B134" i="13"/>
  <c r="B122" i="13"/>
  <c r="B110" i="13"/>
  <c r="B98" i="13"/>
  <c r="B86" i="13"/>
  <c r="B74" i="13"/>
  <c r="B62" i="13"/>
  <c r="B50" i="13"/>
  <c r="B38" i="13"/>
  <c r="B26" i="13"/>
  <c r="E18" i="13"/>
  <c r="B12" i="13"/>
  <c r="B6" i="13"/>
  <c r="B145" i="13"/>
  <c r="B133" i="13"/>
  <c r="B121" i="13"/>
  <c r="B109" i="13"/>
  <c r="B154" i="13"/>
  <c r="B142" i="13"/>
  <c r="B130" i="13"/>
  <c r="B118" i="13"/>
  <c r="B106" i="13"/>
  <c r="B94" i="13"/>
  <c r="B82" i="13"/>
  <c r="B70" i="13"/>
  <c r="B58" i="13"/>
  <c r="B46" i="13"/>
  <c r="B34" i="13"/>
  <c r="P15" i="13"/>
  <c r="B10" i="13"/>
  <c r="B33" i="13"/>
  <c r="B53" i="13"/>
  <c r="B73" i="13"/>
  <c r="B117" i="13"/>
  <c r="B19" i="13"/>
  <c r="B96" i="13"/>
  <c r="B80" i="13"/>
  <c r="B76" i="13"/>
  <c r="B20" i="13"/>
  <c r="B144" i="13"/>
  <c r="B125" i="13"/>
  <c r="C133" i="1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Y30" i="12"/>
  <c r="AC4" i="12"/>
  <c r="AC3" i="12"/>
  <c r="AC5" i="12"/>
  <c r="B41" i="13"/>
  <c r="B61" i="13"/>
  <c r="B83" i="13"/>
  <c r="B104" i="13"/>
  <c r="B128" i="13"/>
  <c r="B152" i="13"/>
  <c r="C184" i="16"/>
  <c r="C33" i="4"/>
  <c r="D33" i="4" s="1"/>
  <c r="D36" i="11"/>
  <c r="AB5" i="12"/>
  <c r="K12" i="13"/>
  <c r="B24" i="13"/>
  <c r="B44" i="13"/>
  <c r="B64" i="13"/>
  <c r="B84" i="13"/>
  <c r="B105" i="13"/>
  <c r="B129" i="13"/>
  <c r="B153" i="13"/>
  <c r="D159" i="15"/>
  <c r="D165" i="15"/>
  <c r="F38" i="19"/>
  <c r="B119" i="13"/>
  <c r="B57" i="13"/>
  <c r="B14" i="13"/>
  <c r="E24" i="13"/>
  <c r="B45" i="13"/>
  <c r="B65" i="13"/>
  <c r="B85" i="13"/>
  <c r="B107" i="13"/>
  <c r="B131" i="13"/>
  <c r="B155" i="13"/>
  <c r="I38" i="19"/>
  <c r="G21" i="17"/>
  <c r="I28" i="19"/>
  <c r="C32" i="19"/>
  <c r="D158" i="15"/>
  <c r="F32" i="19"/>
  <c r="F36" i="19"/>
  <c r="J161" i="15"/>
  <c r="C187" i="16"/>
  <c r="F29" i="19"/>
  <c r="I32" i="19"/>
  <c r="I36" i="19"/>
  <c r="H133" i="20"/>
  <c r="C29" i="17"/>
  <c r="D163" i="15"/>
  <c r="G182" i="16"/>
  <c r="G187" i="16"/>
  <c r="E12" i="13"/>
  <c r="B27" i="13"/>
  <c r="B39" i="13"/>
  <c r="B51" i="13"/>
  <c r="B63" i="13"/>
  <c r="B75" i="13"/>
  <c r="B87" i="13"/>
  <c r="B99" i="13"/>
  <c r="B111" i="13"/>
  <c r="B123" i="13"/>
  <c r="B135" i="13"/>
  <c r="B147" i="13"/>
  <c r="J159" i="15"/>
  <c r="E163" i="15"/>
  <c r="F34" i="19"/>
  <c r="D160" i="15"/>
  <c r="C183" i="16"/>
  <c r="O200" i="16"/>
  <c r="B13" i="13"/>
  <c r="B21" i="13"/>
  <c r="B30" i="13"/>
  <c r="B42" i="13"/>
  <c r="B54" i="13"/>
  <c r="B66" i="13"/>
  <c r="B78" i="13"/>
  <c r="B90" i="13"/>
  <c r="B102" i="13"/>
  <c r="B114" i="13"/>
  <c r="B126" i="13"/>
  <c r="B138" i="13"/>
  <c r="B150" i="13"/>
  <c r="J160" i="15"/>
  <c r="F31" i="19"/>
  <c r="F35" i="19"/>
  <c r="B8" i="13"/>
  <c r="P13" i="13"/>
  <c r="O21" i="13"/>
  <c r="B31" i="13"/>
  <c r="B43" i="13"/>
  <c r="B55" i="13"/>
  <c r="B67" i="13"/>
  <c r="B79" i="13"/>
  <c r="B91" i="13"/>
  <c r="B103" i="13"/>
  <c r="B115" i="13"/>
  <c r="B127" i="13"/>
  <c r="B139" i="13"/>
  <c r="K132" i="20" l="1"/>
  <c r="E141" i="20" s="1"/>
  <c r="L131" i="20"/>
  <c r="F140" i="20" s="1"/>
  <c r="K131" i="20"/>
  <c r="E140" i="20" s="1"/>
  <c r="K130" i="20"/>
  <c r="M132" i="20"/>
  <c r="G141" i="20" s="1"/>
  <c r="N24" i="19"/>
  <c r="G5" i="13"/>
  <c r="G6" i="13"/>
  <c r="M130" i="20"/>
  <c r="D43" i="4"/>
  <c r="D47" i="4" s="1"/>
  <c r="D48" i="4" s="1"/>
  <c r="L130" i="20"/>
  <c r="B40" i="19"/>
  <c r="M19" i="19" s="1"/>
  <c r="N26" i="19" s="1"/>
  <c r="L132" i="20"/>
  <c r="F141" i="20" s="1"/>
  <c r="M131" i="20"/>
  <c r="G140" i="20" s="1"/>
  <c r="N30" i="19" l="1"/>
  <c r="L30" i="19"/>
  <c r="E139" i="20"/>
  <c r="K133" i="20"/>
  <c r="M133" i="20"/>
  <c r="G139" i="20"/>
  <c r="F139" i="20"/>
  <c r="L133" i="20"/>
  <c r="N133" i="20" l="1"/>
  <c r="G144" i="20"/>
</calcChain>
</file>

<file path=xl/sharedStrings.xml><?xml version="1.0" encoding="utf-8"?>
<sst xmlns="http://schemas.openxmlformats.org/spreadsheetml/2006/main" count="1254" uniqueCount="606">
  <si>
    <t>Measure of Central Tendency</t>
  </si>
  <si>
    <t>Mean</t>
  </si>
  <si>
    <t xml:space="preserve">Study of Data </t>
  </si>
  <si>
    <t>Median</t>
  </si>
  <si>
    <t>Collect the data</t>
  </si>
  <si>
    <t>Mode</t>
  </si>
  <si>
    <t>Classify the data based on data type</t>
  </si>
  <si>
    <t>Organize the data in the appropriate structure</t>
  </si>
  <si>
    <t>Measure of Dispersion/Spread</t>
  </si>
  <si>
    <t>Visualize the data in graphs/charts</t>
  </si>
  <si>
    <t>Min</t>
  </si>
  <si>
    <t>Summarize the data - using the statistical measures</t>
  </si>
  <si>
    <t>Max</t>
  </si>
  <si>
    <t>Range</t>
  </si>
  <si>
    <t>Analyzing the data for hidden patterns</t>
  </si>
  <si>
    <t>Variance</t>
  </si>
  <si>
    <t>Inferencing/Conclusions from the data</t>
  </si>
  <si>
    <t>Std Deviation</t>
  </si>
  <si>
    <t>Implement the solutions and Make Business Decisions.</t>
  </si>
  <si>
    <t>Measure of Shape</t>
  </si>
  <si>
    <t>Skewness</t>
  </si>
  <si>
    <t>Kurtosis</t>
  </si>
  <si>
    <t>Sum</t>
  </si>
  <si>
    <t>Count</t>
  </si>
  <si>
    <t>Average</t>
  </si>
  <si>
    <t>(SUM(A3:A21))/(COUNT(A3:A21))</t>
  </si>
  <si>
    <t>Average is the same as mean</t>
  </si>
  <si>
    <t>AVERAGE(A3:A21)</t>
  </si>
  <si>
    <t>Odd count</t>
  </si>
  <si>
    <t>Even Count</t>
  </si>
  <si>
    <t>Always sort the data in ascending order</t>
  </si>
  <si>
    <t>Find the count, and divide the count by 2, to the the index value of the median data point</t>
  </si>
  <si>
    <t>Check the value at that index in the data.</t>
  </si>
  <si>
    <t>When the count is odd:</t>
  </si>
  <si>
    <t>COUNT(D33:D51</t>
  </si>
  <si>
    <t>Index value of the median in the data</t>
  </si>
  <si>
    <t>9th Value</t>
  </si>
  <si>
    <t>37 is the median</t>
  </si>
  <si>
    <t>10th Index</t>
  </si>
  <si>
    <t>54  is the median</t>
  </si>
  <si>
    <t xml:space="preserve">50% of the values in the data are either EQUAL TO or LESSER THAN the median value. </t>
  </si>
  <si>
    <t xml:space="preserve">50% of the values in the data are either EQUAL TO or LESSER THAN 54 in this example. </t>
  </si>
  <si>
    <t>For even number of observations, we have 2 centre values:</t>
  </si>
  <si>
    <t>COUNT(D58:D77)</t>
  </si>
  <si>
    <t>Index 1</t>
  </si>
  <si>
    <t>COUNT(D58:D77)/2</t>
  </si>
  <si>
    <t>Index 2</t>
  </si>
  <si>
    <t>(COUNT(D58:D77)/2)+1</t>
  </si>
  <si>
    <t>Find the above indices in the data</t>
  </si>
  <si>
    <t>Since there are 2 centered values in the data when count is even</t>
  </si>
  <si>
    <t>In this example, 50 &amp; 52 are the centered values, so we will find out the average of both</t>
  </si>
  <si>
    <t>10th value</t>
  </si>
  <si>
    <t>11th value</t>
  </si>
  <si>
    <t>Hence 51 is the median value.</t>
  </si>
  <si>
    <t>Most frequent value in the data is the Mode value</t>
  </si>
  <si>
    <t>When there is only 1 value at maximum frequency, then the data is called Unimodal</t>
  </si>
  <si>
    <t>When there are 2 values at maximum frequency, then the data is called Bimodal</t>
  </si>
  <si>
    <t>When there are 3 OR MORE values at maximum frequency, then the data is called Multi-Modal</t>
  </si>
  <si>
    <t>Value</t>
  </si>
  <si>
    <t>Frequency</t>
  </si>
  <si>
    <t>a=(1,2,4,5,8,2,1,4,5,6,9,3,5,2,4)</t>
  </si>
  <si>
    <t>Regular Index</t>
  </si>
  <si>
    <t>Python Index</t>
  </si>
  <si>
    <t>Count of data</t>
  </si>
  <si>
    <t>Index of the median</t>
  </si>
  <si>
    <t>Index of 1st Centered Value</t>
  </si>
  <si>
    <t>Index of 2nd Centered Value</t>
  </si>
  <si>
    <t>1st Centered Value</t>
  </si>
  <si>
    <t>Average of 1st Centered Value &amp; 2nd Centered Value is the Median</t>
  </si>
  <si>
    <t>2nd Centered Value</t>
  </si>
  <si>
    <t>Key Differences Between Standard Deviation and Variance</t>
  </si>
  <si>
    <t>Standard Deviation</t>
  </si>
  <si>
    <t>What Is it? </t>
  </si>
  <si>
    <t>The square root of the variance</t>
  </si>
  <si>
    <t>The average squared differences from the mean </t>
  </si>
  <si>
    <t>What Does it Indicate?</t>
  </si>
  <si>
    <t>The spread between numbers in a data set</t>
  </si>
  <si>
    <t>The average degree to which each point differs from the mean </t>
  </si>
  <si>
    <t>How Is it Expressed?</t>
  </si>
  <si>
    <t>The same as the units in the data set</t>
  </si>
  <si>
    <t>In squared units or as a percentage</t>
  </si>
  <si>
    <t>What Does it Mean?</t>
  </si>
  <si>
    <t>A low standard deviation (spread) means low volatility while a high standard deviation (spread) means higher volatility</t>
  </si>
  <si>
    <t>The degree to which returns vary or change over time</t>
  </si>
  <si>
    <t>Range is the difference between maximum value &amp; minimum value</t>
  </si>
  <si>
    <t>MAX(A3:A19) - MIN(A3:A19)</t>
  </si>
  <si>
    <t>Therefore our data could be any of the 87 values between the min &amp; the max value in the data</t>
  </si>
  <si>
    <t>Maximum</t>
  </si>
  <si>
    <t>Minimum</t>
  </si>
  <si>
    <t>Variance &amp; Standard Deviation</t>
  </si>
  <si>
    <t>X</t>
  </si>
  <si>
    <t>X - AVERAGE</t>
  </si>
  <si>
    <t>(X - AVERAGE)^2</t>
  </si>
  <si>
    <t>Sum of squared differences from the mean</t>
  </si>
  <si>
    <t>Count of the data minus one</t>
  </si>
  <si>
    <t xml:space="preserve">A firm is starting a delivery service for a new client between 2 points.  </t>
  </si>
  <si>
    <t xml:space="preserve">Since it is a new client, the firm wants to send more consistent delivery boy to deliver the product. </t>
  </si>
  <si>
    <t xml:space="preserve">Delivery boy 1 (Time in minutes) – 12,13,17,21,24, 24, 26,27, 27, 30, 32, 35, 37, 38, 41, 43, 44, 46,53,60 </t>
  </si>
  <si>
    <t>Delivery boy 2 (Time in minutes)- 34, 14, 31, 59, 11, 50, 27, 33, 53, 34, 13, 13, 42, 29, 33, 42, 34, 33, 44, 21</t>
  </si>
  <si>
    <t>Who should we hire?</t>
  </si>
  <si>
    <t>Delivery No.</t>
  </si>
  <si>
    <t>Boy 1</t>
  </si>
  <si>
    <t>X - Mean</t>
  </si>
  <si>
    <t>(X - Mean)^2</t>
  </si>
  <si>
    <t>Boy 2</t>
  </si>
  <si>
    <t>Std Dev</t>
  </si>
  <si>
    <t>We will hire delivery boy 1, since he has lesser variance, hence more consistency</t>
  </si>
  <si>
    <t>Returns</t>
  </si>
  <si>
    <t>Risk</t>
  </si>
  <si>
    <t>Stock A</t>
  </si>
  <si>
    <t>Stock B</t>
  </si>
  <si>
    <t>Runs Scored by Virat Kohli</t>
  </si>
  <si>
    <t>Bin</t>
  </si>
  <si>
    <t>More</t>
  </si>
  <si>
    <t>Empirical Rule 1</t>
  </si>
  <si>
    <t>68-69% of the data lies within 1 Std Dev from the mean.</t>
  </si>
  <si>
    <t>Lower Limit</t>
  </si>
  <si>
    <t>Upper Limit</t>
  </si>
  <si>
    <t>Count of Data</t>
  </si>
  <si>
    <t>Percent of Data</t>
  </si>
  <si>
    <t>Empirical Rule 2</t>
  </si>
  <si>
    <t>95% of the data lies within 2 Std Devs from the mean.</t>
  </si>
  <si>
    <t>Empirical Rule 3</t>
  </si>
  <si>
    <t>99.7% of the data lies within 3 Std Devs from the mean.</t>
  </si>
  <si>
    <t>0</t>
  </si>
  <si>
    <t>Median (Q2)</t>
  </si>
  <si>
    <t>In about 50% matches, Virat Kohli has scored 31 or less number of runs.</t>
  </si>
  <si>
    <t>1st Quartile (Q1)</t>
  </si>
  <si>
    <t>In about 25% matches, Virat Kohli has scored 9 or less runs</t>
  </si>
  <si>
    <t>(Count/4)*1 = Index of the Q1 in the sorted Data</t>
  </si>
  <si>
    <t>Value of Q1</t>
  </si>
  <si>
    <t>3rd Quartile (Q3)</t>
  </si>
  <si>
    <t>In about 75% matches, Virat Kohli has scored 68 or less runs</t>
  </si>
  <si>
    <t>(Count/4)*3 =  Index of the Q3 in the sorted Data</t>
  </si>
  <si>
    <t>Value of Q3</t>
  </si>
  <si>
    <t>Inter Quartile Range (IQR)</t>
  </si>
  <si>
    <t>Q3 minus Q1</t>
  </si>
  <si>
    <t>Q3 plus 1.5 times IQR</t>
  </si>
  <si>
    <t>Q1 minus 1.5 times IQR</t>
  </si>
  <si>
    <t>Outlier</t>
  </si>
  <si>
    <t>Any data point beyond Upper Limit or below Lower Limit is an outlier</t>
  </si>
  <si>
    <t>IFERROR(INDEX(A1:A150, MATCH(TRUE, IF(OR(A1:A150&gt;P37, A1:A150 &lt; P38), TRUE, FALSE), 0)), "No such value found.")</t>
  </si>
  <si>
    <t>Here's how this formula works:</t>
  </si>
  <si>
    <t>IF((A:A&gt;B1)*(A:A&lt;C1), TRUE, FALSE): This part checks each value in column A to see if it satisfies both conditions (greater than B1 and less than C1). If the conditions are met, it returns TRUE, otherwise FALSE.</t>
  </si>
  <si>
    <t>MATCH(TRUE, ... , 0): This part finds the position of the first TRUE value in the array returned by the previous step.</t>
  </si>
  <si>
    <t>INDEX(A:A, ... ): This part returns the value from column A at the position found by the MATCH function.</t>
  </si>
  <si>
    <t>IFERROR( ... , "No such value found."): This part handles the case where no value is found between the specified bounds. It returns "No such value found." in such cases.</t>
  </si>
  <si>
    <t>Remember to adjust the range A:A if your data is in a different column or if you know a more specific range where your data resides.</t>
  </si>
  <si>
    <t>Deciles</t>
  </si>
  <si>
    <t>10% of the data points will be equal to or less than the D1</t>
  </si>
  <si>
    <t>20% of the data points will be equal to or less than the D2</t>
  </si>
  <si>
    <t>Sort the data first</t>
  </si>
  <si>
    <t>Q1</t>
  </si>
  <si>
    <t>(Count/4)*1</t>
  </si>
  <si>
    <t>Index of Q1</t>
  </si>
  <si>
    <t>Q2 (Median)</t>
  </si>
  <si>
    <t>(Count/4)*2</t>
  </si>
  <si>
    <t>Index of Q2</t>
  </si>
  <si>
    <t>Q3</t>
  </si>
  <si>
    <t>(Count/4)*3</t>
  </si>
  <si>
    <t>Index of Q3</t>
  </si>
  <si>
    <t>Percentiles</t>
  </si>
  <si>
    <t>D1</t>
  </si>
  <si>
    <t>(Count/10)*1</t>
  </si>
  <si>
    <t>Index of D1</t>
  </si>
  <si>
    <t>D2</t>
  </si>
  <si>
    <t>(Count/10)*2</t>
  </si>
  <si>
    <t>Index of D2</t>
  </si>
  <si>
    <t>..</t>
  </si>
  <si>
    <t>BEML</t>
  </si>
  <si>
    <t>Glaxo</t>
  </si>
  <si>
    <t>Index of Median</t>
  </si>
  <si>
    <t xml:space="preserve">A fair coin </t>
  </si>
  <si>
    <t>Tail</t>
  </si>
  <si>
    <t>Head</t>
  </si>
  <si>
    <t>Toss this coin 10 times</t>
  </si>
  <si>
    <t>If there is binary outcome, both responses having equal probability, then the pattern of probability values will be symmetrical.</t>
  </si>
  <si>
    <t>Less than 6 heads</t>
  </si>
  <si>
    <t>Probability of more than 3 heads?</t>
  </si>
  <si>
    <t>More than 3 heads</t>
  </si>
  <si>
    <t>Dice 1</t>
  </si>
  <si>
    <t>P(Less than 4 heads) =</t>
  </si>
  <si>
    <t>Dice 2</t>
  </si>
  <si>
    <t>P(Atmost 5 heads)=</t>
  </si>
  <si>
    <t xml:space="preserve">P(Atleast 5 heads) = </t>
  </si>
  <si>
    <t>♠️</t>
  </si>
  <si>
    <t>♣️</t>
  </si>
  <si>
    <t>♦️</t>
  </si>
  <si>
    <t>♥️</t>
  </si>
  <si>
    <t>P(2 to 5 heads) =</t>
  </si>
  <si>
    <t>Spades</t>
  </si>
  <si>
    <t>Clubs</t>
  </si>
  <si>
    <t>Diamonds</t>
  </si>
  <si>
    <t>Hearts</t>
  </si>
  <si>
    <t>P(4 to 7 heads) =</t>
  </si>
  <si>
    <t>A</t>
  </si>
  <si>
    <t>P(2 &amp; 5 heads) =</t>
  </si>
  <si>
    <t>Jack</t>
  </si>
  <si>
    <t>Queen</t>
  </si>
  <si>
    <t>King</t>
  </si>
  <si>
    <t>Box &amp; Whisker Plot</t>
  </si>
  <si>
    <t xml:space="preserve">Probability is chance of an event. </t>
  </si>
  <si>
    <t>There are 2 types of probabilities: Discrete Probability Distribution &amp; Continuous Probability Distribution</t>
  </si>
  <si>
    <t>Dice</t>
  </si>
  <si>
    <t>(Number of ways/outcomes where the event occurs) / (Total number of possible outcomes)</t>
  </si>
  <si>
    <t>P(Even number)</t>
  </si>
  <si>
    <t>Probability will ALWAYS sum up to 1, and will lie in the range of 0 &amp; 1</t>
  </si>
  <si>
    <t>Where probability closer to 0 talks about less likely events, &amp; probability closer towards 1 talks about more certain events.</t>
  </si>
  <si>
    <t>P(Prime number)</t>
  </si>
  <si>
    <t>P(x&lt;6)</t>
  </si>
  <si>
    <t>Tossing a coin 10 times</t>
  </si>
  <si>
    <t>Binomial Distribution</t>
  </si>
  <si>
    <t>Head = 0.5</t>
  </si>
  <si>
    <t>Tail = 0.5</t>
  </si>
  <si>
    <t>Unlikely/</t>
  </si>
  <si>
    <t>Equal Chance</t>
  </si>
  <si>
    <t>Certain/</t>
  </si>
  <si>
    <t>Cummulative Prob</t>
  </si>
  <si>
    <t>Impossible Events</t>
  </si>
  <si>
    <t>Most likely events</t>
  </si>
  <si>
    <t>Event-Head</t>
  </si>
  <si>
    <t>Prob (4 heads or lesser)</t>
  </si>
  <si>
    <t>0,1,2,3,4</t>
  </si>
  <si>
    <t>You roll 2 dice together.</t>
  </si>
  <si>
    <t>Prob (Lesser than 7 heads)</t>
  </si>
  <si>
    <t>0,1,2,3,4,5,6</t>
  </si>
  <si>
    <t xml:space="preserve">The probability of having a sum of 6 or more. </t>
  </si>
  <si>
    <t>The probability of product being lesser than 4.</t>
  </si>
  <si>
    <t>Prob (greater than 6 heads)</t>
  </si>
  <si>
    <t>7,8,9,10</t>
  </si>
  <si>
    <t>Black Die</t>
  </si>
  <si>
    <t>White Die</t>
  </si>
  <si>
    <t>Team A</t>
  </si>
  <si>
    <t>Team B</t>
  </si>
  <si>
    <t>Count of Heads</t>
  </si>
  <si>
    <t>Count of Tails</t>
  </si>
  <si>
    <t>Prob of Heads</t>
  </si>
  <si>
    <t>Team A (0.7 to Win)</t>
  </si>
  <si>
    <t xml:space="preserve">Team B (0.3 to Win) </t>
  </si>
  <si>
    <t>Atmost 5</t>
  </si>
  <si>
    <t>4 heads or less</t>
  </si>
  <si>
    <t>6 or more heads</t>
  </si>
  <si>
    <t>Less than 5</t>
  </si>
  <si>
    <t>Atleast 3 heads</t>
  </si>
  <si>
    <t>Die 1</t>
  </si>
  <si>
    <t>Die 2</t>
  </si>
  <si>
    <t>Die 3</t>
  </si>
  <si>
    <t>Probability of sum being 6 or more.</t>
  </si>
  <si>
    <t>Probability of product being 20 or more.</t>
  </si>
  <si>
    <t>P(Less than 4 heads)</t>
  </si>
  <si>
    <t>0,1,2,3</t>
  </si>
  <si>
    <t>P(9 or less heads)</t>
  </si>
  <si>
    <t>0,1,2,3,4,5,6,7,8,9</t>
  </si>
  <si>
    <t>P(Atleast 6 heads)</t>
  </si>
  <si>
    <t>6,7,8,9,10</t>
  </si>
  <si>
    <t>P(8 Or less than 8 Heads)</t>
  </si>
  <si>
    <t>0,1,2,3,4,5,6,7,8</t>
  </si>
  <si>
    <t>P(5 or more)</t>
  </si>
  <si>
    <t>5,6,7,8,9,10</t>
  </si>
  <si>
    <t>P(less than 5 heads)</t>
  </si>
  <si>
    <t>P(At most 3 heads)</t>
  </si>
  <si>
    <t>P(Greater than 5 heads)</t>
  </si>
  <si>
    <t>P(7 or less)</t>
  </si>
  <si>
    <t>0,1,2,3,4,5,6,7</t>
  </si>
  <si>
    <t>P(Not more than 2 heads)</t>
  </si>
  <si>
    <t>0,1,2</t>
  </si>
  <si>
    <t>P(Less than 3 heads)</t>
  </si>
  <si>
    <t>P(Between 3 to 6 heads) Both Inclusive</t>
  </si>
  <si>
    <t>3,4,5,6</t>
  </si>
  <si>
    <t>P(Greater than 2 but not more than 8 heads)</t>
  </si>
  <si>
    <t>3,4,5,6,7,8</t>
  </si>
  <si>
    <t>P(Less than 5 heads)</t>
  </si>
  <si>
    <t>The outcome is of binary type, only 2 possibilities, Head or Tail</t>
  </si>
  <si>
    <t>Fixed number of trials, i.e. the experiment was repeated finite number of times</t>
  </si>
  <si>
    <t>P(6 or lesser heads)</t>
  </si>
  <si>
    <t>The probability of the concerned outcome does not change on any trial</t>
  </si>
  <si>
    <t>P(Greater than 4 heads)</t>
  </si>
  <si>
    <t>P(8 or more heads)</t>
  </si>
  <si>
    <t>80% win chance</t>
  </si>
  <si>
    <t>Face cards</t>
  </si>
  <si>
    <t>Coin - Head</t>
  </si>
  <si>
    <t>P(Less than 6 heads)</t>
  </si>
  <si>
    <t>0,1,2,3,4,5</t>
  </si>
  <si>
    <t>P(Atleast 7 heads)</t>
  </si>
  <si>
    <t>P(Not more than 3 heads)</t>
  </si>
  <si>
    <t>P(Not less then 4 heads)</t>
  </si>
  <si>
    <t>4,5,6,7,8,9,10</t>
  </si>
  <si>
    <t>P(Atmost 8 heads)</t>
  </si>
  <si>
    <t>P(Atleast 3 heads)</t>
  </si>
  <si>
    <t>3,4,5,6,7,8,9,10</t>
  </si>
  <si>
    <t>P(Exactly 9 heads)</t>
  </si>
  <si>
    <t>P(&gt;2 &amp; &lt;8 heads)</t>
  </si>
  <si>
    <t>3,4,5,6,7</t>
  </si>
  <si>
    <t>P(&gt;4 &amp; &lt;=10 heads)</t>
  </si>
  <si>
    <t>P(5 or more heads)</t>
  </si>
  <si>
    <t>P(6 or less heads)</t>
  </si>
  <si>
    <t>Temp</t>
  </si>
  <si>
    <t>Temperature</t>
  </si>
  <si>
    <t>COUNT</t>
  </si>
  <si>
    <t>Empirical Rule 1 Range</t>
  </si>
  <si>
    <t>MIN</t>
  </si>
  <si>
    <t>Empirical Rule 2 Range</t>
  </si>
  <si>
    <t>MAX</t>
  </si>
  <si>
    <t>Empirical Rule 3 Range</t>
  </si>
  <si>
    <t>StDev</t>
  </si>
  <si>
    <t>P(Temp=6.12)</t>
  </si>
  <si>
    <t>Not Valid for Continuous Data</t>
  </si>
  <si>
    <t>If the value given in question is greater than mean, the z-score calculated will always be a positive value</t>
  </si>
  <si>
    <t>P(Temp&gt;=6.12)</t>
  </si>
  <si>
    <t>Either greater than or equal to</t>
  </si>
  <si>
    <t>If the value given in question is lesser than mean, the z-score calculated will always be a negative value</t>
  </si>
  <si>
    <t>Probability that the temperature is greater than 16.25 degrees.</t>
  </si>
  <si>
    <t>P(Temp&lt;=6.12)</t>
  </si>
  <si>
    <t>Or lesser than or equal to</t>
  </si>
  <si>
    <t>Prob(X&gt;=16.25)</t>
  </si>
  <si>
    <t>Unique Values</t>
  </si>
  <si>
    <t>Z Score = Distance of X from the mean in terms of number of std deviations</t>
  </si>
  <si>
    <t>Z=(X - Mean)/Stdev</t>
  </si>
  <si>
    <t>(X - Mean) / StDev</t>
  </si>
  <si>
    <t>Z</t>
  </si>
  <si>
    <t>Probability of the temperature being greater than 22.52 degrees</t>
  </si>
  <si>
    <t xml:space="preserve">Z = </t>
  </si>
  <si>
    <t>Prob = 1 - 0.9945</t>
  </si>
  <si>
    <t>P(Temp&gt;=4.25)</t>
  </si>
  <si>
    <t>Probability of the temperature being lesser than 15.36 degrees</t>
  </si>
  <si>
    <t>Prob</t>
  </si>
  <si>
    <t>Probability of the temperature being greater than 9.45 degrees</t>
  </si>
  <si>
    <t>First find the mean &amp; the std dev of all columns</t>
  </si>
  <si>
    <t>Empirical Rule</t>
  </si>
  <si>
    <t>From the value given in the question, subtract mean, and the divide by std dev to get the z-score</t>
  </si>
  <si>
    <t>68-69% of data is expected within 1 Stdev away from the mean</t>
  </si>
  <si>
    <t>Locate the z-score in the table for the probability.</t>
  </si>
  <si>
    <t>95% of data is expected within 2 Stdev away from the mean</t>
  </si>
  <si>
    <t>99.7% of data is expected within 3 Stdev away from the mean</t>
  </si>
  <si>
    <t>Z-Score</t>
  </si>
  <si>
    <t>Min Z-Score</t>
  </si>
  <si>
    <t>Max Z-Score</t>
  </si>
  <si>
    <t>We don't have any outliers</t>
  </si>
  <si>
    <t>Z-score = (X -  Mean) / StDev</t>
  </si>
  <si>
    <t>Prob = Number of events satisfying a condition / Total number of events</t>
  </si>
  <si>
    <t>P(Temp&lt;= 4.54)</t>
  </si>
  <si>
    <t>Zscore (5.9)</t>
  </si>
  <si>
    <t>Zscore (9.6)</t>
  </si>
  <si>
    <t>The probability of any day with temperature of less than or equal to 4.54 is 5.82%.</t>
  </si>
  <si>
    <t>Zscore (4.3)</t>
  </si>
  <si>
    <t xml:space="preserve">P(Sepal.Length  &lt;= 5.6) </t>
  </si>
  <si>
    <t>The probability of any random flower having Sepal Length of less than or equal to 5.6 is 38.59%.</t>
  </si>
  <si>
    <t xml:space="preserve">P(Sepal.Length  &lt;= 7.1) </t>
  </si>
  <si>
    <t>The probability of any random flower having Sepal Length of less than or equal to 7.1 is 93.57%.</t>
  </si>
  <si>
    <t xml:space="preserve">P(Sepal.Length  &gt;= 7.1) </t>
  </si>
  <si>
    <t>The probability of any random flower having Sepal Length of more than or equal to 7.1 is 6.43%.</t>
  </si>
  <si>
    <t>P(Sepal.Width &lt;= 3.5)</t>
  </si>
  <si>
    <t>P(Petal.Width &gt;= 0.5)</t>
  </si>
  <si>
    <t>P(Petal.Length&lt;=1.3)</t>
  </si>
  <si>
    <t>P(Sepal.Length&gt;=7.1)</t>
  </si>
  <si>
    <t>P(Sepal.Width &lt;= 1.3)</t>
  </si>
  <si>
    <t>P(3.5 &lt;= Sepal.Width &lt;= 5.5)</t>
  </si>
  <si>
    <t>P(1.3 &lt;= Petal.Length &lt;= 2.4)</t>
  </si>
  <si>
    <t>P(1.5 &lt;= Petal.Width &lt;=3.6 )</t>
  </si>
  <si>
    <t xml:space="preserve">80% of people who purchase pet insurance are women.  </t>
  </si>
  <si>
    <t>If 9 pet insurance owners are randomly selected, find the probability that exactly 6 are women.</t>
  </si>
  <si>
    <t xml:space="preserve">In a large restaurant, an average of 3 out of every 5 customers ask for water with their meal. A random sample of 10 customers is selected.  </t>
  </si>
  <si>
    <t>Find the probability that exactly 6 ask for water with their meal, and find the probability that less than 9 ask for water with their meal.</t>
  </si>
  <si>
    <t xml:space="preserve">Given the data set: 4, 10, 7, 7, 6, 9, 3, 8, 9. Find the mode, the median, the mean, the sample standard deviation. </t>
  </si>
  <si>
    <t>If we replace the data value 6 in the data set above by 24, will the standard deviation increase, decrease or stay the same?</t>
  </si>
  <si>
    <t xml:space="preserve">Find x and y so that the ordered data set has a mean of 42 and a median of 35. </t>
  </si>
  <si>
    <t>17 , 22 , 26 , 29 , 34 , x , 42 , 67 , 70 , y .</t>
  </si>
  <si>
    <t>Standard Deviation</t>
  </si>
  <si>
    <t>Given the data set: 62 , 65 , 68 , 70 , 72 , 74 , 76 , 78 , 80 , 82 , 96 , 101</t>
  </si>
  <si>
    <t>Find: the median, the first quartile, the third quartile, the interquartile range (IQR).</t>
  </si>
  <si>
    <t>5th</t>
  </si>
  <si>
    <t>(34+x)/2 = 35</t>
  </si>
  <si>
    <t xml:space="preserve">6th </t>
  </si>
  <si>
    <t>x=36</t>
  </si>
  <si>
    <t>(343 + y)/10 = 42</t>
  </si>
  <si>
    <t>y=77</t>
  </si>
  <si>
    <t>First Quartile</t>
  </si>
  <si>
    <t>Third Quartile</t>
  </si>
  <si>
    <t>IQR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</si>
  <si>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</si>
  <si>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</si>
  <si>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</si>
  <si>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</si>
  <si>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</si>
  <si>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</si>
  <si>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</si>
  <si>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</si>
  <si>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Stdev</t>
  </si>
  <si>
    <t>Probability</t>
  </si>
  <si>
    <t>Percentage</t>
  </si>
  <si>
    <t>NORM.DIST</t>
  </si>
  <si>
    <t>Find the area under the standard normal curve for the following, using the z-table. Sketch each one.</t>
  </si>
  <si>
    <r>
      <rPr>
        <sz val="14"/>
        <color theme="1"/>
        <rFont val="Calibri"/>
      </rPr>
      <t>a.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between z = 0 and z = 0.78</t>
    </r>
  </si>
  <si>
    <r>
      <rPr>
        <sz val="14"/>
        <color theme="1"/>
        <rFont val="Calibri"/>
      </rPr>
      <t>b.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between z = −0.56 and z = 0</t>
    </r>
  </si>
  <si>
    <r>
      <rPr>
        <sz val="14"/>
        <color theme="1"/>
        <rFont val="Calibri"/>
      </rPr>
      <t>c.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between z = −0.43 and z = 0.78</t>
    </r>
  </si>
  <si>
    <r>
      <rPr>
        <sz val="14"/>
        <color theme="1"/>
        <rFont val="Calibri"/>
      </rPr>
      <t>d.</t>
    </r>
    <r>
      <rPr>
        <sz val="7"/>
        <color theme="1"/>
        <rFont val="Times New Roman"/>
      </rPr>
      <t xml:space="preserve">      </t>
    </r>
    <r>
      <rPr>
        <sz val="14"/>
        <color theme="1"/>
        <rFont val="Calibri"/>
      </rPr>
      <t>between z = 0.44 and z = 1.50</t>
    </r>
  </si>
  <si>
    <r>
      <rPr>
        <sz val="14"/>
        <color theme="1"/>
        <rFont val="Calibri"/>
      </rPr>
      <t>e.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to the right of z = −1.33.</t>
    </r>
  </si>
  <si>
    <t>Find the following probabilities:</t>
  </si>
  <si>
    <r>
      <rPr>
        <sz val="14"/>
        <color theme="1"/>
        <rFont val="Calibri"/>
      </rPr>
      <t>a.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P(Z &gt; 1.27)</t>
    </r>
  </si>
  <si>
    <r>
      <rPr>
        <sz val="14"/>
        <color theme="1"/>
        <rFont val="Calibri"/>
      </rPr>
      <t>b.</t>
    </r>
    <r>
      <rPr>
        <sz val="7"/>
        <color theme="1"/>
        <rFont val="Times New Roman"/>
      </rPr>
      <t xml:space="preserve">      </t>
    </r>
    <r>
      <rPr>
        <sz val="14"/>
        <color theme="1"/>
        <rFont val="Calibri"/>
      </rPr>
      <t>P(Z &lt; -2.25)</t>
    </r>
  </si>
  <si>
    <r>
      <rPr>
        <sz val="14"/>
        <color theme="1"/>
        <rFont val="Calibri"/>
      </rPr>
      <t>c.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P(1.15 &lt; Z &lt; 2.36)</t>
    </r>
  </si>
  <si>
    <r>
      <rPr>
        <sz val="14"/>
        <color theme="1"/>
        <rFont val="Calibri"/>
      </rPr>
      <t>d.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P(-0.56 &lt; Z &lt; 3.00)</t>
    </r>
  </si>
  <si>
    <t xml:space="preserve">It was found that the mean length of 100 parts produced by a lathe was 20.05 mm with a standard deviation of 0.02 mm. </t>
  </si>
  <si>
    <t>Find the probability that a part selected at random would have a length</t>
  </si>
  <si>
    <r>
      <rPr>
        <sz val="14"/>
        <color theme="1"/>
        <rFont val="Calibri"/>
      </rPr>
      <t>a.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between 20.03 mm and 20.08 mm</t>
    </r>
  </si>
  <si>
    <r>
      <rPr>
        <sz val="14"/>
        <color theme="1"/>
        <rFont val="Calibri"/>
      </rPr>
      <t>b.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between 20.06 mm and 20.07 mm</t>
    </r>
  </si>
  <si>
    <r>
      <rPr>
        <sz val="14"/>
        <color theme="1"/>
        <rFont val="Calibri"/>
      </rPr>
      <t>c.</t>
    </r>
    <r>
      <rPr>
        <sz val="7"/>
        <color theme="1"/>
        <rFont val="Times New Roman"/>
      </rPr>
      <t xml:space="preserve">      </t>
    </r>
    <r>
      <rPr>
        <sz val="14"/>
        <color theme="1"/>
        <rFont val="Calibri"/>
      </rPr>
      <t>less than 20.01 mm</t>
    </r>
  </si>
  <si>
    <r>
      <rPr>
        <sz val="14"/>
        <color theme="1"/>
        <rFont val="Calibri"/>
      </rPr>
      <t>d.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greater than 20.09 mm.</t>
    </r>
  </si>
  <si>
    <t>Prob(%)</t>
  </si>
  <si>
    <t>Norm.Dist</t>
  </si>
  <si>
    <t>z= (X - Mean)/StDev</t>
  </si>
  <si>
    <t>New Std Deviation</t>
  </si>
  <si>
    <t>5th Index</t>
  </si>
  <si>
    <t>(34 + x)/2 = 35</t>
  </si>
  <si>
    <t>6th Index</t>
  </si>
  <si>
    <t>x</t>
  </si>
  <si>
    <t>34+x=70</t>
  </si>
  <si>
    <t>x=70-34 = 36</t>
  </si>
  <si>
    <t>y</t>
  </si>
  <si>
    <t>343 + y = 420</t>
  </si>
  <si>
    <t>y = 420 - 343 = 77</t>
  </si>
  <si>
    <r>
      <rPr>
        <sz val="14"/>
        <color theme="1"/>
        <rFont val="Calibri"/>
      </rPr>
      <t>a.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between 20.03 mm and 20.08 mm</t>
    </r>
  </si>
  <si>
    <r>
      <rPr>
        <sz val="14"/>
        <color theme="1"/>
        <rFont val="Calibri"/>
      </rPr>
      <t>b.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between 20.06 mm and 20.07 mm</t>
    </r>
  </si>
  <si>
    <r>
      <rPr>
        <sz val="14"/>
        <color theme="1"/>
        <rFont val="Calibri"/>
      </rPr>
      <t>c.</t>
    </r>
    <r>
      <rPr>
        <sz val="7"/>
        <color theme="1"/>
        <rFont val="Times New Roman"/>
      </rPr>
      <t xml:space="preserve">      </t>
    </r>
    <r>
      <rPr>
        <sz val="14"/>
        <color theme="1"/>
        <rFont val="Calibri"/>
      </rPr>
      <t>less than 20.01 mm</t>
    </r>
  </si>
  <si>
    <r>
      <rPr>
        <sz val="14"/>
        <color theme="1"/>
        <rFont val="Calibri"/>
      </rPr>
      <t>d.</t>
    </r>
    <r>
      <rPr>
        <sz val="7"/>
        <color theme="1"/>
        <rFont val="Times New Roman"/>
      </rPr>
      <t xml:space="preserve">     </t>
    </r>
    <r>
      <rPr>
        <sz val="14"/>
        <color theme="1"/>
        <rFont val="Calibri"/>
      </rPr>
      <t>greater than 20.09 mm.</t>
    </r>
  </si>
  <si>
    <t xml:space="preserve">I am tossing a coin 10 times. Find probability of: </t>
  </si>
  <si>
    <t>Team A &amp; Team B are going to play 15 matches. In the past, Team A against Team B has been winning 65% of the times.</t>
  </si>
  <si>
    <t>What is the probability that Team B will win 6 matches?</t>
  </si>
  <si>
    <t>Find the probability that Team B will loose 13 matches.</t>
  </si>
  <si>
    <t>In favour of Team A</t>
  </si>
  <si>
    <t>In favour of Team B</t>
  </si>
  <si>
    <t>Confidence Intervals &amp; Central Limit Theorem</t>
  </si>
  <si>
    <t>The temperature of bangalore lies between 18 to 31 degrees</t>
  </si>
  <si>
    <t>L.L.</t>
  </si>
  <si>
    <t>U.L.</t>
  </si>
  <si>
    <t>a</t>
  </si>
  <si>
    <t>The temperature of bangalore tomorrow will be exact 23 degrees</t>
  </si>
  <si>
    <t>Wrong</t>
  </si>
  <si>
    <t>b</t>
  </si>
  <si>
    <t>The temperature will be between 20 to 23 degrees</t>
  </si>
  <si>
    <t>80 to 90</t>
  </si>
  <si>
    <t>c</t>
  </si>
  <si>
    <t>The temperature will be between 18 to 25 degrees</t>
  </si>
  <si>
    <t>Right</t>
  </si>
  <si>
    <t>d</t>
  </si>
  <si>
    <t>75 to 95</t>
  </si>
  <si>
    <t>e</t>
  </si>
  <si>
    <t>95% of the times, the estimated value will lie within the calculated range</t>
  </si>
  <si>
    <t>Hence we are 95% confident about the specified range</t>
  </si>
  <si>
    <t>Avg Bal</t>
  </si>
  <si>
    <t>Sample Mean</t>
  </si>
  <si>
    <t>Sample Std Dev</t>
  </si>
  <si>
    <t>Population St Dev</t>
  </si>
  <si>
    <t>n (Sample Size)</t>
  </si>
  <si>
    <t>The larger the sample, the more closer its mean will be to its population mean, hence lesser the deviation from population mean.</t>
  </si>
  <si>
    <t>degrees of freedom (n-1)</t>
  </si>
  <si>
    <t>Sample size minus one</t>
  </si>
  <si>
    <t>The smaller the sample, the lesser closer its mean will be to it population mean, hence higher the deviation from population mean.</t>
  </si>
  <si>
    <t>t_95%</t>
  </si>
  <si>
    <t>From the T-Dist Table</t>
  </si>
  <si>
    <t>By far we were treating the data as population data, &amp; were using z-scores to find the probability.</t>
  </si>
  <si>
    <t>Std Error</t>
  </si>
  <si>
    <t>2500/SQRT(140)</t>
  </si>
  <si>
    <t>But incorporating the above fact, that sample size has the impact on deviation, we will use the formula below to calculate probabilities now.</t>
  </si>
  <si>
    <t>When Population Standard Deviation is given</t>
  </si>
  <si>
    <t>95% confidence interval when Pop Deviation is 2500 &amp; Sample mean is 1990</t>
  </si>
  <si>
    <t>C11-(C16*C17)</t>
  </si>
  <si>
    <t>99% Confidence</t>
  </si>
  <si>
    <t>Numerator</t>
  </si>
  <si>
    <t>C11+(C16*C17)</t>
  </si>
  <si>
    <t>Denominator</t>
  </si>
  <si>
    <r>
      <rPr>
        <sz val="11"/>
        <color theme="1"/>
        <rFont val="Calibri"/>
      </rPr>
      <t>↑</t>
    </r>
    <r>
      <rPr>
        <sz val="11"/>
        <color theme="1"/>
        <rFont val="Calibri"/>
      </rPr>
      <t xml:space="preserve"> Denominator</t>
    </r>
  </si>
  <si>
    <r>
      <rPr>
        <sz val="11"/>
        <color theme="1"/>
        <rFont val="Calibri"/>
      </rPr>
      <t>↓</t>
    </r>
    <r>
      <rPr>
        <sz val="11"/>
        <color theme="1"/>
        <rFont val="Calibri"/>
      </rPr>
      <t xml:space="preserve"> Denominator</t>
    </r>
  </si>
  <si>
    <t>95% of the times, average balance maintained by any randomly selected alumni from the given University would be between 1570.803 &amp; 2409.197.</t>
  </si>
  <si>
    <t>Std Dev / SQRT(n)</t>
  </si>
  <si>
    <t>5/2</t>
  </si>
  <si>
    <t>t= (x - mean) / (Stdev/sqrt(n))</t>
  </si>
  <si>
    <t>When Population Standard Deviation is not given</t>
  </si>
  <si>
    <t>95% confidence interval when Sample Deviation is 2833 &amp; Sample mean is 1990</t>
  </si>
  <si>
    <t>2833/ SQRT(140)</t>
  </si>
  <si>
    <t>C11-(C16*C28)</t>
  </si>
  <si>
    <t>C11+(C16*C28)</t>
  </si>
  <si>
    <t>95% of the times, average balance maintained by any alumni would be between 1514.967 &amp; 2465.033.</t>
  </si>
  <si>
    <t>75-80</t>
  </si>
  <si>
    <t>70-85</t>
  </si>
  <si>
    <t>Situation 1</t>
  </si>
  <si>
    <t>Null Hypothesis: The person is innocent.</t>
  </si>
  <si>
    <t>Truth</t>
  </si>
  <si>
    <t>Alternate Hypothesis: The person is guilty.</t>
  </si>
  <si>
    <t>There is no sufficient evidence to prove the person guilty, hence we will FAIL TO REJECT the null hypothesis &amp; the person will be let free.</t>
  </si>
  <si>
    <t>Hence the decision made is correct.</t>
  </si>
  <si>
    <t>Situation 2</t>
  </si>
  <si>
    <t>There is sufficient evidence to prove the person guilty, hence we will accept the alternate hypothesis &amp; the person will be punished.</t>
  </si>
  <si>
    <t>Situation 3</t>
  </si>
  <si>
    <t>Null Hypothesis = Everything is under control, no need of additional planning.</t>
  </si>
  <si>
    <t>Alternate Hypo = Extra vaccines, precautionary measures are needed</t>
  </si>
  <si>
    <t>There is evidence to prove the person guilty, hence we will accept the alternative hypothesis &amp; the person will be punished.</t>
  </si>
  <si>
    <t>Hence are making a Type 1 Error.</t>
  </si>
  <si>
    <t>Situation 4</t>
  </si>
  <si>
    <t>There is no sufficient evidence to prove the person guilty, hence we will FAIL TO REJECT the null hypothesis &amp; the person will be set free.</t>
  </si>
  <si>
    <t>Hence are making a Type 2 Error.</t>
  </si>
  <si>
    <t>Decision Made</t>
  </si>
  <si>
    <t>H0 is Null Hypothesis</t>
  </si>
  <si>
    <t>Not having cancer</t>
  </si>
  <si>
    <t>Fail to Reject H0</t>
  </si>
  <si>
    <t>Reject H0</t>
  </si>
  <si>
    <t>H1 is Alternate Hypothesis</t>
  </si>
  <si>
    <t>Having cancer</t>
  </si>
  <si>
    <t xml:space="preserve">TRUE </t>
  </si>
  <si>
    <t>Reality</t>
  </si>
  <si>
    <t>H0 is True</t>
  </si>
  <si>
    <t>Correct</t>
  </si>
  <si>
    <t>Type 1 Error</t>
  </si>
  <si>
    <t>H0 is False</t>
  </si>
  <si>
    <t>Type 2 Error</t>
  </si>
  <si>
    <t xml:space="preserve">We usually must not say 'Accept Null Hypothesis' , because the fact mentioned in Null Hypothesis is the default belief. </t>
  </si>
  <si>
    <t>So if there is no sufficient evidence from the sample to prove the Null as wrong, we would rather say 'Fail to reject the Null'.</t>
  </si>
  <si>
    <t xml:space="preserve">Covid Test : </t>
  </si>
  <si>
    <t>Null : Covid Negative</t>
  </si>
  <si>
    <t>Alternate : Covid Positive</t>
  </si>
  <si>
    <t>Null Hypothesis : All the diet plans are similar with respect to weight loss. Any variation is only due to random chance.</t>
  </si>
  <si>
    <t>S.No</t>
  </si>
  <si>
    <t>Atkins</t>
  </si>
  <si>
    <t>GM</t>
  </si>
  <si>
    <t>South Beach</t>
  </si>
  <si>
    <t>Alternate Hypothesis : Atleast 1 of the diet plan is significantly more effective than the others in terms of weight loss.</t>
  </si>
  <si>
    <t>SSC (Sum of Squares Columns)</t>
  </si>
  <si>
    <t>Degrees of Freedom (Numerator)</t>
  </si>
  <si>
    <t>Grand Mean</t>
  </si>
  <si>
    <t>(No. of categories minus 1)</t>
  </si>
  <si>
    <t>D=M-GM</t>
  </si>
  <si>
    <t>D^2</t>
  </si>
  <si>
    <t>SSE (Sum of Squares Errors)</t>
  </si>
  <si>
    <t>n</t>
  </si>
  <si>
    <t>D^2*(n)</t>
  </si>
  <si>
    <t>Degrees of Freedom (Denominator)</t>
  </si>
  <si>
    <t>SSC</t>
  </si>
  <si>
    <t>(No. of total elements minus no. of categories)</t>
  </si>
  <si>
    <t>Mean Square Column</t>
  </si>
  <si>
    <t>(X-Mean)^2</t>
  </si>
  <si>
    <t>Mean Square Error</t>
  </si>
  <si>
    <t>F-Statistic</t>
  </si>
  <si>
    <t>F-Critical</t>
  </si>
  <si>
    <t>Intersection of Numerator DF &amp; Denominator DF in the F-Dist Table</t>
  </si>
  <si>
    <t>If F-Statistic &lt; F-Critical, Fail to reject Null Hypothesis</t>
  </si>
  <si>
    <t>If F-Statistic &gt; F-Critical, Accept Alternate Hypothesis</t>
  </si>
  <si>
    <t>Hence we accept Alternate Hypothesis that atleast 1 of the diet plans is statistically different than others.</t>
  </si>
  <si>
    <t>SSE</t>
  </si>
  <si>
    <t>Observed Frequencies</t>
  </si>
  <si>
    <t>Carbs</t>
  </si>
  <si>
    <t>Gear</t>
  </si>
  <si>
    <t>Total</t>
  </si>
  <si>
    <t>Expected Frequencies</t>
  </si>
  <si>
    <t>Chi-Square Values</t>
  </si>
  <si>
    <t>Chi-Square Statistic</t>
  </si>
  <si>
    <t>DF (Degrees of Freedom)</t>
  </si>
  <si>
    <t>Chi-Square Critical</t>
  </si>
  <si>
    <t>If Chi-Square Stat&gt; Chi-Square Crit, Alternate Hypothesis is true, else Null.</t>
  </si>
  <si>
    <t>Since Chi-Square Stat &lt; Chi-Square Crit, we must conclude that Null Hypothesis is True.</t>
  </si>
  <si>
    <t>There is no statistically significant association between number of gears &amp; number of carbs in a car.</t>
  </si>
  <si>
    <t>Null Hypothesis: There is no association between the 2 given variables.</t>
  </si>
  <si>
    <t>Alternate Hypothesis : There is a significant statistical association between the 2 given categorical variables, ie Gears &amp; Carbs.</t>
  </si>
  <si>
    <t>Observed Values</t>
  </si>
  <si>
    <t xml:space="preserve">Null Hypothesis : The colour choices are not dependent on the Gender. </t>
  </si>
  <si>
    <t>Colour</t>
  </si>
  <si>
    <t>There is no statistically significant relationship between Gender &amp; Colour Choice</t>
  </si>
  <si>
    <t>Black</t>
  </si>
  <si>
    <t>White</t>
  </si>
  <si>
    <t>Red</t>
  </si>
  <si>
    <t>Blue</t>
  </si>
  <si>
    <t>Gender</t>
  </si>
  <si>
    <t xml:space="preserve">Male </t>
  </si>
  <si>
    <t>Alternate Hypothesis: Colour Choices are dependent on the Gender.</t>
  </si>
  <si>
    <t>Female</t>
  </si>
  <si>
    <t>There is a statistically significant relationship between Gender &amp; Colour Choice</t>
  </si>
  <si>
    <t>Expected Values</t>
  </si>
  <si>
    <t>Chi-Square Stat</t>
  </si>
  <si>
    <t>DF</t>
  </si>
  <si>
    <t>(No. of categories in column-wise variable minus 1) * (No. of categories in row-wise variable minus 1)</t>
  </si>
  <si>
    <t>Chi-Square Crit</t>
  </si>
  <si>
    <t>Since Chi-Square Stat &gt; Chi-Square Crit, we accept the alternate hypothesis concluding that there is a statistically significant association between colours &amp; gender.</t>
  </si>
  <si>
    <t>Null Hypothesis -  There is no association between Gender &amp; Color Preference.</t>
  </si>
  <si>
    <t>Alternate Hypothesis - There is a statistically significant association between Gender &amp; Color Preference.</t>
  </si>
  <si>
    <t>Cyl</t>
  </si>
  <si>
    <t>Chi -Square Values</t>
  </si>
  <si>
    <t>Degrees of Freedom</t>
  </si>
  <si>
    <t>Chi - Square Critical</t>
  </si>
  <si>
    <t>If Chi-Statistic &gt; Chi-Critical, Accept Alternate Hypothesis that there is a significant statistical association between Gears &amp; Cylinders.</t>
  </si>
  <si>
    <t xml:space="preserve">If Chi-Statistic &lt; Chi-Critical, fail to reject Null Hypothesis that there is no significant statistical association between Gears &amp; Cylinders, </t>
  </si>
  <si>
    <t>both the variables are independent of each other.</t>
  </si>
  <si>
    <t>Embarked</t>
  </si>
  <si>
    <t>Pclass</t>
  </si>
  <si>
    <t>C</t>
  </si>
  <si>
    <t>Q</t>
  </si>
  <si>
    <t>S</t>
  </si>
  <si>
    <t xml:space="preserve">Chi-Square Critical </t>
  </si>
  <si>
    <t>Conclusion : Since Chi-Square Statistic &gt;Chi-Square Critical, we can say that Alternate Hypothesis is True that there is a statistically significant association between Pclass &amp; Post of Embarkment</t>
  </si>
  <si>
    <t>Man bought 3 flowers &amp; gave 2 in the temple</t>
  </si>
  <si>
    <t>Brought</t>
  </si>
  <si>
    <t>Doubled</t>
  </si>
  <si>
    <t>Gave in temple</t>
  </si>
  <si>
    <t>X amount of money</t>
  </si>
  <si>
    <t>Before the first temple, money will double, man will donate an amount Y to the first temple.</t>
  </si>
  <si>
    <t>The remainder money will again double before he goes to second temple, he will again donate the amount Y.</t>
  </si>
  <si>
    <t>The remainder money will again double before he goes to third temple, he will again donate the amount Y.</t>
  </si>
  <si>
    <t>The remainder money will again double before he goes to fourth temple, he will again donate the amount Y, and return home empty handed.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</si>
</sst>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1"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Calibri"/>
    </font>
    <font>
      <sz val="16"/>
      <color rgb="FF000000"/>
      <name val="Calibri"/>
    </font>
    <font>
      <sz val="12"/>
      <color theme="1"/>
      <name val="Calibri"/>
    </font>
    <font>
      <b/>
      <u/>
      <sz val="16"/>
      <color rgb="FF000000"/>
      <name val="Calibri"/>
    </font>
    <font>
      <sz val="16"/>
      <color theme="1"/>
      <name val="Calibri"/>
    </font>
    <font>
      <i/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sz val="15"/>
      <color theme="1"/>
      <name val="Calibri"/>
    </font>
    <font>
      <sz val="10"/>
      <color theme="1"/>
      <name val="Calibri"/>
    </font>
    <font>
      <sz val="14"/>
      <color theme="1"/>
      <name val="Calibri"/>
    </font>
    <font>
      <b/>
      <u/>
      <sz val="20"/>
      <color theme="1"/>
      <name val="Calibri"/>
    </font>
    <font>
      <b/>
      <u/>
      <sz val="14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7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4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readingOrder="1"/>
    </xf>
    <xf numFmtId="2" fontId="5" fillId="0" borderId="0" xfId="0" applyNumberFormat="1" applyFont="1" applyAlignment="1">
      <alignment horizontal="left" readingOrder="1"/>
    </xf>
    <xf numFmtId="0" fontId="8" fillId="0" borderId="0" xfId="0" applyFont="1"/>
    <xf numFmtId="0" fontId="9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2" xfId="0" applyFont="1" applyBorder="1"/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9" fontId="8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12" fillId="0" borderId="0" xfId="0" applyFont="1"/>
    <xf numFmtId="2" fontId="3" fillId="0" borderId="0" xfId="0" applyNumberFormat="1" applyFont="1"/>
    <xf numFmtId="0" fontId="1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1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5" fillId="0" borderId="0" xfId="0" applyFont="1"/>
    <xf numFmtId="9" fontId="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center" vertical="center"/>
    </xf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3" xfId="0" applyFont="1" applyBorder="1" applyAlignment="1">
      <alignment horizontal="center" vertical="center"/>
    </xf>
    <xf numFmtId="0" fontId="18" fillId="0" borderId="0" xfId="0" applyFont="1"/>
    <xf numFmtId="0" fontId="18" fillId="2" borderId="17" xfId="0" applyFont="1" applyFill="1" applyBorder="1"/>
    <xf numFmtId="0" fontId="18" fillId="2" borderId="21" xfId="0" applyFont="1" applyFill="1" applyBorder="1"/>
    <xf numFmtId="0" fontId="18" fillId="2" borderId="22" xfId="0" applyFont="1" applyFill="1" applyBorder="1"/>
    <xf numFmtId="0" fontId="18" fillId="2" borderId="23" xfId="0" applyFont="1" applyFill="1" applyBorder="1"/>
    <xf numFmtId="0" fontId="18" fillId="2" borderId="1" xfId="0" applyFont="1" applyFill="1" applyBorder="1"/>
    <xf numFmtId="1" fontId="18" fillId="0" borderId="0" xfId="0" applyNumberFormat="1" applyFont="1"/>
    <xf numFmtId="0" fontId="18" fillId="2" borderId="27" xfId="0" applyFont="1" applyFill="1" applyBorder="1"/>
    <xf numFmtId="0" fontId="18" fillId="2" borderId="28" xfId="0" applyFont="1" applyFill="1" applyBorder="1"/>
    <xf numFmtId="0" fontId="18" fillId="2" borderId="29" xfId="0" applyFont="1" applyFill="1" applyBorder="1"/>
    <xf numFmtId="0" fontId="18" fillId="0" borderId="12" xfId="0" applyFont="1" applyBorder="1"/>
    <xf numFmtId="0" fontId="18" fillId="0" borderId="9" xfId="0" applyFont="1" applyBorder="1"/>
    <xf numFmtId="0" fontId="18" fillId="0" borderId="15" xfId="0" applyFont="1" applyBorder="1"/>
    <xf numFmtId="0" fontId="18" fillId="0" borderId="14" xfId="0" applyFont="1" applyBorder="1"/>
    <xf numFmtId="0" fontId="18" fillId="0" borderId="4" xfId="0" applyFont="1" applyBorder="1"/>
    <xf numFmtId="0" fontId="18" fillId="2" borderId="30" xfId="0" applyFont="1" applyFill="1" applyBorder="1"/>
    <xf numFmtId="0" fontId="18" fillId="0" borderId="16" xfId="0" applyFont="1" applyBorder="1"/>
    <xf numFmtId="0" fontId="18" fillId="0" borderId="7" xfId="0" applyFont="1" applyBorder="1"/>
    <xf numFmtId="0" fontId="18" fillId="0" borderId="11" xfId="0" applyFont="1" applyBorder="1"/>
    <xf numFmtId="0" fontId="18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" borderId="0" xfId="0" applyFont="1" applyFill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3" borderId="0" xfId="0" applyFont="1" applyFill="1" applyAlignment="1">
      <alignment horizontal="left"/>
    </xf>
    <xf numFmtId="0" fontId="18" fillId="0" borderId="13" xfId="0" applyFont="1" applyBorder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2" fontId="18" fillId="0" borderId="0" xfId="0" applyNumberFormat="1" applyFont="1"/>
    <xf numFmtId="0" fontId="18" fillId="2" borderId="31" xfId="0" applyFont="1" applyFill="1" applyBorder="1"/>
    <xf numFmtId="1" fontId="18" fillId="2" borderId="22" xfId="0" applyNumberFormat="1" applyFont="1" applyFill="1" applyBorder="1"/>
    <xf numFmtId="1" fontId="18" fillId="2" borderId="31" xfId="0" applyNumberFormat="1" applyFont="1" applyFill="1" applyBorder="1"/>
    <xf numFmtId="0" fontId="8" fillId="0" borderId="0" xfId="0" applyFont="1" applyAlignment="1">
      <alignment horizontal="center"/>
    </xf>
    <xf numFmtId="0" fontId="0" fillId="0" borderId="0" xfId="0"/>
    <xf numFmtId="0" fontId="3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2" xfId="0" applyFont="1" applyBorder="1"/>
    <xf numFmtId="0" fontId="3" fillId="0" borderId="3" xfId="0" applyFont="1" applyBorder="1" applyAlignment="1">
      <alignment horizontal="center" vertical="center"/>
    </xf>
    <xf numFmtId="0" fontId="10" fillId="0" borderId="3" xfId="0" applyFont="1" applyBorder="1"/>
    <xf numFmtId="0" fontId="10" fillId="0" borderId="5" xfId="0" applyFont="1" applyBorder="1"/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10" fillId="0" borderId="7" xfId="0" applyFont="1" applyBorder="1"/>
    <xf numFmtId="0" fontId="10" fillId="0" borderId="11" xfId="0" applyFont="1" applyBorder="1"/>
    <xf numFmtId="0" fontId="3" fillId="0" borderId="13" xfId="0" applyFont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center"/>
    </xf>
    <xf numFmtId="0" fontId="10" fillId="0" borderId="19" xfId="0" applyFont="1" applyBorder="1"/>
    <xf numFmtId="0" fontId="10" fillId="0" borderId="20" xfId="0" applyFont="1" applyBorder="1"/>
    <xf numFmtId="0" fontId="18" fillId="2" borderId="24" xfId="0" applyFont="1" applyFill="1" applyBorder="1" applyAlignment="1">
      <alignment horizontal="center"/>
    </xf>
    <xf numFmtId="0" fontId="10" fillId="0" borderId="25" xfId="0" applyFont="1" applyBorder="1"/>
    <xf numFmtId="0" fontId="10" fillId="0" borderId="26" xfId="0" applyFont="1" applyBorder="1"/>
    <xf numFmtId="0" fontId="18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Frequency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Histogram!$M$4:$M$15</c:f>
              <c:strCache>
                <c:ptCount val="12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More</c:v>
                </c:pt>
              </c:strCache>
            </c:strRef>
          </c:cat>
          <c:val>
            <c:numRef>
              <c:f>Histogram!$N$4:$N$15</c:f>
              <c:numCache>
                <c:formatCode>General</c:formatCode>
                <c:ptCount val="12"/>
                <c:pt idx="0">
                  <c:v>10</c:v>
                </c:pt>
                <c:pt idx="1">
                  <c:v>47</c:v>
                </c:pt>
                <c:pt idx="2">
                  <c:v>33</c:v>
                </c:pt>
                <c:pt idx="3">
                  <c:v>13</c:v>
                </c:pt>
                <c:pt idx="4">
                  <c:v>16</c:v>
                </c:pt>
                <c:pt idx="5">
                  <c:v>11</c:v>
                </c:pt>
                <c:pt idx="6">
                  <c:v>13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DEC-42F8-BF03-9DD65ABA6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389452"/>
        <c:axId val="920068620"/>
      </c:barChart>
      <c:catAx>
        <c:axId val="1221389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0068620"/>
        <c:crosses val="autoZero"/>
        <c:auto val="1"/>
        <c:lblAlgn val="ctr"/>
        <c:lblOffset val="100"/>
        <c:noMultiLvlLbl val="1"/>
      </c:catAx>
      <c:valAx>
        <c:axId val="9200686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13894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Frequency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Histogram!$N$19:$N$39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More</c:v>
                </c:pt>
              </c:strCache>
            </c:strRef>
          </c:cat>
          <c:val>
            <c:numRef>
              <c:f>Histogram!$O$19:$O$39</c:f>
              <c:numCache>
                <c:formatCode>General</c:formatCode>
                <c:ptCount val="21"/>
                <c:pt idx="0">
                  <c:v>10</c:v>
                </c:pt>
                <c:pt idx="1">
                  <c:v>32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5</c:v>
                </c:pt>
                <c:pt idx="6">
                  <c:v>8</c:v>
                </c:pt>
                <c:pt idx="7">
                  <c:v>10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8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F1D-4062-A005-C415C29D9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8631008"/>
        <c:axId val="1662410213"/>
      </c:barChart>
      <c:catAx>
        <c:axId val="149863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2410213"/>
        <c:crosses val="autoZero"/>
        <c:auto val="1"/>
        <c:lblAlgn val="ctr"/>
        <c:lblOffset val="100"/>
        <c:noMultiLvlLbl val="1"/>
      </c:catAx>
      <c:valAx>
        <c:axId val="166241021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863100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Frequency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'Boxplot Interpretation'!$Z$3:$Z$13</c:f>
              <c:strCache>
                <c:ptCount val="11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More</c:v>
                </c:pt>
              </c:strCache>
            </c:strRef>
          </c:cat>
          <c:val>
            <c:numRef>
              <c:f>'Boxplot Interpretation'!$AA$3:$AA$13</c:f>
              <c:numCache>
                <c:formatCode>General</c:formatCode>
                <c:ptCount val="11"/>
                <c:pt idx="0">
                  <c:v>57</c:v>
                </c:pt>
                <c:pt idx="1">
                  <c:v>33</c:v>
                </c:pt>
                <c:pt idx="2">
                  <c:v>13</c:v>
                </c:pt>
                <c:pt idx="3">
                  <c:v>16</c:v>
                </c:pt>
                <c:pt idx="4">
                  <c:v>11</c:v>
                </c:pt>
                <c:pt idx="5">
                  <c:v>13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BDB-4C06-8751-51C0135D4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764142"/>
        <c:axId val="2021563595"/>
      </c:barChart>
      <c:catAx>
        <c:axId val="133764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1563595"/>
        <c:crosses val="autoZero"/>
        <c:auto val="1"/>
        <c:lblAlgn val="ctr"/>
        <c:lblOffset val="100"/>
        <c:noMultiLvlLbl val="1"/>
      </c:catAx>
      <c:valAx>
        <c:axId val="20215635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7641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BEML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'Stock Data'!$A$2:$A$1740</c:f>
              <c:numCache>
                <c:formatCode>General</c:formatCode>
                <c:ptCount val="1739"/>
                <c:pt idx="0">
                  <c:v>1135.5999999999999</c:v>
                </c:pt>
                <c:pt idx="1">
                  <c:v>1134.5999999999999</c:v>
                </c:pt>
                <c:pt idx="2">
                  <c:v>1139.5999999999999</c:v>
                </c:pt>
                <c:pt idx="3">
                  <c:v>1144.1500000000001</c:v>
                </c:pt>
                <c:pt idx="4">
                  <c:v>1144.05</c:v>
                </c:pt>
                <c:pt idx="5">
                  <c:v>1137</c:v>
                </c:pt>
                <c:pt idx="6">
                  <c:v>1143.6500000000001</c:v>
                </c:pt>
                <c:pt idx="7">
                  <c:v>1142.25</c:v>
                </c:pt>
                <c:pt idx="8">
                  <c:v>1148.2</c:v>
                </c:pt>
                <c:pt idx="9">
                  <c:v>1207.05</c:v>
                </c:pt>
                <c:pt idx="10">
                  <c:v>1236.25</c:v>
                </c:pt>
                <c:pt idx="11">
                  <c:v>1221.25</c:v>
                </c:pt>
                <c:pt idx="12">
                  <c:v>1186.2</c:v>
                </c:pt>
                <c:pt idx="13">
                  <c:v>1150.1500000000001</c:v>
                </c:pt>
                <c:pt idx="14">
                  <c:v>1170.75</c:v>
                </c:pt>
                <c:pt idx="15">
                  <c:v>1154.7</c:v>
                </c:pt>
                <c:pt idx="16">
                  <c:v>1058.5999999999999</c:v>
                </c:pt>
                <c:pt idx="17">
                  <c:v>1039.3</c:v>
                </c:pt>
                <c:pt idx="18">
                  <c:v>1068.95</c:v>
                </c:pt>
                <c:pt idx="19">
                  <c:v>1140.0999999999999</c:v>
                </c:pt>
                <c:pt idx="20">
                  <c:v>1107.95</c:v>
                </c:pt>
                <c:pt idx="21">
                  <c:v>1118.8</c:v>
                </c:pt>
                <c:pt idx="22">
                  <c:v>1090.3</c:v>
                </c:pt>
                <c:pt idx="23">
                  <c:v>1070.45</c:v>
                </c:pt>
                <c:pt idx="24">
                  <c:v>1080.4000000000001</c:v>
                </c:pt>
                <c:pt idx="25">
                  <c:v>1095.6500000000001</c:v>
                </c:pt>
                <c:pt idx="26">
                  <c:v>1109</c:v>
                </c:pt>
                <c:pt idx="27">
                  <c:v>1095.45</c:v>
                </c:pt>
                <c:pt idx="28">
                  <c:v>1120.55</c:v>
                </c:pt>
                <c:pt idx="29">
                  <c:v>1139.6500000000001</c:v>
                </c:pt>
                <c:pt idx="30">
                  <c:v>1137.9000000000001</c:v>
                </c:pt>
                <c:pt idx="31">
                  <c:v>1142.75</c:v>
                </c:pt>
                <c:pt idx="32">
                  <c:v>1131</c:v>
                </c:pt>
                <c:pt idx="33">
                  <c:v>1116.4000000000001</c:v>
                </c:pt>
                <c:pt idx="34">
                  <c:v>1094</c:v>
                </c:pt>
                <c:pt idx="35">
                  <c:v>1065</c:v>
                </c:pt>
                <c:pt idx="36">
                  <c:v>1046.45</c:v>
                </c:pt>
                <c:pt idx="37">
                  <c:v>1011.15</c:v>
                </c:pt>
                <c:pt idx="38">
                  <c:v>1013.55</c:v>
                </c:pt>
                <c:pt idx="39">
                  <c:v>1042</c:v>
                </c:pt>
                <c:pt idx="40">
                  <c:v>1035.8499999999999</c:v>
                </c:pt>
                <c:pt idx="41">
                  <c:v>1048.9000000000001</c:v>
                </c:pt>
                <c:pt idx="42">
                  <c:v>1064.3</c:v>
                </c:pt>
                <c:pt idx="43">
                  <c:v>1069.8</c:v>
                </c:pt>
                <c:pt idx="44">
                  <c:v>1063.75</c:v>
                </c:pt>
                <c:pt idx="45">
                  <c:v>1059.55</c:v>
                </c:pt>
                <c:pt idx="46">
                  <c:v>1044.8499999999999</c:v>
                </c:pt>
                <c:pt idx="47">
                  <c:v>1036.1500000000001</c:v>
                </c:pt>
                <c:pt idx="48">
                  <c:v>1019.55</c:v>
                </c:pt>
                <c:pt idx="49">
                  <c:v>1029.2</c:v>
                </c:pt>
                <c:pt idx="50">
                  <c:v>1038.8499999999999</c:v>
                </c:pt>
                <c:pt idx="51">
                  <c:v>1049.25</c:v>
                </c:pt>
                <c:pt idx="52">
                  <c:v>1063.0999999999999</c:v>
                </c:pt>
                <c:pt idx="53">
                  <c:v>1050.2</c:v>
                </c:pt>
                <c:pt idx="54">
                  <c:v>1045.0999999999999</c:v>
                </c:pt>
                <c:pt idx="55">
                  <c:v>1033.8499999999999</c:v>
                </c:pt>
                <c:pt idx="56">
                  <c:v>1050.45</c:v>
                </c:pt>
                <c:pt idx="57">
                  <c:v>1057.5999999999999</c:v>
                </c:pt>
                <c:pt idx="58">
                  <c:v>1047.95</c:v>
                </c:pt>
                <c:pt idx="59">
                  <c:v>1049.5999999999999</c:v>
                </c:pt>
                <c:pt idx="60">
                  <c:v>1059</c:v>
                </c:pt>
                <c:pt idx="61">
                  <c:v>1064.1500000000001</c:v>
                </c:pt>
                <c:pt idx="62">
                  <c:v>1087.8499999999999</c:v>
                </c:pt>
                <c:pt idx="63">
                  <c:v>1076.45</c:v>
                </c:pt>
                <c:pt idx="64">
                  <c:v>1069.5999999999999</c:v>
                </c:pt>
                <c:pt idx="65">
                  <c:v>1077.05</c:v>
                </c:pt>
                <c:pt idx="66">
                  <c:v>1081.3</c:v>
                </c:pt>
                <c:pt idx="67">
                  <c:v>1074.6500000000001</c:v>
                </c:pt>
                <c:pt idx="68">
                  <c:v>1067.45</c:v>
                </c:pt>
                <c:pt idx="69">
                  <c:v>1046.3</c:v>
                </c:pt>
                <c:pt idx="70">
                  <c:v>1036.45</c:v>
                </c:pt>
                <c:pt idx="71">
                  <c:v>1038.55</c:v>
                </c:pt>
                <c:pt idx="72">
                  <c:v>1031.25</c:v>
                </c:pt>
                <c:pt idx="73">
                  <c:v>1025.5999999999999</c:v>
                </c:pt>
                <c:pt idx="74">
                  <c:v>1032.95</c:v>
                </c:pt>
                <c:pt idx="75">
                  <c:v>1050.4000000000001</c:v>
                </c:pt>
                <c:pt idx="76">
                  <c:v>1050.9000000000001</c:v>
                </c:pt>
                <c:pt idx="77">
                  <c:v>1047.05</c:v>
                </c:pt>
                <c:pt idx="78">
                  <c:v>1049.4000000000001</c:v>
                </c:pt>
                <c:pt idx="79">
                  <c:v>1048.05</c:v>
                </c:pt>
                <c:pt idx="80">
                  <c:v>1038.05</c:v>
                </c:pt>
                <c:pt idx="81">
                  <c:v>1026.7</c:v>
                </c:pt>
                <c:pt idx="82">
                  <c:v>1012.2</c:v>
                </c:pt>
                <c:pt idx="83">
                  <c:v>1014.85</c:v>
                </c:pt>
                <c:pt idx="84">
                  <c:v>988.25</c:v>
                </c:pt>
                <c:pt idx="85">
                  <c:v>1006.5</c:v>
                </c:pt>
                <c:pt idx="86">
                  <c:v>995.2</c:v>
                </c:pt>
                <c:pt idx="87">
                  <c:v>995</c:v>
                </c:pt>
                <c:pt idx="88">
                  <c:v>1009.4</c:v>
                </c:pt>
                <c:pt idx="89">
                  <c:v>1005.05</c:v>
                </c:pt>
                <c:pt idx="90">
                  <c:v>1002.65</c:v>
                </c:pt>
                <c:pt idx="91">
                  <c:v>1048.5999999999999</c:v>
                </c:pt>
                <c:pt idx="92">
                  <c:v>984.85</c:v>
                </c:pt>
                <c:pt idx="93">
                  <c:v>991.05</c:v>
                </c:pt>
                <c:pt idx="94">
                  <c:v>995.4</c:v>
                </c:pt>
                <c:pt idx="95">
                  <c:v>999.5</c:v>
                </c:pt>
                <c:pt idx="96">
                  <c:v>975.7</c:v>
                </c:pt>
                <c:pt idx="97">
                  <c:v>976.7</c:v>
                </c:pt>
                <c:pt idx="98">
                  <c:v>963.9</c:v>
                </c:pt>
                <c:pt idx="99">
                  <c:v>981.3</c:v>
                </c:pt>
                <c:pt idx="100">
                  <c:v>970.55</c:v>
                </c:pt>
                <c:pt idx="101">
                  <c:v>965</c:v>
                </c:pt>
                <c:pt idx="102">
                  <c:v>968.25</c:v>
                </c:pt>
                <c:pt idx="103">
                  <c:v>994</c:v>
                </c:pt>
                <c:pt idx="104">
                  <c:v>1000.55</c:v>
                </c:pt>
                <c:pt idx="105">
                  <c:v>978.05</c:v>
                </c:pt>
                <c:pt idx="106">
                  <c:v>996.75</c:v>
                </c:pt>
                <c:pt idx="107">
                  <c:v>996.95</c:v>
                </c:pt>
                <c:pt idx="108">
                  <c:v>999.3</c:v>
                </c:pt>
                <c:pt idx="109">
                  <c:v>1001.15</c:v>
                </c:pt>
                <c:pt idx="110">
                  <c:v>1013.7</c:v>
                </c:pt>
                <c:pt idx="111">
                  <c:v>1011.55</c:v>
                </c:pt>
                <c:pt idx="112">
                  <c:v>1010.4</c:v>
                </c:pt>
                <c:pt idx="113">
                  <c:v>1013.75</c:v>
                </c:pt>
                <c:pt idx="114">
                  <c:v>1021.85</c:v>
                </c:pt>
                <c:pt idx="115">
                  <c:v>1036.3499999999999</c:v>
                </c:pt>
                <c:pt idx="116">
                  <c:v>1021.2</c:v>
                </c:pt>
                <c:pt idx="117">
                  <c:v>1027.5</c:v>
                </c:pt>
                <c:pt idx="118">
                  <c:v>1003.7</c:v>
                </c:pt>
                <c:pt idx="119">
                  <c:v>1008.95</c:v>
                </c:pt>
                <c:pt idx="120">
                  <c:v>1010.2</c:v>
                </c:pt>
                <c:pt idx="121">
                  <c:v>998.3</c:v>
                </c:pt>
                <c:pt idx="122">
                  <c:v>1000.6</c:v>
                </c:pt>
                <c:pt idx="123">
                  <c:v>995</c:v>
                </c:pt>
                <c:pt idx="124">
                  <c:v>1000.2</c:v>
                </c:pt>
                <c:pt idx="125">
                  <c:v>984.4</c:v>
                </c:pt>
                <c:pt idx="126">
                  <c:v>996.4</c:v>
                </c:pt>
                <c:pt idx="127">
                  <c:v>1002.15</c:v>
                </c:pt>
                <c:pt idx="128">
                  <c:v>999.35</c:v>
                </c:pt>
                <c:pt idx="129">
                  <c:v>1001.25</c:v>
                </c:pt>
                <c:pt idx="130">
                  <c:v>999.25</c:v>
                </c:pt>
                <c:pt idx="131">
                  <c:v>996.2</c:v>
                </c:pt>
                <c:pt idx="132">
                  <c:v>1014.25</c:v>
                </c:pt>
                <c:pt idx="133">
                  <c:v>1018.2</c:v>
                </c:pt>
                <c:pt idx="134">
                  <c:v>1003.95</c:v>
                </c:pt>
                <c:pt idx="135">
                  <c:v>1020.35</c:v>
                </c:pt>
                <c:pt idx="136">
                  <c:v>1021.25</c:v>
                </c:pt>
                <c:pt idx="137">
                  <c:v>1033.5</c:v>
                </c:pt>
                <c:pt idx="138">
                  <c:v>1028.1500000000001</c:v>
                </c:pt>
                <c:pt idx="139">
                  <c:v>1020.55</c:v>
                </c:pt>
                <c:pt idx="140">
                  <c:v>1017.5</c:v>
                </c:pt>
                <c:pt idx="141">
                  <c:v>1014.65</c:v>
                </c:pt>
                <c:pt idx="142">
                  <c:v>1014.1</c:v>
                </c:pt>
                <c:pt idx="143">
                  <c:v>1008.4</c:v>
                </c:pt>
                <c:pt idx="144">
                  <c:v>1015.95</c:v>
                </c:pt>
                <c:pt idx="145">
                  <c:v>1030.95</c:v>
                </c:pt>
                <c:pt idx="146">
                  <c:v>1027.05</c:v>
                </c:pt>
                <c:pt idx="147">
                  <c:v>1026.1500000000001</c:v>
                </c:pt>
                <c:pt idx="148">
                  <c:v>1025.45</c:v>
                </c:pt>
                <c:pt idx="149">
                  <c:v>1013.65</c:v>
                </c:pt>
                <c:pt idx="150">
                  <c:v>1010.7</c:v>
                </c:pt>
                <c:pt idx="151">
                  <c:v>1005.6</c:v>
                </c:pt>
                <c:pt idx="152">
                  <c:v>995.8</c:v>
                </c:pt>
                <c:pt idx="153">
                  <c:v>992.05</c:v>
                </c:pt>
                <c:pt idx="154">
                  <c:v>1009.2</c:v>
                </c:pt>
                <c:pt idx="155">
                  <c:v>1009.9</c:v>
                </c:pt>
                <c:pt idx="156">
                  <c:v>1016</c:v>
                </c:pt>
                <c:pt idx="157">
                  <c:v>1019.1</c:v>
                </c:pt>
                <c:pt idx="158">
                  <c:v>1022.45</c:v>
                </c:pt>
                <c:pt idx="159">
                  <c:v>1020.3</c:v>
                </c:pt>
                <c:pt idx="160">
                  <c:v>1021.15</c:v>
                </c:pt>
                <c:pt idx="161">
                  <c:v>1020.45</c:v>
                </c:pt>
                <c:pt idx="162">
                  <c:v>1022.1</c:v>
                </c:pt>
                <c:pt idx="163">
                  <c:v>1002.35</c:v>
                </c:pt>
                <c:pt idx="164">
                  <c:v>1004.05</c:v>
                </c:pt>
                <c:pt idx="165">
                  <c:v>1009.3</c:v>
                </c:pt>
                <c:pt idx="166">
                  <c:v>1009</c:v>
                </c:pt>
                <c:pt idx="167">
                  <c:v>1013.15</c:v>
                </c:pt>
                <c:pt idx="168">
                  <c:v>1061.0999999999999</c:v>
                </c:pt>
                <c:pt idx="169">
                  <c:v>1134.05</c:v>
                </c:pt>
                <c:pt idx="170">
                  <c:v>1195.05</c:v>
                </c:pt>
                <c:pt idx="171">
                  <c:v>1188</c:v>
                </c:pt>
                <c:pt idx="172">
                  <c:v>1172.3</c:v>
                </c:pt>
                <c:pt idx="173">
                  <c:v>1205.95</c:v>
                </c:pt>
                <c:pt idx="174">
                  <c:v>1185.0999999999999</c:v>
                </c:pt>
                <c:pt idx="175">
                  <c:v>1170.3</c:v>
                </c:pt>
                <c:pt idx="176">
                  <c:v>1168.0999999999999</c:v>
                </c:pt>
                <c:pt idx="177">
                  <c:v>1152.5999999999999</c:v>
                </c:pt>
                <c:pt idx="178">
                  <c:v>1164.8</c:v>
                </c:pt>
                <c:pt idx="179">
                  <c:v>1161.3499999999999</c:v>
                </c:pt>
                <c:pt idx="180">
                  <c:v>1141.0999999999999</c:v>
                </c:pt>
                <c:pt idx="181">
                  <c:v>1137.8499999999999</c:v>
                </c:pt>
                <c:pt idx="182">
                  <c:v>1110.55</c:v>
                </c:pt>
                <c:pt idx="183">
                  <c:v>1090.8</c:v>
                </c:pt>
                <c:pt idx="184">
                  <c:v>1114.9000000000001</c:v>
                </c:pt>
                <c:pt idx="185">
                  <c:v>1112.95</c:v>
                </c:pt>
                <c:pt idx="186">
                  <c:v>1106.05</c:v>
                </c:pt>
                <c:pt idx="187">
                  <c:v>1079.1500000000001</c:v>
                </c:pt>
                <c:pt idx="188">
                  <c:v>1107.45</c:v>
                </c:pt>
                <c:pt idx="189">
                  <c:v>1144.3</c:v>
                </c:pt>
                <c:pt idx="190">
                  <c:v>1190.25</c:v>
                </c:pt>
                <c:pt idx="191">
                  <c:v>1178.0999999999999</c:v>
                </c:pt>
                <c:pt idx="192">
                  <c:v>1152.4000000000001</c:v>
                </c:pt>
                <c:pt idx="193">
                  <c:v>1144.6500000000001</c:v>
                </c:pt>
                <c:pt idx="194">
                  <c:v>1157.9000000000001</c:v>
                </c:pt>
                <c:pt idx="195">
                  <c:v>1144.8</c:v>
                </c:pt>
                <c:pt idx="196">
                  <c:v>1141.6500000000001</c:v>
                </c:pt>
                <c:pt idx="197">
                  <c:v>1145.3499999999999</c:v>
                </c:pt>
                <c:pt idx="198">
                  <c:v>1139.3499999999999</c:v>
                </c:pt>
                <c:pt idx="199">
                  <c:v>1121.7</c:v>
                </c:pt>
                <c:pt idx="200">
                  <c:v>1133</c:v>
                </c:pt>
                <c:pt idx="201">
                  <c:v>1129.5999999999999</c:v>
                </c:pt>
                <c:pt idx="202">
                  <c:v>1146.3499999999999</c:v>
                </c:pt>
                <c:pt idx="203">
                  <c:v>1142.45</c:v>
                </c:pt>
                <c:pt idx="204">
                  <c:v>1130.1500000000001</c:v>
                </c:pt>
                <c:pt idx="205">
                  <c:v>1131.4000000000001</c:v>
                </c:pt>
                <c:pt idx="206">
                  <c:v>1124.75</c:v>
                </c:pt>
                <c:pt idx="207">
                  <c:v>1094.1500000000001</c:v>
                </c:pt>
                <c:pt idx="208">
                  <c:v>1123.6500000000001</c:v>
                </c:pt>
                <c:pt idx="209">
                  <c:v>1110.8499999999999</c:v>
                </c:pt>
                <c:pt idx="210">
                  <c:v>1100.9000000000001</c:v>
                </c:pt>
                <c:pt idx="211">
                  <c:v>1128.95</c:v>
                </c:pt>
                <c:pt idx="212">
                  <c:v>1136.1500000000001</c:v>
                </c:pt>
                <c:pt idx="213">
                  <c:v>1133.8499999999999</c:v>
                </c:pt>
                <c:pt idx="214">
                  <c:v>1135.3</c:v>
                </c:pt>
                <c:pt idx="215">
                  <c:v>1120.75</c:v>
                </c:pt>
                <c:pt idx="216">
                  <c:v>1127.5999999999999</c:v>
                </c:pt>
                <c:pt idx="217">
                  <c:v>1125.8499999999999</c:v>
                </c:pt>
                <c:pt idx="218">
                  <c:v>1103.55</c:v>
                </c:pt>
                <c:pt idx="219">
                  <c:v>1099.8499999999999</c:v>
                </c:pt>
                <c:pt idx="220">
                  <c:v>1104</c:v>
                </c:pt>
                <c:pt idx="221">
                  <c:v>1100.45</c:v>
                </c:pt>
                <c:pt idx="222">
                  <c:v>1093.5</c:v>
                </c:pt>
                <c:pt idx="223">
                  <c:v>1085.8499999999999</c:v>
                </c:pt>
                <c:pt idx="224">
                  <c:v>1077.6500000000001</c:v>
                </c:pt>
                <c:pt idx="225">
                  <c:v>1065</c:v>
                </c:pt>
                <c:pt idx="226">
                  <c:v>1041.5</c:v>
                </c:pt>
                <c:pt idx="227">
                  <c:v>990.7</c:v>
                </c:pt>
                <c:pt idx="228">
                  <c:v>980.2</c:v>
                </c:pt>
                <c:pt idx="229">
                  <c:v>982.9</c:v>
                </c:pt>
                <c:pt idx="230">
                  <c:v>1018.4</c:v>
                </c:pt>
                <c:pt idx="231">
                  <c:v>1026.1500000000001</c:v>
                </c:pt>
                <c:pt idx="232">
                  <c:v>1009.2</c:v>
                </c:pt>
                <c:pt idx="233">
                  <c:v>1005.6</c:v>
                </c:pt>
                <c:pt idx="234">
                  <c:v>1023.45</c:v>
                </c:pt>
                <c:pt idx="235">
                  <c:v>1004.95</c:v>
                </c:pt>
                <c:pt idx="236">
                  <c:v>1000.3</c:v>
                </c:pt>
                <c:pt idx="237">
                  <c:v>998</c:v>
                </c:pt>
                <c:pt idx="238">
                  <c:v>999.7</c:v>
                </c:pt>
                <c:pt idx="239">
                  <c:v>1004.95</c:v>
                </c:pt>
                <c:pt idx="240">
                  <c:v>991.8</c:v>
                </c:pt>
                <c:pt idx="241">
                  <c:v>989</c:v>
                </c:pt>
                <c:pt idx="242">
                  <c:v>992.3</c:v>
                </c:pt>
                <c:pt idx="243">
                  <c:v>997.75</c:v>
                </c:pt>
                <c:pt idx="244">
                  <c:v>992.65</c:v>
                </c:pt>
                <c:pt idx="245">
                  <c:v>993.1</c:v>
                </c:pt>
                <c:pt idx="246">
                  <c:v>994.3</c:v>
                </c:pt>
                <c:pt idx="247">
                  <c:v>979.55</c:v>
                </c:pt>
                <c:pt idx="248">
                  <c:v>977.6</c:v>
                </c:pt>
                <c:pt idx="249">
                  <c:v>984.05</c:v>
                </c:pt>
                <c:pt idx="250">
                  <c:v>998.8</c:v>
                </c:pt>
                <c:pt idx="251">
                  <c:v>1032.25</c:v>
                </c:pt>
                <c:pt idx="252">
                  <c:v>1028.2</c:v>
                </c:pt>
                <c:pt idx="253">
                  <c:v>1023.75</c:v>
                </c:pt>
                <c:pt idx="254">
                  <c:v>1006.65</c:v>
                </c:pt>
                <c:pt idx="255">
                  <c:v>993.95</c:v>
                </c:pt>
                <c:pt idx="256">
                  <c:v>987.05</c:v>
                </c:pt>
                <c:pt idx="257">
                  <c:v>967.25</c:v>
                </c:pt>
                <c:pt idx="258">
                  <c:v>962.2</c:v>
                </c:pt>
                <c:pt idx="259">
                  <c:v>967.35</c:v>
                </c:pt>
                <c:pt idx="260">
                  <c:v>954.15</c:v>
                </c:pt>
                <c:pt idx="261">
                  <c:v>949.7</c:v>
                </c:pt>
                <c:pt idx="262">
                  <c:v>945.2</c:v>
                </c:pt>
                <c:pt idx="263">
                  <c:v>939.9</c:v>
                </c:pt>
                <c:pt idx="264">
                  <c:v>940.8</c:v>
                </c:pt>
                <c:pt idx="265">
                  <c:v>942.85</c:v>
                </c:pt>
                <c:pt idx="266">
                  <c:v>949.15</c:v>
                </c:pt>
                <c:pt idx="267">
                  <c:v>943.55</c:v>
                </c:pt>
                <c:pt idx="268">
                  <c:v>929.35</c:v>
                </c:pt>
                <c:pt idx="269">
                  <c:v>905.5</c:v>
                </c:pt>
                <c:pt idx="270">
                  <c:v>887.7</c:v>
                </c:pt>
                <c:pt idx="271">
                  <c:v>870.1</c:v>
                </c:pt>
                <c:pt idx="272">
                  <c:v>829.3</c:v>
                </c:pt>
                <c:pt idx="273">
                  <c:v>819.7</c:v>
                </c:pt>
                <c:pt idx="274">
                  <c:v>813.95</c:v>
                </c:pt>
                <c:pt idx="275">
                  <c:v>794.65</c:v>
                </c:pt>
                <c:pt idx="276">
                  <c:v>759.85</c:v>
                </c:pt>
                <c:pt idx="277">
                  <c:v>675.3</c:v>
                </c:pt>
                <c:pt idx="278">
                  <c:v>584.85</c:v>
                </c:pt>
                <c:pt idx="279">
                  <c:v>589.20000000000005</c:v>
                </c:pt>
                <c:pt idx="280">
                  <c:v>614.45000000000005</c:v>
                </c:pt>
                <c:pt idx="281">
                  <c:v>651</c:v>
                </c:pt>
                <c:pt idx="282">
                  <c:v>660.7</c:v>
                </c:pt>
                <c:pt idx="283">
                  <c:v>668.75</c:v>
                </c:pt>
                <c:pt idx="284">
                  <c:v>679.65</c:v>
                </c:pt>
                <c:pt idx="285">
                  <c:v>658.55</c:v>
                </c:pt>
                <c:pt idx="286">
                  <c:v>668</c:v>
                </c:pt>
                <c:pt idx="287">
                  <c:v>663.95</c:v>
                </c:pt>
                <c:pt idx="288">
                  <c:v>660.4</c:v>
                </c:pt>
                <c:pt idx="289">
                  <c:v>633.6</c:v>
                </c:pt>
                <c:pt idx="290">
                  <c:v>613.5</c:v>
                </c:pt>
                <c:pt idx="291">
                  <c:v>620.45000000000005</c:v>
                </c:pt>
                <c:pt idx="292">
                  <c:v>642.85</c:v>
                </c:pt>
                <c:pt idx="293">
                  <c:v>646.6</c:v>
                </c:pt>
                <c:pt idx="294">
                  <c:v>643.70000000000005</c:v>
                </c:pt>
                <c:pt idx="295">
                  <c:v>637.54999999999995</c:v>
                </c:pt>
                <c:pt idx="296">
                  <c:v>641</c:v>
                </c:pt>
                <c:pt idx="297">
                  <c:v>662.45</c:v>
                </c:pt>
                <c:pt idx="298">
                  <c:v>654.20000000000005</c:v>
                </c:pt>
                <c:pt idx="299">
                  <c:v>665.95</c:v>
                </c:pt>
                <c:pt idx="300">
                  <c:v>671.45</c:v>
                </c:pt>
                <c:pt idx="301">
                  <c:v>673.4</c:v>
                </c:pt>
                <c:pt idx="302">
                  <c:v>675.4</c:v>
                </c:pt>
                <c:pt idx="303">
                  <c:v>669.95</c:v>
                </c:pt>
                <c:pt idx="304">
                  <c:v>660.05</c:v>
                </c:pt>
                <c:pt idx="305">
                  <c:v>662.6</c:v>
                </c:pt>
                <c:pt idx="306">
                  <c:v>661.45</c:v>
                </c:pt>
                <c:pt idx="307">
                  <c:v>679.95</c:v>
                </c:pt>
                <c:pt idx="308">
                  <c:v>685.9</c:v>
                </c:pt>
                <c:pt idx="309">
                  <c:v>698.3</c:v>
                </c:pt>
                <c:pt idx="310">
                  <c:v>692.15</c:v>
                </c:pt>
                <c:pt idx="311">
                  <c:v>691.25</c:v>
                </c:pt>
                <c:pt idx="312">
                  <c:v>693.55</c:v>
                </c:pt>
                <c:pt idx="313">
                  <c:v>681.95</c:v>
                </c:pt>
                <c:pt idx="314">
                  <c:v>705.95</c:v>
                </c:pt>
                <c:pt idx="315">
                  <c:v>737.6</c:v>
                </c:pt>
                <c:pt idx="316">
                  <c:v>749.9</c:v>
                </c:pt>
                <c:pt idx="317">
                  <c:v>750.6</c:v>
                </c:pt>
                <c:pt idx="318">
                  <c:v>759.25</c:v>
                </c:pt>
                <c:pt idx="319">
                  <c:v>736.05</c:v>
                </c:pt>
                <c:pt idx="320">
                  <c:v>722.85</c:v>
                </c:pt>
                <c:pt idx="321">
                  <c:v>729.95</c:v>
                </c:pt>
                <c:pt idx="322">
                  <c:v>728.15</c:v>
                </c:pt>
                <c:pt idx="323">
                  <c:v>724.3</c:v>
                </c:pt>
                <c:pt idx="324">
                  <c:v>715.9</c:v>
                </c:pt>
                <c:pt idx="325">
                  <c:v>723.05</c:v>
                </c:pt>
                <c:pt idx="326">
                  <c:v>725.35</c:v>
                </c:pt>
                <c:pt idx="327">
                  <c:v>727.7</c:v>
                </c:pt>
                <c:pt idx="328">
                  <c:v>724.3</c:v>
                </c:pt>
                <c:pt idx="329">
                  <c:v>720.9</c:v>
                </c:pt>
                <c:pt idx="330">
                  <c:v>708.35</c:v>
                </c:pt>
                <c:pt idx="331">
                  <c:v>694.85</c:v>
                </c:pt>
                <c:pt idx="332">
                  <c:v>670.6</c:v>
                </c:pt>
                <c:pt idx="333">
                  <c:v>662.8</c:v>
                </c:pt>
                <c:pt idx="334">
                  <c:v>674.05</c:v>
                </c:pt>
                <c:pt idx="335">
                  <c:v>657.65</c:v>
                </c:pt>
                <c:pt idx="336">
                  <c:v>668.7</c:v>
                </c:pt>
                <c:pt idx="337">
                  <c:v>665.8</c:v>
                </c:pt>
                <c:pt idx="338">
                  <c:v>661.35</c:v>
                </c:pt>
                <c:pt idx="339">
                  <c:v>660.95</c:v>
                </c:pt>
                <c:pt idx="340">
                  <c:v>657.55</c:v>
                </c:pt>
                <c:pt idx="341">
                  <c:v>659.3</c:v>
                </c:pt>
                <c:pt idx="342">
                  <c:v>652.15</c:v>
                </c:pt>
                <c:pt idx="343">
                  <c:v>646.54999999999995</c:v>
                </c:pt>
                <c:pt idx="344">
                  <c:v>640.45000000000005</c:v>
                </c:pt>
                <c:pt idx="345">
                  <c:v>638.79999999999995</c:v>
                </c:pt>
                <c:pt idx="346">
                  <c:v>643.54999999999995</c:v>
                </c:pt>
                <c:pt idx="347">
                  <c:v>630.35</c:v>
                </c:pt>
                <c:pt idx="348">
                  <c:v>622.85</c:v>
                </c:pt>
                <c:pt idx="349">
                  <c:v>613</c:v>
                </c:pt>
                <c:pt idx="350">
                  <c:v>625.25</c:v>
                </c:pt>
                <c:pt idx="351">
                  <c:v>650.85</c:v>
                </c:pt>
                <c:pt idx="352">
                  <c:v>646.85</c:v>
                </c:pt>
                <c:pt idx="353">
                  <c:v>653.1</c:v>
                </c:pt>
                <c:pt idx="354">
                  <c:v>612.45000000000005</c:v>
                </c:pt>
                <c:pt idx="355">
                  <c:v>603.75</c:v>
                </c:pt>
                <c:pt idx="356">
                  <c:v>604</c:v>
                </c:pt>
                <c:pt idx="357">
                  <c:v>598.45000000000005</c:v>
                </c:pt>
                <c:pt idx="358">
                  <c:v>599</c:v>
                </c:pt>
                <c:pt idx="359">
                  <c:v>599.65</c:v>
                </c:pt>
                <c:pt idx="360">
                  <c:v>599.5</c:v>
                </c:pt>
                <c:pt idx="361">
                  <c:v>596.35</c:v>
                </c:pt>
                <c:pt idx="362">
                  <c:v>588.25</c:v>
                </c:pt>
                <c:pt idx="363">
                  <c:v>583.75</c:v>
                </c:pt>
                <c:pt idx="364">
                  <c:v>584.95000000000005</c:v>
                </c:pt>
                <c:pt idx="365">
                  <c:v>579.75</c:v>
                </c:pt>
                <c:pt idx="366">
                  <c:v>587.95000000000005</c:v>
                </c:pt>
                <c:pt idx="367">
                  <c:v>572.70000000000005</c:v>
                </c:pt>
                <c:pt idx="368">
                  <c:v>559.4</c:v>
                </c:pt>
                <c:pt idx="369">
                  <c:v>541.20000000000005</c:v>
                </c:pt>
                <c:pt idx="370">
                  <c:v>552.15</c:v>
                </c:pt>
                <c:pt idx="371">
                  <c:v>568.15</c:v>
                </c:pt>
                <c:pt idx="372">
                  <c:v>578</c:v>
                </c:pt>
                <c:pt idx="373">
                  <c:v>583.5</c:v>
                </c:pt>
                <c:pt idx="374">
                  <c:v>592.75</c:v>
                </c:pt>
                <c:pt idx="375">
                  <c:v>580.20000000000005</c:v>
                </c:pt>
                <c:pt idx="376">
                  <c:v>589.35</c:v>
                </c:pt>
                <c:pt idx="377">
                  <c:v>594.45000000000005</c:v>
                </c:pt>
                <c:pt idx="378">
                  <c:v>610.04999999999995</c:v>
                </c:pt>
                <c:pt idx="379">
                  <c:v>607.15</c:v>
                </c:pt>
                <c:pt idx="380">
                  <c:v>609.25</c:v>
                </c:pt>
                <c:pt idx="381">
                  <c:v>602.75</c:v>
                </c:pt>
                <c:pt idx="382">
                  <c:v>598.35</c:v>
                </c:pt>
                <c:pt idx="383">
                  <c:v>590.15</c:v>
                </c:pt>
                <c:pt idx="384">
                  <c:v>594.20000000000005</c:v>
                </c:pt>
                <c:pt idx="385">
                  <c:v>595.79999999999995</c:v>
                </c:pt>
                <c:pt idx="386">
                  <c:v>589.45000000000005</c:v>
                </c:pt>
                <c:pt idx="387">
                  <c:v>583.20000000000005</c:v>
                </c:pt>
                <c:pt idx="388">
                  <c:v>581.5</c:v>
                </c:pt>
                <c:pt idx="389">
                  <c:v>576.75</c:v>
                </c:pt>
                <c:pt idx="390">
                  <c:v>568.9</c:v>
                </c:pt>
                <c:pt idx="391">
                  <c:v>570.1</c:v>
                </c:pt>
                <c:pt idx="392">
                  <c:v>575.6</c:v>
                </c:pt>
                <c:pt idx="393">
                  <c:v>557.35</c:v>
                </c:pt>
                <c:pt idx="394">
                  <c:v>560.6</c:v>
                </c:pt>
                <c:pt idx="395">
                  <c:v>546.45000000000005</c:v>
                </c:pt>
                <c:pt idx="396">
                  <c:v>549.29999999999995</c:v>
                </c:pt>
                <c:pt idx="397">
                  <c:v>541.20000000000005</c:v>
                </c:pt>
                <c:pt idx="398">
                  <c:v>533.9</c:v>
                </c:pt>
                <c:pt idx="399">
                  <c:v>529.1</c:v>
                </c:pt>
                <c:pt idx="400">
                  <c:v>522.04999999999995</c:v>
                </c:pt>
                <c:pt idx="401">
                  <c:v>500</c:v>
                </c:pt>
                <c:pt idx="402">
                  <c:v>490.8</c:v>
                </c:pt>
                <c:pt idx="403">
                  <c:v>480.35</c:v>
                </c:pt>
                <c:pt idx="404">
                  <c:v>485.35</c:v>
                </c:pt>
                <c:pt idx="405">
                  <c:v>482.3</c:v>
                </c:pt>
                <c:pt idx="406">
                  <c:v>481.65</c:v>
                </c:pt>
                <c:pt idx="407">
                  <c:v>451.7</c:v>
                </c:pt>
                <c:pt idx="408">
                  <c:v>444.75</c:v>
                </c:pt>
                <c:pt idx="409">
                  <c:v>435.9</c:v>
                </c:pt>
                <c:pt idx="410">
                  <c:v>418.85</c:v>
                </c:pt>
                <c:pt idx="411">
                  <c:v>440.25</c:v>
                </c:pt>
                <c:pt idx="412">
                  <c:v>449.75</c:v>
                </c:pt>
                <c:pt idx="413">
                  <c:v>448.25</c:v>
                </c:pt>
                <c:pt idx="414">
                  <c:v>446.45</c:v>
                </c:pt>
                <c:pt idx="415">
                  <c:v>439.8</c:v>
                </c:pt>
                <c:pt idx="416">
                  <c:v>452.55</c:v>
                </c:pt>
                <c:pt idx="417">
                  <c:v>463.4</c:v>
                </c:pt>
                <c:pt idx="418">
                  <c:v>463.85</c:v>
                </c:pt>
                <c:pt idx="419">
                  <c:v>470.15</c:v>
                </c:pt>
                <c:pt idx="420">
                  <c:v>468.65</c:v>
                </c:pt>
                <c:pt idx="421">
                  <c:v>472.25</c:v>
                </c:pt>
                <c:pt idx="422">
                  <c:v>468.9</c:v>
                </c:pt>
                <c:pt idx="423">
                  <c:v>455.2</c:v>
                </c:pt>
                <c:pt idx="424">
                  <c:v>457.75</c:v>
                </c:pt>
                <c:pt idx="425">
                  <c:v>473.7</c:v>
                </c:pt>
                <c:pt idx="426">
                  <c:v>482.4</c:v>
                </c:pt>
                <c:pt idx="427">
                  <c:v>478.5</c:v>
                </c:pt>
                <c:pt idx="428">
                  <c:v>481.35</c:v>
                </c:pt>
                <c:pt idx="429">
                  <c:v>474.4</c:v>
                </c:pt>
                <c:pt idx="430">
                  <c:v>480.75</c:v>
                </c:pt>
                <c:pt idx="431">
                  <c:v>491.7</c:v>
                </c:pt>
                <c:pt idx="432">
                  <c:v>469</c:v>
                </c:pt>
                <c:pt idx="433">
                  <c:v>455.05</c:v>
                </c:pt>
                <c:pt idx="434">
                  <c:v>449.5</c:v>
                </c:pt>
                <c:pt idx="435">
                  <c:v>472.25</c:v>
                </c:pt>
                <c:pt idx="436">
                  <c:v>463.65</c:v>
                </c:pt>
                <c:pt idx="437">
                  <c:v>461.9</c:v>
                </c:pt>
                <c:pt idx="438">
                  <c:v>457.8</c:v>
                </c:pt>
                <c:pt idx="439">
                  <c:v>458.95</c:v>
                </c:pt>
                <c:pt idx="440">
                  <c:v>455.95</c:v>
                </c:pt>
                <c:pt idx="441">
                  <c:v>449.6</c:v>
                </c:pt>
                <c:pt idx="442">
                  <c:v>468.1</c:v>
                </c:pt>
                <c:pt idx="443">
                  <c:v>489.6</c:v>
                </c:pt>
                <c:pt idx="444">
                  <c:v>487.1</c:v>
                </c:pt>
                <c:pt idx="445">
                  <c:v>490.8</c:v>
                </c:pt>
                <c:pt idx="446">
                  <c:v>488.8</c:v>
                </c:pt>
                <c:pt idx="447">
                  <c:v>514.70000000000005</c:v>
                </c:pt>
                <c:pt idx="448">
                  <c:v>508.8</c:v>
                </c:pt>
                <c:pt idx="449">
                  <c:v>491.2</c:v>
                </c:pt>
                <c:pt idx="450">
                  <c:v>492.9</c:v>
                </c:pt>
                <c:pt idx="451">
                  <c:v>484.05</c:v>
                </c:pt>
                <c:pt idx="452">
                  <c:v>481.95</c:v>
                </c:pt>
                <c:pt idx="453">
                  <c:v>482</c:v>
                </c:pt>
                <c:pt idx="454">
                  <c:v>484.65</c:v>
                </c:pt>
                <c:pt idx="455">
                  <c:v>495.65</c:v>
                </c:pt>
                <c:pt idx="456">
                  <c:v>525.79999999999995</c:v>
                </c:pt>
                <c:pt idx="457">
                  <c:v>529</c:v>
                </c:pt>
                <c:pt idx="458">
                  <c:v>523.04999999999995</c:v>
                </c:pt>
                <c:pt idx="459">
                  <c:v>516.65</c:v>
                </c:pt>
                <c:pt idx="460">
                  <c:v>531.79999999999995</c:v>
                </c:pt>
                <c:pt idx="461">
                  <c:v>543.45000000000005</c:v>
                </c:pt>
                <c:pt idx="462">
                  <c:v>548.04999999999995</c:v>
                </c:pt>
                <c:pt idx="463">
                  <c:v>538.35</c:v>
                </c:pt>
                <c:pt idx="464">
                  <c:v>528.29999999999995</c:v>
                </c:pt>
                <c:pt idx="465">
                  <c:v>520.75</c:v>
                </c:pt>
                <c:pt idx="466">
                  <c:v>499.9</c:v>
                </c:pt>
                <c:pt idx="467">
                  <c:v>487.35</c:v>
                </c:pt>
                <c:pt idx="468">
                  <c:v>494.15</c:v>
                </c:pt>
                <c:pt idx="469">
                  <c:v>488.25</c:v>
                </c:pt>
                <c:pt idx="470">
                  <c:v>482.95</c:v>
                </c:pt>
                <c:pt idx="471">
                  <c:v>472.85</c:v>
                </c:pt>
                <c:pt idx="472">
                  <c:v>449.05</c:v>
                </c:pt>
                <c:pt idx="473">
                  <c:v>462.2</c:v>
                </c:pt>
                <c:pt idx="474">
                  <c:v>484</c:v>
                </c:pt>
                <c:pt idx="475">
                  <c:v>497.5</c:v>
                </c:pt>
                <c:pt idx="476">
                  <c:v>500.2</c:v>
                </c:pt>
                <c:pt idx="477">
                  <c:v>504.45</c:v>
                </c:pt>
                <c:pt idx="478">
                  <c:v>504.3</c:v>
                </c:pt>
                <c:pt idx="479">
                  <c:v>515.70000000000005</c:v>
                </c:pt>
                <c:pt idx="480">
                  <c:v>518.20000000000005</c:v>
                </c:pt>
                <c:pt idx="481">
                  <c:v>517.29999999999995</c:v>
                </c:pt>
                <c:pt idx="482">
                  <c:v>507.55</c:v>
                </c:pt>
                <c:pt idx="483">
                  <c:v>504.2</c:v>
                </c:pt>
                <c:pt idx="484">
                  <c:v>485.45</c:v>
                </c:pt>
                <c:pt idx="485">
                  <c:v>480.1</c:v>
                </c:pt>
                <c:pt idx="486">
                  <c:v>479.3</c:v>
                </c:pt>
                <c:pt idx="487">
                  <c:v>471.55</c:v>
                </c:pt>
                <c:pt idx="488">
                  <c:v>460.1</c:v>
                </c:pt>
                <c:pt idx="489">
                  <c:v>462.05</c:v>
                </c:pt>
                <c:pt idx="490">
                  <c:v>468.5</c:v>
                </c:pt>
                <c:pt idx="491">
                  <c:v>470</c:v>
                </c:pt>
                <c:pt idx="492">
                  <c:v>463.45</c:v>
                </c:pt>
                <c:pt idx="493">
                  <c:v>463.6</c:v>
                </c:pt>
                <c:pt idx="494">
                  <c:v>469.25</c:v>
                </c:pt>
                <c:pt idx="495">
                  <c:v>466.9</c:v>
                </c:pt>
                <c:pt idx="496">
                  <c:v>469.3</c:v>
                </c:pt>
                <c:pt idx="497">
                  <c:v>455</c:v>
                </c:pt>
                <c:pt idx="498">
                  <c:v>455.15</c:v>
                </c:pt>
                <c:pt idx="499">
                  <c:v>459.4</c:v>
                </c:pt>
                <c:pt idx="500">
                  <c:v>466.3</c:v>
                </c:pt>
                <c:pt idx="501">
                  <c:v>472.75</c:v>
                </c:pt>
                <c:pt idx="502">
                  <c:v>471.1</c:v>
                </c:pt>
                <c:pt idx="503">
                  <c:v>476.3</c:v>
                </c:pt>
                <c:pt idx="504">
                  <c:v>486</c:v>
                </c:pt>
                <c:pt idx="505">
                  <c:v>497.15</c:v>
                </c:pt>
                <c:pt idx="506">
                  <c:v>507.1</c:v>
                </c:pt>
                <c:pt idx="507">
                  <c:v>513.35</c:v>
                </c:pt>
                <c:pt idx="508">
                  <c:v>516</c:v>
                </c:pt>
                <c:pt idx="509">
                  <c:v>517.04999999999995</c:v>
                </c:pt>
                <c:pt idx="510">
                  <c:v>517.79999999999995</c:v>
                </c:pt>
                <c:pt idx="511">
                  <c:v>528.04999999999995</c:v>
                </c:pt>
                <c:pt idx="512">
                  <c:v>508.9</c:v>
                </c:pt>
                <c:pt idx="513">
                  <c:v>533.79999999999995</c:v>
                </c:pt>
                <c:pt idx="514">
                  <c:v>528.29999999999995</c:v>
                </c:pt>
                <c:pt idx="515">
                  <c:v>529.75</c:v>
                </c:pt>
                <c:pt idx="516">
                  <c:v>529.75</c:v>
                </c:pt>
                <c:pt idx="517">
                  <c:v>528.75</c:v>
                </c:pt>
                <c:pt idx="518">
                  <c:v>529.54999999999995</c:v>
                </c:pt>
                <c:pt idx="519">
                  <c:v>520.29999999999995</c:v>
                </c:pt>
                <c:pt idx="520">
                  <c:v>530.29999999999995</c:v>
                </c:pt>
                <c:pt idx="521">
                  <c:v>534.79999999999995</c:v>
                </c:pt>
                <c:pt idx="522">
                  <c:v>532.1</c:v>
                </c:pt>
                <c:pt idx="523">
                  <c:v>548.20000000000005</c:v>
                </c:pt>
                <c:pt idx="524">
                  <c:v>573.29999999999995</c:v>
                </c:pt>
                <c:pt idx="525">
                  <c:v>549.15</c:v>
                </c:pt>
                <c:pt idx="526">
                  <c:v>555.75</c:v>
                </c:pt>
                <c:pt idx="527">
                  <c:v>570.95000000000005</c:v>
                </c:pt>
                <c:pt idx="528">
                  <c:v>577.85</c:v>
                </c:pt>
                <c:pt idx="529">
                  <c:v>572.70000000000005</c:v>
                </c:pt>
                <c:pt idx="530">
                  <c:v>587.20000000000005</c:v>
                </c:pt>
                <c:pt idx="531">
                  <c:v>594.54999999999995</c:v>
                </c:pt>
                <c:pt idx="532">
                  <c:v>608.75</c:v>
                </c:pt>
                <c:pt idx="533">
                  <c:v>634</c:v>
                </c:pt>
                <c:pt idx="534">
                  <c:v>637.70000000000005</c:v>
                </c:pt>
                <c:pt idx="535">
                  <c:v>640.6</c:v>
                </c:pt>
                <c:pt idx="536">
                  <c:v>644.65</c:v>
                </c:pt>
                <c:pt idx="537">
                  <c:v>653.95000000000005</c:v>
                </c:pt>
                <c:pt idx="538">
                  <c:v>643.1</c:v>
                </c:pt>
                <c:pt idx="539">
                  <c:v>667.45</c:v>
                </c:pt>
                <c:pt idx="540">
                  <c:v>665.6</c:v>
                </c:pt>
                <c:pt idx="541">
                  <c:v>664.7</c:v>
                </c:pt>
                <c:pt idx="542">
                  <c:v>662.45</c:v>
                </c:pt>
                <c:pt idx="543">
                  <c:v>659.7</c:v>
                </c:pt>
                <c:pt idx="544">
                  <c:v>666.9</c:v>
                </c:pt>
                <c:pt idx="545">
                  <c:v>670</c:v>
                </c:pt>
                <c:pt idx="546">
                  <c:v>660.55</c:v>
                </c:pt>
                <c:pt idx="547">
                  <c:v>667.8</c:v>
                </c:pt>
                <c:pt idx="548">
                  <c:v>688.95</c:v>
                </c:pt>
                <c:pt idx="549">
                  <c:v>683.5</c:v>
                </c:pt>
                <c:pt idx="550">
                  <c:v>688.75</c:v>
                </c:pt>
                <c:pt idx="551">
                  <c:v>684.3</c:v>
                </c:pt>
                <c:pt idx="552">
                  <c:v>689.4</c:v>
                </c:pt>
                <c:pt idx="553">
                  <c:v>669.25</c:v>
                </c:pt>
                <c:pt idx="554">
                  <c:v>660.7</c:v>
                </c:pt>
                <c:pt idx="555">
                  <c:v>682.05</c:v>
                </c:pt>
                <c:pt idx="556">
                  <c:v>671.5</c:v>
                </c:pt>
                <c:pt idx="557">
                  <c:v>678.05</c:v>
                </c:pt>
                <c:pt idx="558">
                  <c:v>669.85</c:v>
                </c:pt>
                <c:pt idx="559">
                  <c:v>656.2</c:v>
                </c:pt>
                <c:pt idx="560">
                  <c:v>624.95000000000005</c:v>
                </c:pt>
                <c:pt idx="561">
                  <c:v>610.70000000000005</c:v>
                </c:pt>
                <c:pt idx="562">
                  <c:v>653.65</c:v>
                </c:pt>
                <c:pt idx="563">
                  <c:v>621.54999999999995</c:v>
                </c:pt>
                <c:pt idx="564">
                  <c:v>618.4</c:v>
                </c:pt>
                <c:pt idx="565">
                  <c:v>619.04999999999995</c:v>
                </c:pt>
                <c:pt idx="566">
                  <c:v>608.70000000000005</c:v>
                </c:pt>
                <c:pt idx="567">
                  <c:v>580.75</c:v>
                </c:pt>
                <c:pt idx="568">
                  <c:v>565.85</c:v>
                </c:pt>
                <c:pt idx="569">
                  <c:v>582.35</c:v>
                </c:pt>
                <c:pt idx="570">
                  <c:v>584.5</c:v>
                </c:pt>
                <c:pt idx="571">
                  <c:v>579.75</c:v>
                </c:pt>
                <c:pt idx="572">
                  <c:v>573.95000000000005</c:v>
                </c:pt>
                <c:pt idx="573">
                  <c:v>576.04999999999995</c:v>
                </c:pt>
                <c:pt idx="574">
                  <c:v>561.9</c:v>
                </c:pt>
                <c:pt idx="575">
                  <c:v>553.9</c:v>
                </c:pt>
                <c:pt idx="576">
                  <c:v>554.75</c:v>
                </c:pt>
                <c:pt idx="577">
                  <c:v>546.04999999999995</c:v>
                </c:pt>
                <c:pt idx="578">
                  <c:v>547.4</c:v>
                </c:pt>
                <c:pt idx="579">
                  <c:v>532.70000000000005</c:v>
                </c:pt>
                <c:pt idx="580">
                  <c:v>529.75</c:v>
                </c:pt>
                <c:pt idx="581">
                  <c:v>531.35</c:v>
                </c:pt>
                <c:pt idx="582">
                  <c:v>533.6</c:v>
                </c:pt>
                <c:pt idx="583">
                  <c:v>526.95000000000005</c:v>
                </c:pt>
                <c:pt idx="584">
                  <c:v>523.75</c:v>
                </c:pt>
                <c:pt idx="585">
                  <c:v>521.79999999999995</c:v>
                </c:pt>
                <c:pt idx="586">
                  <c:v>513</c:v>
                </c:pt>
                <c:pt idx="587">
                  <c:v>523.45000000000005</c:v>
                </c:pt>
                <c:pt idx="588">
                  <c:v>519.45000000000005</c:v>
                </c:pt>
                <c:pt idx="589">
                  <c:v>528.75</c:v>
                </c:pt>
                <c:pt idx="590">
                  <c:v>527.45000000000005</c:v>
                </c:pt>
                <c:pt idx="591">
                  <c:v>505.6</c:v>
                </c:pt>
                <c:pt idx="592">
                  <c:v>517.95000000000005</c:v>
                </c:pt>
                <c:pt idx="593">
                  <c:v>508.45</c:v>
                </c:pt>
                <c:pt idx="594">
                  <c:v>515.54999999999995</c:v>
                </c:pt>
                <c:pt idx="595">
                  <c:v>474.25</c:v>
                </c:pt>
                <c:pt idx="596">
                  <c:v>482.65</c:v>
                </c:pt>
                <c:pt idx="597">
                  <c:v>468.25</c:v>
                </c:pt>
                <c:pt idx="598">
                  <c:v>462.15</c:v>
                </c:pt>
                <c:pt idx="599">
                  <c:v>458.95</c:v>
                </c:pt>
                <c:pt idx="600">
                  <c:v>455.9</c:v>
                </c:pt>
                <c:pt idx="601">
                  <c:v>454.4</c:v>
                </c:pt>
                <c:pt idx="602">
                  <c:v>436.05</c:v>
                </c:pt>
                <c:pt idx="603">
                  <c:v>428.85</c:v>
                </c:pt>
                <c:pt idx="604">
                  <c:v>430.4</c:v>
                </c:pt>
                <c:pt idx="605">
                  <c:v>417.4</c:v>
                </c:pt>
                <c:pt idx="606">
                  <c:v>417.45</c:v>
                </c:pt>
                <c:pt idx="607">
                  <c:v>409.65</c:v>
                </c:pt>
                <c:pt idx="608">
                  <c:v>410.25</c:v>
                </c:pt>
                <c:pt idx="609">
                  <c:v>407.1</c:v>
                </c:pt>
                <c:pt idx="610">
                  <c:v>383.85</c:v>
                </c:pt>
                <c:pt idx="611">
                  <c:v>374</c:v>
                </c:pt>
                <c:pt idx="612">
                  <c:v>384</c:v>
                </c:pt>
                <c:pt idx="613">
                  <c:v>377</c:v>
                </c:pt>
                <c:pt idx="614">
                  <c:v>370.3</c:v>
                </c:pt>
                <c:pt idx="615">
                  <c:v>372.2</c:v>
                </c:pt>
                <c:pt idx="616">
                  <c:v>370.65</c:v>
                </c:pt>
                <c:pt idx="617">
                  <c:v>370</c:v>
                </c:pt>
                <c:pt idx="618">
                  <c:v>378.55</c:v>
                </c:pt>
                <c:pt idx="619">
                  <c:v>381.6</c:v>
                </c:pt>
                <c:pt idx="620">
                  <c:v>378.45</c:v>
                </c:pt>
                <c:pt idx="621">
                  <c:v>381</c:v>
                </c:pt>
                <c:pt idx="622">
                  <c:v>382.7</c:v>
                </c:pt>
                <c:pt idx="623">
                  <c:v>379.65</c:v>
                </c:pt>
                <c:pt idx="624">
                  <c:v>375</c:v>
                </c:pt>
                <c:pt idx="625">
                  <c:v>377.35</c:v>
                </c:pt>
                <c:pt idx="626">
                  <c:v>394.05</c:v>
                </c:pt>
                <c:pt idx="627">
                  <c:v>405.85</c:v>
                </c:pt>
                <c:pt idx="628">
                  <c:v>408.85</c:v>
                </c:pt>
                <c:pt idx="629">
                  <c:v>411.3</c:v>
                </c:pt>
                <c:pt idx="630">
                  <c:v>407.4</c:v>
                </c:pt>
                <c:pt idx="631">
                  <c:v>389.95</c:v>
                </c:pt>
                <c:pt idx="632">
                  <c:v>388.75</c:v>
                </c:pt>
                <c:pt idx="633">
                  <c:v>385.4</c:v>
                </c:pt>
                <c:pt idx="634">
                  <c:v>380</c:v>
                </c:pt>
                <c:pt idx="635">
                  <c:v>376.9</c:v>
                </c:pt>
                <c:pt idx="636">
                  <c:v>370.65</c:v>
                </c:pt>
                <c:pt idx="637">
                  <c:v>365.45</c:v>
                </c:pt>
                <c:pt idx="638">
                  <c:v>362.6</c:v>
                </c:pt>
                <c:pt idx="639">
                  <c:v>364.05</c:v>
                </c:pt>
                <c:pt idx="640">
                  <c:v>363.45</c:v>
                </c:pt>
                <c:pt idx="641">
                  <c:v>354.7</c:v>
                </c:pt>
                <c:pt idx="642">
                  <c:v>350.85</c:v>
                </c:pt>
                <c:pt idx="643">
                  <c:v>337.7</c:v>
                </c:pt>
                <c:pt idx="644">
                  <c:v>320.10000000000002</c:v>
                </c:pt>
                <c:pt idx="645">
                  <c:v>311.39999999999998</c:v>
                </c:pt>
                <c:pt idx="646">
                  <c:v>316.10000000000002</c:v>
                </c:pt>
                <c:pt idx="647">
                  <c:v>318.5</c:v>
                </c:pt>
                <c:pt idx="648">
                  <c:v>323.25</c:v>
                </c:pt>
                <c:pt idx="649">
                  <c:v>325.45</c:v>
                </c:pt>
                <c:pt idx="650">
                  <c:v>319</c:v>
                </c:pt>
                <c:pt idx="651">
                  <c:v>317.8</c:v>
                </c:pt>
                <c:pt idx="652">
                  <c:v>310.3</c:v>
                </c:pt>
                <c:pt idx="653">
                  <c:v>309.85000000000002</c:v>
                </c:pt>
                <c:pt idx="654">
                  <c:v>300.7</c:v>
                </c:pt>
                <c:pt idx="655">
                  <c:v>287.39999999999998</c:v>
                </c:pt>
                <c:pt idx="656">
                  <c:v>289.89999999999998</c:v>
                </c:pt>
                <c:pt idx="657">
                  <c:v>291.7</c:v>
                </c:pt>
                <c:pt idx="658">
                  <c:v>291.05</c:v>
                </c:pt>
                <c:pt idx="659">
                  <c:v>283.05</c:v>
                </c:pt>
                <c:pt idx="660">
                  <c:v>277.05</c:v>
                </c:pt>
                <c:pt idx="661">
                  <c:v>278.05</c:v>
                </c:pt>
                <c:pt idx="662">
                  <c:v>279.75</c:v>
                </c:pt>
                <c:pt idx="663">
                  <c:v>270.45</c:v>
                </c:pt>
                <c:pt idx="664">
                  <c:v>273.14999999999998</c:v>
                </c:pt>
                <c:pt idx="665">
                  <c:v>278.05</c:v>
                </c:pt>
                <c:pt idx="666">
                  <c:v>281.55</c:v>
                </c:pt>
                <c:pt idx="667">
                  <c:v>277.35000000000002</c:v>
                </c:pt>
                <c:pt idx="668">
                  <c:v>275.85000000000002</c:v>
                </c:pt>
                <c:pt idx="669">
                  <c:v>278.75</c:v>
                </c:pt>
                <c:pt idx="670">
                  <c:v>283.64999999999998</c:v>
                </c:pt>
                <c:pt idx="671">
                  <c:v>284.95</c:v>
                </c:pt>
                <c:pt idx="672">
                  <c:v>278.75</c:v>
                </c:pt>
                <c:pt idx="673">
                  <c:v>280.10000000000002</c:v>
                </c:pt>
                <c:pt idx="674">
                  <c:v>279.35000000000002</c:v>
                </c:pt>
                <c:pt idx="675">
                  <c:v>278.85000000000002</c:v>
                </c:pt>
                <c:pt idx="676">
                  <c:v>275.60000000000002</c:v>
                </c:pt>
                <c:pt idx="677">
                  <c:v>274</c:v>
                </c:pt>
                <c:pt idx="678">
                  <c:v>271.75</c:v>
                </c:pt>
                <c:pt idx="679">
                  <c:v>278.3</c:v>
                </c:pt>
                <c:pt idx="680">
                  <c:v>311.55</c:v>
                </c:pt>
                <c:pt idx="681">
                  <c:v>316.55</c:v>
                </c:pt>
                <c:pt idx="682">
                  <c:v>305.8</c:v>
                </c:pt>
                <c:pt idx="683">
                  <c:v>313.10000000000002</c:v>
                </c:pt>
                <c:pt idx="684">
                  <c:v>314.3</c:v>
                </c:pt>
                <c:pt idx="685">
                  <c:v>313.75</c:v>
                </c:pt>
                <c:pt idx="686">
                  <c:v>310.5</c:v>
                </c:pt>
                <c:pt idx="687">
                  <c:v>305</c:v>
                </c:pt>
                <c:pt idx="688">
                  <c:v>308.3</c:v>
                </c:pt>
                <c:pt idx="689">
                  <c:v>310.55</c:v>
                </c:pt>
                <c:pt idx="690">
                  <c:v>330.1</c:v>
                </c:pt>
                <c:pt idx="691">
                  <c:v>331.05</c:v>
                </c:pt>
                <c:pt idx="692">
                  <c:v>329.85</c:v>
                </c:pt>
                <c:pt idx="693">
                  <c:v>323.25</c:v>
                </c:pt>
                <c:pt idx="694">
                  <c:v>322.2</c:v>
                </c:pt>
                <c:pt idx="695">
                  <c:v>315.45</c:v>
                </c:pt>
                <c:pt idx="696">
                  <c:v>318.60000000000002</c:v>
                </c:pt>
                <c:pt idx="697">
                  <c:v>318.35000000000002</c:v>
                </c:pt>
                <c:pt idx="698">
                  <c:v>315</c:v>
                </c:pt>
                <c:pt idx="699">
                  <c:v>309.85000000000002</c:v>
                </c:pt>
                <c:pt idx="700">
                  <c:v>308.60000000000002</c:v>
                </c:pt>
                <c:pt idx="701">
                  <c:v>314.14999999999998</c:v>
                </c:pt>
                <c:pt idx="702">
                  <c:v>309.10000000000002</c:v>
                </c:pt>
                <c:pt idx="703">
                  <c:v>303.7</c:v>
                </c:pt>
                <c:pt idx="704">
                  <c:v>308.89999999999998</c:v>
                </c:pt>
                <c:pt idx="705">
                  <c:v>310.05</c:v>
                </c:pt>
                <c:pt idx="706">
                  <c:v>303.89999999999998</c:v>
                </c:pt>
                <c:pt idx="707">
                  <c:v>301.2</c:v>
                </c:pt>
                <c:pt idx="708">
                  <c:v>293.8</c:v>
                </c:pt>
                <c:pt idx="709">
                  <c:v>289.25</c:v>
                </c:pt>
                <c:pt idx="710">
                  <c:v>293.14999999999998</c:v>
                </c:pt>
                <c:pt idx="711">
                  <c:v>295.39999999999998</c:v>
                </c:pt>
                <c:pt idx="712">
                  <c:v>292.8</c:v>
                </c:pt>
                <c:pt idx="713">
                  <c:v>292.05</c:v>
                </c:pt>
                <c:pt idx="714">
                  <c:v>292.05</c:v>
                </c:pt>
                <c:pt idx="715">
                  <c:v>291.75</c:v>
                </c:pt>
                <c:pt idx="716">
                  <c:v>288.2</c:v>
                </c:pt>
                <c:pt idx="717">
                  <c:v>277.39999999999998</c:v>
                </c:pt>
                <c:pt idx="718">
                  <c:v>282.85000000000002</c:v>
                </c:pt>
                <c:pt idx="719">
                  <c:v>278.5</c:v>
                </c:pt>
                <c:pt idx="720">
                  <c:v>276.10000000000002</c:v>
                </c:pt>
                <c:pt idx="721">
                  <c:v>274.85000000000002</c:v>
                </c:pt>
                <c:pt idx="722">
                  <c:v>271.95</c:v>
                </c:pt>
                <c:pt idx="723">
                  <c:v>271.45</c:v>
                </c:pt>
                <c:pt idx="724">
                  <c:v>272.8</c:v>
                </c:pt>
                <c:pt idx="725">
                  <c:v>272</c:v>
                </c:pt>
                <c:pt idx="726">
                  <c:v>272.35000000000002</c:v>
                </c:pt>
                <c:pt idx="727">
                  <c:v>272.7</c:v>
                </c:pt>
                <c:pt idx="728">
                  <c:v>276.05</c:v>
                </c:pt>
                <c:pt idx="729">
                  <c:v>283.7</c:v>
                </c:pt>
                <c:pt idx="730">
                  <c:v>288.25</c:v>
                </c:pt>
                <c:pt idx="731">
                  <c:v>291.60000000000002</c:v>
                </c:pt>
                <c:pt idx="732">
                  <c:v>308</c:v>
                </c:pt>
                <c:pt idx="733">
                  <c:v>311.2</c:v>
                </c:pt>
                <c:pt idx="734">
                  <c:v>306.64999999999998</c:v>
                </c:pt>
                <c:pt idx="735">
                  <c:v>305.5</c:v>
                </c:pt>
                <c:pt idx="736">
                  <c:v>298.60000000000002</c:v>
                </c:pt>
                <c:pt idx="737">
                  <c:v>295.14999999999998</c:v>
                </c:pt>
                <c:pt idx="738">
                  <c:v>291.2</c:v>
                </c:pt>
                <c:pt idx="739">
                  <c:v>288.75</c:v>
                </c:pt>
                <c:pt idx="740">
                  <c:v>285.14999999999998</c:v>
                </c:pt>
                <c:pt idx="741">
                  <c:v>282.85000000000002</c:v>
                </c:pt>
                <c:pt idx="742">
                  <c:v>284.89999999999998</c:v>
                </c:pt>
                <c:pt idx="743">
                  <c:v>281.10000000000002</c:v>
                </c:pt>
                <c:pt idx="744">
                  <c:v>279.75</c:v>
                </c:pt>
                <c:pt idx="745">
                  <c:v>279.5</c:v>
                </c:pt>
                <c:pt idx="746">
                  <c:v>279.85000000000002</c:v>
                </c:pt>
                <c:pt idx="747">
                  <c:v>279.39999999999998</c:v>
                </c:pt>
                <c:pt idx="748">
                  <c:v>279.2</c:v>
                </c:pt>
                <c:pt idx="749">
                  <c:v>279.3</c:v>
                </c:pt>
                <c:pt idx="750">
                  <c:v>284</c:v>
                </c:pt>
                <c:pt idx="751">
                  <c:v>286.25</c:v>
                </c:pt>
                <c:pt idx="752">
                  <c:v>285</c:v>
                </c:pt>
                <c:pt idx="753">
                  <c:v>283.75</c:v>
                </c:pt>
                <c:pt idx="754">
                  <c:v>284.14999999999998</c:v>
                </c:pt>
                <c:pt idx="755">
                  <c:v>284.05</c:v>
                </c:pt>
                <c:pt idx="756">
                  <c:v>281.8</c:v>
                </c:pt>
                <c:pt idx="757">
                  <c:v>278.55</c:v>
                </c:pt>
                <c:pt idx="758">
                  <c:v>275.2</c:v>
                </c:pt>
                <c:pt idx="759">
                  <c:v>277.3</c:v>
                </c:pt>
                <c:pt idx="760">
                  <c:v>277.5</c:v>
                </c:pt>
                <c:pt idx="761">
                  <c:v>276.39999999999998</c:v>
                </c:pt>
                <c:pt idx="762">
                  <c:v>275.85000000000002</c:v>
                </c:pt>
                <c:pt idx="763">
                  <c:v>277.14999999999998</c:v>
                </c:pt>
                <c:pt idx="764">
                  <c:v>278.3</c:v>
                </c:pt>
                <c:pt idx="765">
                  <c:v>276.10000000000002</c:v>
                </c:pt>
                <c:pt idx="766">
                  <c:v>272.55</c:v>
                </c:pt>
                <c:pt idx="767">
                  <c:v>267.25</c:v>
                </c:pt>
                <c:pt idx="768">
                  <c:v>265.8</c:v>
                </c:pt>
                <c:pt idx="769">
                  <c:v>269.10000000000002</c:v>
                </c:pt>
                <c:pt idx="770">
                  <c:v>266.7</c:v>
                </c:pt>
                <c:pt idx="771">
                  <c:v>265.89999999999998</c:v>
                </c:pt>
                <c:pt idx="772">
                  <c:v>265.45</c:v>
                </c:pt>
                <c:pt idx="773">
                  <c:v>265.39999999999998</c:v>
                </c:pt>
                <c:pt idx="774">
                  <c:v>261.75</c:v>
                </c:pt>
                <c:pt idx="775">
                  <c:v>259.45</c:v>
                </c:pt>
                <c:pt idx="776">
                  <c:v>259.8</c:v>
                </c:pt>
                <c:pt idx="777">
                  <c:v>263.10000000000002</c:v>
                </c:pt>
                <c:pt idx="778">
                  <c:v>261.45</c:v>
                </c:pt>
                <c:pt idx="779">
                  <c:v>253.7</c:v>
                </c:pt>
                <c:pt idx="780">
                  <c:v>250.65</c:v>
                </c:pt>
                <c:pt idx="781">
                  <c:v>250.55</c:v>
                </c:pt>
                <c:pt idx="782">
                  <c:v>245.25</c:v>
                </c:pt>
                <c:pt idx="783">
                  <c:v>240.6</c:v>
                </c:pt>
                <c:pt idx="784">
                  <c:v>243.5</c:v>
                </c:pt>
                <c:pt idx="785">
                  <c:v>243</c:v>
                </c:pt>
                <c:pt idx="786">
                  <c:v>243.75</c:v>
                </c:pt>
                <c:pt idx="787">
                  <c:v>243.05</c:v>
                </c:pt>
                <c:pt idx="788">
                  <c:v>250.65</c:v>
                </c:pt>
                <c:pt idx="789">
                  <c:v>248.9</c:v>
                </c:pt>
                <c:pt idx="790">
                  <c:v>241.4</c:v>
                </c:pt>
                <c:pt idx="791">
                  <c:v>235.65</c:v>
                </c:pt>
                <c:pt idx="792">
                  <c:v>224.45</c:v>
                </c:pt>
                <c:pt idx="793">
                  <c:v>218.05</c:v>
                </c:pt>
                <c:pt idx="794">
                  <c:v>211</c:v>
                </c:pt>
                <c:pt idx="795">
                  <c:v>210.15</c:v>
                </c:pt>
                <c:pt idx="796">
                  <c:v>209.15</c:v>
                </c:pt>
                <c:pt idx="797">
                  <c:v>206.85</c:v>
                </c:pt>
                <c:pt idx="798">
                  <c:v>208.1</c:v>
                </c:pt>
                <c:pt idx="799">
                  <c:v>206.15</c:v>
                </c:pt>
                <c:pt idx="800">
                  <c:v>203.45</c:v>
                </c:pt>
                <c:pt idx="801">
                  <c:v>197.5</c:v>
                </c:pt>
                <c:pt idx="802">
                  <c:v>193</c:v>
                </c:pt>
                <c:pt idx="803">
                  <c:v>186.6</c:v>
                </c:pt>
                <c:pt idx="804">
                  <c:v>179.7</c:v>
                </c:pt>
                <c:pt idx="805">
                  <c:v>172.55</c:v>
                </c:pt>
                <c:pt idx="806">
                  <c:v>162.4</c:v>
                </c:pt>
                <c:pt idx="807">
                  <c:v>152.9</c:v>
                </c:pt>
                <c:pt idx="808">
                  <c:v>148.5</c:v>
                </c:pt>
                <c:pt idx="809">
                  <c:v>142.25</c:v>
                </c:pt>
                <c:pt idx="810">
                  <c:v>140.4</c:v>
                </c:pt>
                <c:pt idx="811">
                  <c:v>146.94999999999999</c:v>
                </c:pt>
                <c:pt idx="812">
                  <c:v>153.1</c:v>
                </c:pt>
                <c:pt idx="813">
                  <c:v>165.7</c:v>
                </c:pt>
                <c:pt idx="814">
                  <c:v>171.3</c:v>
                </c:pt>
                <c:pt idx="815">
                  <c:v>170.4</c:v>
                </c:pt>
                <c:pt idx="816">
                  <c:v>172.8</c:v>
                </c:pt>
                <c:pt idx="817">
                  <c:v>163.65</c:v>
                </c:pt>
                <c:pt idx="818">
                  <c:v>156.94999999999999</c:v>
                </c:pt>
                <c:pt idx="819">
                  <c:v>161</c:v>
                </c:pt>
                <c:pt idx="820">
                  <c:v>161.9</c:v>
                </c:pt>
                <c:pt idx="821">
                  <c:v>160.4</c:v>
                </c:pt>
                <c:pt idx="822">
                  <c:v>159.44999999999999</c:v>
                </c:pt>
                <c:pt idx="823">
                  <c:v>164.35</c:v>
                </c:pt>
                <c:pt idx="824">
                  <c:v>163.65</c:v>
                </c:pt>
                <c:pt idx="825">
                  <c:v>163.75</c:v>
                </c:pt>
                <c:pt idx="826">
                  <c:v>164.95</c:v>
                </c:pt>
                <c:pt idx="827">
                  <c:v>167.3</c:v>
                </c:pt>
                <c:pt idx="828">
                  <c:v>168.45</c:v>
                </c:pt>
                <c:pt idx="829">
                  <c:v>164.5</c:v>
                </c:pt>
                <c:pt idx="830">
                  <c:v>163.69999999999999</c:v>
                </c:pt>
                <c:pt idx="831">
                  <c:v>160.65</c:v>
                </c:pt>
                <c:pt idx="832">
                  <c:v>160.94999999999999</c:v>
                </c:pt>
                <c:pt idx="833">
                  <c:v>159.75</c:v>
                </c:pt>
                <c:pt idx="834">
                  <c:v>167.45</c:v>
                </c:pt>
                <c:pt idx="835">
                  <c:v>173.3</c:v>
                </c:pt>
                <c:pt idx="836">
                  <c:v>175.25</c:v>
                </c:pt>
                <c:pt idx="837">
                  <c:v>168.95</c:v>
                </c:pt>
                <c:pt idx="838">
                  <c:v>170.35</c:v>
                </c:pt>
                <c:pt idx="839">
                  <c:v>172</c:v>
                </c:pt>
                <c:pt idx="840">
                  <c:v>167.1</c:v>
                </c:pt>
                <c:pt idx="841">
                  <c:v>166.35</c:v>
                </c:pt>
                <c:pt idx="842">
                  <c:v>167.95</c:v>
                </c:pt>
                <c:pt idx="843">
                  <c:v>171.05</c:v>
                </c:pt>
                <c:pt idx="844">
                  <c:v>186.4</c:v>
                </c:pt>
                <c:pt idx="845">
                  <c:v>185.55</c:v>
                </c:pt>
                <c:pt idx="846">
                  <c:v>182.65</c:v>
                </c:pt>
                <c:pt idx="847">
                  <c:v>177.65</c:v>
                </c:pt>
                <c:pt idx="848">
                  <c:v>165.4</c:v>
                </c:pt>
                <c:pt idx="849">
                  <c:v>165.3</c:v>
                </c:pt>
                <c:pt idx="850">
                  <c:v>166.3</c:v>
                </c:pt>
                <c:pt idx="851">
                  <c:v>167.45</c:v>
                </c:pt>
                <c:pt idx="852">
                  <c:v>167.95</c:v>
                </c:pt>
                <c:pt idx="853">
                  <c:v>183.3</c:v>
                </c:pt>
                <c:pt idx="854">
                  <c:v>175.5</c:v>
                </c:pt>
                <c:pt idx="855">
                  <c:v>173.05</c:v>
                </c:pt>
                <c:pt idx="856">
                  <c:v>172.25</c:v>
                </c:pt>
                <c:pt idx="857">
                  <c:v>171.9</c:v>
                </c:pt>
                <c:pt idx="858">
                  <c:v>170.15</c:v>
                </c:pt>
                <c:pt idx="859">
                  <c:v>169.95</c:v>
                </c:pt>
                <c:pt idx="860">
                  <c:v>165.65</c:v>
                </c:pt>
                <c:pt idx="861">
                  <c:v>163.44999999999999</c:v>
                </c:pt>
                <c:pt idx="862">
                  <c:v>157.75</c:v>
                </c:pt>
                <c:pt idx="863">
                  <c:v>153.25</c:v>
                </c:pt>
                <c:pt idx="864">
                  <c:v>159.05000000000001</c:v>
                </c:pt>
                <c:pt idx="865">
                  <c:v>157.65</c:v>
                </c:pt>
                <c:pt idx="866">
                  <c:v>163.80000000000001</c:v>
                </c:pt>
                <c:pt idx="867">
                  <c:v>166.2</c:v>
                </c:pt>
                <c:pt idx="868">
                  <c:v>157.05000000000001</c:v>
                </c:pt>
                <c:pt idx="869">
                  <c:v>152.4</c:v>
                </c:pt>
                <c:pt idx="870">
                  <c:v>151.1</c:v>
                </c:pt>
                <c:pt idx="871">
                  <c:v>151.94999999999999</c:v>
                </c:pt>
                <c:pt idx="872">
                  <c:v>149.6</c:v>
                </c:pt>
                <c:pt idx="873">
                  <c:v>149.85</c:v>
                </c:pt>
                <c:pt idx="874">
                  <c:v>155.15</c:v>
                </c:pt>
                <c:pt idx="875">
                  <c:v>163.19999999999999</c:v>
                </c:pt>
                <c:pt idx="876">
                  <c:v>159.69999999999999</c:v>
                </c:pt>
                <c:pt idx="877">
                  <c:v>162.65</c:v>
                </c:pt>
                <c:pt idx="878">
                  <c:v>163.05000000000001</c:v>
                </c:pt>
                <c:pt idx="879">
                  <c:v>161.30000000000001</c:v>
                </c:pt>
                <c:pt idx="880">
                  <c:v>161.94999999999999</c:v>
                </c:pt>
                <c:pt idx="881">
                  <c:v>165.1</c:v>
                </c:pt>
                <c:pt idx="882">
                  <c:v>161.6</c:v>
                </c:pt>
                <c:pt idx="883">
                  <c:v>164.45</c:v>
                </c:pt>
                <c:pt idx="884">
                  <c:v>163.4</c:v>
                </c:pt>
                <c:pt idx="885">
                  <c:v>166.6</c:v>
                </c:pt>
                <c:pt idx="886">
                  <c:v>163.6</c:v>
                </c:pt>
                <c:pt idx="887">
                  <c:v>169.2</c:v>
                </c:pt>
                <c:pt idx="888">
                  <c:v>172.85</c:v>
                </c:pt>
                <c:pt idx="889">
                  <c:v>175.65</c:v>
                </c:pt>
                <c:pt idx="890">
                  <c:v>170.6</c:v>
                </c:pt>
                <c:pt idx="891">
                  <c:v>170.75</c:v>
                </c:pt>
                <c:pt idx="892">
                  <c:v>166.5</c:v>
                </c:pt>
                <c:pt idx="893">
                  <c:v>164.9</c:v>
                </c:pt>
                <c:pt idx="894">
                  <c:v>158.25</c:v>
                </c:pt>
                <c:pt idx="895">
                  <c:v>153.55000000000001</c:v>
                </c:pt>
                <c:pt idx="896">
                  <c:v>148.15</c:v>
                </c:pt>
                <c:pt idx="897">
                  <c:v>143.44999999999999</c:v>
                </c:pt>
                <c:pt idx="898">
                  <c:v>141.65</c:v>
                </c:pt>
                <c:pt idx="899">
                  <c:v>134.80000000000001</c:v>
                </c:pt>
                <c:pt idx="900">
                  <c:v>135.35</c:v>
                </c:pt>
                <c:pt idx="901">
                  <c:v>130.4</c:v>
                </c:pt>
                <c:pt idx="902">
                  <c:v>132.4</c:v>
                </c:pt>
                <c:pt idx="903">
                  <c:v>143.1</c:v>
                </c:pt>
                <c:pt idx="904">
                  <c:v>144.75</c:v>
                </c:pt>
                <c:pt idx="905">
                  <c:v>145.44999999999999</c:v>
                </c:pt>
                <c:pt idx="906">
                  <c:v>141.85</c:v>
                </c:pt>
                <c:pt idx="907">
                  <c:v>136.05000000000001</c:v>
                </c:pt>
                <c:pt idx="908">
                  <c:v>129.15</c:v>
                </c:pt>
                <c:pt idx="909">
                  <c:v>129.80000000000001</c:v>
                </c:pt>
                <c:pt idx="910">
                  <c:v>129.19999999999999</c:v>
                </c:pt>
                <c:pt idx="911">
                  <c:v>131.65</c:v>
                </c:pt>
                <c:pt idx="912">
                  <c:v>147.05000000000001</c:v>
                </c:pt>
                <c:pt idx="913">
                  <c:v>147.6</c:v>
                </c:pt>
                <c:pt idx="914">
                  <c:v>139.6</c:v>
                </c:pt>
                <c:pt idx="915">
                  <c:v>136</c:v>
                </c:pt>
                <c:pt idx="916">
                  <c:v>140.5</c:v>
                </c:pt>
                <c:pt idx="917">
                  <c:v>139.55000000000001</c:v>
                </c:pt>
                <c:pt idx="918">
                  <c:v>141.44999999999999</c:v>
                </c:pt>
                <c:pt idx="919">
                  <c:v>143.55000000000001</c:v>
                </c:pt>
                <c:pt idx="920">
                  <c:v>147.44999999999999</c:v>
                </c:pt>
                <c:pt idx="921">
                  <c:v>150.05000000000001</c:v>
                </c:pt>
                <c:pt idx="922">
                  <c:v>147</c:v>
                </c:pt>
                <c:pt idx="923">
                  <c:v>148.94999999999999</c:v>
                </c:pt>
                <c:pt idx="924">
                  <c:v>150.69999999999999</c:v>
                </c:pt>
                <c:pt idx="925">
                  <c:v>153.15</c:v>
                </c:pt>
                <c:pt idx="926">
                  <c:v>152.80000000000001</c:v>
                </c:pt>
                <c:pt idx="927">
                  <c:v>149.9</c:v>
                </c:pt>
                <c:pt idx="928">
                  <c:v>146.6</c:v>
                </c:pt>
                <c:pt idx="929">
                  <c:v>149.15</c:v>
                </c:pt>
                <c:pt idx="930">
                  <c:v>154.69999999999999</c:v>
                </c:pt>
                <c:pt idx="931">
                  <c:v>144.15</c:v>
                </c:pt>
                <c:pt idx="932">
                  <c:v>144</c:v>
                </c:pt>
                <c:pt idx="933">
                  <c:v>143.80000000000001</c:v>
                </c:pt>
                <c:pt idx="934">
                  <c:v>144.85</c:v>
                </c:pt>
                <c:pt idx="935">
                  <c:v>145.85</c:v>
                </c:pt>
                <c:pt idx="936">
                  <c:v>143.19999999999999</c:v>
                </c:pt>
                <c:pt idx="937">
                  <c:v>140.15</c:v>
                </c:pt>
                <c:pt idx="938">
                  <c:v>141.19999999999999</c:v>
                </c:pt>
                <c:pt idx="939">
                  <c:v>151.4</c:v>
                </c:pt>
                <c:pt idx="940">
                  <c:v>176.55</c:v>
                </c:pt>
                <c:pt idx="941">
                  <c:v>173</c:v>
                </c:pt>
                <c:pt idx="942">
                  <c:v>167.4</c:v>
                </c:pt>
                <c:pt idx="943">
                  <c:v>169.65</c:v>
                </c:pt>
                <c:pt idx="944">
                  <c:v>173.1</c:v>
                </c:pt>
                <c:pt idx="945">
                  <c:v>170.7</c:v>
                </c:pt>
                <c:pt idx="946">
                  <c:v>168.55</c:v>
                </c:pt>
                <c:pt idx="947">
                  <c:v>168.85</c:v>
                </c:pt>
                <c:pt idx="948">
                  <c:v>167.05</c:v>
                </c:pt>
                <c:pt idx="949">
                  <c:v>169.4</c:v>
                </c:pt>
                <c:pt idx="950">
                  <c:v>172</c:v>
                </c:pt>
                <c:pt idx="951">
                  <c:v>177.75</c:v>
                </c:pt>
                <c:pt idx="952">
                  <c:v>174.9</c:v>
                </c:pt>
                <c:pt idx="953">
                  <c:v>174.2</c:v>
                </c:pt>
                <c:pt idx="954">
                  <c:v>171.6</c:v>
                </c:pt>
                <c:pt idx="955">
                  <c:v>169.55</c:v>
                </c:pt>
                <c:pt idx="956">
                  <c:v>171.4</c:v>
                </c:pt>
                <c:pt idx="957">
                  <c:v>186.9</c:v>
                </c:pt>
                <c:pt idx="958">
                  <c:v>187.65</c:v>
                </c:pt>
                <c:pt idx="959">
                  <c:v>187.35</c:v>
                </c:pt>
                <c:pt idx="960">
                  <c:v>189.3</c:v>
                </c:pt>
                <c:pt idx="961">
                  <c:v>195.5</c:v>
                </c:pt>
                <c:pt idx="962">
                  <c:v>195.35</c:v>
                </c:pt>
                <c:pt idx="963">
                  <c:v>189.15</c:v>
                </c:pt>
                <c:pt idx="964">
                  <c:v>183.25</c:v>
                </c:pt>
                <c:pt idx="965">
                  <c:v>177.25</c:v>
                </c:pt>
                <c:pt idx="966">
                  <c:v>180.05</c:v>
                </c:pt>
                <c:pt idx="967">
                  <c:v>181.2</c:v>
                </c:pt>
                <c:pt idx="968">
                  <c:v>183.65</c:v>
                </c:pt>
                <c:pt idx="969">
                  <c:v>184.75</c:v>
                </c:pt>
                <c:pt idx="970">
                  <c:v>185.55</c:v>
                </c:pt>
                <c:pt idx="971">
                  <c:v>182.55</c:v>
                </c:pt>
                <c:pt idx="972">
                  <c:v>180.9</c:v>
                </c:pt>
                <c:pt idx="973">
                  <c:v>179.75</c:v>
                </c:pt>
                <c:pt idx="974">
                  <c:v>182.45</c:v>
                </c:pt>
                <c:pt idx="975">
                  <c:v>180.8</c:v>
                </c:pt>
                <c:pt idx="976">
                  <c:v>179.95</c:v>
                </c:pt>
                <c:pt idx="977">
                  <c:v>182.45</c:v>
                </c:pt>
                <c:pt idx="978">
                  <c:v>182.95</c:v>
                </c:pt>
                <c:pt idx="979">
                  <c:v>195.75</c:v>
                </c:pt>
                <c:pt idx="980">
                  <c:v>194.4</c:v>
                </c:pt>
                <c:pt idx="981">
                  <c:v>189.9</c:v>
                </c:pt>
                <c:pt idx="982">
                  <c:v>196.3</c:v>
                </c:pt>
                <c:pt idx="983">
                  <c:v>208.35</c:v>
                </c:pt>
                <c:pt idx="984">
                  <c:v>215.3</c:v>
                </c:pt>
                <c:pt idx="985">
                  <c:v>209.1</c:v>
                </c:pt>
                <c:pt idx="986">
                  <c:v>212.3</c:v>
                </c:pt>
                <c:pt idx="987">
                  <c:v>207.35</c:v>
                </c:pt>
                <c:pt idx="988">
                  <c:v>197.7</c:v>
                </c:pt>
                <c:pt idx="989">
                  <c:v>204.2</c:v>
                </c:pt>
                <c:pt idx="990">
                  <c:v>206.4</c:v>
                </c:pt>
                <c:pt idx="991">
                  <c:v>203.7</c:v>
                </c:pt>
                <c:pt idx="992">
                  <c:v>205.85</c:v>
                </c:pt>
                <c:pt idx="993">
                  <c:v>210.05</c:v>
                </c:pt>
                <c:pt idx="994">
                  <c:v>234.8</c:v>
                </c:pt>
                <c:pt idx="995">
                  <c:v>240.85</c:v>
                </c:pt>
                <c:pt idx="996">
                  <c:v>244.1</c:v>
                </c:pt>
                <c:pt idx="997">
                  <c:v>239.4</c:v>
                </c:pt>
                <c:pt idx="998">
                  <c:v>241.95</c:v>
                </c:pt>
                <c:pt idx="999">
                  <c:v>236.05</c:v>
                </c:pt>
                <c:pt idx="1000">
                  <c:v>237.05</c:v>
                </c:pt>
                <c:pt idx="1001">
                  <c:v>227.1</c:v>
                </c:pt>
                <c:pt idx="1002">
                  <c:v>220.2</c:v>
                </c:pt>
                <c:pt idx="1003">
                  <c:v>221.45</c:v>
                </c:pt>
                <c:pt idx="1004">
                  <c:v>223.2</c:v>
                </c:pt>
                <c:pt idx="1005">
                  <c:v>212.85</c:v>
                </c:pt>
                <c:pt idx="1006">
                  <c:v>208.55</c:v>
                </c:pt>
                <c:pt idx="1007">
                  <c:v>203.5</c:v>
                </c:pt>
                <c:pt idx="1008">
                  <c:v>206.8</c:v>
                </c:pt>
                <c:pt idx="1009">
                  <c:v>210.05</c:v>
                </c:pt>
                <c:pt idx="1010">
                  <c:v>216.25</c:v>
                </c:pt>
                <c:pt idx="1011">
                  <c:v>215.65</c:v>
                </c:pt>
                <c:pt idx="1012">
                  <c:v>207.5</c:v>
                </c:pt>
                <c:pt idx="1013">
                  <c:v>209.15</c:v>
                </c:pt>
                <c:pt idx="1014">
                  <c:v>209.5</c:v>
                </c:pt>
                <c:pt idx="1015">
                  <c:v>208</c:v>
                </c:pt>
                <c:pt idx="1016">
                  <c:v>207.55</c:v>
                </c:pt>
                <c:pt idx="1017">
                  <c:v>206.3</c:v>
                </c:pt>
                <c:pt idx="1018">
                  <c:v>194.3</c:v>
                </c:pt>
                <c:pt idx="1019">
                  <c:v>194.85</c:v>
                </c:pt>
                <c:pt idx="1020">
                  <c:v>197.95</c:v>
                </c:pt>
                <c:pt idx="1021">
                  <c:v>186.7</c:v>
                </c:pt>
                <c:pt idx="1022">
                  <c:v>189.45</c:v>
                </c:pt>
                <c:pt idx="1023">
                  <c:v>183.3</c:v>
                </c:pt>
                <c:pt idx="1024">
                  <c:v>205.25</c:v>
                </c:pt>
                <c:pt idx="1025">
                  <c:v>198.5</c:v>
                </c:pt>
                <c:pt idx="1026">
                  <c:v>195.95</c:v>
                </c:pt>
                <c:pt idx="1027">
                  <c:v>195.4</c:v>
                </c:pt>
                <c:pt idx="1028">
                  <c:v>198.2</c:v>
                </c:pt>
                <c:pt idx="1029">
                  <c:v>198</c:v>
                </c:pt>
                <c:pt idx="1030">
                  <c:v>198.7</c:v>
                </c:pt>
                <c:pt idx="1031">
                  <c:v>194.45</c:v>
                </c:pt>
                <c:pt idx="1032">
                  <c:v>196.7</c:v>
                </c:pt>
                <c:pt idx="1033">
                  <c:v>197.3</c:v>
                </c:pt>
                <c:pt idx="1034">
                  <c:v>198.9</c:v>
                </c:pt>
                <c:pt idx="1035">
                  <c:v>197.2</c:v>
                </c:pt>
                <c:pt idx="1036">
                  <c:v>198.2</c:v>
                </c:pt>
                <c:pt idx="1037">
                  <c:v>203.65</c:v>
                </c:pt>
                <c:pt idx="1038">
                  <c:v>208.2</c:v>
                </c:pt>
                <c:pt idx="1039">
                  <c:v>205.5</c:v>
                </c:pt>
                <c:pt idx="1040">
                  <c:v>208.7</c:v>
                </c:pt>
                <c:pt idx="1041">
                  <c:v>206.95</c:v>
                </c:pt>
                <c:pt idx="1042">
                  <c:v>208.85</c:v>
                </c:pt>
                <c:pt idx="1043">
                  <c:v>208.75</c:v>
                </c:pt>
                <c:pt idx="1044">
                  <c:v>208.6</c:v>
                </c:pt>
                <c:pt idx="1045">
                  <c:v>216.25</c:v>
                </c:pt>
                <c:pt idx="1046">
                  <c:v>228.55</c:v>
                </c:pt>
                <c:pt idx="1047">
                  <c:v>239.4</c:v>
                </c:pt>
                <c:pt idx="1048">
                  <c:v>237.1</c:v>
                </c:pt>
                <c:pt idx="1049">
                  <c:v>245.6</c:v>
                </c:pt>
                <c:pt idx="1050">
                  <c:v>262.39999999999998</c:v>
                </c:pt>
                <c:pt idx="1051">
                  <c:v>260.55</c:v>
                </c:pt>
                <c:pt idx="1052">
                  <c:v>266.7</c:v>
                </c:pt>
                <c:pt idx="1053">
                  <c:v>273.5</c:v>
                </c:pt>
                <c:pt idx="1054">
                  <c:v>272.7</c:v>
                </c:pt>
                <c:pt idx="1055">
                  <c:v>269.5</c:v>
                </c:pt>
                <c:pt idx="1056">
                  <c:v>267.10000000000002</c:v>
                </c:pt>
                <c:pt idx="1057">
                  <c:v>290.05</c:v>
                </c:pt>
                <c:pt idx="1058">
                  <c:v>287.89999999999998</c:v>
                </c:pt>
                <c:pt idx="1059">
                  <c:v>288.75</c:v>
                </c:pt>
                <c:pt idx="1060">
                  <c:v>292.14999999999998</c:v>
                </c:pt>
                <c:pt idx="1061">
                  <c:v>289.25</c:v>
                </c:pt>
                <c:pt idx="1062">
                  <c:v>292.14999999999998</c:v>
                </c:pt>
                <c:pt idx="1063">
                  <c:v>288.39999999999998</c:v>
                </c:pt>
                <c:pt idx="1064">
                  <c:v>300.2</c:v>
                </c:pt>
                <c:pt idx="1065">
                  <c:v>304.64999999999998</c:v>
                </c:pt>
                <c:pt idx="1066">
                  <c:v>334.15</c:v>
                </c:pt>
                <c:pt idx="1067">
                  <c:v>325.85000000000002</c:v>
                </c:pt>
                <c:pt idx="1068">
                  <c:v>338.75</c:v>
                </c:pt>
                <c:pt idx="1069">
                  <c:v>398.95</c:v>
                </c:pt>
                <c:pt idx="1070">
                  <c:v>430.15</c:v>
                </c:pt>
                <c:pt idx="1071">
                  <c:v>399.7</c:v>
                </c:pt>
                <c:pt idx="1072">
                  <c:v>399.85</c:v>
                </c:pt>
                <c:pt idx="1073">
                  <c:v>395.95</c:v>
                </c:pt>
                <c:pt idx="1074">
                  <c:v>398.15</c:v>
                </c:pt>
                <c:pt idx="1075">
                  <c:v>404.5</c:v>
                </c:pt>
                <c:pt idx="1076">
                  <c:v>410.45</c:v>
                </c:pt>
                <c:pt idx="1077">
                  <c:v>399.95</c:v>
                </c:pt>
                <c:pt idx="1078">
                  <c:v>391.4</c:v>
                </c:pt>
                <c:pt idx="1079">
                  <c:v>394.2</c:v>
                </c:pt>
                <c:pt idx="1080">
                  <c:v>387.5</c:v>
                </c:pt>
                <c:pt idx="1081">
                  <c:v>398.6</c:v>
                </c:pt>
                <c:pt idx="1082">
                  <c:v>393.65</c:v>
                </c:pt>
                <c:pt idx="1083">
                  <c:v>398.65</c:v>
                </c:pt>
                <c:pt idx="1084">
                  <c:v>396.3</c:v>
                </c:pt>
                <c:pt idx="1085">
                  <c:v>392.15</c:v>
                </c:pt>
                <c:pt idx="1086">
                  <c:v>416.2</c:v>
                </c:pt>
                <c:pt idx="1087">
                  <c:v>410.3</c:v>
                </c:pt>
                <c:pt idx="1088">
                  <c:v>446.25</c:v>
                </c:pt>
                <c:pt idx="1089">
                  <c:v>456.6</c:v>
                </c:pt>
                <c:pt idx="1090">
                  <c:v>448.75</c:v>
                </c:pt>
                <c:pt idx="1091">
                  <c:v>466.9</c:v>
                </c:pt>
                <c:pt idx="1092">
                  <c:v>559.5</c:v>
                </c:pt>
                <c:pt idx="1093">
                  <c:v>568.95000000000005</c:v>
                </c:pt>
                <c:pt idx="1094">
                  <c:v>588.85</c:v>
                </c:pt>
                <c:pt idx="1095">
                  <c:v>604.79999999999995</c:v>
                </c:pt>
                <c:pt idx="1096">
                  <c:v>594.15</c:v>
                </c:pt>
                <c:pt idx="1097">
                  <c:v>610.4</c:v>
                </c:pt>
                <c:pt idx="1098">
                  <c:v>583.25</c:v>
                </c:pt>
                <c:pt idx="1099">
                  <c:v>605</c:v>
                </c:pt>
                <c:pt idx="1100">
                  <c:v>612.5</c:v>
                </c:pt>
                <c:pt idx="1101">
                  <c:v>652.85</c:v>
                </c:pt>
                <c:pt idx="1102">
                  <c:v>671.05</c:v>
                </c:pt>
                <c:pt idx="1103">
                  <c:v>670.2</c:v>
                </c:pt>
                <c:pt idx="1104">
                  <c:v>660.7</c:v>
                </c:pt>
                <c:pt idx="1105">
                  <c:v>688.05</c:v>
                </c:pt>
                <c:pt idx="1106">
                  <c:v>738.5</c:v>
                </c:pt>
                <c:pt idx="1107">
                  <c:v>778.35</c:v>
                </c:pt>
                <c:pt idx="1108">
                  <c:v>813.95</c:v>
                </c:pt>
                <c:pt idx="1109">
                  <c:v>796.05</c:v>
                </c:pt>
                <c:pt idx="1110">
                  <c:v>778.1</c:v>
                </c:pt>
                <c:pt idx="1111">
                  <c:v>751.05</c:v>
                </c:pt>
                <c:pt idx="1112">
                  <c:v>763.35</c:v>
                </c:pt>
                <c:pt idx="1113">
                  <c:v>773.8</c:v>
                </c:pt>
                <c:pt idx="1114">
                  <c:v>795.45</c:v>
                </c:pt>
                <c:pt idx="1115">
                  <c:v>810.25</c:v>
                </c:pt>
                <c:pt idx="1116">
                  <c:v>780.15</c:v>
                </c:pt>
                <c:pt idx="1117">
                  <c:v>803.9</c:v>
                </c:pt>
                <c:pt idx="1118">
                  <c:v>850.05</c:v>
                </c:pt>
                <c:pt idx="1119">
                  <c:v>866.75</c:v>
                </c:pt>
                <c:pt idx="1120">
                  <c:v>824.1</c:v>
                </c:pt>
                <c:pt idx="1121">
                  <c:v>807.2</c:v>
                </c:pt>
                <c:pt idx="1122">
                  <c:v>796.3</c:v>
                </c:pt>
                <c:pt idx="1123">
                  <c:v>782</c:v>
                </c:pt>
                <c:pt idx="1124">
                  <c:v>789.25</c:v>
                </c:pt>
                <c:pt idx="1125">
                  <c:v>778.4</c:v>
                </c:pt>
                <c:pt idx="1126">
                  <c:v>776.9</c:v>
                </c:pt>
                <c:pt idx="1127">
                  <c:v>815.7</c:v>
                </c:pt>
                <c:pt idx="1128">
                  <c:v>774.95</c:v>
                </c:pt>
                <c:pt idx="1129">
                  <c:v>736.25</c:v>
                </c:pt>
                <c:pt idx="1130">
                  <c:v>710.85</c:v>
                </c:pt>
                <c:pt idx="1131">
                  <c:v>675.35</c:v>
                </c:pt>
                <c:pt idx="1132">
                  <c:v>641.6</c:v>
                </c:pt>
                <c:pt idx="1133">
                  <c:v>662.5</c:v>
                </c:pt>
                <c:pt idx="1134">
                  <c:v>651.5</c:v>
                </c:pt>
                <c:pt idx="1135">
                  <c:v>684.05</c:v>
                </c:pt>
                <c:pt idx="1136">
                  <c:v>698.65</c:v>
                </c:pt>
                <c:pt idx="1137">
                  <c:v>707.5</c:v>
                </c:pt>
                <c:pt idx="1138">
                  <c:v>690.45</c:v>
                </c:pt>
                <c:pt idx="1139">
                  <c:v>659.85</c:v>
                </c:pt>
                <c:pt idx="1140">
                  <c:v>649</c:v>
                </c:pt>
                <c:pt idx="1141">
                  <c:v>633.6</c:v>
                </c:pt>
                <c:pt idx="1142">
                  <c:v>609.79999999999995</c:v>
                </c:pt>
                <c:pt idx="1143">
                  <c:v>618.6</c:v>
                </c:pt>
                <c:pt idx="1144">
                  <c:v>630.5</c:v>
                </c:pt>
                <c:pt idx="1145">
                  <c:v>611.25</c:v>
                </c:pt>
                <c:pt idx="1146">
                  <c:v>640.04999999999995</c:v>
                </c:pt>
                <c:pt idx="1147">
                  <c:v>669.3</c:v>
                </c:pt>
                <c:pt idx="1148">
                  <c:v>684.95</c:v>
                </c:pt>
                <c:pt idx="1149">
                  <c:v>671.3</c:v>
                </c:pt>
                <c:pt idx="1150">
                  <c:v>644.6</c:v>
                </c:pt>
                <c:pt idx="1151">
                  <c:v>619.25</c:v>
                </c:pt>
                <c:pt idx="1152">
                  <c:v>618.25</c:v>
                </c:pt>
                <c:pt idx="1153">
                  <c:v>587.35</c:v>
                </c:pt>
                <c:pt idx="1154">
                  <c:v>558.4</c:v>
                </c:pt>
                <c:pt idx="1155">
                  <c:v>583.6</c:v>
                </c:pt>
                <c:pt idx="1156">
                  <c:v>569.35</c:v>
                </c:pt>
                <c:pt idx="1157">
                  <c:v>561.70000000000005</c:v>
                </c:pt>
                <c:pt idx="1158">
                  <c:v>552.54999999999995</c:v>
                </c:pt>
                <c:pt idx="1159">
                  <c:v>545.25</c:v>
                </c:pt>
                <c:pt idx="1160">
                  <c:v>542.6</c:v>
                </c:pt>
                <c:pt idx="1161">
                  <c:v>515.5</c:v>
                </c:pt>
                <c:pt idx="1162">
                  <c:v>541.25</c:v>
                </c:pt>
                <c:pt idx="1163">
                  <c:v>568.29999999999995</c:v>
                </c:pt>
                <c:pt idx="1164">
                  <c:v>596.70000000000005</c:v>
                </c:pt>
                <c:pt idx="1165">
                  <c:v>626.5</c:v>
                </c:pt>
                <c:pt idx="1166">
                  <c:v>638.20000000000005</c:v>
                </c:pt>
                <c:pt idx="1167">
                  <c:v>612.45000000000005</c:v>
                </c:pt>
                <c:pt idx="1168">
                  <c:v>654.70000000000005</c:v>
                </c:pt>
                <c:pt idx="1169">
                  <c:v>662.5</c:v>
                </c:pt>
                <c:pt idx="1170">
                  <c:v>648.29999999999995</c:v>
                </c:pt>
                <c:pt idx="1171">
                  <c:v>620.15</c:v>
                </c:pt>
                <c:pt idx="1172">
                  <c:v>682.15</c:v>
                </c:pt>
                <c:pt idx="1173">
                  <c:v>699.8</c:v>
                </c:pt>
                <c:pt idx="1174">
                  <c:v>687.55</c:v>
                </c:pt>
                <c:pt idx="1175">
                  <c:v>652.15</c:v>
                </c:pt>
                <c:pt idx="1176">
                  <c:v>663.3</c:v>
                </c:pt>
                <c:pt idx="1177">
                  <c:v>675.95</c:v>
                </c:pt>
                <c:pt idx="1178">
                  <c:v>658.95</c:v>
                </c:pt>
                <c:pt idx="1179">
                  <c:v>667.05</c:v>
                </c:pt>
                <c:pt idx="1180">
                  <c:v>647.25</c:v>
                </c:pt>
                <c:pt idx="1181">
                  <c:v>628</c:v>
                </c:pt>
                <c:pt idx="1182">
                  <c:v>580.79999999999995</c:v>
                </c:pt>
                <c:pt idx="1183">
                  <c:v>593.95000000000005</c:v>
                </c:pt>
                <c:pt idx="1184">
                  <c:v>611.25</c:v>
                </c:pt>
                <c:pt idx="1185">
                  <c:v>614.95000000000005</c:v>
                </c:pt>
                <c:pt idx="1186">
                  <c:v>609.54999999999995</c:v>
                </c:pt>
                <c:pt idx="1187">
                  <c:v>576.9</c:v>
                </c:pt>
                <c:pt idx="1188">
                  <c:v>582</c:v>
                </c:pt>
                <c:pt idx="1189">
                  <c:v>596.29999999999995</c:v>
                </c:pt>
                <c:pt idx="1190">
                  <c:v>585.75</c:v>
                </c:pt>
                <c:pt idx="1191">
                  <c:v>582.15</c:v>
                </c:pt>
                <c:pt idx="1192">
                  <c:v>577.6</c:v>
                </c:pt>
                <c:pt idx="1193">
                  <c:v>549.9</c:v>
                </c:pt>
                <c:pt idx="1194">
                  <c:v>550.85</c:v>
                </c:pt>
                <c:pt idx="1195">
                  <c:v>557.9</c:v>
                </c:pt>
                <c:pt idx="1196">
                  <c:v>653.70000000000005</c:v>
                </c:pt>
                <c:pt idx="1197">
                  <c:v>654.45000000000005</c:v>
                </c:pt>
                <c:pt idx="1198">
                  <c:v>648.1</c:v>
                </c:pt>
                <c:pt idx="1199">
                  <c:v>682.35</c:v>
                </c:pt>
                <c:pt idx="1200">
                  <c:v>662</c:v>
                </c:pt>
                <c:pt idx="1201">
                  <c:v>661.75</c:v>
                </c:pt>
                <c:pt idx="1202">
                  <c:v>672.15</c:v>
                </c:pt>
                <c:pt idx="1203">
                  <c:v>677.45</c:v>
                </c:pt>
                <c:pt idx="1204">
                  <c:v>679.2</c:v>
                </c:pt>
                <c:pt idx="1205">
                  <c:v>672</c:v>
                </c:pt>
                <c:pt idx="1206">
                  <c:v>681.85</c:v>
                </c:pt>
                <c:pt idx="1207">
                  <c:v>731.05</c:v>
                </c:pt>
                <c:pt idx="1208">
                  <c:v>740.45</c:v>
                </c:pt>
                <c:pt idx="1209">
                  <c:v>727.7</c:v>
                </c:pt>
                <c:pt idx="1210">
                  <c:v>712.25</c:v>
                </c:pt>
                <c:pt idx="1211">
                  <c:v>728</c:v>
                </c:pt>
                <c:pt idx="1212">
                  <c:v>702.35</c:v>
                </c:pt>
                <c:pt idx="1213">
                  <c:v>710.65</c:v>
                </c:pt>
                <c:pt idx="1214">
                  <c:v>714</c:v>
                </c:pt>
                <c:pt idx="1215">
                  <c:v>706.8</c:v>
                </c:pt>
                <c:pt idx="1216">
                  <c:v>706.95</c:v>
                </c:pt>
                <c:pt idx="1217">
                  <c:v>717.85</c:v>
                </c:pt>
                <c:pt idx="1218">
                  <c:v>693.2</c:v>
                </c:pt>
                <c:pt idx="1219">
                  <c:v>700.2</c:v>
                </c:pt>
                <c:pt idx="1220">
                  <c:v>699.1</c:v>
                </c:pt>
                <c:pt idx="1221">
                  <c:v>710.3</c:v>
                </c:pt>
                <c:pt idx="1222">
                  <c:v>701.5</c:v>
                </c:pt>
                <c:pt idx="1223">
                  <c:v>743</c:v>
                </c:pt>
                <c:pt idx="1224">
                  <c:v>790.85</c:v>
                </c:pt>
                <c:pt idx="1225">
                  <c:v>830.6</c:v>
                </c:pt>
                <c:pt idx="1226">
                  <c:v>810.7</c:v>
                </c:pt>
                <c:pt idx="1227">
                  <c:v>775.7</c:v>
                </c:pt>
                <c:pt idx="1228">
                  <c:v>781.9</c:v>
                </c:pt>
                <c:pt idx="1229">
                  <c:v>800.1</c:v>
                </c:pt>
                <c:pt idx="1230">
                  <c:v>762.15</c:v>
                </c:pt>
                <c:pt idx="1231">
                  <c:v>749.35</c:v>
                </c:pt>
                <c:pt idx="1232">
                  <c:v>728.2</c:v>
                </c:pt>
                <c:pt idx="1233">
                  <c:v>672.9</c:v>
                </c:pt>
                <c:pt idx="1234">
                  <c:v>685.05</c:v>
                </c:pt>
                <c:pt idx="1235">
                  <c:v>710.7</c:v>
                </c:pt>
                <c:pt idx="1236">
                  <c:v>687.85</c:v>
                </c:pt>
                <c:pt idx="1237">
                  <c:v>693.7</c:v>
                </c:pt>
                <c:pt idx="1238">
                  <c:v>680.45</c:v>
                </c:pt>
                <c:pt idx="1239">
                  <c:v>689.35</c:v>
                </c:pt>
                <c:pt idx="1240">
                  <c:v>698.35</c:v>
                </c:pt>
                <c:pt idx="1241">
                  <c:v>700.25</c:v>
                </c:pt>
                <c:pt idx="1242">
                  <c:v>750.95</c:v>
                </c:pt>
                <c:pt idx="1243">
                  <c:v>793.8</c:v>
                </c:pt>
                <c:pt idx="1244">
                  <c:v>789.7</c:v>
                </c:pt>
                <c:pt idx="1245">
                  <c:v>785.55</c:v>
                </c:pt>
                <c:pt idx="1246">
                  <c:v>774.55</c:v>
                </c:pt>
                <c:pt idx="1247">
                  <c:v>758.35</c:v>
                </c:pt>
                <c:pt idx="1248">
                  <c:v>792.35</c:v>
                </c:pt>
                <c:pt idx="1249">
                  <c:v>790</c:v>
                </c:pt>
                <c:pt idx="1250">
                  <c:v>793.45</c:v>
                </c:pt>
                <c:pt idx="1251">
                  <c:v>873</c:v>
                </c:pt>
                <c:pt idx="1252">
                  <c:v>871.65</c:v>
                </c:pt>
                <c:pt idx="1253">
                  <c:v>887.7</c:v>
                </c:pt>
                <c:pt idx="1254">
                  <c:v>887.85</c:v>
                </c:pt>
                <c:pt idx="1255">
                  <c:v>919.35</c:v>
                </c:pt>
                <c:pt idx="1256">
                  <c:v>926.4</c:v>
                </c:pt>
                <c:pt idx="1257">
                  <c:v>910.2</c:v>
                </c:pt>
                <c:pt idx="1258">
                  <c:v>915.65</c:v>
                </c:pt>
                <c:pt idx="1259">
                  <c:v>913.45</c:v>
                </c:pt>
                <c:pt idx="1260">
                  <c:v>912.25</c:v>
                </c:pt>
                <c:pt idx="1261">
                  <c:v>924.35</c:v>
                </c:pt>
                <c:pt idx="1262">
                  <c:v>913</c:v>
                </c:pt>
                <c:pt idx="1263">
                  <c:v>908.55</c:v>
                </c:pt>
                <c:pt idx="1264">
                  <c:v>905.05</c:v>
                </c:pt>
                <c:pt idx="1265">
                  <c:v>925.65</c:v>
                </c:pt>
                <c:pt idx="1266">
                  <c:v>937.25</c:v>
                </c:pt>
                <c:pt idx="1267">
                  <c:v>913.8</c:v>
                </c:pt>
                <c:pt idx="1268">
                  <c:v>912.35</c:v>
                </c:pt>
                <c:pt idx="1269">
                  <c:v>902.35</c:v>
                </c:pt>
                <c:pt idx="1270">
                  <c:v>855.4</c:v>
                </c:pt>
                <c:pt idx="1271">
                  <c:v>866.35</c:v>
                </c:pt>
                <c:pt idx="1272">
                  <c:v>959.4</c:v>
                </c:pt>
                <c:pt idx="1273">
                  <c:v>933.1</c:v>
                </c:pt>
                <c:pt idx="1274">
                  <c:v>922.85</c:v>
                </c:pt>
                <c:pt idx="1275">
                  <c:v>955.9</c:v>
                </c:pt>
                <c:pt idx="1276">
                  <c:v>990.85</c:v>
                </c:pt>
                <c:pt idx="1277">
                  <c:v>989.35</c:v>
                </c:pt>
                <c:pt idx="1278">
                  <c:v>980.05</c:v>
                </c:pt>
                <c:pt idx="1279">
                  <c:v>989.6</c:v>
                </c:pt>
                <c:pt idx="1280">
                  <c:v>986.45</c:v>
                </c:pt>
                <c:pt idx="1281">
                  <c:v>981.7</c:v>
                </c:pt>
                <c:pt idx="1282">
                  <c:v>962.95</c:v>
                </c:pt>
                <c:pt idx="1283">
                  <c:v>979.85</c:v>
                </c:pt>
                <c:pt idx="1284">
                  <c:v>976</c:v>
                </c:pt>
                <c:pt idx="1285">
                  <c:v>977.15</c:v>
                </c:pt>
                <c:pt idx="1286">
                  <c:v>980.35</c:v>
                </c:pt>
                <c:pt idx="1287">
                  <c:v>1037</c:v>
                </c:pt>
                <c:pt idx="1288">
                  <c:v>1040.3499999999999</c:v>
                </c:pt>
                <c:pt idx="1289">
                  <c:v>1006.3</c:v>
                </c:pt>
                <c:pt idx="1290">
                  <c:v>1019.4</c:v>
                </c:pt>
                <c:pt idx="1291">
                  <c:v>1013.35</c:v>
                </c:pt>
                <c:pt idx="1292">
                  <c:v>1015.8</c:v>
                </c:pt>
                <c:pt idx="1293">
                  <c:v>1022.6</c:v>
                </c:pt>
                <c:pt idx="1294">
                  <c:v>1021.4</c:v>
                </c:pt>
                <c:pt idx="1295">
                  <c:v>1100.8</c:v>
                </c:pt>
                <c:pt idx="1296">
                  <c:v>1107.55</c:v>
                </c:pt>
                <c:pt idx="1297">
                  <c:v>1094.5</c:v>
                </c:pt>
                <c:pt idx="1298">
                  <c:v>1056.1500000000001</c:v>
                </c:pt>
                <c:pt idx="1299">
                  <c:v>1041.4000000000001</c:v>
                </c:pt>
                <c:pt idx="1300">
                  <c:v>1058.2</c:v>
                </c:pt>
                <c:pt idx="1301">
                  <c:v>1025.25</c:v>
                </c:pt>
                <c:pt idx="1302">
                  <c:v>1020.3</c:v>
                </c:pt>
                <c:pt idx="1303">
                  <c:v>1009</c:v>
                </c:pt>
                <c:pt idx="1304">
                  <c:v>1066.5999999999999</c:v>
                </c:pt>
                <c:pt idx="1305">
                  <c:v>1097</c:v>
                </c:pt>
                <c:pt idx="1306">
                  <c:v>1139.2</c:v>
                </c:pt>
                <c:pt idx="1307">
                  <c:v>1161.3499999999999</c:v>
                </c:pt>
                <c:pt idx="1308">
                  <c:v>1163.3</c:v>
                </c:pt>
                <c:pt idx="1309">
                  <c:v>1159.05</c:v>
                </c:pt>
                <c:pt idx="1310">
                  <c:v>1168.8</c:v>
                </c:pt>
                <c:pt idx="1311">
                  <c:v>1158.45</c:v>
                </c:pt>
                <c:pt idx="1312">
                  <c:v>1135.95</c:v>
                </c:pt>
                <c:pt idx="1313">
                  <c:v>1098.05</c:v>
                </c:pt>
                <c:pt idx="1314">
                  <c:v>1065.0999999999999</c:v>
                </c:pt>
                <c:pt idx="1315">
                  <c:v>1091.5999999999999</c:v>
                </c:pt>
                <c:pt idx="1316">
                  <c:v>1067.2</c:v>
                </c:pt>
                <c:pt idx="1317">
                  <c:v>1062.6500000000001</c:v>
                </c:pt>
                <c:pt idx="1318">
                  <c:v>1022</c:v>
                </c:pt>
                <c:pt idx="1319">
                  <c:v>1025.25</c:v>
                </c:pt>
                <c:pt idx="1320">
                  <c:v>994.45</c:v>
                </c:pt>
                <c:pt idx="1321">
                  <c:v>929.7</c:v>
                </c:pt>
                <c:pt idx="1322">
                  <c:v>931.2</c:v>
                </c:pt>
                <c:pt idx="1323">
                  <c:v>966.3</c:v>
                </c:pt>
                <c:pt idx="1324">
                  <c:v>980.5</c:v>
                </c:pt>
                <c:pt idx="1325">
                  <c:v>1001.2</c:v>
                </c:pt>
                <c:pt idx="1326">
                  <c:v>1026.5</c:v>
                </c:pt>
                <c:pt idx="1327">
                  <c:v>949.1</c:v>
                </c:pt>
                <c:pt idx="1328">
                  <c:v>869.2</c:v>
                </c:pt>
                <c:pt idx="1329">
                  <c:v>881.65</c:v>
                </c:pt>
                <c:pt idx="1330">
                  <c:v>907.2</c:v>
                </c:pt>
                <c:pt idx="1331">
                  <c:v>878.9</c:v>
                </c:pt>
                <c:pt idx="1332">
                  <c:v>914.25</c:v>
                </c:pt>
                <c:pt idx="1333">
                  <c:v>920.9</c:v>
                </c:pt>
                <c:pt idx="1334">
                  <c:v>924.55</c:v>
                </c:pt>
                <c:pt idx="1335">
                  <c:v>940</c:v>
                </c:pt>
                <c:pt idx="1336">
                  <c:v>943.3</c:v>
                </c:pt>
                <c:pt idx="1337">
                  <c:v>946</c:v>
                </c:pt>
                <c:pt idx="1338">
                  <c:v>934.65</c:v>
                </c:pt>
                <c:pt idx="1339">
                  <c:v>945.4</c:v>
                </c:pt>
                <c:pt idx="1340">
                  <c:v>939.9</c:v>
                </c:pt>
                <c:pt idx="1341">
                  <c:v>947.8</c:v>
                </c:pt>
                <c:pt idx="1342">
                  <c:v>944.9</c:v>
                </c:pt>
                <c:pt idx="1343">
                  <c:v>977.25</c:v>
                </c:pt>
                <c:pt idx="1344">
                  <c:v>1037.1500000000001</c:v>
                </c:pt>
                <c:pt idx="1345">
                  <c:v>1059.05</c:v>
                </c:pt>
                <c:pt idx="1346">
                  <c:v>1038.3</c:v>
                </c:pt>
                <c:pt idx="1347">
                  <c:v>1061.3499999999999</c:v>
                </c:pt>
                <c:pt idx="1348">
                  <c:v>1135.95</c:v>
                </c:pt>
                <c:pt idx="1349">
                  <c:v>1186.0999999999999</c:v>
                </c:pt>
                <c:pt idx="1350">
                  <c:v>1183.95</c:v>
                </c:pt>
                <c:pt idx="1351">
                  <c:v>1215.95</c:v>
                </c:pt>
                <c:pt idx="1352">
                  <c:v>1219.25</c:v>
                </c:pt>
                <c:pt idx="1353">
                  <c:v>1227.7</c:v>
                </c:pt>
                <c:pt idx="1354">
                  <c:v>1241.95</c:v>
                </c:pt>
                <c:pt idx="1355">
                  <c:v>1223</c:v>
                </c:pt>
                <c:pt idx="1356">
                  <c:v>1238.1500000000001</c:v>
                </c:pt>
                <c:pt idx="1357">
                  <c:v>1255.25</c:v>
                </c:pt>
                <c:pt idx="1358">
                  <c:v>1251.05</c:v>
                </c:pt>
                <c:pt idx="1359">
                  <c:v>1245.6500000000001</c:v>
                </c:pt>
                <c:pt idx="1360">
                  <c:v>1259.8</c:v>
                </c:pt>
                <c:pt idx="1361">
                  <c:v>1263.55</c:v>
                </c:pt>
                <c:pt idx="1362">
                  <c:v>1240.4000000000001</c:v>
                </c:pt>
                <c:pt idx="1363">
                  <c:v>1208.0999999999999</c:v>
                </c:pt>
                <c:pt idx="1364">
                  <c:v>1216.75</c:v>
                </c:pt>
                <c:pt idx="1365">
                  <c:v>1196.5</c:v>
                </c:pt>
                <c:pt idx="1366">
                  <c:v>1211</c:v>
                </c:pt>
                <c:pt idx="1367">
                  <c:v>1240.45</c:v>
                </c:pt>
                <c:pt idx="1368">
                  <c:v>1300.95</c:v>
                </c:pt>
                <c:pt idx="1369">
                  <c:v>1328.3</c:v>
                </c:pt>
                <c:pt idx="1370">
                  <c:v>1323.3</c:v>
                </c:pt>
                <c:pt idx="1371">
                  <c:v>1350.35</c:v>
                </c:pt>
                <c:pt idx="1372">
                  <c:v>1312.2</c:v>
                </c:pt>
                <c:pt idx="1373">
                  <c:v>1311.5</c:v>
                </c:pt>
                <c:pt idx="1374">
                  <c:v>1326.4</c:v>
                </c:pt>
                <c:pt idx="1375">
                  <c:v>1348.1</c:v>
                </c:pt>
                <c:pt idx="1376">
                  <c:v>1347.35</c:v>
                </c:pt>
                <c:pt idx="1377">
                  <c:v>1357</c:v>
                </c:pt>
                <c:pt idx="1378">
                  <c:v>1424.7</c:v>
                </c:pt>
                <c:pt idx="1379">
                  <c:v>1474.1</c:v>
                </c:pt>
                <c:pt idx="1380">
                  <c:v>1497.05</c:v>
                </c:pt>
                <c:pt idx="1381">
                  <c:v>1541.6</c:v>
                </c:pt>
                <c:pt idx="1382">
                  <c:v>1502.95</c:v>
                </c:pt>
                <c:pt idx="1383">
                  <c:v>1515.05</c:v>
                </c:pt>
                <c:pt idx="1384">
                  <c:v>1481.9</c:v>
                </c:pt>
                <c:pt idx="1385">
                  <c:v>1454.2</c:v>
                </c:pt>
                <c:pt idx="1386">
                  <c:v>1486.95</c:v>
                </c:pt>
                <c:pt idx="1387">
                  <c:v>1478.55</c:v>
                </c:pt>
                <c:pt idx="1388">
                  <c:v>1507.75</c:v>
                </c:pt>
                <c:pt idx="1389">
                  <c:v>1519.6</c:v>
                </c:pt>
                <c:pt idx="1390">
                  <c:v>1549.9</c:v>
                </c:pt>
                <c:pt idx="1391">
                  <c:v>1558.5</c:v>
                </c:pt>
                <c:pt idx="1392">
                  <c:v>1546.8</c:v>
                </c:pt>
                <c:pt idx="1393">
                  <c:v>1519.95</c:v>
                </c:pt>
                <c:pt idx="1394">
                  <c:v>1487.55</c:v>
                </c:pt>
                <c:pt idx="1395">
                  <c:v>1407.7</c:v>
                </c:pt>
                <c:pt idx="1396">
                  <c:v>1415.1</c:v>
                </c:pt>
                <c:pt idx="1397">
                  <c:v>1381.15</c:v>
                </c:pt>
                <c:pt idx="1398">
                  <c:v>1377</c:v>
                </c:pt>
                <c:pt idx="1399">
                  <c:v>1373.3</c:v>
                </c:pt>
                <c:pt idx="1400">
                  <c:v>1354.1</c:v>
                </c:pt>
                <c:pt idx="1401">
                  <c:v>1363.45</c:v>
                </c:pt>
                <c:pt idx="1402">
                  <c:v>1338.45</c:v>
                </c:pt>
                <c:pt idx="1403">
                  <c:v>1320.65</c:v>
                </c:pt>
                <c:pt idx="1404">
                  <c:v>1310.95</c:v>
                </c:pt>
                <c:pt idx="1405">
                  <c:v>1206.9000000000001</c:v>
                </c:pt>
                <c:pt idx="1406">
                  <c:v>1256.0999999999999</c:v>
                </c:pt>
                <c:pt idx="1407">
                  <c:v>1266.8</c:v>
                </c:pt>
                <c:pt idx="1408">
                  <c:v>1291.2</c:v>
                </c:pt>
                <c:pt idx="1409">
                  <c:v>1263.75</c:v>
                </c:pt>
                <c:pt idx="1410">
                  <c:v>1296.9000000000001</c:v>
                </c:pt>
                <c:pt idx="1411">
                  <c:v>1233.3499999999999</c:v>
                </c:pt>
                <c:pt idx="1412">
                  <c:v>1217.9000000000001</c:v>
                </c:pt>
                <c:pt idx="1413">
                  <c:v>1235.5</c:v>
                </c:pt>
                <c:pt idx="1414">
                  <c:v>1214.75</c:v>
                </c:pt>
                <c:pt idx="1415">
                  <c:v>1187.05</c:v>
                </c:pt>
                <c:pt idx="1416">
                  <c:v>1190.4000000000001</c:v>
                </c:pt>
                <c:pt idx="1417">
                  <c:v>1222.1500000000001</c:v>
                </c:pt>
                <c:pt idx="1418">
                  <c:v>1200.6500000000001</c:v>
                </c:pt>
                <c:pt idx="1419">
                  <c:v>1189.6500000000001</c:v>
                </c:pt>
                <c:pt idx="1420">
                  <c:v>1181.45</c:v>
                </c:pt>
                <c:pt idx="1421">
                  <c:v>1150.5</c:v>
                </c:pt>
                <c:pt idx="1422">
                  <c:v>1147.05</c:v>
                </c:pt>
                <c:pt idx="1423">
                  <c:v>1171.3499999999999</c:v>
                </c:pt>
                <c:pt idx="1424">
                  <c:v>1223.95</c:v>
                </c:pt>
                <c:pt idx="1425">
                  <c:v>1235.8</c:v>
                </c:pt>
                <c:pt idx="1426">
                  <c:v>1246.8</c:v>
                </c:pt>
                <c:pt idx="1427">
                  <c:v>1261.8499999999999</c:v>
                </c:pt>
                <c:pt idx="1428">
                  <c:v>1243.4000000000001</c:v>
                </c:pt>
                <c:pt idx="1429">
                  <c:v>1211.7</c:v>
                </c:pt>
                <c:pt idx="1430">
                  <c:v>1242.5999999999999</c:v>
                </c:pt>
                <c:pt idx="1431">
                  <c:v>1243.8</c:v>
                </c:pt>
                <c:pt idx="1432">
                  <c:v>1250.0999999999999</c:v>
                </c:pt>
                <c:pt idx="1433">
                  <c:v>1280.75</c:v>
                </c:pt>
                <c:pt idx="1434">
                  <c:v>1268.1500000000001</c:v>
                </c:pt>
                <c:pt idx="1435">
                  <c:v>1260.4000000000001</c:v>
                </c:pt>
                <c:pt idx="1436">
                  <c:v>1245.8</c:v>
                </c:pt>
                <c:pt idx="1437">
                  <c:v>1220.8499999999999</c:v>
                </c:pt>
                <c:pt idx="1438">
                  <c:v>1218.8499999999999</c:v>
                </c:pt>
                <c:pt idx="1439">
                  <c:v>1239.1500000000001</c:v>
                </c:pt>
                <c:pt idx="1440">
                  <c:v>1225.3</c:v>
                </c:pt>
                <c:pt idx="1441">
                  <c:v>1224.7</c:v>
                </c:pt>
                <c:pt idx="1442">
                  <c:v>1220.1500000000001</c:v>
                </c:pt>
                <c:pt idx="1443">
                  <c:v>1241.3499999999999</c:v>
                </c:pt>
                <c:pt idx="1444">
                  <c:v>1246.8</c:v>
                </c:pt>
                <c:pt idx="1445">
                  <c:v>1237.6500000000001</c:v>
                </c:pt>
                <c:pt idx="1446">
                  <c:v>1213.9000000000001</c:v>
                </c:pt>
                <c:pt idx="1447">
                  <c:v>1201.3499999999999</c:v>
                </c:pt>
                <c:pt idx="1448">
                  <c:v>1206.9000000000001</c:v>
                </c:pt>
                <c:pt idx="1449">
                  <c:v>1174.95</c:v>
                </c:pt>
                <c:pt idx="1450">
                  <c:v>1165.55</c:v>
                </c:pt>
                <c:pt idx="1451">
                  <c:v>1129.4000000000001</c:v>
                </c:pt>
                <c:pt idx="1452">
                  <c:v>1109.0999999999999</c:v>
                </c:pt>
                <c:pt idx="1453">
                  <c:v>1100.0999999999999</c:v>
                </c:pt>
                <c:pt idx="1454">
                  <c:v>1098.05</c:v>
                </c:pt>
                <c:pt idx="1455">
                  <c:v>1108.6500000000001</c:v>
                </c:pt>
                <c:pt idx="1456">
                  <c:v>1127.55</c:v>
                </c:pt>
                <c:pt idx="1457">
                  <c:v>1110.6500000000001</c:v>
                </c:pt>
                <c:pt idx="1458">
                  <c:v>1115.2</c:v>
                </c:pt>
                <c:pt idx="1459">
                  <c:v>1093.3</c:v>
                </c:pt>
                <c:pt idx="1460">
                  <c:v>1101.7</c:v>
                </c:pt>
                <c:pt idx="1461">
                  <c:v>1090.0999999999999</c:v>
                </c:pt>
                <c:pt idx="1462">
                  <c:v>1047.7</c:v>
                </c:pt>
                <c:pt idx="1463">
                  <c:v>1041.8</c:v>
                </c:pt>
                <c:pt idx="1464">
                  <c:v>1068.8499999999999</c:v>
                </c:pt>
                <c:pt idx="1465">
                  <c:v>1054.1500000000001</c:v>
                </c:pt>
                <c:pt idx="1466">
                  <c:v>1056.8</c:v>
                </c:pt>
                <c:pt idx="1467">
                  <c:v>1068.05</c:v>
                </c:pt>
                <c:pt idx="1468">
                  <c:v>1125.5</c:v>
                </c:pt>
                <c:pt idx="1469">
                  <c:v>1132.6500000000001</c:v>
                </c:pt>
                <c:pt idx="1470">
                  <c:v>1127.7</c:v>
                </c:pt>
                <c:pt idx="1471">
                  <c:v>1099.5999999999999</c:v>
                </c:pt>
                <c:pt idx="1472">
                  <c:v>1077.6500000000001</c:v>
                </c:pt>
                <c:pt idx="1473">
                  <c:v>1107.8</c:v>
                </c:pt>
                <c:pt idx="1474">
                  <c:v>1100.25</c:v>
                </c:pt>
                <c:pt idx="1475">
                  <c:v>1077.5999999999999</c:v>
                </c:pt>
                <c:pt idx="1476">
                  <c:v>1051.7</c:v>
                </c:pt>
                <c:pt idx="1477">
                  <c:v>1066.4000000000001</c:v>
                </c:pt>
                <c:pt idx="1478">
                  <c:v>1069.55</c:v>
                </c:pt>
                <c:pt idx="1479">
                  <c:v>1076.4000000000001</c:v>
                </c:pt>
                <c:pt idx="1480">
                  <c:v>1090.7</c:v>
                </c:pt>
                <c:pt idx="1481">
                  <c:v>1123.0999999999999</c:v>
                </c:pt>
                <c:pt idx="1482">
                  <c:v>1216.9000000000001</c:v>
                </c:pt>
                <c:pt idx="1483">
                  <c:v>1263</c:v>
                </c:pt>
                <c:pt idx="1484">
                  <c:v>1249.8499999999999</c:v>
                </c:pt>
                <c:pt idx="1485">
                  <c:v>1263.1500000000001</c:v>
                </c:pt>
                <c:pt idx="1486">
                  <c:v>1262.0999999999999</c:v>
                </c:pt>
                <c:pt idx="1487">
                  <c:v>1285.9000000000001</c:v>
                </c:pt>
                <c:pt idx="1488">
                  <c:v>1287.6500000000001</c:v>
                </c:pt>
                <c:pt idx="1489">
                  <c:v>1295.3499999999999</c:v>
                </c:pt>
                <c:pt idx="1490">
                  <c:v>1280.8</c:v>
                </c:pt>
                <c:pt idx="1491">
                  <c:v>1281.0999999999999</c:v>
                </c:pt>
                <c:pt idx="1492">
                  <c:v>1300.7</c:v>
                </c:pt>
                <c:pt idx="1493">
                  <c:v>1276</c:v>
                </c:pt>
                <c:pt idx="1494">
                  <c:v>1271.9000000000001</c:v>
                </c:pt>
                <c:pt idx="1495">
                  <c:v>1256.4000000000001</c:v>
                </c:pt>
                <c:pt idx="1496">
                  <c:v>1209.4000000000001</c:v>
                </c:pt>
                <c:pt idx="1497">
                  <c:v>1214.75</c:v>
                </c:pt>
                <c:pt idx="1498">
                  <c:v>1224.5</c:v>
                </c:pt>
                <c:pt idx="1499">
                  <c:v>1228.55</c:v>
                </c:pt>
                <c:pt idx="1500">
                  <c:v>1215.45</c:v>
                </c:pt>
                <c:pt idx="1501">
                  <c:v>1200.55</c:v>
                </c:pt>
                <c:pt idx="1502">
                  <c:v>1162.8</c:v>
                </c:pt>
                <c:pt idx="1503">
                  <c:v>1117.1500000000001</c:v>
                </c:pt>
                <c:pt idx="1504">
                  <c:v>1114.0999999999999</c:v>
                </c:pt>
                <c:pt idx="1505">
                  <c:v>1096.5</c:v>
                </c:pt>
                <c:pt idx="1506">
                  <c:v>1073.05</c:v>
                </c:pt>
                <c:pt idx="1507">
                  <c:v>1098.9000000000001</c:v>
                </c:pt>
                <c:pt idx="1508">
                  <c:v>1101.75</c:v>
                </c:pt>
                <c:pt idx="1509">
                  <c:v>1084.3499999999999</c:v>
                </c:pt>
                <c:pt idx="1510">
                  <c:v>1063.3499999999999</c:v>
                </c:pt>
                <c:pt idx="1511">
                  <c:v>1049.4000000000001</c:v>
                </c:pt>
                <c:pt idx="1512">
                  <c:v>1048</c:v>
                </c:pt>
                <c:pt idx="1513">
                  <c:v>1041.6500000000001</c:v>
                </c:pt>
                <c:pt idx="1514">
                  <c:v>1003.2</c:v>
                </c:pt>
                <c:pt idx="1515">
                  <c:v>996.1</c:v>
                </c:pt>
                <c:pt idx="1516">
                  <c:v>1028.95</c:v>
                </c:pt>
                <c:pt idx="1517">
                  <c:v>1037.2</c:v>
                </c:pt>
                <c:pt idx="1518">
                  <c:v>1011</c:v>
                </c:pt>
                <c:pt idx="1519">
                  <c:v>1000.9</c:v>
                </c:pt>
                <c:pt idx="1520">
                  <c:v>969.15</c:v>
                </c:pt>
                <c:pt idx="1521">
                  <c:v>937.95</c:v>
                </c:pt>
                <c:pt idx="1522">
                  <c:v>983.15</c:v>
                </c:pt>
                <c:pt idx="1523">
                  <c:v>959.25</c:v>
                </c:pt>
                <c:pt idx="1524">
                  <c:v>954.55</c:v>
                </c:pt>
                <c:pt idx="1525">
                  <c:v>940.65</c:v>
                </c:pt>
                <c:pt idx="1526">
                  <c:v>971.55</c:v>
                </c:pt>
                <c:pt idx="1527">
                  <c:v>1040.55</c:v>
                </c:pt>
                <c:pt idx="1528">
                  <c:v>1014.55</c:v>
                </c:pt>
                <c:pt idx="1529">
                  <c:v>1017.4</c:v>
                </c:pt>
                <c:pt idx="1530">
                  <c:v>977.95</c:v>
                </c:pt>
                <c:pt idx="1531">
                  <c:v>952.75</c:v>
                </c:pt>
                <c:pt idx="1532">
                  <c:v>945.45</c:v>
                </c:pt>
                <c:pt idx="1533">
                  <c:v>990.2</c:v>
                </c:pt>
                <c:pt idx="1534">
                  <c:v>1029.5</c:v>
                </c:pt>
                <c:pt idx="1535">
                  <c:v>1044.75</c:v>
                </c:pt>
                <c:pt idx="1536">
                  <c:v>1053.25</c:v>
                </c:pt>
                <c:pt idx="1537">
                  <c:v>1058.55</c:v>
                </c:pt>
                <c:pt idx="1538">
                  <c:v>1056.0999999999999</c:v>
                </c:pt>
                <c:pt idx="1539">
                  <c:v>1038</c:v>
                </c:pt>
                <c:pt idx="1540">
                  <c:v>1035.5</c:v>
                </c:pt>
                <c:pt idx="1541">
                  <c:v>1034.6500000000001</c:v>
                </c:pt>
                <c:pt idx="1542">
                  <c:v>1030.25</c:v>
                </c:pt>
                <c:pt idx="1543">
                  <c:v>1030.8499999999999</c:v>
                </c:pt>
                <c:pt idx="1544">
                  <c:v>1024.7</c:v>
                </c:pt>
                <c:pt idx="1545">
                  <c:v>1017.9</c:v>
                </c:pt>
                <c:pt idx="1546">
                  <c:v>1068.75</c:v>
                </c:pt>
                <c:pt idx="1547">
                  <c:v>1091.5</c:v>
                </c:pt>
                <c:pt idx="1548">
                  <c:v>1090.9000000000001</c:v>
                </c:pt>
                <c:pt idx="1549">
                  <c:v>1054.75</c:v>
                </c:pt>
                <c:pt idx="1550">
                  <c:v>1035.55</c:v>
                </c:pt>
                <c:pt idx="1551">
                  <c:v>1032.95</c:v>
                </c:pt>
                <c:pt idx="1552">
                  <c:v>1044.0999999999999</c:v>
                </c:pt>
                <c:pt idx="1553">
                  <c:v>1028.45</c:v>
                </c:pt>
                <c:pt idx="1554">
                  <c:v>1016.6</c:v>
                </c:pt>
                <c:pt idx="1555">
                  <c:v>975.15</c:v>
                </c:pt>
                <c:pt idx="1556">
                  <c:v>941.9</c:v>
                </c:pt>
                <c:pt idx="1557">
                  <c:v>918.7</c:v>
                </c:pt>
                <c:pt idx="1558">
                  <c:v>888.2</c:v>
                </c:pt>
                <c:pt idx="1559">
                  <c:v>882.4</c:v>
                </c:pt>
                <c:pt idx="1560">
                  <c:v>904.85</c:v>
                </c:pt>
                <c:pt idx="1561">
                  <c:v>941.55</c:v>
                </c:pt>
                <c:pt idx="1562">
                  <c:v>952.55</c:v>
                </c:pt>
                <c:pt idx="1563">
                  <c:v>947.2</c:v>
                </c:pt>
                <c:pt idx="1564">
                  <c:v>932.8</c:v>
                </c:pt>
                <c:pt idx="1565">
                  <c:v>939.35</c:v>
                </c:pt>
                <c:pt idx="1566">
                  <c:v>918.1</c:v>
                </c:pt>
                <c:pt idx="1567">
                  <c:v>931.45</c:v>
                </c:pt>
                <c:pt idx="1568">
                  <c:v>939.15</c:v>
                </c:pt>
                <c:pt idx="1569">
                  <c:v>918.95</c:v>
                </c:pt>
                <c:pt idx="1570">
                  <c:v>920.95</c:v>
                </c:pt>
                <c:pt idx="1571">
                  <c:v>918.5</c:v>
                </c:pt>
                <c:pt idx="1572">
                  <c:v>916.15</c:v>
                </c:pt>
                <c:pt idx="1573">
                  <c:v>897.75</c:v>
                </c:pt>
                <c:pt idx="1574">
                  <c:v>892.9</c:v>
                </c:pt>
                <c:pt idx="1575">
                  <c:v>873</c:v>
                </c:pt>
                <c:pt idx="1576">
                  <c:v>908.05</c:v>
                </c:pt>
                <c:pt idx="1577">
                  <c:v>916.75</c:v>
                </c:pt>
                <c:pt idx="1578">
                  <c:v>912.95</c:v>
                </c:pt>
                <c:pt idx="1579">
                  <c:v>916.95</c:v>
                </c:pt>
                <c:pt idx="1580">
                  <c:v>899.65</c:v>
                </c:pt>
                <c:pt idx="1581">
                  <c:v>901</c:v>
                </c:pt>
                <c:pt idx="1582">
                  <c:v>902.6</c:v>
                </c:pt>
                <c:pt idx="1583">
                  <c:v>898.9</c:v>
                </c:pt>
                <c:pt idx="1584">
                  <c:v>874.85</c:v>
                </c:pt>
                <c:pt idx="1585">
                  <c:v>862.4</c:v>
                </c:pt>
                <c:pt idx="1586">
                  <c:v>849.5</c:v>
                </c:pt>
                <c:pt idx="1587">
                  <c:v>819.35</c:v>
                </c:pt>
                <c:pt idx="1588">
                  <c:v>817.45</c:v>
                </c:pt>
                <c:pt idx="1589">
                  <c:v>826.7</c:v>
                </c:pt>
                <c:pt idx="1590">
                  <c:v>854.25</c:v>
                </c:pt>
                <c:pt idx="1591">
                  <c:v>884.5</c:v>
                </c:pt>
                <c:pt idx="1592">
                  <c:v>870.35</c:v>
                </c:pt>
                <c:pt idx="1593">
                  <c:v>846.15</c:v>
                </c:pt>
                <c:pt idx="1594">
                  <c:v>841.4</c:v>
                </c:pt>
                <c:pt idx="1595">
                  <c:v>827.95</c:v>
                </c:pt>
                <c:pt idx="1596">
                  <c:v>833.5</c:v>
                </c:pt>
                <c:pt idx="1597">
                  <c:v>835.45</c:v>
                </c:pt>
                <c:pt idx="1598">
                  <c:v>869.25</c:v>
                </c:pt>
                <c:pt idx="1599">
                  <c:v>869</c:v>
                </c:pt>
                <c:pt idx="1600">
                  <c:v>863.6</c:v>
                </c:pt>
                <c:pt idx="1601">
                  <c:v>851.45</c:v>
                </c:pt>
                <c:pt idx="1602">
                  <c:v>850.3</c:v>
                </c:pt>
                <c:pt idx="1603">
                  <c:v>848.5</c:v>
                </c:pt>
                <c:pt idx="1604">
                  <c:v>839</c:v>
                </c:pt>
                <c:pt idx="1605">
                  <c:v>835.75</c:v>
                </c:pt>
                <c:pt idx="1606">
                  <c:v>867.6</c:v>
                </c:pt>
                <c:pt idx="1607">
                  <c:v>858.5</c:v>
                </c:pt>
                <c:pt idx="1608">
                  <c:v>846.7</c:v>
                </c:pt>
                <c:pt idx="1609">
                  <c:v>843.1</c:v>
                </c:pt>
                <c:pt idx="1610">
                  <c:v>830.5</c:v>
                </c:pt>
                <c:pt idx="1611">
                  <c:v>840.8</c:v>
                </c:pt>
                <c:pt idx="1612">
                  <c:v>840</c:v>
                </c:pt>
                <c:pt idx="1613">
                  <c:v>852.75</c:v>
                </c:pt>
                <c:pt idx="1614">
                  <c:v>854.1</c:v>
                </c:pt>
                <c:pt idx="1615">
                  <c:v>876.4</c:v>
                </c:pt>
                <c:pt idx="1616">
                  <c:v>898.2</c:v>
                </c:pt>
                <c:pt idx="1617">
                  <c:v>906.2</c:v>
                </c:pt>
                <c:pt idx="1618">
                  <c:v>893.35</c:v>
                </c:pt>
                <c:pt idx="1619">
                  <c:v>885.85</c:v>
                </c:pt>
                <c:pt idx="1620">
                  <c:v>892.35</c:v>
                </c:pt>
                <c:pt idx="1621">
                  <c:v>885.4</c:v>
                </c:pt>
                <c:pt idx="1622">
                  <c:v>880.9</c:v>
                </c:pt>
                <c:pt idx="1623">
                  <c:v>938.7</c:v>
                </c:pt>
                <c:pt idx="1624">
                  <c:v>942.15</c:v>
                </c:pt>
                <c:pt idx="1625">
                  <c:v>937.3</c:v>
                </c:pt>
                <c:pt idx="1626">
                  <c:v>937.95</c:v>
                </c:pt>
                <c:pt idx="1627">
                  <c:v>960.2</c:v>
                </c:pt>
                <c:pt idx="1628">
                  <c:v>957.7</c:v>
                </c:pt>
                <c:pt idx="1629">
                  <c:v>982.45</c:v>
                </c:pt>
                <c:pt idx="1630">
                  <c:v>983.9</c:v>
                </c:pt>
                <c:pt idx="1631">
                  <c:v>975.45</c:v>
                </c:pt>
                <c:pt idx="1632">
                  <c:v>992.15</c:v>
                </c:pt>
                <c:pt idx="1633">
                  <c:v>1004.05</c:v>
                </c:pt>
                <c:pt idx="1634">
                  <c:v>1013.7</c:v>
                </c:pt>
                <c:pt idx="1635">
                  <c:v>1017.35</c:v>
                </c:pt>
                <c:pt idx="1636">
                  <c:v>1001.05</c:v>
                </c:pt>
                <c:pt idx="1637">
                  <c:v>973.35</c:v>
                </c:pt>
                <c:pt idx="1638">
                  <c:v>991.15</c:v>
                </c:pt>
                <c:pt idx="1639">
                  <c:v>1037.75</c:v>
                </c:pt>
                <c:pt idx="1640">
                  <c:v>1020.4</c:v>
                </c:pt>
                <c:pt idx="1641">
                  <c:v>1002.3</c:v>
                </c:pt>
                <c:pt idx="1642">
                  <c:v>1011.15</c:v>
                </c:pt>
                <c:pt idx="1643">
                  <c:v>987.1</c:v>
                </c:pt>
                <c:pt idx="1644">
                  <c:v>992.15</c:v>
                </c:pt>
                <c:pt idx="1645">
                  <c:v>1009.05</c:v>
                </c:pt>
                <c:pt idx="1646">
                  <c:v>1022.3</c:v>
                </c:pt>
                <c:pt idx="1647">
                  <c:v>1027.25</c:v>
                </c:pt>
                <c:pt idx="1648">
                  <c:v>1039.1500000000001</c:v>
                </c:pt>
                <c:pt idx="1649">
                  <c:v>1020</c:v>
                </c:pt>
                <c:pt idx="1650">
                  <c:v>1024.3499999999999</c:v>
                </c:pt>
                <c:pt idx="1651">
                  <c:v>1033.0999999999999</c:v>
                </c:pt>
                <c:pt idx="1652">
                  <c:v>1037.45</c:v>
                </c:pt>
                <c:pt idx="1653">
                  <c:v>1056.3499999999999</c:v>
                </c:pt>
                <c:pt idx="1654">
                  <c:v>1059.05</c:v>
                </c:pt>
                <c:pt idx="1655">
                  <c:v>1066.2</c:v>
                </c:pt>
                <c:pt idx="1656">
                  <c:v>1065.8499999999999</c:v>
                </c:pt>
                <c:pt idx="1657">
                  <c:v>1066.2</c:v>
                </c:pt>
                <c:pt idx="1658">
                  <c:v>1079.3499999999999</c:v>
                </c:pt>
                <c:pt idx="1659">
                  <c:v>1066.45</c:v>
                </c:pt>
                <c:pt idx="1660">
                  <c:v>1082.1500000000001</c:v>
                </c:pt>
                <c:pt idx="1661">
                  <c:v>1082.8499999999999</c:v>
                </c:pt>
                <c:pt idx="1662">
                  <c:v>1073.3</c:v>
                </c:pt>
                <c:pt idx="1663">
                  <c:v>1046.8499999999999</c:v>
                </c:pt>
                <c:pt idx="1664">
                  <c:v>1025.1500000000001</c:v>
                </c:pt>
                <c:pt idx="1665">
                  <c:v>900.15</c:v>
                </c:pt>
                <c:pt idx="1666">
                  <c:v>922.05</c:v>
                </c:pt>
                <c:pt idx="1667">
                  <c:v>909.95</c:v>
                </c:pt>
                <c:pt idx="1668">
                  <c:v>905</c:v>
                </c:pt>
                <c:pt idx="1669">
                  <c:v>899.65</c:v>
                </c:pt>
                <c:pt idx="1670">
                  <c:v>910.9</c:v>
                </c:pt>
                <c:pt idx="1671">
                  <c:v>914.95</c:v>
                </c:pt>
                <c:pt idx="1672">
                  <c:v>919</c:v>
                </c:pt>
                <c:pt idx="1673">
                  <c:v>904.55</c:v>
                </c:pt>
                <c:pt idx="1674">
                  <c:v>908.85</c:v>
                </c:pt>
                <c:pt idx="1675">
                  <c:v>874.85</c:v>
                </c:pt>
                <c:pt idx="1676">
                  <c:v>876.05</c:v>
                </c:pt>
                <c:pt idx="1677">
                  <c:v>901.75</c:v>
                </c:pt>
                <c:pt idx="1678">
                  <c:v>910.15</c:v>
                </c:pt>
                <c:pt idx="1679">
                  <c:v>903.35</c:v>
                </c:pt>
                <c:pt idx="1680">
                  <c:v>912.25</c:v>
                </c:pt>
                <c:pt idx="1681">
                  <c:v>908.25</c:v>
                </c:pt>
                <c:pt idx="1682">
                  <c:v>906.55</c:v>
                </c:pt>
                <c:pt idx="1683">
                  <c:v>912.3</c:v>
                </c:pt>
                <c:pt idx="1684">
                  <c:v>945.5</c:v>
                </c:pt>
                <c:pt idx="1685">
                  <c:v>927.2</c:v>
                </c:pt>
                <c:pt idx="1686">
                  <c:v>933.65</c:v>
                </c:pt>
                <c:pt idx="1687">
                  <c:v>932.1</c:v>
                </c:pt>
                <c:pt idx="1688">
                  <c:v>940.55</c:v>
                </c:pt>
                <c:pt idx="1689">
                  <c:v>927.85</c:v>
                </c:pt>
                <c:pt idx="1690">
                  <c:v>928</c:v>
                </c:pt>
                <c:pt idx="1691">
                  <c:v>935.1</c:v>
                </c:pt>
                <c:pt idx="1692">
                  <c:v>914.9</c:v>
                </c:pt>
                <c:pt idx="1693">
                  <c:v>920.65</c:v>
                </c:pt>
                <c:pt idx="1694">
                  <c:v>941.05</c:v>
                </c:pt>
                <c:pt idx="1695">
                  <c:v>939.4</c:v>
                </c:pt>
                <c:pt idx="1696">
                  <c:v>924.9</c:v>
                </c:pt>
                <c:pt idx="1697">
                  <c:v>914.9</c:v>
                </c:pt>
                <c:pt idx="1698">
                  <c:v>891.55</c:v>
                </c:pt>
                <c:pt idx="1699">
                  <c:v>877.45</c:v>
                </c:pt>
                <c:pt idx="1700">
                  <c:v>887.45</c:v>
                </c:pt>
                <c:pt idx="1701">
                  <c:v>909.65</c:v>
                </c:pt>
                <c:pt idx="1702">
                  <c:v>869.95</c:v>
                </c:pt>
                <c:pt idx="1703">
                  <c:v>909.05</c:v>
                </c:pt>
                <c:pt idx="1704">
                  <c:v>887.7</c:v>
                </c:pt>
                <c:pt idx="1705">
                  <c:v>863.15</c:v>
                </c:pt>
                <c:pt idx="1706">
                  <c:v>863.45</c:v>
                </c:pt>
                <c:pt idx="1707">
                  <c:v>821.65</c:v>
                </c:pt>
                <c:pt idx="1708">
                  <c:v>821.8</c:v>
                </c:pt>
                <c:pt idx="1709">
                  <c:v>807.85</c:v>
                </c:pt>
                <c:pt idx="1710">
                  <c:v>785.05</c:v>
                </c:pt>
                <c:pt idx="1711">
                  <c:v>786.05</c:v>
                </c:pt>
                <c:pt idx="1712">
                  <c:v>786.3</c:v>
                </c:pt>
                <c:pt idx="1713">
                  <c:v>805.05</c:v>
                </c:pt>
                <c:pt idx="1714">
                  <c:v>825.6</c:v>
                </c:pt>
                <c:pt idx="1715">
                  <c:v>837.5</c:v>
                </c:pt>
                <c:pt idx="1716">
                  <c:v>843.05</c:v>
                </c:pt>
                <c:pt idx="1717">
                  <c:v>830.65</c:v>
                </c:pt>
                <c:pt idx="1718">
                  <c:v>827.95</c:v>
                </c:pt>
                <c:pt idx="1719">
                  <c:v>839.5</c:v>
                </c:pt>
                <c:pt idx="1720">
                  <c:v>873</c:v>
                </c:pt>
                <c:pt idx="1721">
                  <c:v>863.55</c:v>
                </c:pt>
                <c:pt idx="1722">
                  <c:v>915.4</c:v>
                </c:pt>
                <c:pt idx="1723">
                  <c:v>927.4</c:v>
                </c:pt>
                <c:pt idx="1724">
                  <c:v>906.05</c:v>
                </c:pt>
                <c:pt idx="1725">
                  <c:v>912.3</c:v>
                </c:pt>
                <c:pt idx="1726">
                  <c:v>897.35</c:v>
                </c:pt>
                <c:pt idx="1727">
                  <c:v>926.65</c:v>
                </c:pt>
                <c:pt idx="1728">
                  <c:v>916.55</c:v>
                </c:pt>
                <c:pt idx="1729">
                  <c:v>914.6</c:v>
                </c:pt>
                <c:pt idx="1730">
                  <c:v>906.2</c:v>
                </c:pt>
                <c:pt idx="1731">
                  <c:v>924.7</c:v>
                </c:pt>
                <c:pt idx="1732">
                  <c:v>963.7</c:v>
                </c:pt>
                <c:pt idx="1733">
                  <c:v>971.55</c:v>
                </c:pt>
                <c:pt idx="1734">
                  <c:v>950.25</c:v>
                </c:pt>
                <c:pt idx="1735">
                  <c:v>975.7</c:v>
                </c:pt>
                <c:pt idx="1736">
                  <c:v>974.4</c:v>
                </c:pt>
                <c:pt idx="1737">
                  <c:v>986.05</c:v>
                </c:pt>
                <c:pt idx="1738">
                  <c:v>1000.6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3-491D-9601-22E88BE6E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215029"/>
        <c:axId val="953559125"/>
      </c:lineChart>
      <c:catAx>
        <c:axId val="980215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3559125"/>
        <c:crosses val="autoZero"/>
        <c:auto val="1"/>
        <c:lblAlgn val="ctr"/>
        <c:lblOffset val="100"/>
        <c:noMultiLvlLbl val="1"/>
      </c:catAx>
      <c:valAx>
        <c:axId val="953559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021502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Glaxo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'Stock Data'!$B$2:$B$1740</c:f>
              <c:numCache>
                <c:formatCode>General</c:formatCode>
                <c:ptCount val="1739"/>
                <c:pt idx="0">
                  <c:v>1625.65</c:v>
                </c:pt>
                <c:pt idx="1">
                  <c:v>1616.8</c:v>
                </c:pt>
                <c:pt idx="2">
                  <c:v>1638.5</c:v>
                </c:pt>
                <c:pt idx="3">
                  <c:v>1648.7</c:v>
                </c:pt>
                <c:pt idx="4">
                  <c:v>1639.8</c:v>
                </c:pt>
                <c:pt idx="5">
                  <c:v>1629.45</c:v>
                </c:pt>
                <c:pt idx="6">
                  <c:v>1583.85</c:v>
                </c:pt>
                <c:pt idx="7">
                  <c:v>1571.3</c:v>
                </c:pt>
                <c:pt idx="8">
                  <c:v>1573.55</c:v>
                </c:pt>
                <c:pt idx="9">
                  <c:v>1570.4</c:v>
                </c:pt>
                <c:pt idx="10">
                  <c:v>1562.5</c:v>
                </c:pt>
                <c:pt idx="11">
                  <c:v>1559.95</c:v>
                </c:pt>
                <c:pt idx="12">
                  <c:v>1563.45</c:v>
                </c:pt>
                <c:pt idx="13">
                  <c:v>1539.55</c:v>
                </c:pt>
                <c:pt idx="14">
                  <c:v>1514.3</c:v>
                </c:pt>
                <c:pt idx="15">
                  <c:v>1532.05</c:v>
                </c:pt>
                <c:pt idx="16">
                  <c:v>1523.4</c:v>
                </c:pt>
                <c:pt idx="17">
                  <c:v>1526</c:v>
                </c:pt>
                <c:pt idx="18">
                  <c:v>1520.45</c:v>
                </c:pt>
                <c:pt idx="19">
                  <c:v>1540.75</c:v>
                </c:pt>
                <c:pt idx="20">
                  <c:v>1540.15</c:v>
                </c:pt>
                <c:pt idx="21">
                  <c:v>1564.8</c:v>
                </c:pt>
                <c:pt idx="22">
                  <c:v>1561.3</c:v>
                </c:pt>
                <c:pt idx="23">
                  <c:v>1559.95</c:v>
                </c:pt>
                <c:pt idx="24">
                  <c:v>1561.9</c:v>
                </c:pt>
                <c:pt idx="25">
                  <c:v>1529.1</c:v>
                </c:pt>
                <c:pt idx="26">
                  <c:v>1530.4</c:v>
                </c:pt>
                <c:pt idx="27">
                  <c:v>1561.05</c:v>
                </c:pt>
                <c:pt idx="28">
                  <c:v>1578.85</c:v>
                </c:pt>
                <c:pt idx="29">
                  <c:v>1578.95</c:v>
                </c:pt>
                <c:pt idx="30">
                  <c:v>1569.3</c:v>
                </c:pt>
                <c:pt idx="31">
                  <c:v>1584.45</c:v>
                </c:pt>
                <c:pt idx="32">
                  <c:v>1580.35</c:v>
                </c:pt>
                <c:pt idx="33">
                  <c:v>1651.55</c:v>
                </c:pt>
                <c:pt idx="34">
                  <c:v>1680.25</c:v>
                </c:pt>
                <c:pt idx="35">
                  <c:v>1711.35</c:v>
                </c:pt>
                <c:pt idx="36">
                  <c:v>1710.2</c:v>
                </c:pt>
                <c:pt idx="37">
                  <c:v>1722.8</c:v>
                </c:pt>
                <c:pt idx="38">
                  <c:v>1709.9</c:v>
                </c:pt>
                <c:pt idx="39">
                  <c:v>1707.1</c:v>
                </c:pt>
                <c:pt idx="40">
                  <c:v>1710</c:v>
                </c:pt>
                <c:pt idx="41">
                  <c:v>1739.55</c:v>
                </c:pt>
                <c:pt idx="42">
                  <c:v>1741.8</c:v>
                </c:pt>
                <c:pt idx="43">
                  <c:v>1772.55</c:v>
                </c:pt>
                <c:pt idx="44">
                  <c:v>1750.95</c:v>
                </c:pt>
                <c:pt idx="45">
                  <c:v>1767.65</c:v>
                </c:pt>
                <c:pt idx="46">
                  <c:v>1744.95</c:v>
                </c:pt>
                <c:pt idx="47">
                  <c:v>1729.4</c:v>
                </c:pt>
                <c:pt idx="48">
                  <c:v>1697.55</c:v>
                </c:pt>
                <c:pt idx="49">
                  <c:v>1696.75</c:v>
                </c:pt>
                <c:pt idx="50">
                  <c:v>1692.3</c:v>
                </c:pt>
                <c:pt idx="51">
                  <c:v>1702.05</c:v>
                </c:pt>
                <c:pt idx="52">
                  <c:v>1725.2</c:v>
                </c:pt>
                <c:pt idx="53">
                  <c:v>1742.15</c:v>
                </c:pt>
                <c:pt idx="54">
                  <c:v>1745.9</c:v>
                </c:pt>
                <c:pt idx="55">
                  <c:v>1748.35</c:v>
                </c:pt>
                <c:pt idx="56">
                  <c:v>1748.85</c:v>
                </c:pt>
                <c:pt idx="57">
                  <c:v>1757.85</c:v>
                </c:pt>
                <c:pt idx="58">
                  <c:v>1772.3</c:v>
                </c:pt>
                <c:pt idx="59">
                  <c:v>1778</c:v>
                </c:pt>
                <c:pt idx="60">
                  <c:v>1768.85</c:v>
                </c:pt>
                <c:pt idx="61">
                  <c:v>1785.1</c:v>
                </c:pt>
                <c:pt idx="62">
                  <c:v>1762.85</c:v>
                </c:pt>
                <c:pt idx="63">
                  <c:v>1760.95</c:v>
                </c:pt>
                <c:pt idx="64">
                  <c:v>1770.05</c:v>
                </c:pt>
                <c:pt idx="65">
                  <c:v>1780.25</c:v>
                </c:pt>
                <c:pt idx="66">
                  <c:v>1789.75</c:v>
                </c:pt>
                <c:pt idx="67">
                  <c:v>1801.1</c:v>
                </c:pt>
                <c:pt idx="68">
                  <c:v>1810.2</c:v>
                </c:pt>
                <c:pt idx="69">
                  <c:v>1827.8</c:v>
                </c:pt>
                <c:pt idx="70">
                  <c:v>1851.6</c:v>
                </c:pt>
                <c:pt idx="71">
                  <c:v>1863.05</c:v>
                </c:pt>
                <c:pt idx="72">
                  <c:v>1917.3</c:v>
                </c:pt>
                <c:pt idx="73">
                  <c:v>1905.15</c:v>
                </c:pt>
                <c:pt idx="74">
                  <c:v>1898.6</c:v>
                </c:pt>
                <c:pt idx="75">
                  <c:v>1883.75</c:v>
                </c:pt>
                <c:pt idx="76">
                  <c:v>1885.45</c:v>
                </c:pt>
                <c:pt idx="77">
                  <c:v>1897.1</c:v>
                </c:pt>
                <c:pt idx="78">
                  <c:v>1882.8</c:v>
                </c:pt>
                <c:pt idx="79">
                  <c:v>1912.95</c:v>
                </c:pt>
                <c:pt idx="80">
                  <c:v>1898.5</c:v>
                </c:pt>
                <c:pt idx="81">
                  <c:v>1888.65</c:v>
                </c:pt>
                <c:pt idx="82">
                  <c:v>1945.6</c:v>
                </c:pt>
                <c:pt idx="83">
                  <c:v>1985.3</c:v>
                </c:pt>
                <c:pt idx="84">
                  <c:v>1942.8</c:v>
                </c:pt>
                <c:pt idx="85">
                  <c:v>1996.1</c:v>
                </c:pt>
                <c:pt idx="86">
                  <c:v>1997.8</c:v>
                </c:pt>
                <c:pt idx="87">
                  <c:v>2057.75</c:v>
                </c:pt>
                <c:pt idx="88">
                  <c:v>2132.4</c:v>
                </c:pt>
                <c:pt idx="89">
                  <c:v>2140</c:v>
                </c:pt>
                <c:pt idx="90">
                  <c:v>2160.4499999999998</c:v>
                </c:pt>
                <c:pt idx="91">
                  <c:v>2174.4</c:v>
                </c:pt>
                <c:pt idx="92">
                  <c:v>2064.3000000000002</c:v>
                </c:pt>
                <c:pt idx="93">
                  <c:v>2085.5500000000002</c:v>
                </c:pt>
                <c:pt idx="94">
                  <c:v>2043.95</c:v>
                </c:pt>
                <c:pt idx="95">
                  <c:v>2025.9</c:v>
                </c:pt>
                <c:pt idx="96">
                  <c:v>2008.95</c:v>
                </c:pt>
                <c:pt idx="97">
                  <c:v>2008.35</c:v>
                </c:pt>
                <c:pt idx="98">
                  <c:v>1981.1</c:v>
                </c:pt>
                <c:pt idx="99">
                  <c:v>1995.9</c:v>
                </c:pt>
                <c:pt idx="100">
                  <c:v>2107.9499999999998</c:v>
                </c:pt>
                <c:pt idx="101">
                  <c:v>2087.9</c:v>
                </c:pt>
                <c:pt idx="102">
                  <c:v>2107.85</c:v>
                </c:pt>
                <c:pt idx="103">
                  <c:v>2080.4499999999998</c:v>
                </c:pt>
                <c:pt idx="104">
                  <c:v>2035.2</c:v>
                </c:pt>
                <c:pt idx="105">
                  <c:v>2030.6</c:v>
                </c:pt>
                <c:pt idx="106">
                  <c:v>2028.55</c:v>
                </c:pt>
                <c:pt idx="107">
                  <c:v>2103.1999999999998</c:v>
                </c:pt>
                <c:pt idx="108">
                  <c:v>2106.3000000000002</c:v>
                </c:pt>
                <c:pt idx="109">
                  <c:v>2076.9</c:v>
                </c:pt>
                <c:pt idx="110">
                  <c:v>2076.1999999999998</c:v>
                </c:pt>
                <c:pt idx="111">
                  <c:v>2077.5</c:v>
                </c:pt>
                <c:pt idx="112">
                  <c:v>2084.6999999999998</c:v>
                </c:pt>
                <c:pt idx="113">
                  <c:v>2096.6999999999998</c:v>
                </c:pt>
                <c:pt idx="114">
                  <c:v>2084.9499999999998</c:v>
                </c:pt>
                <c:pt idx="115">
                  <c:v>2123.25</c:v>
                </c:pt>
                <c:pt idx="116">
                  <c:v>2097.6</c:v>
                </c:pt>
                <c:pt idx="117">
                  <c:v>2119.5500000000002</c:v>
                </c:pt>
                <c:pt idx="118">
                  <c:v>2141.9</c:v>
                </c:pt>
                <c:pt idx="119">
                  <c:v>2174.5500000000002</c:v>
                </c:pt>
                <c:pt idx="120">
                  <c:v>2193.1999999999998</c:v>
                </c:pt>
                <c:pt idx="121">
                  <c:v>2218.25</c:v>
                </c:pt>
                <c:pt idx="122">
                  <c:v>2183.9499999999998</c:v>
                </c:pt>
                <c:pt idx="123">
                  <c:v>2188.6</c:v>
                </c:pt>
                <c:pt idx="124">
                  <c:v>2160.1999999999998</c:v>
                </c:pt>
                <c:pt idx="125">
                  <c:v>2169.4</c:v>
                </c:pt>
                <c:pt idx="126">
                  <c:v>2135.1999999999998</c:v>
                </c:pt>
                <c:pt idx="127">
                  <c:v>2133.4</c:v>
                </c:pt>
                <c:pt idx="128">
                  <c:v>2137.1999999999998</c:v>
                </c:pt>
                <c:pt idx="129">
                  <c:v>2110.0500000000002</c:v>
                </c:pt>
                <c:pt idx="130">
                  <c:v>2085.6</c:v>
                </c:pt>
                <c:pt idx="131">
                  <c:v>2047.3</c:v>
                </c:pt>
                <c:pt idx="132">
                  <c:v>2088.4</c:v>
                </c:pt>
                <c:pt idx="133">
                  <c:v>2074.15</c:v>
                </c:pt>
                <c:pt idx="134">
                  <c:v>2068.9</c:v>
                </c:pt>
                <c:pt idx="135">
                  <c:v>2047.9</c:v>
                </c:pt>
                <c:pt idx="136">
                  <c:v>2026.9</c:v>
                </c:pt>
                <c:pt idx="137">
                  <c:v>2030.95</c:v>
                </c:pt>
                <c:pt idx="138">
                  <c:v>2029.9</c:v>
                </c:pt>
                <c:pt idx="139">
                  <c:v>2076.75</c:v>
                </c:pt>
                <c:pt idx="140">
                  <c:v>2065.0500000000002</c:v>
                </c:pt>
                <c:pt idx="141">
                  <c:v>2060</c:v>
                </c:pt>
                <c:pt idx="142">
                  <c:v>2064.5500000000002</c:v>
                </c:pt>
                <c:pt idx="143">
                  <c:v>2023.3</c:v>
                </c:pt>
                <c:pt idx="144">
                  <c:v>2010.8</c:v>
                </c:pt>
                <c:pt idx="145">
                  <c:v>2014.85</c:v>
                </c:pt>
                <c:pt idx="146">
                  <c:v>2003</c:v>
                </c:pt>
                <c:pt idx="147">
                  <c:v>1998.15</c:v>
                </c:pt>
                <c:pt idx="148">
                  <c:v>2012.15</c:v>
                </c:pt>
                <c:pt idx="149">
                  <c:v>2018.05</c:v>
                </c:pt>
                <c:pt idx="150">
                  <c:v>1995.35</c:v>
                </c:pt>
                <c:pt idx="151">
                  <c:v>1990.35</c:v>
                </c:pt>
                <c:pt idx="152">
                  <c:v>1958.25</c:v>
                </c:pt>
                <c:pt idx="153">
                  <c:v>1950.4</c:v>
                </c:pt>
                <c:pt idx="154">
                  <c:v>1961.8</c:v>
                </c:pt>
                <c:pt idx="155">
                  <c:v>1945.05</c:v>
                </c:pt>
                <c:pt idx="156">
                  <c:v>1961.55</c:v>
                </c:pt>
                <c:pt idx="157">
                  <c:v>1943.7</c:v>
                </c:pt>
                <c:pt idx="158">
                  <c:v>1976</c:v>
                </c:pt>
                <c:pt idx="159">
                  <c:v>2017.05</c:v>
                </c:pt>
                <c:pt idx="160">
                  <c:v>1971.8</c:v>
                </c:pt>
                <c:pt idx="161">
                  <c:v>1945.65</c:v>
                </c:pt>
                <c:pt idx="162">
                  <c:v>1889.8</c:v>
                </c:pt>
                <c:pt idx="163">
                  <c:v>1873.45</c:v>
                </c:pt>
                <c:pt idx="164">
                  <c:v>1872.85</c:v>
                </c:pt>
                <c:pt idx="165">
                  <c:v>1894</c:v>
                </c:pt>
                <c:pt idx="166">
                  <c:v>1860.7</c:v>
                </c:pt>
                <c:pt idx="167">
                  <c:v>1880.25</c:v>
                </c:pt>
                <c:pt idx="168">
                  <c:v>1906.7</c:v>
                </c:pt>
                <c:pt idx="169">
                  <c:v>1916.4</c:v>
                </c:pt>
                <c:pt idx="170">
                  <c:v>1916.85</c:v>
                </c:pt>
                <c:pt idx="171">
                  <c:v>1916.8</c:v>
                </c:pt>
                <c:pt idx="172">
                  <c:v>1918.35</c:v>
                </c:pt>
                <c:pt idx="173">
                  <c:v>1916.8</c:v>
                </c:pt>
                <c:pt idx="174">
                  <c:v>1953.85</c:v>
                </c:pt>
                <c:pt idx="175">
                  <c:v>1938.5</c:v>
                </c:pt>
                <c:pt idx="176">
                  <c:v>1928.35</c:v>
                </c:pt>
                <c:pt idx="177">
                  <c:v>1916.8</c:v>
                </c:pt>
                <c:pt idx="178">
                  <c:v>1956.3</c:v>
                </c:pt>
                <c:pt idx="179">
                  <c:v>2026.9</c:v>
                </c:pt>
                <c:pt idx="180">
                  <c:v>2070.25</c:v>
                </c:pt>
                <c:pt idx="181">
                  <c:v>2087.3000000000002</c:v>
                </c:pt>
                <c:pt idx="182">
                  <c:v>2084.8000000000002</c:v>
                </c:pt>
                <c:pt idx="183">
                  <c:v>2112.75</c:v>
                </c:pt>
                <c:pt idx="184">
                  <c:v>2157.1</c:v>
                </c:pt>
                <c:pt idx="185">
                  <c:v>2158.65</c:v>
                </c:pt>
                <c:pt idx="186">
                  <c:v>2240.9499999999998</c:v>
                </c:pt>
                <c:pt idx="187">
                  <c:v>2209.9499999999998</c:v>
                </c:pt>
                <c:pt idx="188">
                  <c:v>2251.0500000000002</c:v>
                </c:pt>
                <c:pt idx="189">
                  <c:v>2301.8000000000002</c:v>
                </c:pt>
                <c:pt idx="190">
                  <c:v>2285.15</c:v>
                </c:pt>
                <c:pt idx="191">
                  <c:v>2290.5</c:v>
                </c:pt>
                <c:pt idx="192">
                  <c:v>2275.0500000000002</c:v>
                </c:pt>
                <c:pt idx="193">
                  <c:v>2293.4</c:v>
                </c:pt>
                <c:pt idx="194">
                  <c:v>2286.15</c:v>
                </c:pt>
                <c:pt idx="195">
                  <c:v>2288.85</c:v>
                </c:pt>
                <c:pt idx="196">
                  <c:v>2295.0500000000002</c:v>
                </c:pt>
                <c:pt idx="197">
                  <c:v>2305.1</c:v>
                </c:pt>
                <c:pt idx="198">
                  <c:v>2300.75</c:v>
                </c:pt>
                <c:pt idx="199">
                  <c:v>2351.1999999999998</c:v>
                </c:pt>
                <c:pt idx="200">
                  <c:v>2353</c:v>
                </c:pt>
                <c:pt idx="201">
                  <c:v>2361.1</c:v>
                </c:pt>
                <c:pt idx="202">
                  <c:v>2352.6999999999998</c:v>
                </c:pt>
                <c:pt idx="203">
                  <c:v>2348</c:v>
                </c:pt>
                <c:pt idx="204">
                  <c:v>2352.35</c:v>
                </c:pt>
                <c:pt idx="205">
                  <c:v>2308.8000000000002</c:v>
                </c:pt>
                <c:pt idx="206">
                  <c:v>2261.9</c:v>
                </c:pt>
                <c:pt idx="207">
                  <c:v>2258.9</c:v>
                </c:pt>
                <c:pt idx="208">
                  <c:v>2222.4499999999998</c:v>
                </c:pt>
                <c:pt idx="209">
                  <c:v>2199.0500000000002</c:v>
                </c:pt>
                <c:pt idx="210">
                  <c:v>2240.85</c:v>
                </c:pt>
                <c:pt idx="211">
                  <c:v>2220.1</c:v>
                </c:pt>
                <c:pt idx="212">
                  <c:v>2224.6</c:v>
                </c:pt>
                <c:pt idx="213">
                  <c:v>2276.1</c:v>
                </c:pt>
                <c:pt idx="214">
                  <c:v>2293.5</c:v>
                </c:pt>
                <c:pt idx="215">
                  <c:v>2302.1</c:v>
                </c:pt>
                <c:pt idx="216">
                  <c:v>2255.75</c:v>
                </c:pt>
                <c:pt idx="217">
                  <c:v>2254.5</c:v>
                </c:pt>
                <c:pt idx="218">
                  <c:v>2228.3000000000002</c:v>
                </c:pt>
                <c:pt idx="219">
                  <c:v>2233.0500000000002</c:v>
                </c:pt>
                <c:pt idx="220">
                  <c:v>2270.35</c:v>
                </c:pt>
                <c:pt idx="221">
                  <c:v>2277.1999999999998</c:v>
                </c:pt>
                <c:pt idx="222">
                  <c:v>2227.6999999999998</c:v>
                </c:pt>
                <c:pt idx="223">
                  <c:v>2261.85</c:v>
                </c:pt>
                <c:pt idx="224">
                  <c:v>2240.4</c:v>
                </c:pt>
                <c:pt idx="225">
                  <c:v>2208.5</c:v>
                </c:pt>
                <c:pt idx="226">
                  <c:v>2098.0500000000002</c:v>
                </c:pt>
                <c:pt idx="227">
                  <c:v>2107.25</c:v>
                </c:pt>
                <c:pt idx="228">
                  <c:v>2118.15</c:v>
                </c:pt>
                <c:pt idx="229">
                  <c:v>2130.6</c:v>
                </c:pt>
                <c:pt idx="230">
                  <c:v>2170.25</c:v>
                </c:pt>
                <c:pt idx="231">
                  <c:v>2163.8000000000002</c:v>
                </c:pt>
                <c:pt idx="232">
                  <c:v>2131.25</c:v>
                </c:pt>
                <c:pt idx="233">
                  <c:v>2131.35</c:v>
                </c:pt>
                <c:pt idx="234">
                  <c:v>2150.9</c:v>
                </c:pt>
                <c:pt idx="235">
                  <c:v>2146.25</c:v>
                </c:pt>
                <c:pt idx="236">
                  <c:v>2130.5500000000002</c:v>
                </c:pt>
                <c:pt idx="237">
                  <c:v>2135.85</c:v>
                </c:pt>
                <c:pt idx="238">
                  <c:v>2156.1999999999998</c:v>
                </c:pt>
                <c:pt idx="239">
                  <c:v>2196.4</c:v>
                </c:pt>
                <c:pt idx="240">
                  <c:v>2193</c:v>
                </c:pt>
                <c:pt idx="241">
                  <c:v>2195.0500000000002</c:v>
                </c:pt>
                <c:pt idx="242">
                  <c:v>2201.85</c:v>
                </c:pt>
                <c:pt idx="243">
                  <c:v>2200.25</c:v>
                </c:pt>
                <c:pt idx="244">
                  <c:v>2201.4</c:v>
                </c:pt>
                <c:pt idx="245">
                  <c:v>2205.3000000000002</c:v>
                </c:pt>
                <c:pt idx="246">
                  <c:v>2212.1</c:v>
                </c:pt>
                <c:pt idx="247">
                  <c:v>2226.9</c:v>
                </c:pt>
                <c:pt idx="248">
                  <c:v>2238.75</c:v>
                </c:pt>
                <c:pt idx="249">
                  <c:v>2281.3000000000002</c:v>
                </c:pt>
                <c:pt idx="250">
                  <c:v>2324.9</c:v>
                </c:pt>
                <c:pt idx="251">
                  <c:v>2337.5</c:v>
                </c:pt>
                <c:pt idx="252">
                  <c:v>2342.6</c:v>
                </c:pt>
                <c:pt idx="253">
                  <c:v>2347.8000000000002</c:v>
                </c:pt>
                <c:pt idx="254">
                  <c:v>2381.75</c:v>
                </c:pt>
                <c:pt idx="255">
                  <c:v>2400.1999999999998</c:v>
                </c:pt>
                <c:pt idx="256">
                  <c:v>2376.75</c:v>
                </c:pt>
                <c:pt idx="257">
                  <c:v>2390.1</c:v>
                </c:pt>
                <c:pt idx="258">
                  <c:v>2383.6</c:v>
                </c:pt>
                <c:pt idx="259">
                  <c:v>2391.6999999999998</c:v>
                </c:pt>
                <c:pt idx="260">
                  <c:v>2343.35</c:v>
                </c:pt>
                <c:pt idx="261">
                  <c:v>2331.35</c:v>
                </c:pt>
                <c:pt idx="262">
                  <c:v>2314.9499999999998</c:v>
                </c:pt>
                <c:pt idx="263">
                  <c:v>2313.6999999999998</c:v>
                </c:pt>
                <c:pt idx="264">
                  <c:v>2301.9499999999998</c:v>
                </c:pt>
                <c:pt idx="265">
                  <c:v>2257.1</c:v>
                </c:pt>
                <c:pt idx="266">
                  <c:v>2280.6</c:v>
                </c:pt>
                <c:pt idx="267">
                  <c:v>2241.4</c:v>
                </c:pt>
                <c:pt idx="268">
                  <c:v>2269.6</c:v>
                </c:pt>
                <c:pt idx="269">
                  <c:v>2234.75</c:v>
                </c:pt>
                <c:pt idx="270">
                  <c:v>2278.5500000000002</c:v>
                </c:pt>
                <c:pt idx="271">
                  <c:v>2284.65</c:v>
                </c:pt>
                <c:pt idx="272">
                  <c:v>2265</c:v>
                </c:pt>
                <c:pt idx="273">
                  <c:v>2257.35</c:v>
                </c:pt>
                <c:pt idx="274">
                  <c:v>2242.1999999999998</c:v>
                </c:pt>
                <c:pt idx="275">
                  <c:v>2230.35</c:v>
                </c:pt>
                <c:pt idx="276">
                  <c:v>2233.5</c:v>
                </c:pt>
                <c:pt idx="277">
                  <c:v>2241.75</c:v>
                </c:pt>
                <c:pt idx="278">
                  <c:v>2197.8000000000002</c:v>
                </c:pt>
                <c:pt idx="279">
                  <c:v>2210.5500000000002</c:v>
                </c:pt>
                <c:pt idx="280">
                  <c:v>2213.9</c:v>
                </c:pt>
                <c:pt idx="281">
                  <c:v>2201.1</c:v>
                </c:pt>
                <c:pt idx="282">
                  <c:v>2222.3000000000002</c:v>
                </c:pt>
                <c:pt idx="283">
                  <c:v>2218.5</c:v>
                </c:pt>
                <c:pt idx="284">
                  <c:v>2230.9499999999998</c:v>
                </c:pt>
                <c:pt idx="285">
                  <c:v>2221.6999999999998</c:v>
                </c:pt>
                <c:pt idx="286">
                  <c:v>2233.35</c:v>
                </c:pt>
                <c:pt idx="287">
                  <c:v>2235.9</c:v>
                </c:pt>
                <c:pt idx="288">
                  <c:v>2221.65</c:v>
                </c:pt>
                <c:pt idx="289">
                  <c:v>2218.9</c:v>
                </c:pt>
                <c:pt idx="290">
                  <c:v>2221.35</c:v>
                </c:pt>
                <c:pt idx="291">
                  <c:v>2208.5500000000002</c:v>
                </c:pt>
                <c:pt idx="292">
                  <c:v>2198.0500000000002</c:v>
                </c:pt>
                <c:pt idx="293">
                  <c:v>2178</c:v>
                </c:pt>
                <c:pt idx="294">
                  <c:v>2166.5500000000002</c:v>
                </c:pt>
                <c:pt idx="295">
                  <c:v>2149.6</c:v>
                </c:pt>
                <c:pt idx="296">
                  <c:v>2162.1</c:v>
                </c:pt>
                <c:pt idx="297">
                  <c:v>2182.75</c:v>
                </c:pt>
                <c:pt idx="298">
                  <c:v>2187.75</c:v>
                </c:pt>
                <c:pt idx="299">
                  <c:v>2171.9499999999998</c:v>
                </c:pt>
                <c:pt idx="300">
                  <c:v>2122.4</c:v>
                </c:pt>
                <c:pt idx="301">
                  <c:v>2085.4</c:v>
                </c:pt>
                <c:pt idx="302">
                  <c:v>2045.25</c:v>
                </c:pt>
                <c:pt idx="303">
                  <c:v>2099.3000000000002</c:v>
                </c:pt>
                <c:pt idx="304">
                  <c:v>2039.8</c:v>
                </c:pt>
                <c:pt idx="305">
                  <c:v>2043.5</c:v>
                </c:pt>
                <c:pt idx="306">
                  <c:v>2039.75</c:v>
                </c:pt>
                <c:pt idx="307">
                  <c:v>2024.75</c:v>
                </c:pt>
                <c:pt idx="308">
                  <c:v>2096.1999999999998</c:v>
                </c:pt>
                <c:pt idx="309">
                  <c:v>2097.4499999999998</c:v>
                </c:pt>
                <c:pt idx="310">
                  <c:v>2097.35</c:v>
                </c:pt>
                <c:pt idx="311">
                  <c:v>2080.4499999999998</c:v>
                </c:pt>
                <c:pt idx="312">
                  <c:v>2095.4499999999998</c:v>
                </c:pt>
                <c:pt idx="313">
                  <c:v>2062.9499999999998</c:v>
                </c:pt>
                <c:pt idx="314">
                  <c:v>2090.9</c:v>
                </c:pt>
                <c:pt idx="315">
                  <c:v>2121.5500000000002</c:v>
                </c:pt>
                <c:pt idx="316">
                  <c:v>2112.5500000000002</c:v>
                </c:pt>
                <c:pt idx="317">
                  <c:v>2129.9</c:v>
                </c:pt>
                <c:pt idx="318">
                  <c:v>2148.85</c:v>
                </c:pt>
                <c:pt idx="319">
                  <c:v>2177.9</c:v>
                </c:pt>
                <c:pt idx="320">
                  <c:v>2147.75</c:v>
                </c:pt>
                <c:pt idx="321">
                  <c:v>2134.5500000000002</c:v>
                </c:pt>
                <c:pt idx="322">
                  <c:v>2104.9</c:v>
                </c:pt>
                <c:pt idx="323">
                  <c:v>2120.4</c:v>
                </c:pt>
                <c:pt idx="324">
                  <c:v>2119</c:v>
                </c:pt>
                <c:pt idx="325">
                  <c:v>2114.15</c:v>
                </c:pt>
                <c:pt idx="326">
                  <c:v>2111.5500000000002</c:v>
                </c:pt>
                <c:pt idx="327">
                  <c:v>2109</c:v>
                </c:pt>
                <c:pt idx="328">
                  <c:v>2115</c:v>
                </c:pt>
                <c:pt idx="329">
                  <c:v>2193.9</c:v>
                </c:pt>
                <c:pt idx="330">
                  <c:v>2227.9</c:v>
                </c:pt>
                <c:pt idx="331">
                  <c:v>2257.65</c:v>
                </c:pt>
                <c:pt idx="332">
                  <c:v>2273</c:v>
                </c:pt>
                <c:pt idx="333">
                  <c:v>2292.5</c:v>
                </c:pt>
                <c:pt idx="334">
                  <c:v>2336</c:v>
                </c:pt>
                <c:pt idx="335">
                  <c:v>2255.65</c:v>
                </c:pt>
                <c:pt idx="336">
                  <c:v>2294.35</c:v>
                </c:pt>
                <c:pt idx="337">
                  <c:v>2293.4</c:v>
                </c:pt>
                <c:pt idx="338">
                  <c:v>2303.9</c:v>
                </c:pt>
                <c:pt idx="339">
                  <c:v>2334.1999999999998</c:v>
                </c:pt>
                <c:pt idx="340">
                  <c:v>2340.4499999999998</c:v>
                </c:pt>
                <c:pt idx="341">
                  <c:v>2339.5</c:v>
                </c:pt>
                <c:pt idx="342">
                  <c:v>2372.1999999999998</c:v>
                </c:pt>
                <c:pt idx="343">
                  <c:v>2359.9</c:v>
                </c:pt>
                <c:pt idx="344">
                  <c:v>2335.4</c:v>
                </c:pt>
                <c:pt idx="345">
                  <c:v>2320.15</c:v>
                </c:pt>
                <c:pt idx="346">
                  <c:v>2333.6</c:v>
                </c:pt>
                <c:pt idx="347">
                  <c:v>2333.5500000000002</c:v>
                </c:pt>
                <c:pt idx="348">
                  <c:v>2341.35</c:v>
                </c:pt>
                <c:pt idx="349">
                  <c:v>2339.3000000000002</c:v>
                </c:pt>
                <c:pt idx="350">
                  <c:v>2328.65</c:v>
                </c:pt>
                <c:pt idx="351">
                  <c:v>2336.8000000000002</c:v>
                </c:pt>
                <c:pt idx="352">
                  <c:v>2312.1999999999998</c:v>
                </c:pt>
                <c:pt idx="353">
                  <c:v>2321.5</c:v>
                </c:pt>
                <c:pt idx="354">
                  <c:v>2360.65</c:v>
                </c:pt>
                <c:pt idx="355">
                  <c:v>2366.6999999999998</c:v>
                </c:pt>
                <c:pt idx="356">
                  <c:v>2394.5500000000002</c:v>
                </c:pt>
                <c:pt idx="357">
                  <c:v>2369</c:v>
                </c:pt>
                <c:pt idx="358">
                  <c:v>2359.3000000000002</c:v>
                </c:pt>
                <c:pt idx="359">
                  <c:v>2360.0500000000002</c:v>
                </c:pt>
                <c:pt idx="360">
                  <c:v>2364.6999999999998</c:v>
                </c:pt>
                <c:pt idx="361">
                  <c:v>2402.3000000000002</c:v>
                </c:pt>
                <c:pt idx="362">
                  <c:v>2433.1999999999998</c:v>
                </c:pt>
                <c:pt idx="363">
                  <c:v>2434.4499999999998</c:v>
                </c:pt>
                <c:pt idx="364">
                  <c:v>2445.1999999999998</c:v>
                </c:pt>
                <c:pt idx="365">
                  <c:v>2459.9</c:v>
                </c:pt>
                <c:pt idx="366">
                  <c:v>2350.85</c:v>
                </c:pt>
                <c:pt idx="367">
                  <c:v>2327.6</c:v>
                </c:pt>
                <c:pt idx="368">
                  <c:v>2320.75</c:v>
                </c:pt>
                <c:pt idx="369">
                  <c:v>2317.4499999999998</c:v>
                </c:pt>
                <c:pt idx="370">
                  <c:v>2316.85</c:v>
                </c:pt>
                <c:pt idx="371">
                  <c:v>2338.5</c:v>
                </c:pt>
                <c:pt idx="372">
                  <c:v>2326.5500000000002</c:v>
                </c:pt>
                <c:pt idx="373">
                  <c:v>2331.9499999999998</c:v>
                </c:pt>
                <c:pt idx="374">
                  <c:v>2357.4</c:v>
                </c:pt>
                <c:pt idx="375">
                  <c:v>2350.15</c:v>
                </c:pt>
                <c:pt idx="376">
                  <c:v>2346.1</c:v>
                </c:pt>
                <c:pt idx="377">
                  <c:v>2356.1</c:v>
                </c:pt>
                <c:pt idx="378">
                  <c:v>2335.5500000000002</c:v>
                </c:pt>
                <c:pt idx="379">
                  <c:v>2331.6999999999998</c:v>
                </c:pt>
                <c:pt idx="380">
                  <c:v>2353.15</c:v>
                </c:pt>
                <c:pt idx="381">
                  <c:v>2318.15</c:v>
                </c:pt>
                <c:pt idx="382">
                  <c:v>2329.4</c:v>
                </c:pt>
                <c:pt idx="383">
                  <c:v>2330.35</c:v>
                </c:pt>
                <c:pt idx="384">
                  <c:v>2325.85</c:v>
                </c:pt>
                <c:pt idx="385">
                  <c:v>2326.3000000000002</c:v>
                </c:pt>
                <c:pt idx="386">
                  <c:v>2345.15</c:v>
                </c:pt>
                <c:pt idx="387">
                  <c:v>2301.25</c:v>
                </c:pt>
                <c:pt idx="388">
                  <c:v>2311.1999999999998</c:v>
                </c:pt>
                <c:pt idx="389">
                  <c:v>2297.15</c:v>
                </c:pt>
                <c:pt idx="390">
                  <c:v>2320.4499999999998</c:v>
                </c:pt>
                <c:pt idx="391">
                  <c:v>2316.0500000000002</c:v>
                </c:pt>
                <c:pt idx="392">
                  <c:v>2345.4</c:v>
                </c:pt>
                <c:pt idx="393">
                  <c:v>2315.5</c:v>
                </c:pt>
                <c:pt idx="394">
                  <c:v>2302.6</c:v>
                </c:pt>
                <c:pt idx="395">
                  <c:v>2381.1</c:v>
                </c:pt>
                <c:pt idx="396">
                  <c:v>2344.9</c:v>
                </c:pt>
                <c:pt idx="397">
                  <c:v>2307.35</c:v>
                </c:pt>
                <c:pt idx="398">
                  <c:v>2292.25</c:v>
                </c:pt>
                <c:pt idx="399">
                  <c:v>2275.6</c:v>
                </c:pt>
                <c:pt idx="400">
                  <c:v>2280.9499999999998</c:v>
                </c:pt>
                <c:pt idx="401">
                  <c:v>2200.9</c:v>
                </c:pt>
                <c:pt idx="402">
                  <c:v>2136.5500000000002</c:v>
                </c:pt>
                <c:pt idx="403">
                  <c:v>2112.15</c:v>
                </c:pt>
                <c:pt idx="404">
                  <c:v>2118.4499999999998</c:v>
                </c:pt>
                <c:pt idx="405">
                  <c:v>2158.4499999999998</c:v>
                </c:pt>
                <c:pt idx="406">
                  <c:v>2139.65</c:v>
                </c:pt>
                <c:pt idx="407">
                  <c:v>2135.4499999999998</c:v>
                </c:pt>
                <c:pt idx="408">
                  <c:v>2147.9</c:v>
                </c:pt>
                <c:pt idx="409">
                  <c:v>2151.9499999999998</c:v>
                </c:pt>
                <c:pt idx="410">
                  <c:v>2146.4499999999998</c:v>
                </c:pt>
                <c:pt idx="411">
                  <c:v>2158.1999999999998</c:v>
                </c:pt>
                <c:pt idx="412">
                  <c:v>2166.35</c:v>
                </c:pt>
                <c:pt idx="413">
                  <c:v>2149.65</c:v>
                </c:pt>
                <c:pt idx="414">
                  <c:v>2104.6999999999998</c:v>
                </c:pt>
                <c:pt idx="415">
                  <c:v>2125.25</c:v>
                </c:pt>
                <c:pt idx="416">
                  <c:v>2108.4</c:v>
                </c:pt>
                <c:pt idx="417">
                  <c:v>2119.6</c:v>
                </c:pt>
                <c:pt idx="418">
                  <c:v>2130.6</c:v>
                </c:pt>
                <c:pt idx="419">
                  <c:v>2129.9</c:v>
                </c:pt>
                <c:pt idx="420">
                  <c:v>2130.75</c:v>
                </c:pt>
                <c:pt idx="421">
                  <c:v>2123.35</c:v>
                </c:pt>
                <c:pt idx="422">
                  <c:v>2117.15</c:v>
                </c:pt>
                <c:pt idx="423">
                  <c:v>2094.35</c:v>
                </c:pt>
                <c:pt idx="424">
                  <c:v>2076.9499999999998</c:v>
                </c:pt>
                <c:pt idx="425">
                  <c:v>2059.6999999999998</c:v>
                </c:pt>
                <c:pt idx="426">
                  <c:v>2043.85</c:v>
                </c:pt>
                <c:pt idx="427">
                  <c:v>2059.5500000000002</c:v>
                </c:pt>
                <c:pt idx="428">
                  <c:v>2052.75</c:v>
                </c:pt>
                <c:pt idx="429">
                  <c:v>2067.6</c:v>
                </c:pt>
                <c:pt idx="430">
                  <c:v>2058.5</c:v>
                </c:pt>
                <c:pt idx="431">
                  <c:v>2069.75</c:v>
                </c:pt>
                <c:pt idx="432">
                  <c:v>2051.35</c:v>
                </c:pt>
                <c:pt idx="433">
                  <c:v>2004.65</c:v>
                </c:pt>
                <c:pt idx="434">
                  <c:v>2022.8</c:v>
                </c:pt>
                <c:pt idx="435">
                  <c:v>2064.8000000000002</c:v>
                </c:pt>
                <c:pt idx="436">
                  <c:v>2093.9499999999998</c:v>
                </c:pt>
                <c:pt idx="437">
                  <c:v>2085.8000000000002</c:v>
                </c:pt>
                <c:pt idx="438">
                  <c:v>2091</c:v>
                </c:pt>
                <c:pt idx="439">
                  <c:v>2098.9499999999998</c:v>
                </c:pt>
                <c:pt idx="440">
                  <c:v>2100.4</c:v>
                </c:pt>
                <c:pt idx="441">
                  <c:v>2091.6999999999998</c:v>
                </c:pt>
                <c:pt idx="442">
                  <c:v>2098.85</c:v>
                </c:pt>
                <c:pt idx="443">
                  <c:v>2083.25</c:v>
                </c:pt>
                <c:pt idx="444">
                  <c:v>2059.5500000000002</c:v>
                </c:pt>
                <c:pt idx="445">
                  <c:v>2047.05</c:v>
                </c:pt>
                <c:pt idx="446">
                  <c:v>2058.25</c:v>
                </c:pt>
                <c:pt idx="447">
                  <c:v>2061.9499999999998</c:v>
                </c:pt>
                <c:pt idx="448">
                  <c:v>2075.0500000000002</c:v>
                </c:pt>
                <c:pt idx="449">
                  <c:v>2071.25</c:v>
                </c:pt>
                <c:pt idx="450">
                  <c:v>2093.35</c:v>
                </c:pt>
                <c:pt idx="451">
                  <c:v>2091.4</c:v>
                </c:pt>
                <c:pt idx="452">
                  <c:v>2106.0500000000002</c:v>
                </c:pt>
                <c:pt idx="453">
                  <c:v>2087.1999999999998</c:v>
                </c:pt>
                <c:pt idx="454">
                  <c:v>2097.4499999999998</c:v>
                </c:pt>
                <c:pt idx="455">
                  <c:v>2102.9</c:v>
                </c:pt>
                <c:pt idx="456">
                  <c:v>2120.65</c:v>
                </c:pt>
                <c:pt idx="457">
                  <c:v>2057.6</c:v>
                </c:pt>
                <c:pt idx="458">
                  <c:v>2103.5</c:v>
                </c:pt>
                <c:pt idx="459">
                  <c:v>2102.5500000000002</c:v>
                </c:pt>
                <c:pt idx="460">
                  <c:v>2085.9499999999998</c:v>
                </c:pt>
                <c:pt idx="461">
                  <c:v>2113.5</c:v>
                </c:pt>
                <c:pt idx="462">
                  <c:v>2045.25</c:v>
                </c:pt>
                <c:pt idx="463">
                  <c:v>2007.75</c:v>
                </c:pt>
                <c:pt idx="464">
                  <c:v>2027.65</c:v>
                </c:pt>
                <c:pt idx="465">
                  <c:v>2029.7</c:v>
                </c:pt>
                <c:pt idx="466">
                  <c:v>2003.55</c:v>
                </c:pt>
                <c:pt idx="467">
                  <c:v>1983.2</c:v>
                </c:pt>
                <c:pt idx="468">
                  <c:v>1993.45</c:v>
                </c:pt>
                <c:pt idx="469">
                  <c:v>1998.75</c:v>
                </c:pt>
                <c:pt idx="470">
                  <c:v>1968.65</c:v>
                </c:pt>
                <c:pt idx="471">
                  <c:v>1950.75</c:v>
                </c:pt>
                <c:pt idx="472">
                  <c:v>1902.5</c:v>
                </c:pt>
                <c:pt idx="473">
                  <c:v>1949.8</c:v>
                </c:pt>
                <c:pt idx="474">
                  <c:v>1967.2</c:v>
                </c:pt>
                <c:pt idx="475">
                  <c:v>1953.7</c:v>
                </c:pt>
                <c:pt idx="476">
                  <c:v>1943.55</c:v>
                </c:pt>
                <c:pt idx="477">
                  <c:v>1917.1</c:v>
                </c:pt>
                <c:pt idx="478">
                  <c:v>1900.15</c:v>
                </c:pt>
                <c:pt idx="479">
                  <c:v>1925.7</c:v>
                </c:pt>
                <c:pt idx="480">
                  <c:v>1913.15</c:v>
                </c:pt>
                <c:pt idx="481">
                  <c:v>1909.85</c:v>
                </c:pt>
                <c:pt idx="482">
                  <c:v>1899.3</c:v>
                </c:pt>
                <c:pt idx="483">
                  <c:v>1863.15</c:v>
                </c:pt>
                <c:pt idx="484">
                  <c:v>1864.15</c:v>
                </c:pt>
                <c:pt idx="485">
                  <c:v>1869.6</c:v>
                </c:pt>
                <c:pt idx="486">
                  <c:v>1860</c:v>
                </c:pt>
                <c:pt idx="487">
                  <c:v>1875</c:v>
                </c:pt>
                <c:pt idx="488">
                  <c:v>1840.15</c:v>
                </c:pt>
                <c:pt idx="489">
                  <c:v>1847.8</c:v>
                </c:pt>
                <c:pt idx="490">
                  <c:v>1849.5</c:v>
                </c:pt>
                <c:pt idx="491">
                  <c:v>1868.55</c:v>
                </c:pt>
                <c:pt idx="492">
                  <c:v>1920.85</c:v>
                </c:pt>
                <c:pt idx="493">
                  <c:v>1913.35</c:v>
                </c:pt>
                <c:pt idx="494">
                  <c:v>1919.55</c:v>
                </c:pt>
                <c:pt idx="495">
                  <c:v>1926.05</c:v>
                </c:pt>
                <c:pt idx="496">
                  <c:v>1927.8</c:v>
                </c:pt>
                <c:pt idx="497">
                  <c:v>1938.5</c:v>
                </c:pt>
                <c:pt idx="498">
                  <c:v>1945.15</c:v>
                </c:pt>
                <c:pt idx="499">
                  <c:v>1981.85</c:v>
                </c:pt>
                <c:pt idx="500">
                  <c:v>1986.35</c:v>
                </c:pt>
                <c:pt idx="501">
                  <c:v>1985.55</c:v>
                </c:pt>
                <c:pt idx="502">
                  <c:v>1965.05</c:v>
                </c:pt>
                <c:pt idx="503">
                  <c:v>1951.25</c:v>
                </c:pt>
                <c:pt idx="504">
                  <c:v>1957.55</c:v>
                </c:pt>
                <c:pt idx="505">
                  <c:v>1959.5</c:v>
                </c:pt>
                <c:pt idx="506">
                  <c:v>1969.05</c:v>
                </c:pt>
                <c:pt idx="507">
                  <c:v>1965.55</c:v>
                </c:pt>
                <c:pt idx="508">
                  <c:v>1959.7</c:v>
                </c:pt>
                <c:pt idx="509">
                  <c:v>1963.25</c:v>
                </c:pt>
                <c:pt idx="510">
                  <c:v>1983.65</c:v>
                </c:pt>
                <c:pt idx="511">
                  <c:v>1983.35</c:v>
                </c:pt>
                <c:pt idx="512">
                  <c:v>1979.9</c:v>
                </c:pt>
                <c:pt idx="513">
                  <c:v>1965.8</c:v>
                </c:pt>
                <c:pt idx="514">
                  <c:v>1962.75</c:v>
                </c:pt>
                <c:pt idx="515">
                  <c:v>1958.9</c:v>
                </c:pt>
                <c:pt idx="516">
                  <c:v>1944.85</c:v>
                </c:pt>
                <c:pt idx="517">
                  <c:v>1936.35</c:v>
                </c:pt>
                <c:pt idx="518">
                  <c:v>1946.35</c:v>
                </c:pt>
                <c:pt idx="519">
                  <c:v>1934.45</c:v>
                </c:pt>
                <c:pt idx="520">
                  <c:v>1940.05</c:v>
                </c:pt>
                <c:pt idx="521">
                  <c:v>1939.7</c:v>
                </c:pt>
                <c:pt idx="522">
                  <c:v>1960.5</c:v>
                </c:pt>
                <c:pt idx="523">
                  <c:v>1959.95</c:v>
                </c:pt>
                <c:pt idx="524">
                  <c:v>1982.7</c:v>
                </c:pt>
                <c:pt idx="525">
                  <c:v>2038.3</c:v>
                </c:pt>
                <c:pt idx="526">
                  <c:v>2025.25</c:v>
                </c:pt>
                <c:pt idx="527">
                  <c:v>2039.25</c:v>
                </c:pt>
                <c:pt idx="528">
                  <c:v>2034.55</c:v>
                </c:pt>
                <c:pt idx="529">
                  <c:v>2035.05</c:v>
                </c:pt>
                <c:pt idx="530">
                  <c:v>2042.25</c:v>
                </c:pt>
                <c:pt idx="531">
                  <c:v>2106.25</c:v>
                </c:pt>
                <c:pt idx="532">
                  <c:v>2086.5500000000002</c:v>
                </c:pt>
                <c:pt idx="533">
                  <c:v>2086.35</c:v>
                </c:pt>
                <c:pt idx="534">
                  <c:v>2088.1</c:v>
                </c:pt>
                <c:pt idx="535">
                  <c:v>2083</c:v>
                </c:pt>
                <c:pt idx="536">
                  <c:v>2074.6</c:v>
                </c:pt>
                <c:pt idx="537">
                  <c:v>2079.5500000000002</c:v>
                </c:pt>
                <c:pt idx="538">
                  <c:v>2065.75</c:v>
                </c:pt>
                <c:pt idx="539">
                  <c:v>2080.6</c:v>
                </c:pt>
                <c:pt idx="540">
                  <c:v>2074.85</c:v>
                </c:pt>
                <c:pt idx="541">
                  <c:v>2087.4</c:v>
                </c:pt>
                <c:pt idx="542">
                  <c:v>2084.4</c:v>
                </c:pt>
                <c:pt idx="543">
                  <c:v>2073.5</c:v>
                </c:pt>
                <c:pt idx="544">
                  <c:v>2075.25</c:v>
                </c:pt>
                <c:pt idx="545">
                  <c:v>2080.0500000000002</c:v>
                </c:pt>
                <c:pt idx="546">
                  <c:v>2083.4</c:v>
                </c:pt>
                <c:pt idx="547">
                  <c:v>2084</c:v>
                </c:pt>
                <c:pt idx="548">
                  <c:v>2082.9</c:v>
                </c:pt>
                <c:pt idx="549">
                  <c:v>2086.6999999999998</c:v>
                </c:pt>
                <c:pt idx="550">
                  <c:v>2087.0500000000002</c:v>
                </c:pt>
                <c:pt idx="551">
                  <c:v>2116.4499999999998</c:v>
                </c:pt>
                <c:pt idx="552">
                  <c:v>2140.4499999999998</c:v>
                </c:pt>
                <c:pt idx="553">
                  <c:v>2144.9</c:v>
                </c:pt>
                <c:pt idx="554">
                  <c:v>2163.75</c:v>
                </c:pt>
                <c:pt idx="555">
                  <c:v>2207.6</c:v>
                </c:pt>
                <c:pt idx="556">
                  <c:v>2190.1999999999998</c:v>
                </c:pt>
                <c:pt idx="557">
                  <c:v>2171.75</c:v>
                </c:pt>
                <c:pt idx="558">
                  <c:v>2189.6</c:v>
                </c:pt>
                <c:pt idx="559">
                  <c:v>2200.1999999999998</c:v>
                </c:pt>
                <c:pt idx="560">
                  <c:v>2256.8000000000002</c:v>
                </c:pt>
                <c:pt idx="561">
                  <c:v>2223.75</c:v>
                </c:pt>
                <c:pt idx="562">
                  <c:v>2316.5500000000002</c:v>
                </c:pt>
                <c:pt idx="563">
                  <c:v>2277.6</c:v>
                </c:pt>
                <c:pt idx="564">
                  <c:v>2289.4</c:v>
                </c:pt>
                <c:pt idx="565">
                  <c:v>2255</c:v>
                </c:pt>
                <c:pt idx="566">
                  <c:v>2210.75</c:v>
                </c:pt>
                <c:pt idx="567">
                  <c:v>2218.4499999999998</c:v>
                </c:pt>
                <c:pt idx="568">
                  <c:v>2185.4499999999998</c:v>
                </c:pt>
                <c:pt idx="569">
                  <c:v>2172.85</c:v>
                </c:pt>
                <c:pt idx="570">
                  <c:v>2192.1999999999998</c:v>
                </c:pt>
                <c:pt idx="571">
                  <c:v>2174.75</c:v>
                </c:pt>
                <c:pt idx="572">
                  <c:v>2210.1999999999998</c:v>
                </c:pt>
                <c:pt idx="573">
                  <c:v>2251.9</c:v>
                </c:pt>
                <c:pt idx="574">
                  <c:v>2214.75</c:v>
                </c:pt>
                <c:pt idx="575">
                  <c:v>2240.9</c:v>
                </c:pt>
                <c:pt idx="576">
                  <c:v>2238.9499999999998</c:v>
                </c:pt>
                <c:pt idx="577">
                  <c:v>2211.65</c:v>
                </c:pt>
                <c:pt idx="578">
                  <c:v>2190.65</c:v>
                </c:pt>
                <c:pt idx="579">
                  <c:v>2179.9</c:v>
                </c:pt>
                <c:pt idx="580">
                  <c:v>2177.9499999999998</c:v>
                </c:pt>
                <c:pt idx="581">
                  <c:v>2179.9</c:v>
                </c:pt>
                <c:pt idx="582">
                  <c:v>2144.0500000000002</c:v>
                </c:pt>
                <c:pt idx="583">
                  <c:v>2172.9499999999998</c:v>
                </c:pt>
                <c:pt idx="584">
                  <c:v>2170.75</c:v>
                </c:pt>
                <c:pt idx="585">
                  <c:v>2137.3000000000002</c:v>
                </c:pt>
                <c:pt idx="586">
                  <c:v>2127.6</c:v>
                </c:pt>
                <c:pt idx="587">
                  <c:v>2100.3000000000002</c:v>
                </c:pt>
                <c:pt idx="588">
                  <c:v>2082.9499999999998</c:v>
                </c:pt>
                <c:pt idx="589">
                  <c:v>2054.35</c:v>
                </c:pt>
                <c:pt idx="590">
                  <c:v>2050.1</c:v>
                </c:pt>
                <c:pt idx="591">
                  <c:v>2056.35</c:v>
                </c:pt>
                <c:pt idx="592">
                  <c:v>2028.8</c:v>
                </c:pt>
                <c:pt idx="593">
                  <c:v>2028.4</c:v>
                </c:pt>
                <c:pt idx="594">
                  <c:v>2063.9499999999998</c:v>
                </c:pt>
                <c:pt idx="595">
                  <c:v>2049.65</c:v>
                </c:pt>
                <c:pt idx="596">
                  <c:v>2042.3</c:v>
                </c:pt>
                <c:pt idx="597">
                  <c:v>1990.15</c:v>
                </c:pt>
                <c:pt idx="598">
                  <c:v>1964.85</c:v>
                </c:pt>
                <c:pt idx="599">
                  <c:v>1981.35</c:v>
                </c:pt>
                <c:pt idx="600">
                  <c:v>1995.05</c:v>
                </c:pt>
                <c:pt idx="601">
                  <c:v>2004.8</c:v>
                </c:pt>
                <c:pt idx="602">
                  <c:v>1988.05</c:v>
                </c:pt>
                <c:pt idx="603">
                  <c:v>2024.4</c:v>
                </c:pt>
                <c:pt idx="604">
                  <c:v>2010</c:v>
                </c:pt>
                <c:pt idx="605">
                  <c:v>1973.5</c:v>
                </c:pt>
                <c:pt idx="606">
                  <c:v>1985.6</c:v>
                </c:pt>
                <c:pt idx="607">
                  <c:v>2010</c:v>
                </c:pt>
                <c:pt idx="608">
                  <c:v>1985.55</c:v>
                </c:pt>
                <c:pt idx="609">
                  <c:v>1990.15</c:v>
                </c:pt>
                <c:pt idx="610">
                  <c:v>1988.8</c:v>
                </c:pt>
                <c:pt idx="611">
                  <c:v>1958.75</c:v>
                </c:pt>
                <c:pt idx="612">
                  <c:v>2033.65</c:v>
                </c:pt>
                <c:pt idx="613">
                  <c:v>2048.3000000000002</c:v>
                </c:pt>
                <c:pt idx="614">
                  <c:v>2019.7</c:v>
                </c:pt>
                <c:pt idx="615">
                  <c:v>2012.65</c:v>
                </c:pt>
                <c:pt idx="616">
                  <c:v>2000</c:v>
                </c:pt>
                <c:pt idx="617">
                  <c:v>2001</c:v>
                </c:pt>
                <c:pt idx="618">
                  <c:v>2033.7</c:v>
                </c:pt>
                <c:pt idx="619">
                  <c:v>2022.35</c:v>
                </c:pt>
                <c:pt idx="620">
                  <c:v>2013.85</c:v>
                </c:pt>
                <c:pt idx="621">
                  <c:v>2016.7</c:v>
                </c:pt>
                <c:pt idx="622">
                  <c:v>2017.3</c:v>
                </c:pt>
                <c:pt idx="623">
                  <c:v>2003.25</c:v>
                </c:pt>
                <c:pt idx="624">
                  <c:v>2007.1</c:v>
                </c:pt>
                <c:pt idx="625">
                  <c:v>2019.3</c:v>
                </c:pt>
                <c:pt idx="626">
                  <c:v>2029.85</c:v>
                </c:pt>
                <c:pt idx="627">
                  <c:v>2038.65</c:v>
                </c:pt>
                <c:pt idx="628">
                  <c:v>2022.15</c:v>
                </c:pt>
                <c:pt idx="629">
                  <c:v>2019.3</c:v>
                </c:pt>
                <c:pt idx="630">
                  <c:v>2016.45</c:v>
                </c:pt>
                <c:pt idx="631">
                  <c:v>2015.7</c:v>
                </c:pt>
                <c:pt idx="632">
                  <c:v>2039.85</c:v>
                </c:pt>
                <c:pt idx="633">
                  <c:v>2061.4499999999998</c:v>
                </c:pt>
                <c:pt idx="634">
                  <c:v>2050.75</c:v>
                </c:pt>
                <c:pt idx="635">
                  <c:v>2040.65</c:v>
                </c:pt>
                <c:pt idx="636">
                  <c:v>2059.8000000000002</c:v>
                </c:pt>
                <c:pt idx="637">
                  <c:v>2056.6999999999998</c:v>
                </c:pt>
                <c:pt idx="638">
                  <c:v>2066.5500000000002</c:v>
                </c:pt>
                <c:pt idx="639">
                  <c:v>2079.75</c:v>
                </c:pt>
                <c:pt idx="640">
                  <c:v>2072.1</c:v>
                </c:pt>
                <c:pt idx="641">
                  <c:v>2073.85</c:v>
                </c:pt>
                <c:pt idx="642">
                  <c:v>2110.85</c:v>
                </c:pt>
                <c:pt idx="643">
                  <c:v>2150.0500000000002</c:v>
                </c:pt>
                <c:pt idx="644">
                  <c:v>2150.75</c:v>
                </c:pt>
                <c:pt idx="645">
                  <c:v>2130.6</c:v>
                </c:pt>
                <c:pt idx="646">
                  <c:v>2124.4</c:v>
                </c:pt>
                <c:pt idx="647">
                  <c:v>2109.9499999999998</c:v>
                </c:pt>
                <c:pt idx="648">
                  <c:v>2104.35</c:v>
                </c:pt>
                <c:pt idx="649">
                  <c:v>2123.9499999999998</c:v>
                </c:pt>
                <c:pt idx="650">
                  <c:v>2111</c:v>
                </c:pt>
                <c:pt idx="651">
                  <c:v>2086.15</c:v>
                </c:pt>
                <c:pt idx="652">
                  <c:v>2100.1999999999998</c:v>
                </c:pt>
                <c:pt idx="653">
                  <c:v>2087.85</c:v>
                </c:pt>
                <c:pt idx="654">
                  <c:v>2105.3000000000002</c:v>
                </c:pt>
                <c:pt idx="655">
                  <c:v>2109.0500000000002</c:v>
                </c:pt>
                <c:pt idx="656">
                  <c:v>2100.15</c:v>
                </c:pt>
                <c:pt idx="657">
                  <c:v>2100.25</c:v>
                </c:pt>
                <c:pt idx="658">
                  <c:v>2094.85</c:v>
                </c:pt>
                <c:pt idx="659">
                  <c:v>2089</c:v>
                </c:pt>
                <c:pt idx="660">
                  <c:v>2085.0500000000002</c:v>
                </c:pt>
                <c:pt idx="661">
                  <c:v>2089.1</c:v>
                </c:pt>
                <c:pt idx="662">
                  <c:v>2115.1</c:v>
                </c:pt>
                <c:pt idx="663">
                  <c:v>2093.75</c:v>
                </c:pt>
                <c:pt idx="664">
                  <c:v>2089.0500000000002</c:v>
                </c:pt>
                <c:pt idx="665">
                  <c:v>2085.65</c:v>
                </c:pt>
                <c:pt idx="666">
                  <c:v>2096.25</c:v>
                </c:pt>
                <c:pt idx="667">
                  <c:v>2093.1999999999998</c:v>
                </c:pt>
                <c:pt idx="668">
                  <c:v>2099.9499999999998</c:v>
                </c:pt>
                <c:pt idx="669">
                  <c:v>2099.1</c:v>
                </c:pt>
                <c:pt idx="670">
                  <c:v>2100.4</c:v>
                </c:pt>
                <c:pt idx="671">
                  <c:v>2100.3000000000002</c:v>
                </c:pt>
                <c:pt idx="672">
                  <c:v>2100</c:v>
                </c:pt>
                <c:pt idx="673">
                  <c:v>2099.85</c:v>
                </c:pt>
                <c:pt idx="674">
                  <c:v>2115.25</c:v>
                </c:pt>
                <c:pt idx="675">
                  <c:v>2190.75</c:v>
                </c:pt>
                <c:pt idx="676">
                  <c:v>2224</c:v>
                </c:pt>
                <c:pt idx="677">
                  <c:v>2175.1</c:v>
                </c:pt>
                <c:pt idx="678">
                  <c:v>2120.0500000000002</c:v>
                </c:pt>
                <c:pt idx="679">
                  <c:v>2091.4</c:v>
                </c:pt>
                <c:pt idx="680">
                  <c:v>2006.05</c:v>
                </c:pt>
                <c:pt idx="681">
                  <c:v>1999.35</c:v>
                </c:pt>
                <c:pt idx="682">
                  <c:v>1985.6</c:v>
                </c:pt>
                <c:pt idx="683">
                  <c:v>1972.95</c:v>
                </c:pt>
                <c:pt idx="684">
                  <c:v>1980.35</c:v>
                </c:pt>
                <c:pt idx="685">
                  <c:v>1987.2</c:v>
                </c:pt>
                <c:pt idx="686">
                  <c:v>1998.55</c:v>
                </c:pt>
                <c:pt idx="687">
                  <c:v>1958.05</c:v>
                </c:pt>
                <c:pt idx="688">
                  <c:v>1981.05</c:v>
                </c:pt>
                <c:pt idx="689">
                  <c:v>2003.15</c:v>
                </c:pt>
                <c:pt idx="690">
                  <c:v>1980.3</c:v>
                </c:pt>
                <c:pt idx="691">
                  <c:v>1952.1</c:v>
                </c:pt>
                <c:pt idx="692">
                  <c:v>1943.05</c:v>
                </c:pt>
                <c:pt idx="693">
                  <c:v>1936.65</c:v>
                </c:pt>
                <c:pt idx="694">
                  <c:v>1951.1</c:v>
                </c:pt>
                <c:pt idx="695">
                  <c:v>1962.4</c:v>
                </c:pt>
                <c:pt idx="696">
                  <c:v>1968.95</c:v>
                </c:pt>
                <c:pt idx="697">
                  <c:v>1969.7</c:v>
                </c:pt>
                <c:pt idx="698">
                  <c:v>1977.6</c:v>
                </c:pt>
                <c:pt idx="699">
                  <c:v>1991.9</c:v>
                </c:pt>
                <c:pt idx="700">
                  <c:v>1994.7</c:v>
                </c:pt>
                <c:pt idx="701">
                  <c:v>1991.5</c:v>
                </c:pt>
                <c:pt idx="702">
                  <c:v>1996.45</c:v>
                </c:pt>
                <c:pt idx="703">
                  <c:v>2000</c:v>
                </c:pt>
                <c:pt idx="704">
                  <c:v>1995.85</c:v>
                </c:pt>
                <c:pt idx="705">
                  <c:v>2003.8</c:v>
                </c:pt>
                <c:pt idx="706">
                  <c:v>1999.85</c:v>
                </c:pt>
                <c:pt idx="707">
                  <c:v>2004.4</c:v>
                </c:pt>
                <c:pt idx="708">
                  <c:v>2005</c:v>
                </c:pt>
                <c:pt idx="709">
                  <c:v>2005</c:v>
                </c:pt>
                <c:pt idx="710">
                  <c:v>2005.05</c:v>
                </c:pt>
                <c:pt idx="711">
                  <c:v>1998.2</c:v>
                </c:pt>
                <c:pt idx="712">
                  <c:v>1998.95</c:v>
                </c:pt>
                <c:pt idx="713">
                  <c:v>2001.45</c:v>
                </c:pt>
                <c:pt idx="714">
                  <c:v>2000</c:v>
                </c:pt>
                <c:pt idx="715">
                  <c:v>2004.65</c:v>
                </c:pt>
                <c:pt idx="716">
                  <c:v>2005.5</c:v>
                </c:pt>
                <c:pt idx="717">
                  <c:v>2010.9</c:v>
                </c:pt>
                <c:pt idx="718">
                  <c:v>1999.05</c:v>
                </c:pt>
                <c:pt idx="719">
                  <c:v>1985.15</c:v>
                </c:pt>
                <c:pt idx="720">
                  <c:v>1997.2</c:v>
                </c:pt>
                <c:pt idx="721">
                  <c:v>1996.2</c:v>
                </c:pt>
                <c:pt idx="722">
                  <c:v>1999.55</c:v>
                </c:pt>
                <c:pt idx="723">
                  <c:v>2000.6</c:v>
                </c:pt>
                <c:pt idx="724">
                  <c:v>2016.2</c:v>
                </c:pt>
                <c:pt idx="725">
                  <c:v>2002.25</c:v>
                </c:pt>
                <c:pt idx="726">
                  <c:v>2049.8000000000002</c:v>
                </c:pt>
                <c:pt idx="727">
                  <c:v>2050.1999999999998</c:v>
                </c:pt>
                <c:pt idx="728">
                  <c:v>2055.9499999999998</c:v>
                </c:pt>
                <c:pt idx="729">
                  <c:v>2050.1</c:v>
                </c:pt>
                <c:pt idx="730">
                  <c:v>2021.9</c:v>
                </c:pt>
                <c:pt idx="731">
                  <c:v>2041.35</c:v>
                </c:pt>
                <c:pt idx="732">
                  <c:v>2050.9499999999998</c:v>
                </c:pt>
                <c:pt idx="733">
                  <c:v>2050.9499999999998</c:v>
                </c:pt>
                <c:pt idx="734">
                  <c:v>2050.0500000000002</c:v>
                </c:pt>
                <c:pt idx="735">
                  <c:v>2050.15</c:v>
                </c:pt>
                <c:pt idx="736">
                  <c:v>2050.35</c:v>
                </c:pt>
                <c:pt idx="737">
                  <c:v>2050.15</c:v>
                </c:pt>
                <c:pt idx="738">
                  <c:v>2074.5500000000002</c:v>
                </c:pt>
                <c:pt idx="739">
                  <c:v>2065.6</c:v>
                </c:pt>
                <c:pt idx="740">
                  <c:v>2069.8000000000002</c:v>
                </c:pt>
                <c:pt idx="741">
                  <c:v>2069.9499999999998</c:v>
                </c:pt>
                <c:pt idx="742">
                  <c:v>2070.25</c:v>
                </c:pt>
                <c:pt idx="743">
                  <c:v>2087.6</c:v>
                </c:pt>
                <c:pt idx="744">
                  <c:v>2078.4</c:v>
                </c:pt>
                <c:pt idx="745">
                  <c:v>2082.25</c:v>
                </c:pt>
                <c:pt idx="746">
                  <c:v>2085.6999999999998</c:v>
                </c:pt>
                <c:pt idx="747">
                  <c:v>2113.25</c:v>
                </c:pt>
                <c:pt idx="748">
                  <c:v>2119.25</c:v>
                </c:pt>
                <c:pt idx="749">
                  <c:v>2168.0500000000002</c:v>
                </c:pt>
                <c:pt idx="750">
                  <c:v>2145.6999999999998</c:v>
                </c:pt>
                <c:pt idx="751">
                  <c:v>2140.15</c:v>
                </c:pt>
                <c:pt idx="752">
                  <c:v>2144.0500000000002</c:v>
                </c:pt>
                <c:pt idx="753">
                  <c:v>2160.0500000000002</c:v>
                </c:pt>
                <c:pt idx="754">
                  <c:v>2181.6</c:v>
                </c:pt>
                <c:pt idx="755">
                  <c:v>2186.6</c:v>
                </c:pt>
                <c:pt idx="756">
                  <c:v>2190.0500000000002</c:v>
                </c:pt>
                <c:pt idx="757">
                  <c:v>2190.25</c:v>
                </c:pt>
                <c:pt idx="758">
                  <c:v>2190.4499999999998</c:v>
                </c:pt>
                <c:pt idx="759">
                  <c:v>2188.9499999999998</c:v>
                </c:pt>
                <c:pt idx="760">
                  <c:v>2200.9</c:v>
                </c:pt>
                <c:pt idx="761">
                  <c:v>2198.5</c:v>
                </c:pt>
                <c:pt idx="762">
                  <c:v>2203.0500000000002</c:v>
                </c:pt>
                <c:pt idx="763">
                  <c:v>2187.6999999999998</c:v>
                </c:pt>
                <c:pt idx="764">
                  <c:v>2173.9499999999998</c:v>
                </c:pt>
                <c:pt idx="765">
                  <c:v>2148.8000000000002</c:v>
                </c:pt>
                <c:pt idx="766">
                  <c:v>2102.25</c:v>
                </c:pt>
                <c:pt idx="767">
                  <c:v>2055.8000000000002</c:v>
                </c:pt>
                <c:pt idx="768">
                  <c:v>2054.1</c:v>
                </c:pt>
                <c:pt idx="769">
                  <c:v>2043.1</c:v>
                </c:pt>
                <c:pt idx="770">
                  <c:v>2051.65</c:v>
                </c:pt>
                <c:pt idx="771">
                  <c:v>2052.9</c:v>
                </c:pt>
                <c:pt idx="772">
                  <c:v>2048.8000000000002</c:v>
                </c:pt>
                <c:pt idx="773">
                  <c:v>2043.5</c:v>
                </c:pt>
                <c:pt idx="774">
                  <c:v>2037</c:v>
                </c:pt>
                <c:pt idx="775">
                  <c:v>2079.1999999999998</c:v>
                </c:pt>
                <c:pt idx="776">
                  <c:v>2070.1999999999998</c:v>
                </c:pt>
                <c:pt idx="777">
                  <c:v>2079.1</c:v>
                </c:pt>
                <c:pt idx="778">
                  <c:v>2098.9</c:v>
                </c:pt>
                <c:pt idx="779">
                  <c:v>2077.35</c:v>
                </c:pt>
                <c:pt idx="780">
                  <c:v>2094.1999999999998</c:v>
                </c:pt>
                <c:pt idx="781">
                  <c:v>2098.3000000000002</c:v>
                </c:pt>
                <c:pt idx="782">
                  <c:v>2096.6999999999998</c:v>
                </c:pt>
                <c:pt idx="783">
                  <c:v>2096.9499999999998</c:v>
                </c:pt>
                <c:pt idx="784">
                  <c:v>2097.1</c:v>
                </c:pt>
                <c:pt idx="785">
                  <c:v>2106.6</c:v>
                </c:pt>
                <c:pt idx="786">
                  <c:v>2119.0500000000002</c:v>
                </c:pt>
                <c:pt idx="787">
                  <c:v>2099.6</c:v>
                </c:pt>
                <c:pt idx="788">
                  <c:v>2099.65</c:v>
                </c:pt>
                <c:pt idx="789">
                  <c:v>2101.75</c:v>
                </c:pt>
                <c:pt idx="790">
                  <c:v>2097.9499999999998</c:v>
                </c:pt>
                <c:pt idx="791">
                  <c:v>2097.85</c:v>
                </c:pt>
                <c:pt idx="792">
                  <c:v>2110.9499999999998</c:v>
                </c:pt>
                <c:pt idx="793">
                  <c:v>2098.9</c:v>
                </c:pt>
                <c:pt idx="794">
                  <c:v>2099.6</c:v>
                </c:pt>
                <c:pt idx="795">
                  <c:v>2111.1999999999998</c:v>
                </c:pt>
                <c:pt idx="796">
                  <c:v>2111</c:v>
                </c:pt>
                <c:pt idx="797">
                  <c:v>2110.0500000000002</c:v>
                </c:pt>
                <c:pt idx="798">
                  <c:v>2116</c:v>
                </c:pt>
                <c:pt idx="799">
                  <c:v>2126.4499999999998</c:v>
                </c:pt>
                <c:pt idx="800">
                  <c:v>2134.4</c:v>
                </c:pt>
                <c:pt idx="801">
                  <c:v>2133.25</c:v>
                </c:pt>
                <c:pt idx="802">
                  <c:v>2117.5500000000002</c:v>
                </c:pt>
                <c:pt idx="803">
                  <c:v>2119.75</c:v>
                </c:pt>
                <c:pt idx="804">
                  <c:v>2160.4</c:v>
                </c:pt>
                <c:pt idx="805">
                  <c:v>2150.8000000000002</c:v>
                </c:pt>
                <c:pt idx="806">
                  <c:v>2151.35</c:v>
                </c:pt>
                <c:pt idx="807">
                  <c:v>2160.6</c:v>
                </c:pt>
                <c:pt idx="808">
                  <c:v>2169.15</c:v>
                </c:pt>
                <c:pt idx="809">
                  <c:v>2168.6</c:v>
                </c:pt>
                <c:pt idx="810">
                  <c:v>2189.85</c:v>
                </c:pt>
                <c:pt idx="811">
                  <c:v>2205.25</c:v>
                </c:pt>
                <c:pt idx="812">
                  <c:v>2222</c:v>
                </c:pt>
                <c:pt idx="813">
                  <c:v>2229.9</c:v>
                </c:pt>
                <c:pt idx="814">
                  <c:v>2268.5500000000002</c:v>
                </c:pt>
                <c:pt idx="815">
                  <c:v>2200.9499999999998</c:v>
                </c:pt>
                <c:pt idx="816">
                  <c:v>2201.65</c:v>
                </c:pt>
                <c:pt idx="817">
                  <c:v>2200.1</c:v>
                </c:pt>
                <c:pt idx="818">
                  <c:v>2200.5</c:v>
                </c:pt>
                <c:pt idx="819">
                  <c:v>2217.5500000000002</c:v>
                </c:pt>
                <c:pt idx="820">
                  <c:v>2204.4</c:v>
                </c:pt>
                <c:pt idx="821">
                  <c:v>2201.6</c:v>
                </c:pt>
                <c:pt idx="822">
                  <c:v>2204.8000000000002</c:v>
                </c:pt>
                <c:pt idx="823">
                  <c:v>2200.1</c:v>
                </c:pt>
                <c:pt idx="824">
                  <c:v>2225.15</c:v>
                </c:pt>
                <c:pt idx="825">
                  <c:v>2204.9</c:v>
                </c:pt>
                <c:pt idx="826">
                  <c:v>2207.0500000000002</c:v>
                </c:pt>
                <c:pt idx="827">
                  <c:v>2204.15</c:v>
                </c:pt>
                <c:pt idx="828">
                  <c:v>2203.35</c:v>
                </c:pt>
                <c:pt idx="829">
                  <c:v>2204.0500000000002</c:v>
                </c:pt>
                <c:pt idx="830">
                  <c:v>2216.65</c:v>
                </c:pt>
                <c:pt idx="831">
                  <c:v>2262.3000000000002</c:v>
                </c:pt>
                <c:pt idx="832">
                  <c:v>2269.75</c:v>
                </c:pt>
                <c:pt idx="833">
                  <c:v>2278.9</c:v>
                </c:pt>
                <c:pt idx="834">
                  <c:v>2309.65</c:v>
                </c:pt>
                <c:pt idx="835">
                  <c:v>2398.0500000000002</c:v>
                </c:pt>
                <c:pt idx="836">
                  <c:v>2344.6999999999998</c:v>
                </c:pt>
                <c:pt idx="837">
                  <c:v>2310.15</c:v>
                </c:pt>
                <c:pt idx="838">
                  <c:v>2323.35</c:v>
                </c:pt>
                <c:pt idx="839">
                  <c:v>2303.3000000000002</c:v>
                </c:pt>
                <c:pt idx="840">
                  <c:v>2322.4</c:v>
                </c:pt>
                <c:pt idx="841">
                  <c:v>2328.6999999999998</c:v>
                </c:pt>
                <c:pt idx="842">
                  <c:v>2303.9499999999998</c:v>
                </c:pt>
                <c:pt idx="843">
                  <c:v>2271.1</c:v>
                </c:pt>
                <c:pt idx="844">
                  <c:v>2317.4499999999998</c:v>
                </c:pt>
                <c:pt idx="845">
                  <c:v>2282.5500000000002</c:v>
                </c:pt>
                <c:pt idx="846">
                  <c:v>2278.6999999999998</c:v>
                </c:pt>
                <c:pt idx="847">
                  <c:v>2287.85</c:v>
                </c:pt>
                <c:pt idx="848">
                  <c:v>2282.35</c:v>
                </c:pt>
                <c:pt idx="849">
                  <c:v>2273.5</c:v>
                </c:pt>
                <c:pt idx="850">
                  <c:v>2272.1</c:v>
                </c:pt>
                <c:pt idx="851">
                  <c:v>2266.0500000000002</c:v>
                </c:pt>
                <c:pt idx="852">
                  <c:v>2272.75</c:v>
                </c:pt>
                <c:pt idx="853">
                  <c:v>2293</c:v>
                </c:pt>
                <c:pt idx="854">
                  <c:v>2498.0500000000002</c:v>
                </c:pt>
                <c:pt idx="855">
                  <c:v>2666.15</c:v>
                </c:pt>
                <c:pt idx="856">
                  <c:v>2757.9</c:v>
                </c:pt>
                <c:pt idx="857">
                  <c:v>2683.45</c:v>
                </c:pt>
                <c:pt idx="858">
                  <c:v>2706.15</c:v>
                </c:pt>
                <c:pt idx="859">
                  <c:v>2637.75</c:v>
                </c:pt>
                <c:pt idx="860">
                  <c:v>2514.4499999999998</c:v>
                </c:pt>
                <c:pt idx="861">
                  <c:v>2424.65</c:v>
                </c:pt>
                <c:pt idx="862">
                  <c:v>2506.4</c:v>
                </c:pt>
                <c:pt idx="863">
                  <c:v>2470.5</c:v>
                </c:pt>
                <c:pt idx="864">
                  <c:v>2434.25</c:v>
                </c:pt>
                <c:pt idx="865">
                  <c:v>2449.65</c:v>
                </c:pt>
                <c:pt idx="866">
                  <c:v>2439.85</c:v>
                </c:pt>
                <c:pt idx="867">
                  <c:v>2467.9</c:v>
                </c:pt>
                <c:pt idx="868">
                  <c:v>2505.75</c:v>
                </c:pt>
                <c:pt idx="869">
                  <c:v>2484.75</c:v>
                </c:pt>
                <c:pt idx="870">
                  <c:v>2424.9</c:v>
                </c:pt>
                <c:pt idx="871">
                  <c:v>2396.4</c:v>
                </c:pt>
                <c:pt idx="872">
                  <c:v>2330.8000000000002</c:v>
                </c:pt>
                <c:pt idx="873">
                  <c:v>2329.6999999999998</c:v>
                </c:pt>
                <c:pt idx="874">
                  <c:v>2334.4</c:v>
                </c:pt>
                <c:pt idx="875">
                  <c:v>2476.9</c:v>
                </c:pt>
                <c:pt idx="876">
                  <c:v>2479.1999999999998</c:v>
                </c:pt>
                <c:pt idx="877">
                  <c:v>2618.8000000000002</c:v>
                </c:pt>
                <c:pt idx="878">
                  <c:v>2619.9499999999998</c:v>
                </c:pt>
                <c:pt idx="879">
                  <c:v>2551.6999999999998</c:v>
                </c:pt>
                <c:pt idx="880">
                  <c:v>2530.1</c:v>
                </c:pt>
                <c:pt idx="881">
                  <c:v>2513.75</c:v>
                </c:pt>
                <c:pt idx="882">
                  <c:v>2494.8000000000002</c:v>
                </c:pt>
                <c:pt idx="883">
                  <c:v>2480.1999999999998</c:v>
                </c:pt>
                <c:pt idx="884">
                  <c:v>2553.5500000000002</c:v>
                </c:pt>
                <c:pt idx="885">
                  <c:v>2579.8000000000002</c:v>
                </c:pt>
                <c:pt idx="886">
                  <c:v>2601</c:v>
                </c:pt>
                <c:pt idx="887">
                  <c:v>2575.65</c:v>
                </c:pt>
                <c:pt idx="888">
                  <c:v>2544.75</c:v>
                </c:pt>
                <c:pt idx="889">
                  <c:v>2527.1</c:v>
                </c:pt>
                <c:pt idx="890">
                  <c:v>2494.5</c:v>
                </c:pt>
                <c:pt idx="891">
                  <c:v>2482.3000000000002</c:v>
                </c:pt>
                <c:pt idx="892">
                  <c:v>2449.9499999999998</c:v>
                </c:pt>
                <c:pt idx="893">
                  <c:v>2436.25</c:v>
                </c:pt>
                <c:pt idx="894">
                  <c:v>2453.85</c:v>
                </c:pt>
                <c:pt idx="895">
                  <c:v>2449.65</c:v>
                </c:pt>
                <c:pt idx="896">
                  <c:v>2374.8000000000002</c:v>
                </c:pt>
                <c:pt idx="897">
                  <c:v>2368.15</c:v>
                </c:pt>
                <c:pt idx="898">
                  <c:v>2348.5500000000002</c:v>
                </c:pt>
                <c:pt idx="899">
                  <c:v>2282.85</c:v>
                </c:pt>
                <c:pt idx="900">
                  <c:v>2261.5</c:v>
                </c:pt>
                <c:pt idx="901">
                  <c:v>2320.4499999999998</c:v>
                </c:pt>
                <c:pt idx="902">
                  <c:v>2402.25</c:v>
                </c:pt>
                <c:pt idx="903">
                  <c:v>2331.85</c:v>
                </c:pt>
                <c:pt idx="904">
                  <c:v>2285.15</c:v>
                </c:pt>
                <c:pt idx="905">
                  <c:v>2277.8000000000002</c:v>
                </c:pt>
                <c:pt idx="906">
                  <c:v>2291.75</c:v>
                </c:pt>
                <c:pt idx="907">
                  <c:v>2265</c:v>
                </c:pt>
                <c:pt idx="908">
                  <c:v>2249.0500000000002</c:v>
                </c:pt>
                <c:pt idx="909">
                  <c:v>2237.65</c:v>
                </c:pt>
                <c:pt idx="910">
                  <c:v>2246.65</c:v>
                </c:pt>
                <c:pt idx="911">
                  <c:v>2274.8000000000002</c:v>
                </c:pt>
                <c:pt idx="912">
                  <c:v>2289.1999999999998</c:v>
                </c:pt>
                <c:pt idx="913">
                  <c:v>2311.5</c:v>
                </c:pt>
                <c:pt idx="914">
                  <c:v>2256.65</c:v>
                </c:pt>
                <c:pt idx="915">
                  <c:v>2263.25</c:v>
                </c:pt>
                <c:pt idx="916">
                  <c:v>2293.4499999999998</c:v>
                </c:pt>
                <c:pt idx="917">
                  <c:v>2350.9</c:v>
                </c:pt>
                <c:pt idx="918">
                  <c:v>2349.85</c:v>
                </c:pt>
                <c:pt idx="919">
                  <c:v>2290.4</c:v>
                </c:pt>
                <c:pt idx="920">
                  <c:v>2268.8000000000002</c:v>
                </c:pt>
                <c:pt idx="921">
                  <c:v>2253.85</c:v>
                </c:pt>
                <c:pt idx="922">
                  <c:v>2258.8000000000002</c:v>
                </c:pt>
                <c:pt idx="923">
                  <c:v>2322.5</c:v>
                </c:pt>
                <c:pt idx="924">
                  <c:v>2415.1</c:v>
                </c:pt>
                <c:pt idx="925">
                  <c:v>2402.4</c:v>
                </c:pt>
                <c:pt idx="926">
                  <c:v>2358.8000000000002</c:v>
                </c:pt>
                <c:pt idx="927">
                  <c:v>2352.9</c:v>
                </c:pt>
                <c:pt idx="928">
                  <c:v>2350.15</c:v>
                </c:pt>
                <c:pt idx="929">
                  <c:v>2349.4499999999998</c:v>
                </c:pt>
                <c:pt idx="930">
                  <c:v>2350.15</c:v>
                </c:pt>
                <c:pt idx="931">
                  <c:v>2465.6</c:v>
                </c:pt>
                <c:pt idx="932">
                  <c:v>2393.35</c:v>
                </c:pt>
                <c:pt idx="933">
                  <c:v>2402.3000000000002</c:v>
                </c:pt>
                <c:pt idx="934">
                  <c:v>2430.0500000000002</c:v>
                </c:pt>
                <c:pt idx="935">
                  <c:v>2432.1999999999998</c:v>
                </c:pt>
                <c:pt idx="936">
                  <c:v>2438</c:v>
                </c:pt>
                <c:pt idx="937">
                  <c:v>2468.0500000000002</c:v>
                </c:pt>
                <c:pt idx="938">
                  <c:v>2475.1</c:v>
                </c:pt>
                <c:pt idx="939">
                  <c:v>2473.3000000000002</c:v>
                </c:pt>
                <c:pt idx="940">
                  <c:v>2475</c:v>
                </c:pt>
                <c:pt idx="941">
                  <c:v>2493.9499999999998</c:v>
                </c:pt>
                <c:pt idx="942">
                  <c:v>2480.75</c:v>
                </c:pt>
                <c:pt idx="943">
                  <c:v>2486.25</c:v>
                </c:pt>
                <c:pt idx="944">
                  <c:v>2489.85</c:v>
                </c:pt>
                <c:pt idx="945">
                  <c:v>2480.1999999999998</c:v>
                </c:pt>
                <c:pt idx="946">
                  <c:v>2479.4499999999998</c:v>
                </c:pt>
                <c:pt idx="947">
                  <c:v>2478.9499999999998</c:v>
                </c:pt>
                <c:pt idx="948">
                  <c:v>2481</c:v>
                </c:pt>
                <c:pt idx="949">
                  <c:v>2479.4</c:v>
                </c:pt>
                <c:pt idx="950">
                  <c:v>2479.65</c:v>
                </c:pt>
                <c:pt idx="951">
                  <c:v>2480.0500000000002</c:v>
                </c:pt>
                <c:pt idx="952">
                  <c:v>2479.9</c:v>
                </c:pt>
                <c:pt idx="953">
                  <c:v>2419.25</c:v>
                </c:pt>
                <c:pt idx="954">
                  <c:v>2419.65</c:v>
                </c:pt>
                <c:pt idx="955">
                  <c:v>2419.4499999999998</c:v>
                </c:pt>
                <c:pt idx="956">
                  <c:v>2434.85</c:v>
                </c:pt>
                <c:pt idx="957">
                  <c:v>2435.15</c:v>
                </c:pt>
                <c:pt idx="958">
                  <c:v>2431.35</c:v>
                </c:pt>
                <c:pt idx="959">
                  <c:v>2481.4499999999998</c:v>
                </c:pt>
                <c:pt idx="960">
                  <c:v>2461.5500000000002</c:v>
                </c:pt>
                <c:pt idx="961">
                  <c:v>2482.4</c:v>
                </c:pt>
                <c:pt idx="962">
                  <c:v>2501.1</c:v>
                </c:pt>
                <c:pt idx="963">
                  <c:v>2489.9</c:v>
                </c:pt>
                <c:pt idx="964">
                  <c:v>2487.8000000000002</c:v>
                </c:pt>
                <c:pt idx="965">
                  <c:v>2474.3000000000002</c:v>
                </c:pt>
                <c:pt idx="966">
                  <c:v>2470.0500000000002</c:v>
                </c:pt>
                <c:pt idx="967">
                  <c:v>2410.1999999999998</c:v>
                </c:pt>
                <c:pt idx="968">
                  <c:v>2410.3000000000002</c:v>
                </c:pt>
                <c:pt idx="969">
                  <c:v>2416.1999999999998</c:v>
                </c:pt>
                <c:pt idx="970">
                  <c:v>2420.0500000000002</c:v>
                </c:pt>
                <c:pt idx="971">
                  <c:v>2414</c:v>
                </c:pt>
                <c:pt idx="972">
                  <c:v>2405.8000000000002</c:v>
                </c:pt>
                <c:pt idx="973">
                  <c:v>2405.9499999999998</c:v>
                </c:pt>
                <c:pt idx="974">
                  <c:v>2405.5</c:v>
                </c:pt>
                <c:pt idx="975">
                  <c:v>2396.35</c:v>
                </c:pt>
                <c:pt idx="976">
                  <c:v>2390.0500000000002</c:v>
                </c:pt>
                <c:pt idx="977">
                  <c:v>2389.9499999999998</c:v>
                </c:pt>
                <c:pt idx="978">
                  <c:v>2495.6999999999998</c:v>
                </c:pt>
                <c:pt idx="979">
                  <c:v>2523.25</c:v>
                </c:pt>
                <c:pt idx="980">
                  <c:v>2594.35</c:v>
                </c:pt>
                <c:pt idx="981">
                  <c:v>2572.4</c:v>
                </c:pt>
                <c:pt idx="982">
                  <c:v>2557.75</c:v>
                </c:pt>
                <c:pt idx="983">
                  <c:v>2522.6</c:v>
                </c:pt>
                <c:pt idx="984">
                  <c:v>2510.8000000000002</c:v>
                </c:pt>
                <c:pt idx="985">
                  <c:v>2489.1999999999998</c:v>
                </c:pt>
                <c:pt idx="986">
                  <c:v>2469.65</c:v>
                </c:pt>
                <c:pt idx="987">
                  <c:v>2432.15</c:v>
                </c:pt>
                <c:pt idx="988">
                  <c:v>2460.15</c:v>
                </c:pt>
                <c:pt idx="989">
                  <c:v>2925.6</c:v>
                </c:pt>
                <c:pt idx="990">
                  <c:v>2949.55</c:v>
                </c:pt>
                <c:pt idx="991">
                  <c:v>2943.15</c:v>
                </c:pt>
                <c:pt idx="992">
                  <c:v>2937.25</c:v>
                </c:pt>
                <c:pt idx="993">
                  <c:v>2930.75</c:v>
                </c:pt>
                <c:pt idx="994">
                  <c:v>2936.6</c:v>
                </c:pt>
                <c:pt idx="995">
                  <c:v>2951.95</c:v>
                </c:pt>
                <c:pt idx="996">
                  <c:v>2954.6</c:v>
                </c:pt>
                <c:pt idx="997">
                  <c:v>2958.1</c:v>
                </c:pt>
                <c:pt idx="998">
                  <c:v>2975.25</c:v>
                </c:pt>
                <c:pt idx="999">
                  <c:v>2998.3</c:v>
                </c:pt>
                <c:pt idx="1000">
                  <c:v>2990.45</c:v>
                </c:pt>
                <c:pt idx="1001">
                  <c:v>2986.05</c:v>
                </c:pt>
                <c:pt idx="1002">
                  <c:v>2986.15</c:v>
                </c:pt>
                <c:pt idx="1003">
                  <c:v>2985.05</c:v>
                </c:pt>
                <c:pt idx="1004">
                  <c:v>2979.05</c:v>
                </c:pt>
                <c:pt idx="1005">
                  <c:v>2974.2</c:v>
                </c:pt>
                <c:pt idx="1006">
                  <c:v>2961.85</c:v>
                </c:pt>
                <c:pt idx="1007">
                  <c:v>2965.15</c:v>
                </c:pt>
                <c:pt idx="1008">
                  <c:v>2984.7</c:v>
                </c:pt>
                <c:pt idx="1009">
                  <c:v>2978.15</c:v>
                </c:pt>
                <c:pt idx="1010">
                  <c:v>2978.05</c:v>
                </c:pt>
                <c:pt idx="1011">
                  <c:v>2971.3</c:v>
                </c:pt>
                <c:pt idx="1012">
                  <c:v>2977.25</c:v>
                </c:pt>
                <c:pt idx="1013">
                  <c:v>2977.9</c:v>
                </c:pt>
                <c:pt idx="1014">
                  <c:v>2977.85</c:v>
                </c:pt>
                <c:pt idx="1015">
                  <c:v>2974.7</c:v>
                </c:pt>
                <c:pt idx="1016">
                  <c:v>2978.3</c:v>
                </c:pt>
                <c:pt idx="1017">
                  <c:v>2983.05</c:v>
                </c:pt>
                <c:pt idx="1018">
                  <c:v>2977.4</c:v>
                </c:pt>
                <c:pt idx="1019">
                  <c:v>2978.7</c:v>
                </c:pt>
                <c:pt idx="1020">
                  <c:v>2973.65</c:v>
                </c:pt>
                <c:pt idx="1021">
                  <c:v>2978.35</c:v>
                </c:pt>
                <c:pt idx="1022">
                  <c:v>2984.1</c:v>
                </c:pt>
                <c:pt idx="1023">
                  <c:v>2986.35</c:v>
                </c:pt>
                <c:pt idx="1024">
                  <c:v>2984.85</c:v>
                </c:pt>
                <c:pt idx="1025">
                  <c:v>2982.6</c:v>
                </c:pt>
                <c:pt idx="1026">
                  <c:v>2969.9</c:v>
                </c:pt>
                <c:pt idx="1027">
                  <c:v>2972</c:v>
                </c:pt>
                <c:pt idx="1028">
                  <c:v>2981.9</c:v>
                </c:pt>
                <c:pt idx="1029">
                  <c:v>2982.85</c:v>
                </c:pt>
                <c:pt idx="1030">
                  <c:v>2983</c:v>
                </c:pt>
                <c:pt idx="1031">
                  <c:v>3003.7</c:v>
                </c:pt>
                <c:pt idx="1032">
                  <c:v>3008.65</c:v>
                </c:pt>
                <c:pt idx="1033">
                  <c:v>3013.4</c:v>
                </c:pt>
                <c:pt idx="1034">
                  <c:v>3017.6</c:v>
                </c:pt>
                <c:pt idx="1035">
                  <c:v>3009.25</c:v>
                </c:pt>
                <c:pt idx="1036">
                  <c:v>3017.45</c:v>
                </c:pt>
                <c:pt idx="1037">
                  <c:v>3028.05</c:v>
                </c:pt>
                <c:pt idx="1038">
                  <c:v>3030.9</c:v>
                </c:pt>
                <c:pt idx="1039">
                  <c:v>3036.5</c:v>
                </c:pt>
                <c:pt idx="1040">
                  <c:v>3045.75</c:v>
                </c:pt>
                <c:pt idx="1041">
                  <c:v>3045.15</c:v>
                </c:pt>
                <c:pt idx="1042">
                  <c:v>3053.05</c:v>
                </c:pt>
                <c:pt idx="1043">
                  <c:v>2966.45</c:v>
                </c:pt>
                <c:pt idx="1044">
                  <c:v>2744.8</c:v>
                </c:pt>
                <c:pt idx="1045">
                  <c:v>2676.45</c:v>
                </c:pt>
                <c:pt idx="1046">
                  <c:v>2648.35</c:v>
                </c:pt>
                <c:pt idx="1047">
                  <c:v>2508.8000000000002</c:v>
                </c:pt>
                <c:pt idx="1048">
                  <c:v>2441.9</c:v>
                </c:pt>
                <c:pt idx="1049">
                  <c:v>2477.75</c:v>
                </c:pt>
                <c:pt idx="1050">
                  <c:v>2533.75</c:v>
                </c:pt>
                <c:pt idx="1051">
                  <c:v>2605.75</c:v>
                </c:pt>
                <c:pt idx="1052">
                  <c:v>2651.9</c:v>
                </c:pt>
                <c:pt idx="1053">
                  <c:v>2650.5</c:v>
                </c:pt>
                <c:pt idx="1054">
                  <c:v>2637.5</c:v>
                </c:pt>
                <c:pt idx="1055">
                  <c:v>2568.9</c:v>
                </c:pt>
                <c:pt idx="1056">
                  <c:v>2596.4</c:v>
                </c:pt>
                <c:pt idx="1057">
                  <c:v>2552.9</c:v>
                </c:pt>
                <c:pt idx="1058">
                  <c:v>2550.15</c:v>
                </c:pt>
                <c:pt idx="1059">
                  <c:v>2550.15</c:v>
                </c:pt>
                <c:pt idx="1060">
                  <c:v>2573</c:v>
                </c:pt>
                <c:pt idx="1061">
                  <c:v>2588.75</c:v>
                </c:pt>
                <c:pt idx="1062">
                  <c:v>2573.1999999999998</c:v>
                </c:pt>
                <c:pt idx="1063">
                  <c:v>2580.9</c:v>
                </c:pt>
                <c:pt idx="1064">
                  <c:v>2589.9499999999998</c:v>
                </c:pt>
                <c:pt idx="1065">
                  <c:v>2571.1</c:v>
                </c:pt>
                <c:pt idx="1066">
                  <c:v>2562.85</c:v>
                </c:pt>
                <c:pt idx="1067">
                  <c:v>2548.5500000000002</c:v>
                </c:pt>
                <c:pt idx="1068">
                  <c:v>2545.25</c:v>
                </c:pt>
                <c:pt idx="1069">
                  <c:v>2534.9499999999998</c:v>
                </c:pt>
                <c:pt idx="1070">
                  <c:v>2536.4</c:v>
                </c:pt>
                <c:pt idx="1071">
                  <c:v>2500.9499999999998</c:v>
                </c:pt>
                <c:pt idx="1072">
                  <c:v>2503.85</c:v>
                </c:pt>
                <c:pt idx="1073">
                  <c:v>2491.5500000000002</c:v>
                </c:pt>
                <c:pt idx="1074">
                  <c:v>2489.25</c:v>
                </c:pt>
                <c:pt idx="1075">
                  <c:v>2482.35</c:v>
                </c:pt>
                <c:pt idx="1076">
                  <c:v>2457.1</c:v>
                </c:pt>
                <c:pt idx="1077">
                  <c:v>2442</c:v>
                </c:pt>
                <c:pt idx="1078">
                  <c:v>2419</c:v>
                </c:pt>
                <c:pt idx="1079">
                  <c:v>2430.4499999999998</c:v>
                </c:pt>
                <c:pt idx="1080">
                  <c:v>2466.3000000000002</c:v>
                </c:pt>
                <c:pt idx="1081">
                  <c:v>2449.4</c:v>
                </c:pt>
                <c:pt idx="1082">
                  <c:v>2420.65</c:v>
                </c:pt>
                <c:pt idx="1083">
                  <c:v>2380.5500000000002</c:v>
                </c:pt>
                <c:pt idx="1084">
                  <c:v>2376.4499999999998</c:v>
                </c:pt>
                <c:pt idx="1085">
                  <c:v>2402.9499999999998</c:v>
                </c:pt>
                <c:pt idx="1086">
                  <c:v>2386.9499999999998</c:v>
                </c:pt>
                <c:pt idx="1087">
                  <c:v>2383.1999999999998</c:v>
                </c:pt>
                <c:pt idx="1088">
                  <c:v>2435.5500000000002</c:v>
                </c:pt>
                <c:pt idx="1089">
                  <c:v>2437.75</c:v>
                </c:pt>
                <c:pt idx="1090">
                  <c:v>2459.4499999999998</c:v>
                </c:pt>
                <c:pt idx="1091">
                  <c:v>2501.25</c:v>
                </c:pt>
                <c:pt idx="1092">
                  <c:v>2504.0500000000002</c:v>
                </c:pt>
                <c:pt idx="1093">
                  <c:v>2525</c:v>
                </c:pt>
                <c:pt idx="1094">
                  <c:v>2549.5500000000002</c:v>
                </c:pt>
                <c:pt idx="1095">
                  <c:v>2556.1999999999998</c:v>
                </c:pt>
                <c:pt idx="1096">
                  <c:v>2516.1</c:v>
                </c:pt>
                <c:pt idx="1097">
                  <c:v>2484.4499999999998</c:v>
                </c:pt>
                <c:pt idx="1098">
                  <c:v>2453</c:v>
                </c:pt>
                <c:pt idx="1099">
                  <c:v>2428.6</c:v>
                </c:pt>
                <c:pt idx="1100">
                  <c:v>2453.25</c:v>
                </c:pt>
                <c:pt idx="1101">
                  <c:v>2434.75</c:v>
                </c:pt>
                <c:pt idx="1102">
                  <c:v>2461.65</c:v>
                </c:pt>
                <c:pt idx="1103">
                  <c:v>2449.4</c:v>
                </c:pt>
                <c:pt idx="1104">
                  <c:v>2446.25</c:v>
                </c:pt>
                <c:pt idx="1105">
                  <c:v>2456.3000000000002</c:v>
                </c:pt>
                <c:pt idx="1106">
                  <c:v>2490.8000000000002</c:v>
                </c:pt>
                <c:pt idx="1107">
                  <c:v>2475.35</c:v>
                </c:pt>
                <c:pt idx="1108">
                  <c:v>2494.85</c:v>
                </c:pt>
                <c:pt idx="1109">
                  <c:v>2481.35</c:v>
                </c:pt>
                <c:pt idx="1110">
                  <c:v>2514.6999999999998</c:v>
                </c:pt>
                <c:pt idx="1111">
                  <c:v>2488.25</c:v>
                </c:pt>
                <c:pt idx="1112">
                  <c:v>2478.5500000000002</c:v>
                </c:pt>
                <c:pt idx="1113">
                  <c:v>2477.85</c:v>
                </c:pt>
                <c:pt idx="1114">
                  <c:v>2477.0500000000002</c:v>
                </c:pt>
                <c:pt idx="1115">
                  <c:v>2462.5500000000002</c:v>
                </c:pt>
                <c:pt idx="1116">
                  <c:v>2477.9</c:v>
                </c:pt>
                <c:pt idx="1117">
                  <c:v>2485.3000000000002</c:v>
                </c:pt>
                <c:pt idx="1118">
                  <c:v>2486.75</c:v>
                </c:pt>
                <c:pt idx="1119">
                  <c:v>2473.75</c:v>
                </c:pt>
                <c:pt idx="1120">
                  <c:v>2463.9</c:v>
                </c:pt>
                <c:pt idx="1121">
                  <c:v>2490.6999999999998</c:v>
                </c:pt>
                <c:pt idx="1122">
                  <c:v>2501.6</c:v>
                </c:pt>
                <c:pt idx="1123">
                  <c:v>2499.6999999999998</c:v>
                </c:pt>
                <c:pt idx="1124">
                  <c:v>2533.4499999999998</c:v>
                </c:pt>
                <c:pt idx="1125">
                  <c:v>2551.9499999999998</c:v>
                </c:pt>
                <c:pt idx="1126">
                  <c:v>2549.1</c:v>
                </c:pt>
                <c:pt idx="1127">
                  <c:v>2551.4499999999998</c:v>
                </c:pt>
                <c:pt idx="1128">
                  <c:v>2508.5500000000002</c:v>
                </c:pt>
                <c:pt idx="1129">
                  <c:v>2508.5</c:v>
                </c:pt>
                <c:pt idx="1130">
                  <c:v>2481.5</c:v>
                </c:pt>
                <c:pt idx="1131">
                  <c:v>2500.4</c:v>
                </c:pt>
                <c:pt idx="1132">
                  <c:v>2488.1999999999998</c:v>
                </c:pt>
                <c:pt idx="1133">
                  <c:v>2506.6999999999998</c:v>
                </c:pt>
                <c:pt idx="1134">
                  <c:v>2499.9499999999998</c:v>
                </c:pt>
                <c:pt idx="1135">
                  <c:v>2505.25</c:v>
                </c:pt>
                <c:pt idx="1136">
                  <c:v>2491.25</c:v>
                </c:pt>
                <c:pt idx="1137">
                  <c:v>2487.65</c:v>
                </c:pt>
                <c:pt idx="1138">
                  <c:v>2472.75</c:v>
                </c:pt>
                <c:pt idx="1139">
                  <c:v>2487.1999999999998</c:v>
                </c:pt>
                <c:pt idx="1140">
                  <c:v>2482.25</c:v>
                </c:pt>
                <c:pt idx="1141">
                  <c:v>2482.3000000000002</c:v>
                </c:pt>
                <c:pt idx="1142">
                  <c:v>2491.4499999999998</c:v>
                </c:pt>
                <c:pt idx="1143">
                  <c:v>2492.75</c:v>
                </c:pt>
                <c:pt idx="1144">
                  <c:v>2495.5500000000002</c:v>
                </c:pt>
                <c:pt idx="1145">
                  <c:v>2482.6999999999998</c:v>
                </c:pt>
                <c:pt idx="1146">
                  <c:v>2480.9</c:v>
                </c:pt>
                <c:pt idx="1147">
                  <c:v>2488.9499999999998</c:v>
                </c:pt>
                <c:pt idx="1148">
                  <c:v>2491.85</c:v>
                </c:pt>
                <c:pt idx="1149">
                  <c:v>2506.1</c:v>
                </c:pt>
                <c:pt idx="1150">
                  <c:v>2500.6</c:v>
                </c:pt>
                <c:pt idx="1151">
                  <c:v>2497.4</c:v>
                </c:pt>
                <c:pt idx="1152">
                  <c:v>2518.6999999999998</c:v>
                </c:pt>
                <c:pt idx="1153">
                  <c:v>2494.25</c:v>
                </c:pt>
                <c:pt idx="1154">
                  <c:v>2491.75</c:v>
                </c:pt>
                <c:pt idx="1155">
                  <c:v>2489.3000000000002</c:v>
                </c:pt>
                <c:pt idx="1156">
                  <c:v>2492.0500000000002</c:v>
                </c:pt>
                <c:pt idx="1157">
                  <c:v>2505.15</c:v>
                </c:pt>
                <c:pt idx="1158">
                  <c:v>2501.6999999999998</c:v>
                </c:pt>
                <c:pt idx="1159">
                  <c:v>2488.65</c:v>
                </c:pt>
                <c:pt idx="1160">
                  <c:v>2479.9499999999998</c:v>
                </c:pt>
                <c:pt idx="1161">
                  <c:v>2481</c:v>
                </c:pt>
                <c:pt idx="1162">
                  <c:v>2497.4</c:v>
                </c:pt>
                <c:pt idx="1163">
                  <c:v>2488.65</c:v>
                </c:pt>
                <c:pt idx="1164">
                  <c:v>2493.9499999999998</c:v>
                </c:pt>
                <c:pt idx="1165">
                  <c:v>2499.9499999999998</c:v>
                </c:pt>
                <c:pt idx="1166">
                  <c:v>2494.1999999999998</c:v>
                </c:pt>
                <c:pt idx="1167">
                  <c:v>2488.65</c:v>
                </c:pt>
                <c:pt idx="1168">
                  <c:v>2503.1999999999998</c:v>
                </c:pt>
                <c:pt idx="1169">
                  <c:v>2537.65</c:v>
                </c:pt>
                <c:pt idx="1170">
                  <c:v>2521.8000000000002</c:v>
                </c:pt>
                <c:pt idx="1171">
                  <c:v>2509</c:v>
                </c:pt>
                <c:pt idx="1172">
                  <c:v>2512.25</c:v>
                </c:pt>
                <c:pt idx="1173">
                  <c:v>2504.6</c:v>
                </c:pt>
                <c:pt idx="1174">
                  <c:v>2524.65</c:v>
                </c:pt>
                <c:pt idx="1175">
                  <c:v>2497.1</c:v>
                </c:pt>
                <c:pt idx="1176">
                  <c:v>2504.1</c:v>
                </c:pt>
                <c:pt idx="1177">
                  <c:v>2510.3000000000002</c:v>
                </c:pt>
                <c:pt idx="1178">
                  <c:v>2500.85</c:v>
                </c:pt>
                <c:pt idx="1179">
                  <c:v>2510.75</c:v>
                </c:pt>
                <c:pt idx="1180">
                  <c:v>2539.9</c:v>
                </c:pt>
                <c:pt idx="1181">
                  <c:v>2665.1</c:v>
                </c:pt>
                <c:pt idx="1182">
                  <c:v>2685.5</c:v>
                </c:pt>
                <c:pt idx="1183">
                  <c:v>2705.3</c:v>
                </c:pt>
                <c:pt idx="1184">
                  <c:v>2764.05</c:v>
                </c:pt>
                <c:pt idx="1185">
                  <c:v>2826.75</c:v>
                </c:pt>
                <c:pt idx="1186">
                  <c:v>2803.1</c:v>
                </c:pt>
                <c:pt idx="1187">
                  <c:v>2886.9</c:v>
                </c:pt>
                <c:pt idx="1188">
                  <c:v>2807.6</c:v>
                </c:pt>
                <c:pt idx="1189">
                  <c:v>2775.85</c:v>
                </c:pt>
                <c:pt idx="1190">
                  <c:v>2718.8</c:v>
                </c:pt>
                <c:pt idx="1191">
                  <c:v>2739.9</c:v>
                </c:pt>
                <c:pt idx="1192">
                  <c:v>2744.3</c:v>
                </c:pt>
                <c:pt idx="1193">
                  <c:v>2687.85</c:v>
                </c:pt>
                <c:pt idx="1194">
                  <c:v>2702.25</c:v>
                </c:pt>
                <c:pt idx="1195">
                  <c:v>2707.2</c:v>
                </c:pt>
                <c:pt idx="1196">
                  <c:v>2716.45</c:v>
                </c:pt>
                <c:pt idx="1197">
                  <c:v>2709.55</c:v>
                </c:pt>
                <c:pt idx="1198">
                  <c:v>2704.1</c:v>
                </c:pt>
                <c:pt idx="1199">
                  <c:v>2700.15</c:v>
                </c:pt>
                <c:pt idx="1200">
                  <c:v>2701.45</c:v>
                </c:pt>
                <c:pt idx="1201">
                  <c:v>2679.5</c:v>
                </c:pt>
                <c:pt idx="1202">
                  <c:v>2705.8</c:v>
                </c:pt>
                <c:pt idx="1203">
                  <c:v>2720</c:v>
                </c:pt>
                <c:pt idx="1204">
                  <c:v>2732.8</c:v>
                </c:pt>
                <c:pt idx="1205">
                  <c:v>2760.25</c:v>
                </c:pt>
                <c:pt idx="1206">
                  <c:v>2790.85</c:v>
                </c:pt>
                <c:pt idx="1207">
                  <c:v>2799.55</c:v>
                </c:pt>
                <c:pt idx="1208">
                  <c:v>2766.05</c:v>
                </c:pt>
                <c:pt idx="1209">
                  <c:v>2843.5</c:v>
                </c:pt>
                <c:pt idx="1210">
                  <c:v>2840.35</c:v>
                </c:pt>
                <c:pt idx="1211">
                  <c:v>2849.25</c:v>
                </c:pt>
                <c:pt idx="1212">
                  <c:v>2853.1</c:v>
                </c:pt>
                <c:pt idx="1213">
                  <c:v>2849.75</c:v>
                </c:pt>
                <c:pt idx="1214">
                  <c:v>2899.4</c:v>
                </c:pt>
                <c:pt idx="1215">
                  <c:v>2926.3</c:v>
                </c:pt>
                <c:pt idx="1216">
                  <c:v>2944.3</c:v>
                </c:pt>
                <c:pt idx="1217">
                  <c:v>2939.8</c:v>
                </c:pt>
                <c:pt idx="1218">
                  <c:v>2873.15</c:v>
                </c:pt>
                <c:pt idx="1219">
                  <c:v>2907.75</c:v>
                </c:pt>
                <c:pt idx="1220">
                  <c:v>2933.7</c:v>
                </c:pt>
                <c:pt idx="1221">
                  <c:v>2933.8</c:v>
                </c:pt>
                <c:pt idx="1222">
                  <c:v>2972.8</c:v>
                </c:pt>
                <c:pt idx="1223">
                  <c:v>3172.1</c:v>
                </c:pt>
                <c:pt idx="1224">
                  <c:v>3210.5</c:v>
                </c:pt>
                <c:pt idx="1225">
                  <c:v>3190.1</c:v>
                </c:pt>
                <c:pt idx="1226">
                  <c:v>3193.95</c:v>
                </c:pt>
                <c:pt idx="1227">
                  <c:v>3213.7</c:v>
                </c:pt>
                <c:pt idx="1228">
                  <c:v>3159.2</c:v>
                </c:pt>
                <c:pt idx="1229">
                  <c:v>3146</c:v>
                </c:pt>
                <c:pt idx="1230">
                  <c:v>3091.05</c:v>
                </c:pt>
                <c:pt idx="1231">
                  <c:v>3108.85</c:v>
                </c:pt>
                <c:pt idx="1232">
                  <c:v>3062.5</c:v>
                </c:pt>
                <c:pt idx="1233">
                  <c:v>2941.5</c:v>
                </c:pt>
                <c:pt idx="1234">
                  <c:v>2876.1</c:v>
                </c:pt>
                <c:pt idx="1235">
                  <c:v>2980.15</c:v>
                </c:pt>
                <c:pt idx="1236">
                  <c:v>2986.25</c:v>
                </c:pt>
                <c:pt idx="1237">
                  <c:v>2984.95</c:v>
                </c:pt>
                <c:pt idx="1238">
                  <c:v>3075.05</c:v>
                </c:pt>
                <c:pt idx="1239">
                  <c:v>3120.85</c:v>
                </c:pt>
                <c:pt idx="1240">
                  <c:v>3117.85</c:v>
                </c:pt>
                <c:pt idx="1241">
                  <c:v>3156.8</c:v>
                </c:pt>
                <c:pt idx="1242">
                  <c:v>3187.3</c:v>
                </c:pt>
                <c:pt idx="1243">
                  <c:v>3198.45</c:v>
                </c:pt>
                <c:pt idx="1244">
                  <c:v>3169.9</c:v>
                </c:pt>
                <c:pt idx="1245">
                  <c:v>3131.9</c:v>
                </c:pt>
                <c:pt idx="1246">
                  <c:v>3136.15</c:v>
                </c:pt>
                <c:pt idx="1247">
                  <c:v>3151.1</c:v>
                </c:pt>
                <c:pt idx="1248">
                  <c:v>3180.1</c:v>
                </c:pt>
                <c:pt idx="1249">
                  <c:v>3207.5</c:v>
                </c:pt>
                <c:pt idx="1250">
                  <c:v>3192.65</c:v>
                </c:pt>
                <c:pt idx="1251">
                  <c:v>3192.8</c:v>
                </c:pt>
                <c:pt idx="1252">
                  <c:v>3183.95</c:v>
                </c:pt>
                <c:pt idx="1253">
                  <c:v>3193.1</c:v>
                </c:pt>
                <c:pt idx="1254">
                  <c:v>3175.15</c:v>
                </c:pt>
                <c:pt idx="1255">
                  <c:v>3205.1</c:v>
                </c:pt>
                <c:pt idx="1256">
                  <c:v>3173.8</c:v>
                </c:pt>
                <c:pt idx="1257">
                  <c:v>3168.95</c:v>
                </c:pt>
                <c:pt idx="1258">
                  <c:v>3159.05</c:v>
                </c:pt>
                <c:pt idx="1259">
                  <c:v>3154</c:v>
                </c:pt>
                <c:pt idx="1260">
                  <c:v>3343.05</c:v>
                </c:pt>
                <c:pt idx="1261">
                  <c:v>3445.5</c:v>
                </c:pt>
                <c:pt idx="1262">
                  <c:v>3389.7</c:v>
                </c:pt>
                <c:pt idx="1263">
                  <c:v>3444.55</c:v>
                </c:pt>
                <c:pt idx="1264">
                  <c:v>3390.2</c:v>
                </c:pt>
                <c:pt idx="1265">
                  <c:v>3383.2</c:v>
                </c:pt>
                <c:pt idx="1266">
                  <c:v>3337.4</c:v>
                </c:pt>
                <c:pt idx="1267">
                  <c:v>3349.45</c:v>
                </c:pt>
                <c:pt idx="1268">
                  <c:v>3301.55</c:v>
                </c:pt>
                <c:pt idx="1269">
                  <c:v>3295.95</c:v>
                </c:pt>
                <c:pt idx="1270">
                  <c:v>3287.95</c:v>
                </c:pt>
                <c:pt idx="1271">
                  <c:v>3322.55</c:v>
                </c:pt>
                <c:pt idx="1272">
                  <c:v>3295.55</c:v>
                </c:pt>
                <c:pt idx="1273">
                  <c:v>3253.4</c:v>
                </c:pt>
                <c:pt idx="1274">
                  <c:v>3266.4</c:v>
                </c:pt>
                <c:pt idx="1275">
                  <c:v>3247.6</c:v>
                </c:pt>
                <c:pt idx="1276">
                  <c:v>3245.05</c:v>
                </c:pt>
                <c:pt idx="1277">
                  <c:v>3221.3</c:v>
                </c:pt>
                <c:pt idx="1278">
                  <c:v>3184.8</c:v>
                </c:pt>
                <c:pt idx="1279">
                  <c:v>3131.05</c:v>
                </c:pt>
                <c:pt idx="1280">
                  <c:v>3119.6</c:v>
                </c:pt>
                <c:pt idx="1281">
                  <c:v>3105.1</c:v>
                </c:pt>
                <c:pt idx="1282">
                  <c:v>3098.9</c:v>
                </c:pt>
                <c:pt idx="1283">
                  <c:v>3099.95</c:v>
                </c:pt>
                <c:pt idx="1284">
                  <c:v>3109.25</c:v>
                </c:pt>
                <c:pt idx="1285">
                  <c:v>3090.4</c:v>
                </c:pt>
                <c:pt idx="1286">
                  <c:v>3110.9</c:v>
                </c:pt>
                <c:pt idx="1287">
                  <c:v>3139.6</c:v>
                </c:pt>
                <c:pt idx="1288">
                  <c:v>3273.25</c:v>
                </c:pt>
                <c:pt idx="1289">
                  <c:v>3314.9</c:v>
                </c:pt>
                <c:pt idx="1290">
                  <c:v>3343.9</c:v>
                </c:pt>
                <c:pt idx="1291">
                  <c:v>3359.35</c:v>
                </c:pt>
                <c:pt idx="1292">
                  <c:v>3302.05</c:v>
                </c:pt>
                <c:pt idx="1293">
                  <c:v>3304.75</c:v>
                </c:pt>
                <c:pt idx="1294">
                  <c:v>3286.4</c:v>
                </c:pt>
                <c:pt idx="1295">
                  <c:v>3261.6</c:v>
                </c:pt>
                <c:pt idx="1296">
                  <c:v>3278.1</c:v>
                </c:pt>
                <c:pt idx="1297">
                  <c:v>3264.15</c:v>
                </c:pt>
                <c:pt idx="1298">
                  <c:v>3255.05</c:v>
                </c:pt>
                <c:pt idx="1299">
                  <c:v>3283.15</c:v>
                </c:pt>
                <c:pt idx="1300">
                  <c:v>3252.75</c:v>
                </c:pt>
                <c:pt idx="1301">
                  <c:v>3283.85</c:v>
                </c:pt>
                <c:pt idx="1302">
                  <c:v>3262.75</c:v>
                </c:pt>
                <c:pt idx="1303">
                  <c:v>3274.15</c:v>
                </c:pt>
                <c:pt idx="1304">
                  <c:v>3285.2</c:v>
                </c:pt>
                <c:pt idx="1305">
                  <c:v>3425.65</c:v>
                </c:pt>
                <c:pt idx="1306">
                  <c:v>3353.25</c:v>
                </c:pt>
                <c:pt idx="1307">
                  <c:v>3360.1</c:v>
                </c:pt>
                <c:pt idx="1308">
                  <c:v>3358.9</c:v>
                </c:pt>
                <c:pt idx="1309">
                  <c:v>3359.5</c:v>
                </c:pt>
                <c:pt idx="1310">
                  <c:v>3340.85</c:v>
                </c:pt>
                <c:pt idx="1311">
                  <c:v>3314.3</c:v>
                </c:pt>
                <c:pt idx="1312">
                  <c:v>3349.75</c:v>
                </c:pt>
                <c:pt idx="1313">
                  <c:v>3342.95</c:v>
                </c:pt>
                <c:pt idx="1314">
                  <c:v>3312.75</c:v>
                </c:pt>
                <c:pt idx="1315">
                  <c:v>3273.45</c:v>
                </c:pt>
                <c:pt idx="1316">
                  <c:v>3198.4</c:v>
                </c:pt>
                <c:pt idx="1317">
                  <c:v>3190.5</c:v>
                </c:pt>
                <c:pt idx="1318">
                  <c:v>3199.85</c:v>
                </c:pt>
                <c:pt idx="1319">
                  <c:v>3197.2</c:v>
                </c:pt>
                <c:pt idx="1320">
                  <c:v>3062.65</c:v>
                </c:pt>
                <c:pt idx="1321">
                  <c:v>2996.05</c:v>
                </c:pt>
                <c:pt idx="1322">
                  <c:v>3038.85</c:v>
                </c:pt>
                <c:pt idx="1323">
                  <c:v>3140.05</c:v>
                </c:pt>
                <c:pt idx="1324">
                  <c:v>3183.4</c:v>
                </c:pt>
                <c:pt idx="1325">
                  <c:v>3175.25</c:v>
                </c:pt>
                <c:pt idx="1326">
                  <c:v>3235.5</c:v>
                </c:pt>
                <c:pt idx="1327">
                  <c:v>3198.1</c:v>
                </c:pt>
                <c:pt idx="1328">
                  <c:v>3173.25</c:v>
                </c:pt>
                <c:pt idx="1329">
                  <c:v>3185.5</c:v>
                </c:pt>
                <c:pt idx="1330">
                  <c:v>3187.45</c:v>
                </c:pt>
                <c:pt idx="1331">
                  <c:v>3193</c:v>
                </c:pt>
                <c:pt idx="1332">
                  <c:v>3195.4</c:v>
                </c:pt>
                <c:pt idx="1333">
                  <c:v>3225.4</c:v>
                </c:pt>
                <c:pt idx="1334">
                  <c:v>3240.2</c:v>
                </c:pt>
                <c:pt idx="1335">
                  <c:v>3279.45</c:v>
                </c:pt>
                <c:pt idx="1336">
                  <c:v>3251.4</c:v>
                </c:pt>
                <c:pt idx="1337">
                  <c:v>3209.5</c:v>
                </c:pt>
                <c:pt idx="1338">
                  <c:v>3210.75</c:v>
                </c:pt>
                <c:pt idx="1339">
                  <c:v>3192.15</c:v>
                </c:pt>
                <c:pt idx="1340">
                  <c:v>3197.75</c:v>
                </c:pt>
                <c:pt idx="1341">
                  <c:v>3191.5</c:v>
                </c:pt>
                <c:pt idx="1342">
                  <c:v>3167.6</c:v>
                </c:pt>
                <c:pt idx="1343">
                  <c:v>3200.85</c:v>
                </c:pt>
                <c:pt idx="1344">
                  <c:v>3228.1</c:v>
                </c:pt>
                <c:pt idx="1345">
                  <c:v>3247.25</c:v>
                </c:pt>
                <c:pt idx="1346">
                  <c:v>3297.75</c:v>
                </c:pt>
                <c:pt idx="1347">
                  <c:v>3218.6</c:v>
                </c:pt>
                <c:pt idx="1348">
                  <c:v>3183.9</c:v>
                </c:pt>
                <c:pt idx="1349">
                  <c:v>3199.1</c:v>
                </c:pt>
                <c:pt idx="1350">
                  <c:v>3180.4</c:v>
                </c:pt>
                <c:pt idx="1351">
                  <c:v>3194.45</c:v>
                </c:pt>
                <c:pt idx="1352">
                  <c:v>3224</c:v>
                </c:pt>
                <c:pt idx="1353">
                  <c:v>3209</c:v>
                </c:pt>
                <c:pt idx="1354">
                  <c:v>3233.35</c:v>
                </c:pt>
                <c:pt idx="1355">
                  <c:v>3258.6</c:v>
                </c:pt>
                <c:pt idx="1356">
                  <c:v>3279.25</c:v>
                </c:pt>
                <c:pt idx="1357">
                  <c:v>3325.4</c:v>
                </c:pt>
                <c:pt idx="1358">
                  <c:v>3313.55</c:v>
                </c:pt>
                <c:pt idx="1359">
                  <c:v>3296.9</c:v>
                </c:pt>
                <c:pt idx="1360">
                  <c:v>3277.3</c:v>
                </c:pt>
                <c:pt idx="1361">
                  <c:v>3269.55</c:v>
                </c:pt>
                <c:pt idx="1362">
                  <c:v>3261.15</c:v>
                </c:pt>
                <c:pt idx="1363">
                  <c:v>3263.4</c:v>
                </c:pt>
                <c:pt idx="1364">
                  <c:v>3287.6</c:v>
                </c:pt>
                <c:pt idx="1365">
                  <c:v>3287.1</c:v>
                </c:pt>
                <c:pt idx="1366">
                  <c:v>3348.1</c:v>
                </c:pt>
                <c:pt idx="1367">
                  <c:v>3323.45</c:v>
                </c:pt>
                <c:pt idx="1368">
                  <c:v>3352</c:v>
                </c:pt>
                <c:pt idx="1369">
                  <c:v>3347.4</c:v>
                </c:pt>
                <c:pt idx="1370">
                  <c:v>3353.55</c:v>
                </c:pt>
                <c:pt idx="1371">
                  <c:v>3406.35</c:v>
                </c:pt>
                <c:pt idx="1372">
                  <c:v>3460.95</c:v>
                </c:pt>
                <c:pt idx="1373">
                  <c:v>3417</c:v>
                </c:pt>
                <c:pt idx="1374">
                  <c:v>3403.65</c:v>
                </c:pt>
                <c:pt idx="1375">
                  <c:v>3410.25</c:v>
                </c:pt>
                <c:pt idx="1376">
                  <c:v>3417.15</c:v>
                </c:pt>
                <c:pt idx="1377">
                  <c:v>3423.95</c:v>
                </c:pt>
                <c:pt idx="1378">
                  <c:v>3420.9</c:v>
                </c:pt>
                <c:pt idx="1379">
                  <c:v>3418.7</c:v>
                </c:pt>
                <c:pt idx="1380">
                  <c:v>3395.75</c:v>
                </c:pt>
                <c:pt idx="1381">
                  <c:v>3378.9</c:v>
                </c:pt>
                <c:pt idx="1382">
                  <c:v>3436.9</c:v>
                </c:pt>
                <c:pt idx="1383">
                  <c:v>3403</c:v>
                </c:pt>
                <c:pt idx="1384">
                  <c:v>3388.6</c:v>
                </c:pt>
                <c:pt idx="1385">
                  <c:v>3382.3</c:v>
                </c:pt>
                <c:pt idx="1386">
                  <c:v>3392.35</c:v>
                </c:pt>
                <c:pt idx="1387">
                  <c:v>3445.05</c:v>
                </c:pt>
                <c:pt idx="1388">
                  <c:v>3531.75</c:v>
                </c:pt>
                <c:pt idx="1389">
                  <c:v>3522.3</c:v>
                </c:pt>
                <c:pt idx="1390">
                  <c:v>3592.5</c:v>
                </c:pt>
                <c:pt idx="1391">
                  <c:v>3694.9</c:v>
                </c:pt>
                <c:pt idx="1392">
                  <c:v>3754.05</c:v>
                </c:pt>
                <c:pt idx="1393">
                  <c:v>3730.55</c:v>
                </c:pt>
                <c:pt idx="1394">
                  <c:v>3669.85</c:v>
                </c:pt>
                <c:pt idx="1395">
                  <c:v>3616.9</c:v>
                </c:pt>
                <c:pt idx="1396">
                  <c:v>3612.4</c:v>
                </c:pt>
                <c:pt idx="1397">
                  <c:v>3626.9</c:v>
                </c:pt>
                <c:pt idx="1398">
                  <c:v>3602.75</c:v>
                </c:pt>
                <c:pt idx="1399">
                  <c:v>3679.7</c:v>
                </c:pt>
                <c:pt idx="1400">
                  <c:v>3652.1</c:v>
                </c:pt>
                <c:pt idx="1401">
                  <c:v>3664.6</c:v>
                </c:pt>
                <c:pt idx="1402">
                  <c:v>3620.15</c:v>
                </c:pt>
                <c:pt idx="1403">
                  <c:v>3604.15</c:v>
                </c:pt>
                <c:pt idx="1404">
                  <c:v>3587.95</c:v>
                </c:pt>
                <c:pt idx="1405">
                  <c:v>3409.1</c:v>
                </c:pt>
                <c:pt idx="1406">
                  <c:v>3382.25</c:v>
                </c:pt>
                <c:pt idx="1407">
                  <c:v>3377.5</c:v>
                </c:pt>
                <c:pt idx="1408">
                  <c:v>3370.8</c:v>
                </c:pt>
                <c:pt idx="1409">
                  <c:v>3393.45</c:v>
                </c:pt>
                <c:pt idx="1410">
                  <c:v>3397.25</c:v>
                </c:pt>
                <c:pt idx="1411">
                  <c:v>3379.5</c:v>
                </c:pt>
                <c:pt idx="1412">
                  <c:v>3366.25</c:v>
                </c:pt>
                <c:pt idx="1413">
                  <c:v>3389.2</c:v>
                </c:pt>
                <c:pt idx="1414">
                  <c:v>3368.6</c:v>
                </c:pt>
                <c:pt idx="1415">
                  <c:v>3345.05</c:v>
                </c:pt>
                <c:pt idx="1416">
                  <c:v>3323.1</c:v>
                </c:pt>
                <c:pt idx="1417">
                  <c:v>3319.85</c:v>
                </c:pt>
                <c:pt idx="1418">
                  <c:v>3350.9</c:v>
                </c:pt>
                <c:pt idx="1419">
                  <c:v>3333.75</c:v>
                </c:pt>
                <c:pt idx="1420">
                  <c:v>3327</c:v>
                </c:pt>
                <c:pt idx="1421">
                  <c:v>3325.5</c:v>
                </c:pt>
                <c:pt idx="1422">
                  <c:v>3321.55</c:v>
                </c:pt>
                <c:pt idx="1423">
                  <c:v>3349.3</c:v>
                </c:pt>
                <c:pt idx="1424">
                  <c:v>3348.5</c:v>
                </c:pt>
                <c:pt idx="1425">
                  <c:v>3347.65</c:v>
                </c:pt>
                <c:pt idx="1426">
                  <c:v>3346.8</c:v>
                </c:pt>
                <c:pt idx="1427">
                  <c:v>3371.55</c:v>
                </c:pt>
                <c:pt idx="1428">
                  <c:v>3317.4</c:v>
                </c:pt>
                <c:pt idx="1429">
                  <c:v>3325.75</c:v>
                </c:pt>
                <c:pt idx="1430">
                  <c:v>3359.55</c:v>
                </c:pt>
                <c:pt idx="1431">
                  <c:v>3363.95</c:v>
                </c:pt>
                <c:pt idx="1432">
                  <c:v>3354.9</c:v>
                </c:pt>
                <c:pt idx="1433">
                  <c:v>3373.55</c:v>
                </c:pt>
                <c:pt idx="1434">
                  <c:v>3387.9</c:v>
                </c:pt>
                <c:pt idx="1435">
                  <c:v>3365.75</c:v>
                </c:pt>
                <c:pt idx="1436">
                  <c:v>3319.3</c:v>
                </c:pt>
                <c:pt idx="1437">
                  <c:v>3318.45</c:v>
                </c:pt>
                <c:pt idx="1438">
                  <c:v>3307.75</c:v>
                </c:pt>
                <c:pt idx="1439">
                  <c:v>3300.15</c:v>
                </c:pt>
                <c:pt idx="1440">
                  <c:v>3304.65</c:v>
                </c:pt>
                <c:pt idx="1441">
                  <c:v>3323.55</c:v>
                </c:pt>
                <c:pt idx="1442">
                  <c:v>3315.75</c:v>
                </c:pt>
                <c:pt idx="1443">
                  <c:v>3300.1</c:v>
                </c:pt>
                <c:pt idx="1444">
                  <c:v>3303.5</c:v>
                </c:pt>
                <c:pt idx="1445">
                  <c:v>3321</c:v>
                </c:pt>
                <c:pt idx="1446">
                  <c:v>3298.5</c:v>
                </c:pt>
                <c:pt idx="1447">
                  <c:v>3282.65</c:v>
                </c:pt>
                <c:pt idx="1448">
                  <c:v>3282.2</c:v>
                </c:pt>
                <c:pt idx="1449">
                  <c:v>3276.75</c:v>
                </c:pt>
                <c:pt idx="1450">
                  <c:v>3310.15</c:v>
                </c:pt>
                <c:pt idx="1451">
                  <c:v>3240</c:v>
                </c:pt>
                <c:pt idx="1452">
                  <c:v>3245.8</c:v>
                </c:pt>
                <c:pt idx="1453">
                  <c:v>3231.75</c:v>
                </c:pt>
                <c:pt idx="1454">
                  <c:v>3209.25</c:v>
                </c:pt>
                <c:pt idx="1455">
                  <c:v>3212.45</c:v>
                </c:pt>
                <c:pt idx="1456">
                  <c:v>3231.35</c:v>
                </c:pt>
                <c:pt idx="1457">
                  <c:v>3140.2</c:v>
                </c:pt>
                <c:pt idx="1458">
                  <c:v>3171.75</c:v>
                </c:pt>
                <c:pt idx="1459">
                  <c:v>3154.25</c:v>
                </c:pt>
                <c:pt idx="1460">
                  <c:v>3129.15</c:v>
                </c:pt>
                <c:pt idx="1461">
                  <c:v>3129.1</c:v>
                </c:pt>
                <c:pt idx="1462">
                  <c:v>3124.65</c:v>
                </c:pt>
                <c:pt idx="1463">
                  <c:v>3151.85</c:v>
                </c:pt>
                <c:pt idx="1464">
                  <c:v>3198.75</c:v>
                </c:pt>
                <c:pt idx="1465">
                  <c:v>3232.4</c:v>
                </c:pt>
                <c:pt idx="1466">
                  <c:v>3255.15</c:v>
                </c:pt>
                <c:pt idx="1467">
                  <c:v>3284.65</c:v>
                </c:pt>
                <c:pt idx="1468">
                  <c:v>3278.2</c:v>
                </c:pt>
                <c:pt idx="1469">
                  <c:v>3296.25</c:v>
                </c:pt>
                <c:pt idx="1470">
                  <c:v>3293.5</c:v>
                </c:pt>
                <c:pt idx="1471">
                  <c:v>3305.7</c:v>
                </c:pt>
                <c:pt idx="1472">
                  <c:v>3269.85</c:v>
                </c:pt>
                <c:pt idx="1473">
                  <c:v>3284.8</c:v>
                </c:pt>
                <c:pt idx="1474">
                  <c:v>3276.8</c:v>
                </c:pt>
                <c:pt idx="1475">
                  <c:v>3281.6</c:v>
                </c:pt>
                <c:pt idx="1476">
                  <c:v>3270.25</c:v>
                </c:pt>
                <c:pt idx="1477">
                  <c:v>3250.45</c:v>
                </c:pt>
                <c:pt idx="1478">
                  <c:v>3244.8</c:v>
                </c:pt>
                <c:pt idx="1479">
                  <c:v>3304.1</c:v>
                </c:pt>
                <c:pt idx="1480">
                  <c:v>3314.1</c:v>
                </c:pt>
                <c:pt idx="1481">
                  <c:v>3299.4</c:v>
                </c:pt>
                <c:pt idx="1482">
                  <c:v>3297.3</c:v>
                </c:pt>
                <c:pt idx="1483">
                  <c:v>3275.35</c:v>
                </c:pt>
                <c:pt idx="1484">
                  <c:v>3278.15</c:v>
                </c:pt>
                <c:pt idx="1485">
                  <c:v>3269.95</c:v>
                </c:pt>
                <c:pt idx="1486">
                  <c:v>3297.2</c:v>
                </c:pt>
                <c:pt idx="1487">
                  <c:v>3295.45</c:v>
                </c:pt>
                <c:pt idx="1488">
                  <c:v>3279.2</c:v>
                </c:pt>
                <c:pt idx="1489">
                  <c:v>3297.05</c:v>
                </c:pt>
                <c:pt idx="1490">
                  <c:v>3324.2</c:v>
                </c:pt>
                <c:pt idx="1491">
                  <c:v>3314.05</c:v>
                </c:pt>
                <c:pt idx="1492">
                  <c:v>3294.85</c:v>
                </c:pt>
                <c:pt idx="1493">
                  <c:v>3258.2</c:v>
                </c:pt>
                <c:pt idx="1494">
                  <c:v>3277.8</c:v>
                </c:pt>
                <c:pt idx="1495">
                  <c:v>3277.05</c:v>
                </c:pt>
                <c:pt idx="1496">
                  <c:v>3233.3</c:v>
                </c:pt>
                <c:pt idx="1497">
                  <c:v>3295.5</c:v>
                </c:pt>
                <c:pt idx="1498">
                  <c:v>3230.6</c:v>
                </c:pt>
                <c:pt idx="1499">
                  <c:v>3270.05</c:v>
                </c:pt>
                <c:pt idx="1500">
                  <c:v>3294.1</c:v>
                </c:pt>
                <c:pt idx="1501">
                  <c:v>3233.1</c:v>
                </c:pt>
                <c:pt idx="1502">
                  <c:v>3207.45</c:v>
                </c:pt>
                <c:pt idx="1503">
                  <c:v>3162.25</c:v>
                </c:pt>
                <c:pt idx="1504">
                  <c:v>3204.4</c:v>
                </c:pt>
                <c:pt idx="1505">
                  <c:v>3142.85</c:v>
                </c:pt>
                <c:pt idx="1506">
                  <c:v>3068.75</c:v>
                </c:pt>
                <c:pt idx="1507">
                  <c:v>3159.65</c:v>
                </c:pt>
                <c:pt idx="1508">
                  <c:v>3184.1</c:v>
                </c:pt>
                <c:pt idx="1509">
                  <c:v>3230.65</c:v>
                </c:pt>
                <c:pt idx="1510">
                  <c:v>3229.6</c:v>
                </c:pt>
                <c:pt idx="1511">
                  <c:v>3236.4</c:v>
                </c:pt>
                <c:pt idx="1512">
                  <c:v>3297.2</c:v>
                </c:pt>
                <c:pt idx="1513">
                  <c:v>3262.2</c:v>
                </c:pt>
                <c:pt idx="1514">
                  <c:v>3208.1</c:v>
                </c:pt>
                <c:pt idx="1515">
                  <c:v>3226.8</c:v>
                </c:pt>
                <c:pt idx="1516">
                  <c:v>3306.3</c:v>
                </c:pt>
                <c:pt idx="1517">
                  <c:v>3296.6</c:v>
                </c:pt>
                <c:pt idx="1518">
                  <c:v>3243.7</c:v>
                </c:pt>
                <c:pt idx="1519">
                  <c:v>3244.7</c:v>
                </c:pt>
                <c:pt idx="1520">
                  <c:v>3202.2</c:v>
                </c:pt>
                <c:pt idx="1521">
                  <c:v>3222.25</c:v>
                </c:pt>
                <c:pt idx="1522">
                  <c:v>3215.6</c:v>
                </c:pt>
                <c:pt idx="1523">
                  <c:v>3179.8</c:v>
                </c:pt>
                <c:pt idx="1524">
                  <c:v>3217.15</c:v>
                </c:pt>
                <c:pt idx="1525">
                  <c:v>3205.2</c:v>
                </c:pt>
                <c:pt idx="1526">
                  <c:v>3223.05</c:v>
                </c:pt>
                <c:pt idx="1527">
                  <c:v>3228.3</c:v>
                </c:pt>
                <c:pt idx="1528">
                  <c:v>3227.3</c:v>
                </c:pt>
                <c:pt idx="1529">
                  <c:v>3213.8</c:v>
                </c:pt>
                <c:pt idx="1530">
                  <c:v>3147.8</c:v>
                </c:pt>
                <c:pt idx="1531">
                  <c:v>3146.1</c:v>
                </c:pt>
                <c:pt idx="1532">
                  <c:v>3157.4</c:v>
                </c:pt>
                <c:pt idx="1533">
                  <c:v>3196</c:v>
                </c:pt>
                <c:pt idx="1534">
                  <c:v>3249</c:v>
                </c:pt>
                <c:pt idx="1535">
                  <c:v>3198.5</c:v>
                </c:pt>
                <c:pt idx="1536">
                  <c:v>3251.35</c:v>
                </c:pt>
                <c:pt idx="1537">
                  <c:v>3204</c:v>
                </c:pt>
                <c:pt idx="1538">
                  <c:v>3249.35</c:v>
                </c:pt>
                <c:pt idx="1539">
                  <c:v>3230.95</c:v>
                </c:pt>
                <c:pt idx="1540">
                  <c:v>3244.85</c:v>
                </c:pt>
                <c:pt idx="1541">
                  <c:v>3259.9</c:v>
                </c:pt>
                <c:pt idx="1542">
                  <c:v>3277.5</c:v>
                </c:pt>
                <c:pt idx="1543">
                  <c:v>3325.05</c:v>
                </c:pt>
                <c:pt idx="1544">
                  <c:v>3366.4</c:v>
                </c:pt>
                <c:pt idx="1545">
                  <c:v>3399.6</c:v>
                </c:pt>
                <c:pt idx="1546">
                  <c:v>3457.5</c:v>
                </c:pt>
                <c:pt idx="1547">
                  <c:v>3539</c:v>
                </c:pt>
                <c:pt idx="1548">
                  <c:v>3695.7</c:v>
                </c:pt>
                <c:pt idx="1549">
                  <c:v>3698.05</c:v>
                </c:pt>
                <c:pt idx="1550">
                  <c:v>3676.1</c:v>
                </c:pt>
                <c:pt idx="1551">
                  <c:v>3772.95</c:v>
                </c:pt>
                <c:pt idx="1552">
                  <c:v>3814.75</c:v>
                </c:pt>
                <c:pt idx="1553">
                  <c:v>3811.1</c:v>
                </c:pt>
                <c:pt idx="1554">
                  <c:v>3758.05</c:v>
                </c:pt>
                <c:pt idx="1555">
                  <c:v>3705.6</c:v>
                </c:pt>
                <c:pt idx="1556">
                  <c:v>3720.45</c:v>
                </c:pt>
                <c:pt idx="1557">
                  <c:v>3675.3</c:v>
                </c:pt>
                <c:pt idx="1558">
                  <c:v>3683.2</c:v>
                </c:pt>
                <c:pt idx="1559">
                  <c:v>3677.65</c:v>
                </c:pt>
                <c:pt idx="1560">
                  <c:v>3675.85</c:v>
                </c:pt>
                <c:pt idx="1561">
                  <c:v>3737.45</c:v>
                </c:pt>
                <c:pt idx="1562">
                  <c:v>3713.45</c:v>
                </c:pt>
                <c:pt idx="1563">
                  <c:v>3710.5</c:v>
                </c:pt>
                <c:pt idx="1564">
                  <c:v>3703.1</c:v>
                </c:pt>
                <c:pt idx="1565">
                  <c:v>3666.55</c:v>
                </c:pt>
                <c:pt idx="1566">
                  <c:v>3664.05</c:v>
                </c:pt>
                <c:pt idx="1567">
                  <c:v>3745</c:v>
                </c:pt>
                <c:pt idx="1568">
                  <c:v>3768.9</c:v>
                </c:pt>
                <c:pt idx="1569">
                  <c:v>3746.7</c:v>
                </c:pt>
                <c:pt idx="1570">
                  <c:v>3731.4</c:v>
                </c:pt>
                <c:pt idx="1571">
                  <c:v>3672.55</c:v>
                </c:pt>
                <c:pt idx="1572">
                  <c:v>3626.2</c:v>
                </c:pt>
                <c:pt idx="1573">
                  <c:v>3627.7</c:v>
                </c:pt>
                <c:pt idx="1574">
                  <c:v>3609.4</c:v>
                </c:pt>
                <c:pt idx="1575">
                  <c:v>3582.25</c:v>
                </c:pt>
                <c:pt idx="1576">
                  <c:v>3592.1</c:v>
                </c:pt>
                <c:pt idx="1577">
                  <c:v>3533.85</c:v>
                </c:pt>
                <c:pt idx="1578">
                  <c:v>3536.75</c:v>
                </c:pt>
                <c:pt idx="1579">
                  <c:v>3467.65</c:v>
                </c:pt>
                <c:pt idx="1580">
                  <c:v>3415.1</c:v>
                </c:pt>
                <c:pt idx="1581">
                  <c:v>3435.4</c:v>
                </c:pt>
                <c:pt idx="1582">
                  <c:v>3417.6</c:v>
                </c:pt>
                <c:pt idx="1583">
                  <c:v>3388.7</c:v>
                </c:pt>
                <c:pt idx="1584">
                  <c:v>3345.2</c:v>
                </c:pt>
                <c:pt idx="1585">
                  <c:v>3390.9</c:v>
                </c:pt>
                <c:pt idx="1586">
                  <c:v>3378.3</c:v>
                </c:pt>
                <c:pt idx="1587">
                  <c:v>3403.55</c:v>
                </c:pt>
                <c:pt idx="1588">
                  <c:v>3436</c:v>
                </c:pt>
                <c:pt idx="1589">
                  <c:v>3505.7</c:v>
                </c:pt>
                <c:pt idx="1590">
                  <c:v>3528.35</c:v>
                </c:pt>
                <c:pt idx="1591">
                  <c:v>3572.25</c:v>
                </c:pt>
                <c:pt idx="1592">
                  <c:v>3554.45</c:v>
                </c:pt>
                <c:pt idx="1593">
                  <c:v>3532.3</c:v>
                </c:pt>
                <c:pt idx="1594">
                  <c:v>3533.9</c:v>
                </c:pt>
                <c:pt idx="1595">
                  <c:v>3538.6</c:v>
                </c:pt>
                <c:pt idx="1596">
                  <c:v>3516.75</c:v>
                </c:pt>
                <c:pt idx="1597">
                  <c:v>3524.8</c:v>
                </c:pt>
                <c:pt idx="1598">
                  <c:v>3519.6</c:v>
                </c:pt>
                <c:pt idx="1599">
                  <c:v>3504.6</c:v>
                </c:pt>
                <c:pt idx="1600">
                  <c:v>3496.95</c:v>
                </c:pt>
                <c:pt idx="1601">
                  <c:v>3498.55</c:v>
                </c:pt>
                <c:pt idx="1602">
                  <c:v>3491.15</c:v>
                </c:pt>
                <c:pt idx="1603">
                  <c:v>3519.3</c:v>
                </c:pt>
                <c:pt idx="1604">
                  <c:v>3483.8</c:v>
                </c:pt>
                <c:pt idx="1605">
                  <c:v>3527.45</c:v>
                </c:pt>
                <c:pt idx="1606">
                  <c:v>3498.85</c:v>
                </c:pt>
                <c:pt idx="1607">
                  <c:v>3514.3</c:v>
                </c:pt>
                <c:pt idx="1608">
                  <c:v>3457.55</c:v>
                </c:pt>
                <c:pt idx="1609">
                  <c:v>3416.2</c:v>
                </c:pt>
                <c:pt idx="1610">
                  <c:v>3475.25</c:v>
                </c:pt>
                <c:pt idx="1611">
                  <c:v>3490.15</c:v>
                </c:pt>
                <c:pt idx="1612">
                  <c:v>3503.85</c:v>
                </c:pt>
                <c:pt idx="1613">
                  <c:v>3499.75</c:v>
                </c:pt>
                <c:pt idx="1614">
                  <c:v>3487.4</c:v>
                </c:pt>
                <c:pt idx="1615">
                  <c:v>3468.9</c:v>
                </c:pt>
                <c:pt idx="1616">
                  <c:v>3503.1</c:v>
                </c:pt>
                <c:pt idx="1617">
                  <c:v>3495.15</c:v>
                </c:pt>
                <c:pt idx="1618">
                  <c:v>3519.3</c:v>
                </c:pt>
                <c:pt idx="1619">
                  <c:v>3487.8</c:v>
                </c:pt>
                <c:pt idx="1620">
                  <c:v>3519.6</c:v>
                </c:pt>
                <c:pt idx="1621">
                  <c:v>3512.6</c:v>
                </c:pt>
                <c:pt idx="1622">
                  <c:v>3505.4</c:v>
                </c:pt>
                <c:pt idx="1623">
                  <c:v>3522.05</c:v>
                </c:pt>
                <c:pt idx="1624">
                  <c:v>3458.95</c:v>
                </c:pt>
                <c:pt idx="1625">
                  <c:v>3412.4</c:v>
                </c:pt>
                <c:pt idx="1626">
                  <c:v>3428.45</c:v>
                </c:pt>
                <c:pt idx="1627">
                  <c:v>3401.1</c:v>
                </c:pt>
                <c:pt idx="1628">
                  <c:v>3396.85</c:v>
                </c:pt>
                <c:pt idx="1629">
                  <c:v>3399.1</c:v>
                </c:pt>
                <c:pt idx="1630">
                  <c:v>3410.1</c:v>
                </c:pt>
                <c:pt idx="1631">
                  <c:v>3390.85</c:v>
                </c:pt>
                <c:pt idx="1632">
                  <c:v>3366.4</c:v>
                </c:pt>
                <c:pt idx="1633">
                  <c:v>3346.5</c:v>
                </c:pt>
                <c:pt idx="1634">
                  <c:v>3314.95</c:v>
                </c:pt>
                <c:pt idx="1635">
                  <c:v>3222.55</c:v>
                </c:pt>
                <c:pt idx="1636">
                  <c:v>3198.5</c:v>
                </c:pt>
                <c:pt idx="1637">
                  <c:v>3142.65</c:v>
                </c:pt>
                <c:pt idx="1638">
                  <c:v>3094.25</c:v>
                </c:pt>
                <c:pt idx="1639">
                  <c:v>3140.5</c:v>
                </c:pt>
                <c:pt idx="1640">
                  <c:v>3121.1</c:v>
                </c:pt>
                <c:pt idx="1641">
                  <c:v>3108.2</c:v>
                </c:pt>
                <c:pt idx="1642">
                  <c:v>3063.5</c:v>
                </c:pt>
                <c:pt idx="1643">
                  <c:v>3119.8</c:v>
                </c:pt>
                <c:pt idx="1644">
                  <c:v>3118.85</c:v>
                </c:pt>
                <c:pt idx="1645">
                  <c:v>3050.9</c:v>
                </c:pt>
                <c:pt idx="1646">
                  <c:v>3168.45</c:v>
                </c:pt>
                <c:pt idx="1647">
                  <c:v>3143.05</c:v>
                </c:pt>
                <c:pt idx="1648">
                  <c:v>3121.6</c:v>
                </c:pt>
                <c:pt idx="1649">
                  <c:v>3075.6</c:v>
                </c:pt>
                <c:pt idx="1650">
                  <c:v>3081.95</c:v>
                </c:pt>
                <c:pt idx="1651">
                  <c:v>3051.15</c:v>
                </c:pt>
                <c:pt idx="1652">
                  <c:v>3012.65</c:v>
                </c:pt>
                <c:pt idx="1653">
                  <c:v>2981.7</c:v>
                </c:pt>
                <c:pt idx="1654">
                  <c:v>2979.25</c:v>
                </c:pt>
                <c:pt idx="1655">
                  <c:v>3010.45</c:v>
                </c:pt>
                <c:pt idx="1656">
                  <c:v>3033.95</c:v>
                </c:pt>
                <c:pt idx="1657">
                  <c:v>2985.15</c:v>
                </c:pt>
                <c:pt idx="1658">
                  <c:v>2974.05</c:v>
                </c:pt>
                <c:pt idx="1659">
                  <c:v>3000.05</c:v>
                </c:pt>
                <c:pt idx="1660">
                  <c:v>3010.6</c:v>
                </c:pt>
                <c:pt idx="1661">
                  <c:v>3003.4</c:v>
                </c:pt>
                <c:pt idx="1662">
                  <c:v>3001.05</c:v>
                </c:pt>
                <c:pt idx="1663">
                  <c:v>2986.35</c:v>
                </c:pt>
                <c:pt idx="1664">
                  <c:v>2957.25</c:v>
                </c:pt>
                <c:pt idx="1665">
                  <c:v>2968.25</c:v>
                </c:pt>
                <c:pt idx="1666">
                  <c:v>2826.45</c:v>
                </c:pt>
                <c:pt idx="1667">
                  <c:v>2841.5</c:v>
                </c:pt>
                <c:pt idx="1668">
                  <c:v>2828.8</c:v>
                </c:pt>
                <c:pt idx="1669">
                  <c:v>2810.55</c:v>
                </c:pt>
                <c:pt idx="1670">
                  <c:v>2794.85</c:v>
                </c:pt>
                <c:pt idx="1671">
                  <c:v>2805.25</c:v>
                </c:pt>
                <c:pt idx="1672">
                  <c:v>2798.35</c:v>
                </c:pt>
                <c:pt idx="1673">
                  <c:v>2822.9</c:v>
                </c:pt>
                <c:pt idx="1674">
                  <c:v>2839.75</c:v>
                </c:pt>
                <c:pt idx="1675">
                  <c:v>2807.25</c:v>
                </c:pt>
                <c:pt idx="1676">
                  <c:v>2780.95</c:v>
                </c:pt>
                <c:pt idx="1677">
                  <c:v>2820.1</c:v>
                </c:pt>
                <c:pt idx="1678">
                  <c:v>2868.35</c:v>
                </c:pt>
                <c:pt idx="1679">
                  <c:v>2874.6</c:v>
                </c:pt>
                <c:pt idx="1680">
                  <c:v>2918.9</c:v>
                </c:pt>
                <c:pt idx="1681">
                  <c:v>2919.6</c:v>
                </c:pt>
                <c:pt idx="1682">
                  <c:v>2927.3</c:v>
                </c:pt>
                <c:pt idx="1683">
                  <c:v>2937.65</c:v>
                </c:pt>
                <c:pt idx="1684">
                  <c:v>2956.25</c:v>
                </c:pt>
                <c:pt idx="1685">
                  <c:v>2975.4</c:v>
                </c:pt>
                <c:pt idx="1686">
                  <c:v>2971.1</c:v>
                </c:pt>
                <c:pt idx="1687">
                  <c:v>2977.25</c:v>
                </c:pt>
                <c:pt idx="1688">
                  <c:v>2980.4</c:v>
                </c:pt>
                <c:pt idx="1689">
                  <c:v>2966.35</c:v>
                </c:pt>
                <c:pt idx="1690">
                  <c:v>2961.8</c:v>
                </c:pt>
                <c:pt idx="1691">
                  <c:v>2952.25</c:v>
                </c:pt>
                <c:pt idx="1692">
                  <c:v>2924.95</c:v>
                </c:pt>
                <c:pt idx="1693">
                  <c:v>2924.85</c:v>
                </c:pt>
                <c:pt idx="1694">
                  <c:v>2910.1</c:v>
                </c:pt>
                <c:pt idx="1695">
                  <c:v>2943.65</c:v>
                </c:pt>
                <c:pt idx="1696">
                  <c:v>2856.2</c:v>
                </c:pt>
                <c:pt idx="1697">
                  <c:v>2820.8</c:v>
                </c:pt>
                <c:pt idx="1698">
                  <c:v>2818.3</c:v>
                </c:pt>
                <c:pt idx="1699">
                  <c:v>2800.75</c:v>
                </c:pt>
                <c:pt idx="1700">
                  <c:v>2786.7</c:v>
                </c:pt>
                <c:pt idx="1701">
                  <c:v>2722.05</c:v>
                </c:pt>
                <c:pt idx="1702">
                  <c:v>2654.55</c:v>
                </c:pt>
                <c:pt idx="1703">
                  <c:v>2611.6999999999998</c:v>
                </c:pt>
                <c:pt idx="1704">
                  <c:v>2643.9</c:v>
                </c:pt>
                <c:pt idx="1705">
                  <c:v>2658.3</c:v>
                </c:pt>
                <c:pt idx="1706">
                  <c:v>2669.45</c:v>
                </c:pt>
                <c:pt idx="1707">
                  <c:v>2695.5</c:v>
                </c:pt>
                <c:pt idx="1708">
                  <c:v>2711.6</c:v>
                </c:pt>
                <c:pt idx="1709">
                  <c:v>2689.5</c:v>
                </c:pt>
                <c:pt idx="1710">
                  <c:v>2610.1</c:v>
                </c:pt>
                <c:pt idx="1711">
                  <c:v>2656.3</c:v>
                </c:pt>
                <c:pt idx="1712">
                  <c:v>2665</c:v>
                </c:pt>
                <c:pt idx="1713">
                  <c:v>2678.5</c:v>
                </c:pt>
                <c:pt idx="1714">
                  <c:v>2725.75</c:v>
                </c:pt>
                <c:pt idx="1715">
                  <c:v>2684.3</c:v>
                </c:pt>
                <c:pt idx="1716">
                  <c:v>2714.2</c:v>
                </c:pt>
                <c:pt idx="1717">
                  <c:v>2683.7</c:v>
                </c:pt>
                <c:pt idx="1718">
                  <c:v>2721.55</c:v>
                </c:pt>
                <c:pt idx="1719">
                  <c:v>2773.5</c:v>
                </c:pt>
                <c:pt idx="1720">
                  <c:v>2770.2</c:v>
                </c:pt>
                <c:pt idx="1721">
                  <c:v>2734.65</c:v>
                </c:pt>
                <c:pt idx="1722">
                  <c:v>2739.45</c:v>
                </c:pt>
                <c:pt idx="1723">
                  <c:v>2738.05</c:v>
                </c:pt>
                <c:pt idx="1724">
                  <c:v>2735.75</c:v>
                </c:pt>
                <c:pt idx="1725">
                  <c:v>2735.85</c:v>
                </c:pt>
                <c:pt idx="1726">
                  <c:v>2739.5</c:v>
                </c:pt>
                <c:pt idx="1727">
                  <c:v>2741.25</c:v>
                </c:pt>
                <c:pt idx="1728">
                  <c:v>2712.3</c:v>
                </c:pt>
                <c:pt idx="1729">
                  <c:v>2712.95</c:v>
                </c:pt>
                <c:pt idx="1730">
                  <c:v>2709.95</c:v>
                </c:pt>
                <c:pt idx="1731">
                  <c:v>2724.35</c:v>
                </c:pt>
                <c:pt idx="1732">
                  <c:v>2713.5</c:v>
                </c:pt>
                <c:pt idx="1733">
                  <c:v>2727</c:v>
                </c:pt>
                <c:pt idx="1734">
                  <c:v>2723.5</c:v>
                </c:pt>
                <c:pt idx="1735">
                  <c:v>2701.75</c:v>
                </c:pt>
                <c:pt idx="1736">
                  <c:v>2702.15</c:v>
                </c:pt>
                <c:pt idx="1737">
                  <c:v>2727.9</c:v>
                </c:pt>
                <c:pt idx="1738">
                  <c:v>2729.8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0-4674-918A-533AAF932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582358"/>
        <c:axId val="927304125"/>
      </c:lineChart>
      <c:catAx>
        <c:axId val="233582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7304125"/>
        <c:crosses val="autoZero"/>
        <c:auto val="1"/>
        <c:lblAlgn val="ctr"/>
        <c:lblOffset val="100"/>
        <c:noMultiLvlLbl val="1"/>
      </c:catAx>
      <c:valAx>
        <c:axId val="927304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358235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Probability!$D$137:$D$147</c:f>
              <c:numCache>
                <c:formatCode>General</c:formatCode>
                <c:ptCount val="11"/>
              </c:numCache>
            </c:numRef>
          </c:cat>
          <c:val>
            <c:numRef>
              <c:f>Probability!$E$137:$E$147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E-490E-948B-F449934D6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568599"/>
        <c:axId val="1464339088"/>
      </c:barChart>
      <c:catAx>
        <c:axId val="2047568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4339088"/>
        <c:crosses val="autoZero"/>
        <c:auto val="1"/>
        <c:lblAlgn val="ctr"/>
        <c:lblOffset val="100"/>
        <c:noMultiLvlLbl val="1"/>
      </c:catAx>
      <c:valAx>
        <c:axId val="146433908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204756859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247650</xdr:colOff>
      <xdr:row>2</xdr:row>
      <xdr:rowOff>171450</xdr:rowOff>
    </xdr:from>
    <xdr:ext cx="4371975" cy="2238375"/>
    <xdr:graphicFrame macro="">
      <xdr:nvGraphicFramePr>
        <xdr:cNvPr id="393223604" name="Chart 1">
          <a:extLst>
            <a:ext uri="{FF2B5EF4-FFF2-40B4-BE49-F238E27FC236}">
              <a16:creationId xmlns:a16="http://schemas.microsoft.com/office/drawing/2014/main" id="{00000000-0008-0000-0400-0000B41D7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257175</xdr:colOff>
      <xdr:row>17</xdr:row>
      <xdr:rowOff>0</xdr:rowOff>
    </xdr:from>
    <xdr:ext cx="4410075" cy="2686050"/>
    <xdr:graphicFrame macro="">
      <xdr:nvGraphicFramePr>
        <xdr:cNvPr id="520381436" name="Chart 2">
          <a:extLst>
            <a:ext uri="{FF2B5EF4-FFF2-40B4-BE49-F238E27FC236}">
              <a16:creationId xmlns:a16="http://schemas.microsoft.com/office/drawing/2014/main" id="{00000000-0008-0000-0400-0000FC630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152400</xdr:colOff>
      <xdr:row>3</xdr:row>
      <xdr:rowOff>257175</xdr:rowOff>
    </xdr:from>
    <xdr:ext cx="6877050" cy="1809750"/>
    <xdr:graphicFrame macro="">
      <xdr:nvGraphicFramePr>
        <xdr:cNvPr id="256117343" name="Chart 3">
          <a:extLst>
            <a:ext uri="{FF2B5EF4-FFF2-40B4-BE49-F238E27FC236}">
              <a16:creationId xmlns:a16="http://schemas.microsoft.com/office/drawing/2014/main" id="{00000000-0008-0000-0600-00005F0A4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447675</xdr:colOff>
      <xdr:row>1</xdr:row>
      <xdr:rowOff>76200</xdr:rowOff>
    </xdr:from>
    <xdr:ext cx="3990975" cy="30480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466725</xdr:colOff>
      <xdr:row>1</xdr:row>
      <xdr:rowOff>9525</xdr:rowOff>
    </xdr:from>
    <xdr:ext cx="4343400" cy="2714625"/>
    <xdr:graphicFrame macro="">
      <xdr:nvGraphicFramePr>
        <xdr:cNvPr id="1070417035" name="Chart 4">
          <a:extLst>
            <a:ext uri="{FF2B5EF4-FFF2-40B4-BE49-F238E27FC236}">
              <a16:creationId xmlns:a16="http://schemas.microsoft.com/office/drawing/2014/main" id="{00000000-0008-0000-0800-00008B44C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381000</xdr:colOff>
      <xdr:row>1</xdr:row>
      <xdr:rowOff>19050</xdr:rowOff>
    </xdr:from>
    <xdr:ext cx="4343400" cy="2714625"/>
    <xdr:graphicFrame macro="">
      <xdr:nvGraphicFramePr>
        <xdr:cNvPr id="566930068" name="Chart 5">
          <a:extLst>
            <a:ext uri="{FF2B5EF4-FFF2-40B4-BE49-F238E27FC236}">
              <a16:creationId xmlns:a16="http://schemas.microsoft.com/office/drawing/2014/main" id="{00000000-0008-0000-0800-000094AAC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809625</xdr:colOff>
      <xdr:row>146</xdr:row>
      <xdr:rowOff>9525</xdr:rowOff>
    </xdr:from>
    <xdr:ext cx="6505575" cy="2028825"/>
    <xdr:graphicFrame macro="">
      <xdr:nvGraphicFramePr>
        <xdr:cNvPr id="1563031846" name="Chart 6">
          <a:extLst>
            <a:ext uri="{FF2B5EF4-FFF2-40B4-BE49-F238E27FC236}">
              <a16:creationId xmlns:a16="http://schemas.microsoft.com/office/drawing/2014/main" id="{00000000-0008-0000-0A00-000026F92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333375</xdr:colOff>
      <xdr:row>5</xdr:row>
      <xdr:rowOff>104775</xdr:rowOff>
    </xdr:from>
    <xdr:ext cx="6191250" cy="10858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6" ht="14.25" customHeight="1"/>
    <row r="2" spans="1:6" ht="14.25" customHeight="1">
      <c r="A2" s="1" t="s">
        <v>0</v>
      </c>
    </row>
    <row r="3" spans="1:6" ht="14.25" customHeight="1">
      <c r="B3" s="2" t="s">
        <v>1</v>
      </c>
      <c r="F3" s="2" t="s">
        <v>2</v>
      </c>
    </row>
    <row r="4" spans="1:6" ht="14.25" customHeight="1">
      <c r="B4" s="2" t="s">
        <v>3</v>
      </c>
      <c r="E4" s="2">
        <v>1</v>
      </c>
      <c r="F4" s="2" t="s">
        <v>4</v>
      </c>
    </row>
    <row r="5" spans="1:6" ht="14.25" customHeight="1">
      <c r="B5" s="2" t="s">
        <v>5</v>
      </c>
      <c r="E5" s="2">
        <v>2</v>
      </c>
      <c r="F5" s="2" t="s">
        <v>6</v>
      </c>
    </row>
    <row r="6" spans="1:6" ht="14.25" customHeight="1">
      <c r="E6" s="2">
        <v>3</v>
      </c>
      <c r="F6" s="2" t="s">
        <v>7</v>
      </c>
    </row>
    <row r="7" spans="1:6" ht="14.25" customHeight="1">
      <c r="A7" s="1" t="s">
        <v>8</v>
      </c>
      <c r="E7" s="2">
        <v>4</v>
      </c>
      <c r="F7" s="2" t="s">
        <v>9</v>
      </c>
    </row>
    <row r="8" spans="1:6" ht="14.25" customHeight="1">
      <c r="B8" s="2" t="s">
        <v>10</v>
      </c>
      <c r="E8" s="2">
        <v>5</v>
      </c>
      <c r="F8" s="2" t="s">
        <v>11</v>
      </c>
    </row>
    <row r="9" spans="1:6" ht="14.25" customHeight="1">
      <c r="B9" s="2" t="s">
        <v>12</v>
      </c>
    </row>
    <row r="10" spans="1:6" ht="14.25" customHeight="1">
      <c r="B10" s="2" t="s">
        <v>13</v>
      </c>
      <c r="E10" s="2">
        <v>6</v>
      </c>
      <c r="F10" s="2" t="s">
        <v>14</v>
      </c>
    </row>
    <row r="11" spans="1:6" ht="14.25" customHeight="1">
      <c r="B11" s="2" t="s">
        <v>15</v>
      </c>
      <c r="E11" s="2">
        <v>7</v>
      </c>
      <c r="F11" s="2" t="s">
        <v>16</v>
      </c>
    </row>
    <row r="12" spans="1:6" ht="14.25" customHeight="1">
      <c r="B12" s="2" t="s">
        <v>17</v>
      </c>
      <c r="E12" s="2">
        <v>8</v>
      </c>
      <c r="F12" s="2" t="s">
        <v>18</v>
      </c>
    </row>
    <row r="13" spans="1:6" ht="14.25" customHeight="1"/>
    <row r="14" spans="1:6" ht="14.25" customHeight="1">
      <c r="A14" s="1" t="s">
        <v>19</v>
      </c>
    </row>
    <row r="15" spans="1:6" ht="14.25" customHeight="1">
      <c r="B15" s="2" t="s">
        <v>20</v>
      </c>
    </row>
    <row r="16" spans="1:6" ht="14.25" customHeight="1">
      <c r="B16" s="2" t="s">
        <v>21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/>
  </sheetViews>
  <sheetFormatPr defaultColWidth="14.44140625" defaultRowHeight="15" customHeight="1"/>
  <cols>
    <col min="1" max="5" width="8.6640625" customWidth="1"/>
    <col min="6" max="6" width="14.6640625" customWidth="1"/>
    <col min="7" max="7" width="8.6640625" customWidth="1"/>
    <col min="8" max="8" width="19.88671875" customWidth="1"/>
    <col min="9" max="26" width="8.6640625" customWidth="1"/>
  </cols>
  <sheetData>
    <row r="1" spans="1:9" ht="14.25" customHeight="1">
      <c r="A1" s="1" t="s">
        <v>1</v>
      </c>
    </row>
    <row r="2" spans="1:9" ht="14.25" customHeight="1">
      <c r="A2" s="2">
        <v>62</v>
      </c>
      <c r="B2" s="2">
        <v>62</v>
      </c>
    </row>
    <row r="3" spans="1:9" ht="14.25" customHeight="1">
      <c r="A3" s="2">
        <v>4</v>
      </c>
      <c r="B3" s="2">
        <v>4</v>
      </c>
    </row>
    <row r="4" spans="1:9" ht="14.25" customHeight="1">
      <c r="A4" s="2">
        <v>83</v>
      </c>
      <c r="B4" s="2">
        <v>83</v>
      </c>
      <c r="E4" s="2" t="s">
        <v>22</v>
      </c>
      <c r="G4" s="2">
        <f>SUM(A2:A20)</f>
        <v>889</v>
      </c>
    </row>
    <row r="5" spans="1:9" ht="14.25" customHeight="1">
      <c r="A5" s="2">
        <v>24</v>
      </c>
      <c r="B5" s="2">
        <v>24</v>
      </c>
      <c r="E5" s="2" t="s">
        <v>23</v>
      </c>
      <c r="G5" s="2">
        <f>COUNT(A2:A20)</f>
        <v>19</v>
      </c>
    </row>
    <row r="6" spans="1:9" ht="14.25" customHeight="1">
      <c r="A6" s="2">
        <v>40</v>
      </c>
      <c r="B6" s="2">
        <v>40</v>
      </c>
    </row>
    <row r="7" spans="1:9" ht="14.25" customHeight="1">
      <c r="A7" s="2">
        <v>73</v>
      </c>
      <c r="B7" s="2">
        <v>73</v>
      </c>
      <c r="E7" s="2" t="s">
        <v>24</v>
      </c>
      <c r="G7" s="2">
        <f>SUM(A2:A20)/COUNT(A2:A20)</f>
        <v>46.789473684210527</v>
      </c>
      <c r="I7" s="2" t="s">
        <v>25</v>
      </c>
    </row>
    <row r="8" spans="1:9" ht="14.25" customHeight="1">
      <c r="A8" s="2">
        <v>87</v>
      </c>
      <c r="B8" s="2">
        <v>1000</v>
      </c>
    </row>
    <row r="9" spans="1:9" ht="14.25" customHeight="1">
      <c r="A9" s="2">
        <v>2</v>
      </c>
      <c r="B9" s="2">
        <v>2</v>
      </c>
      <c r="D9" s="2" t="s">
        <v>26</v>
      </c>
      <c r="G9" s="2">
        <f>G4/G5</f>
        <v>46.789473684210527</v>
      </c>
      <c r="I9" s="2" t="s">
        <v>27</v>
      </c>
    </row>
    <row r="10" spans="1:9" ht="14.25" customHeight="1">
      <c r="A10" s="2">
        <v>54</v>
      </c>
      <c r="B10" s="2">
        <v>54</v>
      </c>
    </row>
    <row r="11" spans="1:9" ht="14.25" customHeight="1">
      <c r="A11" s="2">
        <v>5</v>
      </c>
      <c r="B11" s="2">
        <v>5</v>
      </c>
      <c r="G11" s="2">
        <f>AVERAGE(A2:A20)</f>
        <v>46.789473684210527</v>
      </c>
    </row>
    <row r="12" spans="1:9" ht="14.25" customHeight="1">
      <c r="A12" s="2">
        <v>74</v>
      </c>
      <c r="B12" s="2">
        <v>74</v>
      </c>
    </row>
    <row r="13" spans="1:9" ht="14.25" customHeight="1">
      <c r="A13" s="2">
        <v>83</v>
      </c>
      <c r="B13" s="2">
        <v>83</v>
      </c>
    </row>
    <row r="14" spans="1:9" ht="14.25" customHeight="1">
      <c r="A14" s="2">
        <v>87</v>
      </c>
      <c r="B14" s="2">
        <v>87</v>
      </c>
      <c r="G14" s="2">
        <f>AVERAGE(B2:B20)</f>
        <v>94.84210526315789</v>
      </c>
    </row>
    <row r="15" spans="1:9" ht="14.25" customHeight="1">
      <c r="A15" s="2">
        <v>54</v>
      </c>
      <c r="B15" s="2">
        <v>54</v>
      </c>
    </row>
    <row r="16" spans="1:9" ht="14.25" customHeight="1">
      <c r="A16" s="2">
        <v>94</v>
      </c>
      <c r="B16" s="2">
        <v>94</v>
      </c>
    </row>
    <row r="17" spans="1:17" ht="14.25" customHeight="1">
      <c r="A17" s="2">
        <v>26</v>
      </c>
      <c r="B17" s="2">
        <v>26</v>
      </c>
    </row>
    <row r="18" spans="1:17" ht="14.25" customHeight="1">
      <c r="A18" s="2">
        <v>14</v>
      </c>
      <c r="B18" s="2">
        <v>14</v>
      </c>
    </row>
    <row r="19" spans="1:17" ht="14.25" customHeight="1">
      <c r="A19" s="2">
        <v>9</v>
      </c>
      <c r="B19" s="2">
        <v>9</v>
      </c>
    </row>
    <row r="20" spans="1:17" ht="14.25" customHeight="1">
      <c r="A20" s="2">
        <v>14</v>
      </c>
      <c r="B20" s="2">
        <v>14</v>
      </c>
    </row>
    <row r="21" spans="1:17" ht="14.25" customHeight="1"/>
    <row r="22" spans="1:17" ht="14.25" customHeight="1"/>
    <row r="23" spans="1:17" ht="14.25" customHeight="1"/>
    <row r="24" spans="1:17" ht="14.25" customHeight="1"/>
    <row r="25" spans="1:17" ht="14.25" customHeight="1">
      <c r="A25" s="1" t="s">
        <v>3</v>
      </c>
    </row>
    <row r="26" spans="1:17" ht="14.25" customHeight="1">
      <c r="A26" s="2" t="s">
        <v>28</v>
      </c>
      <c r="B26" s="2" t="s">
        <v>29</v>
      </c>
    </row>
    <row r="27" spans="1:17" ht="14.25" customHeight="1">
      <c r="A27" s="2">
        <v>62</v>
      </c>
      <c r="B27" s="2">
        <v>58</v>
      </c>
      <c r="D27" s="2" t="s">
        <v>30</v>
      </c>
    </row>
    <row r="28" spans="1:17" ht="14.25" customHeight="1">
      <c r="A28" s="2">
        <v>4</v>
      </c>
      <c r="B28" s="2">
        <v>52</v>
      </c>
      <c r="D28" s="2" t="s">
        <v>31</v>
      </c>
    </row>
    <row r="29" spans="1:17" ht="14.25" customHeight="1">
      <c r="A29" s="2">
        <v>83</v>
      </c>
      <c r="B29" s="2">
        <v>43</v>
      </c>
      <c r="D29" s="2" t="s">
        <v>32</v>
      </c>
    </row>
    <row r="30" spans="1:17" ht="14.25" customHeight="1">
      <c r="A30" s="2">
        <v>24</v>
      </c>
      <c r="B30" s="2">
        <v>29</v>
      </c>
    </row>
    <row r="31" spans="1:17" ht="14.25" customHeight="1">
      <c r="A31" s="2">
        <v>40</v>
      </c>
      <c r="B31" s="2">
        <v>69</v>
      </c>
      <c r="D31" s="2" t="s">
        <v>33</v>
      </c>
    </row>
    <row r="32" spans="1:17" ht="14.25" customHeight="1">
      <c r="A32" s="2">
        <v>73</v>
      </c>
      <c r="B32" s="2">
        <v>7</v>
      </c>
      <c r="Q32" s="2">
        <v>5</v>
      </c>
    </row>
    <row r="33" spans="1:20" ht="14.25" customHeight="1">
      <c r="A33" s="2">
        <v>87</v>
      </c>
      <c r="B33" s="2">
        <v>26</v>
      </c>
      <c r="D33" s="2">
        <v>2</v>
      </c>
      <c r="E33" s="2">
        <v>1</v>
      </c>
      <c r="Q33" s="2">
        <v>10</v>
      </c>
    </row>
    <row r="34" spans="1:20" ht="14.25" customHeight="1">
      <c r="A34" s="2">
        <v>2</v>
      </c>
      <c r="B34" s="2">
        <v>14</v>
      </c>
      <c r="D34" s="2">
        <v>4</v>
      </c>
      <c r="E34" s="2">
        <v>2</v>
      </c>
      <c r="G34" s="2">
        <f>COUNT(D33:D51)</f>
        <v>19</v>
      </c>
      <c r="H34" s="2" t="s">
        <v>34</v>
      </c>
      <c r="Q34" s="2">
        <v>13</v>
      </c>
      <c r="S34" s="2">
        <f>COUNT(Q32:Q48)/2</f>
        <v>8.5</v>
      </c>
      <c r="T34" s="2">
        <v>9</v>
      </c>
    </row>
    <row r="35" spans="1:20" ht="14.25" customHeight="1">
      <c r="A35" s="2">
        <v>54</v>
      </c>
      <c r="B35" s="2">
        <v>65</v>
      </c>
      <c r="D35" s="2">
        <v>5</v>
      </c>
      <c r="E35" s="2">
        <v>3</v>
      </c>
      <c r="G35" s="2">
        <f>ROUND(G34/2,0)</f>
        <v>10</v>
      </c>
      <c r="H35" s="2" t="s">
        <v>35</v>
      </c>
      <c r="Q35" s="2">
        <v>16</v>
      </c>
    </row>
    <row r="36" spans="1:20" ht="14.25" customHeight="1">
      <c r="A36" s="2">
        <v>5</v>
      </c>
      <c r="B36" s="2">
        <v>69</v>
      </c>
      <c r="D36" s="2">
        <v>9</v>
      </c>
      <c r="E36" s="2">
        <v>4</v>
      </c>
      <c r="J36" s="3"/>
      <c r="Q36" s="2">
        <v>26</v>
      </c>
    </row>
    <row r="37" spans="1:20" ht="14.25" customHeight="1">
      <c r="A37" s="2">
        <v>74</v>
      </c>
      <c r="B37" s="2">
        <v>93</v>
      </c>
      <c r="D37" s="2">
        <v>14</v>
      </c>
      <c r="E37" s="2">
        <v>5</v>
      </c>
      <c r="H37" s="2">
        <f>MEDIAN(D33:D51)</f>
        <v>54</v>
      </c>
      <c r="Q37" s="2">
        <v>28</v>
      </c>
    </row>
    <row r="38" spans="1:20" ht="14.25" customHeight="1">
      <c r="A38" s="2">
        <v>83</v>
      </c>
      <c r="B38" s="2">
        <v>65</v>
      </c>
      <c r="D38" s="2">
        <v>24</v>
      </c>
      <c r="E38" s="2">
        <v>6</v>
      </c>
      <c r="Q38" s="2">
        <v>28</v>
      </c>
    </row>
    <row r="39" spans="1:20" ht="14.25" customHeight="1">
      <c r="A39" s="2">
        <v>87</v>
      </c>
      <c r="B39" s="2">
        <v>33</v>
      </c>
      <c r="D39" s="2">
        <v>26</v>
      </c>
      <c r="E39" s="2">
        <v>7</v>
      </c>
      <c r="Q39" s="2">
        <v>33</v>
      </c>
    </row>
    <row r="40" spans="1:20" ht="14.25" customHeight="1">
      <c r="A40" s="2">
        <v>54</v>
      </c>
      <c r="B40" s="2">
        <v>61</v>
      </c>
      <c r="D40" s="2">
        <v>40</v>
      </c>
      <c r="E40" s="2">
        <v>8</v>
      </c>
      <c r="Q40" s="2">
        <v>37</v>
      </c>
      <c r="R40" s="2" t="s">
        <v>36</v>
      </c>
      <c r="T40" s="2" t="s">
        <v>37</v>
      </c>
    </row>
    <row r="41" spans="1:20" ht="14.25" customHeight="1">
      <c r="A41" s="2">
        <v>94</v>
      </c>
      <c r="B41" s="2">
        <v>50</v>
      </c>
      <c r="D41" s="2">
        <v>54</v>
      </c>
      <c r="E41" s="2">
        <v>9</v>
      </c>
      <c r="Q41" s="2">
        <v>37</v>
      </c>
    </row>
    <row r="42" spans="1:20" ht="14.25" customHeight="1">
      <c r="A42" s="2">
        <v>26</v>
      </c>
      <c r="B42" s="2">
        <v>6</v>
      </c>
      <c r="D42" s="2">
        <v>54</v>
      </c>
      <c r="E42" s="2" t="s">
        <v>38</v>
      </c>
      <c r="G42" s="2" t="s">
        <v>39</v>
      </c>
      <c r="Q42" s="2">
        <v>39</v>
      </c>
    </row>
    <row r="43" spans="1:20" ht="14.25" customHeight="1">
      <c r="A43" s="2">
        <v>14</v>
      </c>
      <c r="B43" s="2">
        <v>24</v>
      </c>
      <c r="D43" s="2">
        <v>56</v>
      </c>
      <c r="Q43" s="2">
        <v>45</v>
      </c>
    </row>
    <row r="44" spans="1:20" ht="14.25" customHeight="1">
      <c r="A44" s="2">
        <v>9</v>
      </c>
      <c r="B44" s="2">
        <v>96</v>
      </c>
      <c r="D44" s="2">
        <v>62</v>
      </c>
      <c r="G44" s="2" t="s">
        <v>40</v>
      </c>
      <c r="Q44" s="2">
        <v>58</v>
      </c>
    </row>
    <row r="45" spans="1:20" ht="14.25" customHeight="1">
      <c r="A45" s="2">
        <v>56</v>
      </c>
      <c r="B45" s="2">
        <v>0</v>
      </c>
      <c r="D45" s="2">
        <v>73</v>
      </c>
      <c r="Q45" s="2">
        <v>73</v>
      </c>
    </row>
    <row r="46" spans="1:20" ht="14.25" customHeight="1">
      <c r="B46" s="2">
        <v>58</v>
      </c>
      <c r="D46" s="2">
        <v>74</v>
      </c>
      <c r="G46" s="2" t="s">
        <v>41</v>
      </c>
      <c r="Q46" s="2">
        <v>77</v>
      </c>
    </row>
    <row r="47" spans="1:20" ht="14.25" customHeight="1">
      <c r="D47" s="2">
        <v>83</v>
      </c>
      <c r="Q47" s="2">
        <v>80</v>
      </c>
    </row>
    <row r="48" spans="1:20" ht="14.25" customHeight="1">
      <c r="D48" s="2">
        <v>83</v>
      </c>
      <c r="G48" s="2">
        <f t="array" ref="G48">INDEX(D33:D51,10)</f>
        <v>54</v>
      </c>
      <c r="Q48" s="2">
        <v>92</v>
      </c>
    </row>
    <row r="49" spans="4:9" ht="14.25" customHeight="1">
      <c r="D49" s="2">
        <v>87</v>
      </c>
    </row>
    <row r="50" spans="4:9" ht="14.25" customHeight="1">
      <c r="D50" s="2">
        <v>87</v>
      </c>
    </row>
    <row r="51" spans="4:9" ht="14.25" customHeight="1">
      <c r="D51" s="2">
        <v>94</v>
      </c>
    </row>
    <row r="52" spans="4:9" ht="14.25" customHeight="1"/>
    <row r="53" spans="4:9" ht="14.25" customHeight="1"/>
    <row r="54" spans="4:9" ht="14.25" customHeight="1"/>
    <row r="55" spans="4:9" ht="14.25" customHeight="1"/>
    <row r="56" spans="4:9" ht="14.25" customHeight="1">
      <c r="H56" s="2" t="s">
        <v>42</v>
      </c>
    </row>
    <row r="57" spans="4:9" ht="14.25" customHeight="1"/>
    <row r="58" spans="4:9" ht="14.25" customHeight="1">
      <c r="D58" s="2">
        <v>0</v>
      </c>
      <c r="G58" s="2">
        <f>COUNT(D58:D77)</f>
        <v>20</v>
      </c>
      <c r="I58" s="2" t="s">
        <v>43</v>
      </c>
    </row>
    <row r="59" spans="4:9" ht="14.25" customHeight="1">
      <c r="D59" s="2">
        <v>6</v>
      </c>
      <c r="F59" s="2" t="s">
        <v>44</v>
      </c>
      <c r="G59" s="2">
        <f>COUNT(D58:D77)/2</f>
        <v>10</v>
      </c>
      <c r="I59" s="2" t="s">
        <v>45</v>
      </c>
    </row>
    <row r="60" spans="4:9" ht="14.25" customHeight="1">
      <c r="D60" s="2">
        <v>7</v>
      </c>
      <c r="F60" s="2" t="s">
        <v>46</v>
      </c>
      <c r="G60" s="2">
        <f>(COUNT(D58:D77)/2)+1</f>
        <v>11</v>
      </c>
      <c r="I60" s="2" t="s">
        <v>47</v>
      </c>
    </row>
    <row r="61" spans="4:9" ht="14.25" customHeight="1">
      <c r="D61" s="2">
        <v>14</v>
      </c>
    </row>
    <row r="62" spans="4:9" ht="14.25" customHeight="1">
      <c r="D62" s="2">
        <v>24</v>
      </c>
      <c r="G62" s="2" t="s">
        <v>48</v>
      </c>
    </row>
    <row r="63" spans="4:9" ht="14.25" customHeight="1">
      <c r="D63" s="2">
        <v>26</v>
      </c>
    </row>
    <row r="64" spans="4:9" ht="14.25" customHeight="1">
      <c r="D64" s="2">
        <v>29</v>
      </c>
    </row>
    <row r="65" spans="1:11" ht="14.25" customHeight="1">
      <c r="D65" s="2">
        <v>33</v>
      </c>
      <c r="G65" s="2" t="s">
        <v>49</v>
      </c>
    </row>
    <row r="66" spans="1:11" ht="14.25" customHeight="1">
      <c r="D66" s="2">
        <v>43</v>
      </c>
      <c r="G66" s="2" t="s">
        <v>50</v>
      </c>
    </row>
    <row r="67" spans="1:11" ht="14.25" customHeight="1">
      <c r="D67" s="2">
        <v>50</v>
      </c>
      <c r="E67" s="2" t="s">
        <v>51</v>
      </c>
    </row>
    <row r="68" spans="1:11" ht="14.25" customHeight="1">
      <c r="D68" s="2">
        <v>52</v>
      </c>
      <c r="E68" s="2" t="s">
        <v>52</v>
      </c>
      <c r="G68" s="2">
        <f>(50+52)/2</f>
        <v>51</v>
      </c>
      <c r="I68" s="2" t="s">
        <v>53</v>
      </c>
    </row>
    <row r="69" spans="1:11" ht="14.25" customHeight="1">
      <c r="D69" s="2">
        <v>58</v>
      </c>
    </row>
    <row r="70" spans="1:11" ht="14.25" customHeight="1">
      <c r="D70" s="2">
        <v>58</v>
      </c>
    </row>
    <row r="71" spans="1:11" ht="14.25" customHeight="1">
      <c r="D71" s="2">
        <v>61</v>
      </c>
    </row>
    <row r="72" spans="1:11" ht="14.25" customHeight="1">
      <c r="D72" s="2">
        <v>65</v>
      </c>
      <c r="I72" s="2">
        <v>1</v>
      </c>
    </row>
    <row r="73" spans="1:11" ht="14.25" customHeight="1">
      <c r="D73" s="2">
        <v>65</v>
      </c>
      <c r="I73" s="2">
        <v>5</v>
      </c>
      <c r="K73" s="2">
        <f>(5+6)/2</f>
        <v>5.5</v>
      </c>
    </row>
    <row r="74" spans="1:11" ht="14.25" customHeight="1">
      <c r="D74" s="2">
        <v>69</v>
      </c>
      <c r="I74" s="2">
        <v>6</v>
      </c>
    </row>
    <row r="75" spans="1:11" ht="14.25" customHeight="1">
      <c r="D75" s="2">
        <v>69</v>
      </c>
      <c r="I75" s="2">
        <v>8</v>
      </c>
    </row>
    <row r="76" spans="1:11" ht="14.25" customHeight="1">
      <c r="D76" s="2">
        <v>93</v>
      </c>
    </row>
    <row r="77" spans="1:11" ht="14.25" customHeight="1">
      <c r="D77" s="2">
        <v>96</v>
      </c>
    </row>
    <row r="78" spans="1:11" ht="14.25" customHeight="1"/>
    <row r="79" spans="1:11" ht="14.25" customHeight="1">
      <c r="A79" s="1"/>
    </row>
    <row r="80" spans="1:11" ht="14.25" customHeight="1"/>
    <row r="81" spans="1:13" ht="14.25" customHeight="1">
      <c r="A81" s="2" t="s">
        <v>5</v>
      </c>
    </row>
    <row r="82" spans="1:13" ht="14.25" customHeight="1">
      <c r="D82" s="2" t="s">
        <v>54</v>
      </c>
    </row>
    <row r="83" spans="1:13" ht="14.25" customHeight="1"/>
    <row r="84" spans="1:13" ht="14.25" customHeight="1"/>
    <row r="85" spans="1:13" ht="14.25" customHeight="1">
      <c r="D85" s="2" t="s">
        <v>55</v>
      </c>
    </row>
    <row r="86" spans="1:13" ht="14.25" customHeight="1">
      <c r="D86" s="2" t="s">
        <v>56</v>
      </c>
    </row>
    <row r="87" spans="1:13" ht="14.25" customHeight="1">
      <c r="D87" s="2" t="s">
        <v>57</v>
      </c>
    </row>
    <row r="88" spans="1:13" ht="14.25" customHeight="1"/>
    <row r="89" spans="1:13" ht="14.25" customHeight="1"/>
    <row r="90" spans="1:13" ht="14.25" customHeight="1">
      <c r="F90" s="2">
        <v>1</v>
      </c>
      <c r="L90" s="4" t="s">
        <v>58</v>
      </c>
      <c r="M90" s="5" t="s">
        <v>59</v>
      </c>
    </row>
    <row r="91" spans="1:13" ht="14.25" customHeight="1">
      <c r="F91" s="2">
        <v>2</v>
      </c>
      <c r="L91" s="6">
        <f ca="1">IFERROR(__xludf.DUMMYFUNCTION("ARRAY_CONSTRAIN(ARRAYFORMULA(UNIQUE(F90:F104)), 8, 1)"),1)</f>
        <v>1</v>
      </c>
      <c r="M91" s="7">
        <f t="shared" ref="M91:M98" ca="1" si="0">COUNTIF(F$90:F$104, L91)</f>
        <v>2</v>
      </c>
    </row>
    <row r="92" spans="1:13" ht="14.25" customHeight="1">
      <c r="F92" s="2">
        <v>4</v>
      </c>
      <c r="L92" s="6">
        <f ca="1">IFERROR(__xludf.DUMMYFUNCTION("""COMPUTED_VALUE"""),2)</f>
        <v>2</v>
      </c>
      <c r="M92" s="7">
        <f t="shared" ca="1" si="0"/>
        <v>3</v>
      </c>
    </row>
    <row r="93" spans="1:13" ht="14.25" customHeight="1">
      <c r="F93" s="2">
        <v>5</v>
      </c>
      <c r="H93" s="2" t="s">
        <v>5</v>
      </c>
      <c r="L93" s="6">
        <f ca="1">IFERROR(__xludf.DUMMYFUNCTION("""COMPUTED_VALUE"""),4)</f>
        <v>4</v>
      </c>
      <c r="M93" s="7">
        <f t="shared" ca="1" si="0"/>
        <v>3</v>
      </c>
    </row>
    <row r="94" spans="1:13" ht="14.25" customHeight="1">
      <c r="F94" s="2">
        <v>8</v>
      </c>
      <c r="L94" s="6">
        <f ca="1">IFERROR(__xludf.DUMMYFUNCTION("""COMPUTED_VALUE"""),5)</f>
        <v>5</v>
      </c>
      <c r="M94" s="7">
        <f t="shared" ca="1" si="0"/>
        <v>3</v>
      </c>
    </row>
    <row r="95" spans="1:13" ht="14.25" customHeight="1">
      <c r="F95" s="2">
        <v>2</v>
      </c>
      <c r="L95" s="6">
        <f ca="1">IFERROR(__xludf.DUMMYFUNCTION("""COMPUTED_VALUE"""),8)</f>
        <v>8</v>
      </c>
      <c r="M95" s="7">
        <f t="shared" ca="1" si="0"/>
        <v>1</v>
      </c>
    </row>
    <row r="96" spans="1:13" ht="14.25" customHeight="1">
      <c r="F96" s="2">
        <v>1</v>
      </c>
      <c r="L96" s="6">
        <f ca="1">IFERROR(__xludf.DUMMYFUNCTION("""COMPUTED_VALUE"""),6)</f>
        <v>6</v>
      </c>
      <c r="M96" s="7">
        <f t="shared" ca="1" si="0"/>
        <v>1</v>
      </c>
    </row>
    <row r="97" spans="1:13" ht="14.25" customHeight="1">
      <c r="F97" s="2">
        <v>4</v>
      </c>
      <c r="L97" s="6">
        <f ca="1">IFERROR(__xludf.DUMMYFUNCTION("""COMPUTED_VALUE"""),9)</f>
        <v>9</v>
      </c>
      <c r="M97" s="7">
        <f t="shared" ca="1" si="0"/>
        <v>1</v>
      </c>
    </row>
    <row r="98" spans="1:13" ht="14.25" customHeight="1">
      <c r="F98" s="2">
        <v>5</v>
      </c>
      <c r="L98" s="8">
        <f ca="1">IFERROR(__xludf.DUMMYFUNCTION("""COMPUTED_VALUE"""),3)</f>
        <v>3</v>
      </c>
      <c r="M98" s="7">
        <f t="shared" ca="1" si="0"/>
        <v>1</v>
      </c>
    </row>
    <row r="99" spans="1:13" ht="14.25" customHeight="1">
      <c r="F99" s="2">
        <v>6</v>
      </c>
    </row>
    <row r="100" spans="1:13" ht="14.25" customHeight="1">
      <c r="F100" s="2">
        <v>9</v>
      </c>
    </row>
    <row r="101" spans="1:13" ht="14.25" customHeight="1">
      <c r="F101" s="2">
        <v>3</v>
      </c>
    </row>
    <row r="102" spans="1:13" ht="14.25" customHeight="1">
      <c r="F102" s="2">
        <v>5</v>
      </c>
    </row>
    <row r="103" spans="1:13" ht="14.25" customHeight="1">
      <c r="F103" s="2">
        <v>2</v>
      </c>
    </row>
    <row r="104" spans="1:13" ht="14.25" customHeight="1">
      <c r="F104" s="2">
        <v>4</v>
      </c>
    </row>
    <row r="105" spans="1:13" ht="14.25" customHeight="1">
      <c r="I105" s="2" t="s">
        <v>60</v>
      </c>
    </row>
    <row r="106" spans="1:13" ht="14.25" customHeight="1"/>
    <row r="107" spans="1:13" ht="14.25" customHeight="1">
      <c r="A107" s="2" t="s">
        <v>28</v>
      </c>
      <c r="B107" s="2" t="s">
        <v>29</v>
      </c>
    </row>
    <row r="108" spans="1:13" ht="14.25" customHeight="1">
      <c r="A108" s="2">
        <v>62</v>
      </c>
      <c r="B108" s="2">
        <v>58</v>
      </c>
      <c r="F108" s="2" t="s">
        <v>61</v>
      </c>
      <c r="G108" s="2" t="s">
        <v>62</v>
      </c>
    </row>
    <row r="109" spans="1:13" ht="14.25" customHeight="1">
      <c r="A109" s="2">
        <v>4</v>
      </c>
      <c r="B109" s="2">
        <v>52</v>
      </c>
      <c r="E109" s="2">
        <v>2</v>
      </c>
      <c r="F109" s="2">
        <v>1</v>
      </c>
      <c r="G109" s="2">
        <v>0</v>
      </c>
    </row>
    <row r="110" spans="1:13" ht="14.25" customHeight="1">
      <c r="A110" s="2">
        <v>83</v>
      </c>
      <c r="B110" s="2">
        <v>43</v>
      </c>
      <c r="E110" s="2">
        <v>4</v>
      </c>
      <c r="F110" s="2">
        <v>2</v>
      </c>
      <c r="G110" s="2">
        <v>1</v>
      </c>
    </row>
    <row r="111" spans="1:13" ht="14.25" customHeight="1">
      <c r="A111" s="2">
        <v>24</v>
      </c>
      <c r="B111" s="2">
        <v>29</v>
      </c>
      <c r="E111" s="2">
        <v>5</v>
      </c>
      <c r="F111" s="2">
        <v>3</v>
      </c>
      <c r="G111" s="2">
        <v>2</v>
      </c>
    </row>
    <row r="112" spans="1:13" ht="14.25" customHeight="1">
      <c r="A112" s="2">
        <v>40</v>
      </c>
      <c r="B112" s="2">
        <v>69</v>
      </c>
      <c r="E112" s="2">
        <v>9</v>
      </c>
      <c r="F112" s="2">
        <v>4</v>
      </c>
      <c r="G112" s="2">
        <v>3</v>
      </c>
      <c r="H112" s="2" t="s">
        <v>63</v>
      </c>
      <c r="I112" s="2">
        <f>COUNT(E109:E127)</f>
        <v>19</v>
      </c>
    </row>
    <row r="113" spans="1:9" ht="14.25" customHeight="1">
      <c r="A113" s="2">
        <v>73</v>
      </c>
      <c r="B113" s="2">
        <v>7</v>
      </c>
      <c r="E113" s="2">
        <v>14</v>
      </c>
      <c r="F113" s="2">
        <v>5</v>
      </c>
      <c r="G113" s="2">
        <v>4</v>
      </c>
      <c r="H113" s="2" t="s">
        <v>64</v>
      </c>
      <c r="I113" s="2">
        <f>ROUND(I112/2,0)</f>
        <v>10</v>
      </c>
    </row>
    <row r="114" spans="1:9" ht="14.25" customHeight="1">
      <c r="A114" s="2">
        <v>87</v>
      </c>
      <c r="B114" s="2">
        <v>26</v>
      </c>
      <c r="E114" s="2">
        <v>24</v>
      </c>
      <c r="F114" s="2">
        <v>6</v>
      </c>
      <c r="G114" s="2">
        <v>5</v>
      </c>
    </row>
    <row r="115" spans="1:9" ht="14.25" customHeight="1">
      <c r="A115" s="2">
        <v>2</v>
      </c>
      <c r="B115" s="2">
        <v>14</v>
      </c>
      <c r="E115" s="2">
        <v>26</v>
      </c>
      <c r="F115" s="2">
        <v>7</v>
      </c>
      <c r="G115" s="2">
        <v>6</v>
      </c>
    </row>
    <row r="116" spans="1:9" ht="14.25" customHeight="1">
      <c r="A116" s="2">
        <v>54</v>
      </c>
      <c r="B116" s="2">
        <v>65</v>
      </c>
      <c r="E116" s="2">
        <v>40</v>
      </c>
      <c r="F116" s="2">
        <v>8</v>
      </c>
      <c r="G116" s="2">
        <v>7</v>
      </c>
    </row>
    <row r="117" spans="1:9" ht="14.25" customHeight="1">
      <c r="A117" s="2">
        <v>5</v>
      </c>
      <c r="B117" s="2">
        <v>69</v>
      </c>
      <c r="E117" s="2">
        <v>54</v>
      </c>
      <c r="F117" s="2">
        <v>9</v>
      </c>
      <c r="G117" s="2">
        <v>8</v>
      </c>
    </row>
    <row r="118" spans="1:9" ht="14.25" customHeight="1">
      <c r="A118" s="2">
        <v>74</v>
      </c>
      <c r="B118" s="2">
        <v>93</v>
      </c>
      <c r="E118" s="2">
        <v>54</v>
      </c>
      <c r="F118" s="2">
        <v>10</v>
      </c>
      <c r="G118" s="2">
        <v>9</v>
      </c>
      <c r="H118" s="2" t="s">
        <v>3</v>
      </c>
      <c r="I118" s="2">
        <v>54</v>
      </c>
    </row>
    <row r="119" spans="1:9" ht="14.25" customHeight="1">
      <c r="A119" s="2">
        <v>83</v>
      </c>
      <c r="B119" s="2">
        <v>65</v>
      </c>
      <c r="E119" s="2">
        <v>56</v>
      </c>
      <c r="F119" s="2">
        <v>11</v>
      </c>
      <c r="G119" s="2">
        <v>10</v>
      </c>
    </row>
    <row r="120" spans="1:9" ht="14.25" customHeight="1">
      <c r="A120" s="2">
        <v>87</v>
      </c>
      <c r="B120" s="2">
        <v>33</v>
      </c>
      <c r="E120" s="2">
        <v>62</v>
      </c>
      <c r="F120" s="2">
        <v>12</v>
      </c>
      <c r="G120" s="2">
        <v>11</v>
      </c>
    </row>
    <row r="121" spans="1:9" ht="14.25" customHeight="1">
      <c r="A121" s="2">
        <v>54</v>
      </c>
      <c r="B121" s="2">
        <v>61</v>
      </c>
      <c r="E121" s="2">
        <v>73</v>
      </c>
      <c r="F121" s="2">
        <v>13</v>
      </c>
      <c r="G121" s="2">
        <v>12</v>
      </c>
    </row>
    <row r="122" spans="1:9" ht="14.25" customHeight="1">
      <c r="A122" s="2">
        <v>94</v>
      </c>
      <c r="B122" s="2">
        <v>50</v>
      </c>
      <c r="E122" s="2">
        <v>74</v>
      </c>
      <c r="F122" s="2">
        <v>14</v>
      </c>
      <c r="G122" s="2">
        <v>13</v>
      </c>
    </row>
    <row r="123" spans="1:9" ht="14.25" customHeight="1">
      <c r="A123" s="2">
        <v>26</v>
      </c>
      <c r="B123" s="2">
        <v>6</v>
      </c>
      <c r="E123" s="2">
        <v>83</v>
      </c>
      <c r="F123" s="2">
        <v>15</v>
      </c>
      <c r="G123" s="2">
        <v>14</v>
      </c>
    </row>
    <row r="124" spans="1:9" ht="14.25" customHeight="1">
      <c r="A124" s="2">
        <v>14</v>
      </c>
      <c r="B124" s="2">
        <v>24</v>
      </c>
      <c r="E124" s="2">
        <v>83</v>
      </c>
      <c r="F124" s="2">
        <v>16</v>
      </c>
      <c r="G124" s="2">
        <v>15</v>
      </c>
    </row>
    <row r="125" spans="1:9" ht="14.25" customHeight="1">
      <c r="A125" s="2">
        <v>9</v>
      </c>
      <c r="B125" s="2">
        <v>96</v>
      </c>
      <c r="E125" s="2">
        <v>87</v>
      </c>
      <c r="F125" s="2">
        <v>17</v>
      </c>
      <c r="G125" s="2">
        <v>16</v>
      </c>
    </row>
    <row r="126" spans="1:9" ht="14.25" customHeight="1">
      <c r="A126" s="2">
        <v>56</v>
      </c>
      <c r="B126" s="2">
        <v>0</v>
      </c>
      <c r="E126" s="2">
        <v>87</v>
      </c>
      <c r="F126" s="2">
        <v>18</v>
      </c>
      <c r="G126" s="2">
        <v>17</v>
      </c>
    </row>
    <row r="127" spans="1:9" ht="14.25" customHeight="1">
      <c r="B127" s="2">
        <v>58</v>
      </c>
      <c r="E127" s="2">
        <v>94</v>
      </c>
      <c r="F127" s="2">
        <v>19</v>
      </c>
      <c r="G127" s="2">
        <v>18</v>
      </c>
    </row>
    <row r="128" spans="1:9" ht="14.25" customHeight="1"/>
    <row r="129" spans="5:13" ht="14.25" customHeight="1"/>
    <row r="130" spans="5:13" ht="14.25" customHeight="1"/>
    <row r="131" spans="5:13" ht="14.25" customHeight="1">
      <c r="F131" s="2" t="s">
        <v>61</v>
      </c>
      <c r="G131" s="2" t="s">
        <v>62</v>
      </c>
    </row>
    <row r="132" spans="5:13" ht="14.25" customHeight="1">
      <c r="E132" s="2">
        <v>0</v>
      </c>
      <c r="F132" s="2">
        <v>1</v>
      </c>
      <c r="G132" s="2">
        <v>0</v>
      </c>
    </row>
    <row r="133" spans="5:13" ht="14.25" customHeight="1">
      <c r="E133" s="2">
        <v>6</v>
      </c>
      <c r="F133" s="2">
        <v>2</v>
      </c>
      <c r="G133" s="2">
        <v>1</v>
      </c>
    </row>
    <row r="134" spans="5:13" ht="14.25" customHeight="1">
      <c r="E134" s="2">
        <v>7</v>
      </c>
      <c r="F134" s="2">
        <v>3</v>
      </c>
      <c r="G134" s="2">
        <v>2</v>
      </c>
      <c r="J134" s="2" t="s">
        <v>65</v>
      </c>
      <c r="M134" s="2">
        <f>COUNT(E132:E151)/2</f>
        <v>10</v>
      </c>
    </row>
    <row r="135" spans="5:13" ht="14.25" customHeight="1">
      <c r="E135" s="2">
        <v>14</v>
      </c>
      <c r="F135" s="2">
        <v>4</v>
      </c>
      <c r="G135" s="2">
        <v>3</v>
      </c>
      <c r="J135" s="2" t="s">
        <v>66</v>
      </c>
      <c r="M135" s="2">
        <f>M134+1</f>
        <v>11</v>
      </c>
    </row>
    <row r="136" spans="5:13" ht="14.25" customHeight="1">
      <c r="E136" s="2">
        <v>24</v>
      </c>
      <c r="F136" s="2">
        <v>5</v>
      </c>
      <c r="G136" s="2">
        <v>4</v>
      </c>
    </row>
    <row r="137" spans="5:13" ht="14.25" customHeight="1">
      <c r="E137" s="2">
        <v>26</v>
      </c>
      <c r="F137" s="2">
        <v>6</v>
      </c>
      <c r="G137" s="2">
        <v>5</v>
      </c>
    </row>
    <row r="138" spans="5:13" ht="14.25" customHeight="1">
      <c r="E138" s="2">
        <v>29</v>
      </c>
      <c r="F138" s="2">
        <v>7</v>
      </c>
      <c r="G138" s="2">
        <v>6</v>
      </c>
    </row>
    <row r="139" spans="5:13" ht="14.25" customHeight="1">
      <c r="E139" s="2">
        <v>33</v>
      </c>
      <c r="F139" s="2">
        <v>8</v>
      </c>
      <c r="G139" s="2">
        <v>7</v>
      </c>
    </row>
    <row r="140" spans="5:13" ht="14.25" customHeight="1">
      <c r="E140" s="2">
        <v>43</v>
      </c>
      <c r="F140" s="2">
        <v>9</v>
      </c>
      <c r="G140" s="2">
        <v>8</v>
      </c>
    </row>
    <row r="141" spans="5:13" ht="14.25" customHeight="1">
      <c r="E141" s="2">
        <v>50</v>
      </c>
      <c r="F141" s="2">
        <v>10</v>
      </c>
      <c r="G141" s="2">
        <v>9</v>
      </c>
      <c r="H141" s="2" t="s">
        <v>67</v>
      </c>
      <c r="J141" s="2" t="s">
        <v>68</v>
      </c>
    </row>
    <row r="142" spans="5:13" ht="14.25" customHeight="1">
      <c r="E142" s="2">
        <v>52</v>
      </c>
      <c r="F142" s="2">
        <v>11</v>
      </c>
      <c r="G142" s="2">
        <v>10</v>
      </c>
      <c r="H142" s="2" t="s">
        <v>69</v>
      </c>
      <c r="J142" s="2">
        <f>(50+52)/2</f>
        <v>51</v>
      </c>
    </row>
    <row r="143" spans="5:13" ht="14.25" customHeight="1">
      <c r="E143" s="2">
        <v>58</v>
      </c>
      <c r="F143" s="2">
        <v>12</v>
      </c>
      <c r="G143" s="2">
        <v>11</v>
      </c>
    </row>
    <row r="144" spans="5:13" ht="14.25" customHeight="1">
      <c r="E144" s="2">
        <v>58</v>
      </c>
      <c r="F144" s="2">
        <v>13</v>
      </c>
      <c r="G144" s="2">
        <v>12</v>
      </c>
    </row>
    <row r="145" spans="1:7" ht="14.25" customHeight="1">
      <c r="E145" s="2">
        <v>61</v>
      </c>
      <c r="F145" s="2">
        <v>14</v>
      </c>
      <c r="G145" s="2">
        <v>13</v>
      </c>
    </row>
    <row r="146" spans="1:7" ht="14.25" customHeight="1">
      <c r="E146" s="2">
        <v>65</v>
      </c>
      <c r="F146" s="2">
        <v>15</v>
      </c>
      <c r="G146" s="2">
        <v>14</v>
      </c>
    </row>
    <row r="147" spans="1:7" ht="14.25" customHeight="1">
      <c r="E147" s="2">
        <v>65</v>
      </c>
      <c r="F147" s="2">
        <v>16</v>
      </c>
      <c r="G147" s="2">
        <v>15</v>
      </c>
    </row>
    <row r="148" spans="1:7" ht="14.25" customHeight="1">
      <c r="E148" s="2">
        <v>69</v>
      </c>
      <c r="F148" s="2">
        <v>17</v>
      </c>
      <c r="G148" s="2">
        <v>16</v>
      </c>
    </row>
    <row r="149" spans="1:7" ht="14.25" customHeight="1">
      <c r="E149" s="2">
        <v>69</v>
      </c>
      <c r="F149" s="2">
        <v>18</v>
      </c>
      <c r="G149" s="2">
        <v>17</v>
      </c>
    </row>
    <row r="150" spans="1:7" ht="14.25" customHeight="1">
      <c r="E150" s="2">
        <v>93</v>
      </c>
      <c r="F150" s="2">
        <v>19</v>
      </c>
      <c r="G150" s="2">
        <v>18</v>
      </c>
    </row>
    <row r="151" spans="1:7" ht="14.25" customHeight="1">
      <c r="E151" s="2">
        <v>96</v>
      </c>
      <c r="F151" s="2">
        <v>20</v>
      </c>
      <c r="G151" s="2">
        <v>19</v>
      </c>
    </row>
    <row r="152" spans="1:7" ht="14.25" customHeight="1"/>
    <row r="153" spans="1:7" ht="14.25" customHeight="1"/>
    <row r="154" spans="1:7" ht="14.25" customHeight="1">
      <c r="A154" s="1"/>
    </row>
    <row r="155" spans="1:7" ht="14.25" customHeight="1"/>
    <row r="156" spans="1:7" ht="14.25" customHeight="1"/>
    <row r="157" spans="1:7" ht="14.25" customHeight="1"/>
    <row r="158" spans="1:7" ht="14.25" customHeight="1"/>
    <row r="159" spans="1:7" ht="14.25" customHeight="1"/>
    <row r="160" spans="1:7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4140625" defaultRowHeight="15" customHeight="1"/>
  <cols>
    <col min="1" max="1" width="28.6640625" customWidth="1"/>
    <col min="2" max="2" width="61.5546875" customWidth="1"/>
    <col min="3" max="3" width="57.109375" customWidth="1"/>
    <col min="4" max="26" width="8.6640625" customWidth="1"/>
  </cols>
  <sheetData>
    <row r="1" spans="1:9" ht="14.25" customHeight="1">
      <c r="A1" s="9" t="s">
        <v>70</v>
      </c>
      <c r="B1" s="9"/>
      <c r="C1" s="9"/>
      <c r="D1" s="10"/>
      <c r="E1" s="10"/>
      <c r="F1" s="10"/>
      <c r="G1" s="10"/>
      <c r="H1" s="10"/>
      <c r="I1" s="10"/>
    </row>
    <row r="2" spans="1:9" ht="14.25" customHeight="1">
      <c r="A2" s="9"/>
      <c r="B2" s="9" t="s">
        <v>71</v>
      </c>
      <c r="C2" s="9" t="s">
        <v>15</v>
      </c>
      <c r="D2" s="10"/>
      <c r="F2" s="10"/>
      <c r="H2" s="10"/>
      <c r="I2" s="10"/>
    </row>
    <row r="3" spans="1:9" ht="14.25" customHeight="1">
      <c r="A3" s="11" t="s">
        <v>72</v>
      </c>
      <c r="B3" s="11" t="s">
        <v>73</v>
      </c>
      <c r="C3" s="11" t="s">
        <v>74</v>
      </c>
      <c r="D3" s="11"/>
      <c r="E3" s="12"/>
      <c r="F3" s="11"/>
      <c r="G3" s="12"/>
      <c r="H3" s="11"/>
      <c r="I3" s="10"/>
    </row>
    <row r="4" spans="1:9" ht="14.25" customHeight="1">
      <c r="A4" s="11" t="s">
        <v>75</v>
      </c>
      <c r="B4" s="11" t="s">
        <v>76</v>
      </c>
      <c r="C4" s="11" t="s">
        <v>77</v>
      </c>
      <c r="D4" s="11"/>
      <c r="E4" s="12"/>
      <c r="F4" s="11"/>
      <c r="G4" s="12"/>
      <c r="H4" s="11"/>
      <c r="I4" s="10"/>
    </row>
    <row r="5" spans="1:9" ht="14.25" customHeight="1">
      <c r="A5" s="11" t="s">
        <v>78</v>
      </c>
      <c r="B5" s="11" t="s">
        <v>79</v>
      </c>
      <c r="C5" s="11" t="s">
        <v>80</v>
      </c>
      <c r="D5" s="11"/>
      <c r="E5" s="12"/>
      <c r="F5" s="11"/>
      <c r="G5" s="12"/>
      <c r="H5" s="11"/>
      <c r="I5" s="10"/>
    </row>
    <row r="6" spans="1:9" ht="14.25" customHeight="1">
      <c r="A6" s="11" t="s">
        <v>81</v>
      </c>
      <c r="B6" s="11" t="s">
        <v>82</v>
      </c>
      <c r="C6" s="11" t="s">
        <v>83</v>
      </c>
      <c r="D6" s="11"/>
      <c r="E6" s="12"/>
      <c r="F6" s="11"/>
      <c r="G6" s="12"/>
      <c r="H6" s="11"/>
      <c r="I6" s="10"/>
    </row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defaultColWidth="14.44140625" defaultRowHeight="15" customHeight="1"/>
  <cols>
    <col min="1" max="2" width="15.44140625" customWidth="1"/>
    <col min="3" max="3" width="18.5546875" customWidth="1"/>
    <col min="4" max="15" width="15.44140625" customWidth="1"/>
    <col min="16" max="26" width="8.6640625" customWidth="1"/>
  </cols>
  <sheetData>
    <row r="1" spans="1:13" ht="14.25" customHeight="1">
      <c r="A1" s="13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2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25" customHeight="1">
      <c r="A3" s="10">
        <v>58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>
        <v>5</v>
      </c>
    </row>
    <row r="4" spans="1:13" ht="14.25" customHeight="1">
      <c r="A4" s="10">
        <v>52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>
        <v>6</v>
      </c>
    </row>
    <row r="5" spans="1:13" ht="14.25" customHeight="1">
      <c r="A5" s="10">
        <v>43</v>
      </c>
      <c r="B5" s="10"/>
      <c r="C5" s="10" t="s">
        <v>84</v>
      </c>
      <c r="D5" s="10"/>
      <c r="E5" s="10"/>
      <c r="F5" s="10"/>
      <c r="G5" s="10"/>
      <c r="H5" s="10"/>
      <c r="I5" s="10"/>
      <c r="J5" s="10"/>
      <c r="K5" s="10"/>
      <c r="L5" s="10"/>
      <c r="M5" s="10">
        <v>7</v>
      </c>
    </row>
    <row r="6" spans="1:13" ht="14.25" customHeight="1">
      <c r="A6" s="10">
        <v>29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>
        <v>14</v>
      </c>
    </row>
    <row r="7" spans="1:13" ht="14.25" customHeight="1">
      <c r="A7" s="10">
        <v>69</v>
      </c>
      <c r="B7" s="10"/>
      <c r="C7" s="10">
        <f>MAX(A3:A19) - MIN(A3:A19)</f>
        <v>87</v>
      </c>
      <c r="D7" s="10"/>
      <c r="E7" s="10"/>
      <c r="F7" s="10" t="s">
        <v>85</v>
      </c>
      <c r="G7" s="10"/>
      <c r="H7" s="10"/>
      <c r="I7" s="10"/>
      <c r="J7" s="10"/>
      <c r="K7" s="10"/>
      <c r="L7" s="10"/>
      <c r="M7" s="10">
        <v>24</v>
      </c>
    </row>
    <row r="8" spans="1:13" ht="14.25" customHeight="1">
      <c r="A8" s="10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>
        <v>26</v>
      </c>
    </row>
    <row r="9" spans="1:13" ht="14.25" customHeight="1">
      <c r="A9" s="10">
        <v>26</v>
      </c>
      <c r="B9" s="10"/>
      <c r="C9" s="10" t="s">
        <v>86</v>
      </c>
      <c r="D9" s="10"/>
      <c r="E9" s="10"/>
      <c r="F9" s="10"/>
      <c r="G9" s="10"/>
      <c r="H9" s="10"/>
      <c r="I9" s="10"/>
      <c r="J9" s="10"/>
      <c r="K9" s="10"/>
      <c r="L9" s="10"/>
      <c r="M9" s="10">
        <v>29</v>
      </c>
    </row>
    <row r="10" spans="1:13" ht="14.25" customHeight="1">
      <c r="A10" s="10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>
        <v>33</v>
      </c>
    </row>
    <row r="11" spans="1:13" ht="14.25" customHeight="1">
      <c r="A11" s="10">
        <v>65</v>
      </c>
      <c r="B11" s="10"/>
      <c r="C11" s="10">
        <f>MAX(A3:A19)</f>
        <v>93</v>
      </c>
      <c r="D11" s="10" t="s">
        <v>87</v>
      </c>
      <c r="E11" s="10"/>
      <c r="F11" s="10"/>
      <c r="G11" s="10"/>
      <c r="H11" s="10"/>
      <c r="I11" s="10"/>
      <c r="J11" s="10"/>
      <c r="K11" s="10"/>
      <c r="L11" s="10"/>
      <c r="M11" s="10">
        <v>43</v>
      </c>
    </row>
    <row r="12" spans="1:13" ht="14.25" customHeight="1">
      <c r="A12" s="10">
        <v>69</v>
      </c>
      <c r="B12" s="10"/>
      <c r="C12" s="10">
        <f>MIN(A3:A19)</f>
        <v>6</v>
      </c>
      <c r="D12" s="10" t="s">
        <v>88</v>
      </c>
      <c r="E12" s="10"/>
      <c r="F12" s="10"/>
      <c r="G12" s="10"/>
      <c r="H12" s="10"/>
      <c r="I12" s="10"/>
      <c r="J12" s="10"/>
      <c r="K12" s="10"/>
      <c r="L12" s="10"/>
      <c r="M12" s="10">
        <v>50</v>
      </c>
    </row>
    <row r="13" spans="1:13" ht="14.25" customHeight="1">
      <c r="A13" s="10">
        <v>93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>
        <v>52</v>
      </c>
    </row>
    <row r="14" spans="1:13" ht="14.25" customHeight="1">
      <c r="A14" s="10">
        <v>65</v>
      </c>
      <c r="B14" s="10"/>
      <c r="C14" s="10">
        <f>C11-C12</f>
        <v>87</v>
      </c>
      <c r="D14" s="10" t="s">
        <v>13</v>
      </c>
      <c r="E14" s="10"/>
      <c r="F14" s="10"/>
      <c r="G14" s="10"/>
      <c r="H14" s="10"/>
      <c r="I14" s="10"/>
      <c r="J14" s="10"/>
      <c r="K14" s="10"/>
      <c r="L14" s="10"/>
      <c r="M14" s="10">
        <v>58</v>
      </c>
    </row>
    <row r="15" spans="1:13" ht="14.25" customHeight="1">
      <c r="A15" s="10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>
        <v>58</v>
      </c>
    </row>
    <row r="16" spans="1:13" ht="14.25" customHeight="1">
      <c r="A16" s="10">
        <v>61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>
        <v>61</v>
      </c>
    </row>
    <row r="17" spans="1:13" ht="14.25" customHeight="1">
      <c r="A17" s="10">
        <v>50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>
        <v>65</v>
      </c>
    </row>
    <row r="18" spans="1:13" ht="14.25" customHeight="1">
      <c r="A18" s="10">
        <v>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>
        <v>65</v>
      </c>
    </row>
    <row r="19" spans="1:13" ht="14.25" customHeight="1">
      <c r="A19" s="10">
        <v>24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>
        <v>69</v>
      </c>
    </row>
    <row r="20" spans="1:13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>
        <v>69</v>
      </c>
    </row>
    <row r="21" spans="1:13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>
        <v>93</v>
      </c>
    </row>
    <row r="22" spans="1:13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>
        <v>96</v>
      </c>
    </row>
    <row r="23" spans="1:1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4.25" customHeight="1">
      <c r="A25" s="13" t="s">
        <v>89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14.25" customHeight="1">
      <c r="A26" s="10"/>
      <c r="B26" s="10" t="s">
        <v>90</v>
      </c>
      <c r="C26" s="10" t="s">
        <v>91</v>
      </c>
      <c r="D26" s="10" t="s">
        <v>92</v>
      </c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4.25" customHeight="1">
      <c r="A27" s="10"/>
      <c r="B27" s="10">
        <v>58</v>
      </c>
      <c r="C27" s="14">
        <f t="shared" ref="C27:C41" si="0">B27-B$43</f>
        <v>13.333333333333336</v>
      </c>
      <c r="D27" s="14">
        <f t="shared" ref="D27:D41" si="1">C27^2</f>
        <v>177.77777777777783</v>
      </c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14.25" customHeight="1">
      <c r="A28" s="10"/>
      <c r="B28" s="10">
        <v>52</v>
      </c>
      <c r="C28" s="14">
        <f t="shared" si="0"/>
        <v>7.3333333333333357</v>
      </c>
      <c r="D28" s="14">
        <f t="shared" si="1"/>
        <v>53.777777777777814</v>
      </c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14.25" customHeight="1">
      <c r="A29" s="10"/>
      <c r="B29" s="10">
        <v>43</v>
      </c>
      <c r="C29" s="14">
        <f t="shared" si="0"/>
        <v>-1.6666666666666643</v>
      </c>
      <c r="D29" s="14">
        <f t="shared" si="1"/>
        <v>2.7777777777777697</v>
      </c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4.25" customHeight="1">
      <c r="A30" s="10"/>
      <c r="B30" s="10">
        <v>29</v>
      </c>
      <c r="C30" s="14">
        <f t="shared" si="0"/>
        <v>-15.666666666666664</v>
      </c>
      <c r="D30" s="14">
        <f t="shared" si="1"/>
        <v>245.44444444444437</v>
      </c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4.25" customHeight="1">
      <c r="A31" s="10"/>
      <c r="B31" s="10">
        <v>69</v>
      </c>
      <c r="C31" s="14">
        <f t="shared" si="0"/>
        <v>24.333333333333336</v>
      </c>
      <c r="D31" s="14">
        <f t="shared" si="1"/>
        <v>592.1111111111112</v>
      </c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4.25" customHeight="1">
      <c r="A32" s="10"/>
      <c r="B32" s="10">
        <v>7</v>
      </c>
      <c r="C32" s="14">
        <f t="shared" si="0"/>
        <v>-37.666666666666664</v>
      </c>
      <c r="D32" s="14">
        <f t="shared" si="1"/>
        <v>1418.7777777777776</v>
      </c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4.25" customHeight="1">
      <c r="A33" s="10"/>
      <c r="B33" s="10">
        <v>26</v>
      </c>
      <c r="C33" s="14">
        <f t="shared" si="0"/>
        <v>-18.666666666666664</v>
      </c>
      <c r="D33" s="14">
        <f t="shared" si="1"/>
        <v>348.44444444444434</v>
      </c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4.25" customHeight="1">
      <c r="A34" s="10"/>
      <c r="B34" s="10">
        <v>14</v>
      </c>
      <c r="C34" s="14">
        <f t="shared" si="0"/>
        <v>-30.666666666666664</v>
      </c>
      <c r="D34" s="14">
        <f t="shared" si="1"/>
        <v>940.44444444444434</v>
      </c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4.25" customHeight="1">
      <c r="A35" s="10"/>
      <c r="B35" s="10">
        <v>65</v>
      </c>
      <c r="C35" s="14">
        <f t="shared" si="0"/>
        <v>20.333333333333336</v>
      </c>
      <c r="D35" s="14">
        <f t="shared" si="1"/>
        <v>413.44444444444451</v>
      </c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4.25" customHeight="1">
      <c r="A36" s="10"/>
      <c r="B36" s="10">
        <v>69</v>
      </c>
      <c r="C36" s="14">
        <f t="shared" si="0"/>
        <v>24.333333333333336</v>
      </c>
      <c r="D36" s="14">
        <f t="shared" si="1"/>
        <v>592.1111111111112</v>
      </c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4.25" customHeight="1">
      <c r="A37" s="10"/>
      <c r="B37" s="10">
        <v>93</v>
      </c>
      <c r="C37" s="14">
        <f t="shared" si="0"/>
        <v>48.333333333333336</v>
      </c>
      <c r="D37" s="14">
        <f t="shared" si="1"/>
        <v>2336.1111111111113</v>
      </c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4.25" customHeight="1">
      <c r="A38" s="10"/>
      <c r="B38" s="10">
        <v>65</v>
      </c>
      <c r="C38" s="14">
        <f t="shared" si="0"/>
        <v>20.333333333333336</v>
      </c>
      <c r="D38" s="14">
        <f t="shared" si="1"/>
        <v>413.44444444444451</v>
      </c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4.25" customHeight="1">
      <c r="A39" s="10"/>
      <c r="B39" s="10">
        <v>50</v>
      </c>
      <c r="C39" s="14">
        <f t="shared" si="0"/>
        <v>5.3333333333333357</v>
      </c>
      <c r="D39" s="14">
        <f t="shared" si="1"/>
        <v>28.444444444444471</v>
      </c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4.25" customHeight="1">
      <c r="A40" s="10"/>
      <c r="B40" s="10">
        <v>6</v>
      </c>
      <c r="C40" s="14">
        <f t="shared" si="0"/>
        <v>-38.666666666666664</v>
      </c>
      <c r="D40" s="14">
        <f t="shared" si="1"/>
        <v>1495.1111111111109</v>
      </c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4.25" customHeight="1">
      <c r="A41" s="10"/>
      <c r="B41" s="10">
        <v>24</v>
      </c>
      <c r="C41" s="14">
        <f t="shared" si="0"/>
        <v>-20.666666666666664</v>
      </c>
      <c r="D41" s="14">
        <f t="shared" si="1"/>
        <v>427.11111111111103</v>
      </c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4.25" customHeight="1">
      <c r="A43" s="10" t="s">
        <v>24</v>
      </c>
      <c r="B43" s="10">
        <f>AVERAGE(B27:B41)</f>
        <v>44.666666666666664</v>
      </c>
      <c r="C43" s="10"/>
      <c r="D43" s="14">
        <f>SUM(D27:D41)</f>
        <v>9485.3333333333339</v>
      </c>
      <c r="E43" s="10"/>
      <c r="F43" s="10" t="s">
        <v>93</v>
      </c>
      <c r="G43" s="10"/>
      <c r="H43" s="10"/>
      <c r="I43" s="10"/>
      <c r="J43" s="10"/>
      <c r="K43" s="10"/>
      <c r="L43" s="10"/>
      <c r="M43" s="10"/>
    </row>
    <row r="44" spans="1:13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4.25" customHeight="1">
      <c r="A45" s="10"/>
      <c r="B45" s="10"/>
      <c r="C45" s="10"/>
      <c r="D45" s="10">
        <f>COUNT(B27:B41) - 1</f>
        <v>14</v>
      </c>
      <c r="E45" s="10"/>
      <c r="F45" s="10" t="s">
        <v>94</v>
      </c>
      <c r="G45" s="10"/>
      <c r="H45" s="10"/>
      <c r="I45" s="10"/>
      <c r="J45" s="10"/>
      <c r="K45" s="10"/>
      <c r="L45" s="10"/>
      <c r="M45" s="10"/>
    </row>
    <row r="46" spans="1:13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4.25" customHeight="1">
      <c r="A47" s="10"/>
      <c r="B47" s="10"/>
      <c r="C47" s="10"/>
      <c r="D47" s="10">
        <f>D43/D45</f>
        <v>677.52380952380952</v>
      </c>
      <c r="E47" s="10"/>
      <c r="F47" s="10" t="s">
        <v>15</v>
      </c>
      <c r="G47" s="10"/>
      <c r="H47" s="10"/>
      <c r="I47" s="10"/>
      <c r="J47" s="10"/>
      <c r="K47" s="10"/>
      <c r="L47" s="10"/>
      <c r="M47" s="10"/>
    </row>
    <row r="48" spans="1:13" ht="14.25" customHeight="1">
      <c r="A48" s="10"/>
      <c r="B48" s="10"/>
      <c r="C48" s="10"/>
      <c r="D48" s="10">
        <f>SQRT(D47)</f>
        <v>26.029287533926269</v>
      </c>
      <c r="E48" s="10"/>
      <c r="F48" s="10" t="s">
        <v>17</v>
      </c>
      <c r="G48" s="10"/>
      <c r="H48" s="10"/>
      <c r="I48" s="10"/>
      <c r="J48" s="10"/>
      <c r="K48" s="10"/>
      <c r="L48" s="10"/>
      <c r="M48" s="10"/>
    </row>
    <row r="49" spans="1:15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5" ht="14.25" customHeight="1"/>
    <row r="51" spans="1:15" ht="14.25" customHeight="1">
      <c r="A51" s="10" t="s">
        <v>95</v>
      </c>
      <c r="B51" s="10"/>
      <c r="C51" s="10"/>
      <c r="D51" s="10"/>
      <c r="E51" s="10"/>
      <c r="F51" s="10"/>
      <c r="G51" s="10"/>
      <c r="H51" s="10"/>
      <c r="J51" s="10"/>
    </row>
    <row r="52" spans="1:15" ht="14.25" customHeight="1">
      <c r="A52" s="10" t="s">
        <v>96</v>
      </c>
      <c r="B52" s="10"/>
      <c r="C52" s="10"/>
      <c r="D52" s="10"/>
      <c r="E52" s="10"/>
      <c r="F52" s="10"/>
      <c r="G52" s="10"/>
      <c r="H52" s="10"/>
      <c r="J52" s="10"/>
    </row>
    <row r="53" spans="1:15" ht="14.25" customHeight="1">
      <c r="A53" s="10"/>
      <c r="B53" s="10"/>
      <c r="C53" s="10"/>
      <c r="D53" s="10"/>
      <c r="E53" s="10"/>
      <c r="F53" s="10"/>
      <c r="G53" s="10"/>
      <c r="H53" s="10"/>
      <c r="J53" s="10"/>
    </row>
    <row r="54" spans="1:15" ht="14.25" customHeight="1">
      <c r="A54" s="10" t="s">
        <v>97</v>
      </c>
      <c r="B54" s="10"/>
      <c r="C54" s="10"/>
      <c r="D54" s="10"/>
      <c r="E54" s="10"/>
      <c r="F54" s="10"/>
      <c r="G54" s="10"/>
      <c r="H54" s="10"/>
      <c r="J54" s="10"/>
    </row>
    <row r="55" spans="1:15" ht="14.25" customHeight="1">
      <c r="A55" s="10"/>
      <c r="B55" s="10"/>
      <c r="C55" s="10"/>
      <c r="D55" s="10"/>
      <c r="E55" s="10"/>
      <c r="F55" s="10"/>
      <c r="G55" s="10"/>
      <c r="H55" s="10"/>
      <c r="J55" s="10"/>
    </row>
    <row r="56" spans="1:15" ht="14.25" customHeight="1">
      <c r="A56" s="10" t="s">
        <v>98</v>
      </c>
      <c r="B56" s="10"/>
      <c r="C56" s="10"/>
      <c r="D56" s="10"/>
      <c r="E56" s="10"/>
      <c r="F56" s="10"/>
      <c r="G56" s="10"/>
      <c r="H56" s="10"/>
      <c r="J56" s="10"/>
    </row>
    <row r="57" spans="1:15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5" ht="14.25" customHeight="1">
      <c r="A58" s="10" t="s">
        <v>99</v>
      </c>
      <c r="B58" s="10"/>
      <c r="C58" s="10"/>
      <c r="D58" s="10"/>
      <c r="E58" s="10"/>
      <c r="F58" s="10"/>
      <c r="G58" s="10"/>
      <c r="H58" s="10"/>
      <c r="I58" s="10"/>
      <c r="J58" s="10"/>
    </row>
    <row r="59" spans="1:15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5" ht="14.25" customHeight="1"/>
    <row r="61" spans="1:15" ht="14.25" customHeight="1"/>
    <row r="62" spans="1:15" ht="14.25" customHeight="1">
      <c r="A62" s="10"/>
      <c r="B62" s="10" t="s">
        <v>100</v>
      </c>
      <c r="C62" s="10"/>
      <c r="D62" s="10" t="s">
        <v>101</v>
      </c>
      <c r="E62" s="10" t="s">
        <v>102</v>
      </c>
      <c r="F62" s="10" t="s">
        <v>103</v>
      </c>
      <c r="G62" s="10"/>
      <c r="H62" s="10"/>
      <c r="I62" s="10"/>
      <c r="J62" s="10" t="s">
        <v>104</v>
      </c>
      <c r="K62" s="10" t="s">
        <v>102</v>
      </c>
      <c r="L62" s="10" t="s">
        <v>103</v>
      </c>
      <c r="M62" s="10"/>
      <c r="N62" s="10"/>
      <c r="O62" s="10"/>
    </row>
    <row r="63" spans="1:15" ht="14.25" customHeight="1">
      <c r="A63" s="10"/>
      <c r="B63" s="10">
        <v>1</v>
      </c>
      <c r="C63" s="10"/>
      <c r="D63" s="10">
        <v>12</v>
      </c>
      <c r="E63" s="10">
        <f t="shared" ref="E63:E82" si="2">D63 - AVERAGE(D$63:D$82)</f>
        <v>-20.5</v>
      </c>
      <c r="F63" s="10">
        <f t="shared" ref="F63:F82" si="3">E63^2</f>
        <v>420.25</v>
      </c>
      <c r="G63" s="10"/>
      <c r="H63" s="10"/>
      <c r="I63" s="10"/>
      <c r="J63" s="10">
        <v>34</v>
      </c>
      <c r="K63" s="10">
        <f t="shared" ref="K63:K82" si="4">J63-AVERAGE(J$63:J$82)</f>
        <v>1.5</v>
      </c>
      <c r="L63" s="10">
        <f t="shared" ref="L63:L82" si="5">K63^2</f>
        <v>2.25</v>
      </c>
      <c r="M63" s="10"/>
      <c r="N63" s="10"/>
      <c r="O63" s="10"/>
    </row>
    <row r="64" spans="1:15" ht="14.25" customHeight="1">
      <c r="A64" s="10"/>
      <c r="B64" s="10">
        <v>2</v>
      </c>
      <c r="C64" s="10"/>
      <c r="D64" s="10">
        <v>13</v>
      </c>
      <c r="E64" s="10">
        <f t="shared" si="2"/>
        <v>-19.5</v>
      </c>
      <c r="F64" s="10">
        <f t="shared" si="3"/>
        <v>380.25</v>
      </c>
      <c r="G64" s="10"/>
      <c r="H64" s="10"/>
      <c r="I64" s="10"/>
      <c r="J64" s="10">
        <v>14</v>
      </c>
      <c r="K64" s="10">
        <f t="shared" si="4"/>
        <v>-18.5</v>
      </c>
      <c r="L64" s="10">
        <f t="shared" si="5"/>
        <v>342.25</v>
      </c>
      <c r="M64" s="10"/>
      <c r="N64" s="10"/>
      <c r="O64" s="10"/>
    </row>
    <row r="65" spans="1:15" ht="14.25" customHeight="1">
      <c r="A65" s="10"/>
      <c r="B65" s="10">
        <v>3</v>
      </c>
      <c r="C65" s="10"/>
      <c r="D65" s="10">
        <v>17</v>
      </c>
      <c r="E65" s="10">
        <f t="shared" si="2"/>
        <v>-15.5</v>
      </c>
      <c r="F65" s="10">
        <f t="shared" si="3"/>
        <v>240.25</v>
      </c>
      <c r="G65" s="10"/>
      <c r="H65" s="10"/>
      <c r="I65" s="10"/>
      <c r="J65" s="10">
        <v>31</v>
      </c>
      <c r="K65" s="10">
        <f t="shared" si="4"/>
        <v>-1.5</v>
      </c>
      <c r="L65" s="10">
        <f t="shared" si="5"/>
        <v>2.25</v>
      </c>
      <c r="M65" s="10"/>
      <c r="N65" s="10"/>
      <c r="O65" s="10"/>
    </row>
    <row r="66" spans="1:15" ht="14.25" customHeight="1">
      <c r="A66" s="10"/>
      <c r="B66" s="10">
        <v>4</v>
      </c>
      <c r="C66" s="10"/>
      <c r="D66" s="10">
        <v>21</v>
      </c>
      <c r="E66" s="10">
        <f t="shared" si="2"/>
        <v>-11.5</v>
      </c>
      <c r="F66" s="10">
        <f t="shared" si="3"/>
        <v>132.25</v>
      </c>
      <c r="G66" s="10"/>
      <c r="H66" s="10"/>
      <c r="I66" s="10"/>
      <c r="J66" s="10">
        <v>59</v>
      </c>
      <c r="K66" s="10">
        <f t="shared" si="4"/>
        <v>26.5</v>
      </c>
      <c r="L66" s="10">
        <f t="shared" si="5"/>
        <v>702.25</v>
      </c>
      <c r="M66" s="10"/>
      <c r="N66" s="10"/>
      <c r="O66" s="10"/>
    </row>
    <row r="67" spans="1:15" ht="14.25" customHeight="1">
      <c r="A67" s="10"/>
      <c r="B67" s="10">
        <v>5</v>
      </c>
      <c r="C67" s="10"/>
      <c r="D67" s="10">
        <v>24</v>
      </c>
      <c r="E67" s="10">
        <f t="shared" si="2"/>
        <v>-8.5</v>
      </c>
      <c r="F67" s="10">
        <f t="shared" si="3"/>
        <v>72.25</v>
      </c>
      <c r="G67" s="10"/>
      <c r="H67" s="10"/>
      <c r="I67" s="10"/>
      <c r="J67" s="10">
        <v>11</v>
      </c>
      <c r="K67" s="10">
        <f t="shared" si="4"/>
        <v>-21.5</v>
      </c>
      <c r="L67" s="10">
        <f t="shared" si="5"/>
        <v>462.25</v>
      </c>
      <c r="M67" s="10"/>
      <c r="N67" s="10"/>
      <c r="O67" s="10"/>
    </row>
    <row r="68" spans="1:15" ht="14.25" customHeight="1">
      <c r="A68" s="10"/>
      <c r="B68" s="10">
        <v>6</v>
      </c>
      <c r="C68" s="10"/>
      <c r="D68" s="10">
        <v>24</v>
      </c>
      <c r="E68" s="10">
        <f t="shared" si="2"/>
        <v>-8.5</v>
      </c>
      <c r="F68" s="10">
        <f t="shared" si="3"/>
        <v>72.25</v>
      </c>
      <c r="G68" s="10"/>
      <c r="H68" s="10"/>
      <c r="I68" s="10"/>
      <c r="J68" s="10">
        <v>50</v>
      </c>
      <c r="K68" s="10">
        <f t="shared" si="4"/>
        <v>17.5</v>
      </c>
      <c r="L68" s="10">
        <f t="shared" si="5"/>
        <v>306.25</v>
      </c>
      <c r="M68" s="10"/>
      <c r="N68" s="10"/>
      <c r="O68" s="10"/>
    </row>
    <row r="69" spans="1:15" ht="14.25" customHeight="1">
      <c r="A69" s="10"/>
      <c r="B69" s="10">
        <v>7</v>
      </c>
      <c r="C69" s="10"/>
      <c r="D69" s="10">
        <v>26</v>
      </c>
      <c r="E69" s="10">
        <f t="shared" si="2"/>
        <v>-6.5</v>
      </c>
      <c r="F69" s="10">
        <f t="shared" si="3"/>
        <v>42.25</v>
      </c>
      <c r="G69" s="10"/>
      <c r="H69" s="10"/>
      <c r="I69" s="10"/>
      <c r="J69" s="10">
        <v>27</v>
      </c>
      <c r="K69" s="10">
        <f t="shared" si="4"/>
        <v>-5.5</v>
      </c>
      <c r="L69" s="10">
        <f t="shared" si="5"/>
        <v>30.25</v>
      </c>
      <c r="M69" s="10"/>
      <c r="N69" s="10"/>
      <c r="O69" s="10"/>
    </row>
    <row r="70" spans="1:15" ht="14.25" customHeight="1">
      <c r="A70" s="10"/>
      <c r="B70" s="10">
        <v>8</v>
      </c>
      <c r="C70" s="10"/>
      <c r="D70" s="10">
        <v>27</v>
      </c>
      <c r="E70" s="10">
        <f t="shared" si="2"/>
        <v>-5.5</v>
      </c>
      <c r="F70" s="10">
        <f t="shared" si="3"/>
        <v>30.25</v>
      </c>
      <c r="G70" s="10"/>
      <c r="H70" s="10"/>
      <c r="I70" s="10"/>
      <c r="J70" s="10">
        <v>33</v>
      </c>
      <c r="K70" s="10">
        <f t="shared" si="4"/>
        <v>0.5</v>
      </c>
      <c r="L70" s="10">
        <f t="shared" si="5"/>
        <v>0.25</v>
      </c>
      <c r="M70" s="10"/>
      <c r="N70" s="10"/>
      <c r="O70" s="10"/>
    </row>
    <row r="71" spans="1:15" ht="14.25" customHeight="1">
      <c r="A71" s="10"/>
      <c r="B71" s="10">
        <v>9</v>
      </c>
      <c r="C71" s="10"/>
      <c r="D71" s="10">
        <v>27</v>
      </c>
      <c r="E71" s="10">
        <f t="shared" si="2"/>
        <v>-5.5</v>
      </c>
      <c r="F71" s="10">
        <f t="shared" si="3"/>
        <v>30.25</v>
      </c>
      <c r="G71" s="10"/>
      <c r="H71" s="10"/>
      <c r="I71" s="10"/>
      <c r="J71" s="10">
        <v>53</v>
      </c>
      <c r="K71" s="10">
        <f t="shared" si="4"/>
        <v>20.5</v>
      </c>
      <c r="L71" s="10">
        <f t="shared" si="5"/>
        <v>420.25</v>
      </c>
      <c r="M71" s="10"/>
      <c r="N71" s="10"/>
      <c r="O71" s="10"/>
    </row>
    <row r="72" spans="1:15" ht="14.25" customHeight="1">
      <c r="A72" s="10"/>
      <c r="B72" s="10">
        <v>10</v>
      </c>
      <c r="C72" s="10"/>
      <c r="D72" s="10">
        <v>30</v>
      </c>
      <c r="E72" s="10">
        <f t="shared" si="2"/>
        <v>-2.5</v>
      </c>
      <c r="F72" s="10">
        <f t="shared" si="3"/>
        <v>6.25</v>
      </c>
      <c r="G72" s="10"/>
      <c r="H72" s="10"/>
      <c r="I72" s="10"/>
      <c r="J72" s="10">
        <v>34</v>
      </c>
      <c r="K72" s="10">
        <f t="shared" si="4"/>
        <v>1.5</v>
      </c>
      <c r="L72" s="10">
        <f t="shared" si="5"/>
        <v>2.25</v>
      </c>
      <c r="M72" s="10"/>
      <c r="N72" s="10"/>
      <c r="O72" s="10"/>
    </row>
    <row r="73" spans="1:15" ht="14.25" customHeight="1">
      <c r="A73" s="10"/>
      <c r="B73" s="10">
        <v>11</v>
      </c>
      <c r="C73" s="10"/>
      <c r="D73" s="10">
        <v>32</v>
      </c>
      <c r="E73" s="10">
        <f t="shared" si="2"/>
        <v>-0.5</v>
      </c>
      <c r="F73" s="10">
        <f t="shared" si="3"/>
        <v>0.25</v>
      </c>
      <c r="G73" s="10"/>
      <c r="H73" s="10"/>
      <c r="I73" s="10"/>
      <c r="J73" s="10">
        <v>13</v>
      </c>
      <c r="K73" s="10">
        <f t="shared" si="4"/>
        <v>-19.5</v>
      </c>
      <c r="L73" s="10">
        <f t="shared" si="5"/>
        <v>380.25</v>
      </c>
      <c r="M73" s="10"/>
      <c r="N73" s="10"/>
      <c r="O73" s="10"/>
    </row>
    <row r="74" spans="1:15" ht="14.25" customHeight="1">
      <c r="A74" s="10"/>
      <c r="B74" s="10">
        <v>12</v>
      </c>
      <c r="C74" s="10"/>
      <c r="D74" s="10">
        <v>35</v>
      </c>
      <c r="E74" s="10">
        <f t="shared" si="2"/>
        <v>2.5</v>
      </c>
      <c r="F74" s="10">
        <f t="shared" si="3"/>
        <v>6.25</v>
      </c>
      <c r="G74" s="10"/>
      <c r="H74" s="10"/>
      <c r="I74" s="10"/>
      <c r="J74" s="10">
        <v>13</v>
      </c>
      <c r="K74" s="10">
        <f t="shared" si="4"/>
        <v>-19.5</v>
      </c>
      <c r="L74" s="10">
        <f t="shared" si="5"/>
        <v>380.25</v>
      </c>
      <c r="M74" s="10"/>
      <c r="N74" s="10"/>
      <c r="O74" s="10"/>
    </row>
    <row r="75" spans="1:15" ht="14.25" customHeight="1">
      <c r="A75" s="10"/>
      <c r="B75" s="10">
        <v>13</v>
      </c>
      <c r="C75" s="10"/>
      <c r="D75" s="10">
        <v>37</v>
      </c>
      <c r="E75" s="10">
        <f t="shared" si="2"/>
        <v>4.5</v>
      </c>
      <c r="F75" s="10">
        <f t="shared" si="3"/>
        <v>20.25</v>
      </c>
      <c r="G75" s="10"/>
      <c r="H75" s="10"/>
      <c r="I75" s="10"/>
      <c r="J75" s="10">
        <v>42</v>
      </c>
      <c r="K75" s="10">
        <f t="shared" si="4"/>
        <v>9.5</v>
      </c>
      <c r="L75" s="10">
        <f t="shared" si="5"/>
        <v>90.25</v>
      </c>
      <c r="M75" s="10"/>
      <c r="N75" s="10"/>
      <c r="O75" s="10"/>
    </row>
    <row r="76" spans="1:15" ht="14.25" customHeight="1">
      <c r="A76" s="10"/>
      <c r="B76" s="10">
        <v>14</v>
      </c>
      <c r="C76" s="10"/>
      <c r="D76" s="10">
        <v>38</v>
      </c>
      <c r="E76" s="10">
        <f t="shared" si="2"/>
        <v>5.5</v>
      </c>
      <c r="F76" s="10">
        <f t="shared" si="3"/>
        <v>30.25</v>
      </c>
      <c r="G76" s="10"/>
      <c r="H76" s="10"/>
      <c r="I76" s="10"/>
      <c r="J76" s="10">
        <v>29</v>
      </c>
      <c r="K76" s="10">
        <f t="shared" si="4"/>
        <v>-3.5</v>
      </c>
      <c r="L76" s="10">
        <f t="shared" si="5"/>
        <v>12.25</v>
      </c>
      <c r="M76" s="10"/>
      <c r="N76" s="10"/>
      <c r="O76" s="10"/>
    </row>
    <row r="77" spans="1:15" ht="14.25" customHeight="1">
      <c r="A77" s="10"/>
      <c r="B77" s="10">
        <v>15</v>
      </c>
      <c r="C77" s="10"/>
      <c r="D77" s="10">
        <v>41</v>
      </c>
      <c r="E77" s="10">
        <f t="shared" si="2"/>
        <v>8.5</v>
      </c>
      <c r="F77" s="10">
        <f t="shared" si="3"/>
        <v>72.25</v>
      </c>
      <c r="G77" s="10"/>
      <c r="H77" s="10"/>
      <c r="I77" s="10"/>
      <c r="J77" s="10">
        <v>33</v>
      </c>
      <c r="K77" s="10">
        <f t="shared" si="4"/>
        <v>0.5</v>
      </c>
      <c r="L77" s="10">
        <f t="shared" si="5"/>
        <v>0.25</v>
      </c>
      <c r="M77" s="10"/>
      <c r="N77" s="10"/>
      <c r="O77" s="10"/>
    </row>
    <row r="78" spans="1:15" ht="14.25" customHeight="1">
      <c r="A78" s="10"/>
      <c r="B78" s="10">
        <v>16</v>
      </c>
      <c r="C78" s="10"/>
      <c r="D78" s="10">
        <v>43</v>
      </c>
      <c r="E78" s="10">
        <f t="shared" si="2"/>
        <v>10.5</v>
      </c>
      <c r="F78" s="10">
        <f t="shared" si="3"/>
        <v>110.25</v>
      </c>
      <c r="G78" s="10"/>
      <c r="H78" s="10"/>
      <c r="I78" s="10"/>
      <c r="J78" s="10">
        <v>42</v>
      </c>
      <c r="K78" s="10">
        <f t="shared" si="4"/>
        <v>9.5</v>
      </c>
      <c r="L78" s="10">
        <f t="shared" si="5"/>
        <v>90.25</v>
      </c>
      <c r="M78" s="10"/>
      <c r="N78" s="10"/>
      <c r="O78" s="10"/>
    </row>
    <row r="79" spans="1:15" ht="14.25" customHeight="1">
      <c r="A79" s="10"/>
      <c r="B79" s="10">
        <v>17</v>
      </c>
      <c r="C79" s="10"/>
      <c r="D79" s="10">
        <v>44</v>
      </c>
      <c r="E79" s="10">
        <f t="shared" si="2"/>
        <v>11.5</v>
      </c>
      <c r="F79" s="10">
        <f t="shared" si="3"/>
        <v>132.25</v>
      </c>
      <c r="G79" s="10"/>
      <c r="H79" s="10"/>
      <c r="I79" s="10"/>
      <c r="J79" s="10">
        <v>34</v>
      </c>
      <c r="K79" s="10">
        <f t="shared" si="4"/>
        <v>1.5</v>
      </c>
      <c r="L79" s="10">
        <f t="shared" si="5"/>
        <v>2.25</v>
      </c>
      <c r="M79" s="10"/>
      <c r="N79" s="10"/>
      <c r="O79" s="10"/>
    </row>
    <row r="80" spans="1:15" ht="14.25" customHeight="1">
      <c r="A80" s="10"/>
      <c r="B80" s="10">
        <v>18</v>
      </c>
      <c r="C80" s="10"/>
      <c r="D80" s="10">
        <v>46</v>
      </c>
      <c r="E80" s="10">
        <f t="shared" si="2"/>
        <v>13.5</v>
      </c>
      <c r="F80" s="10">
        <f t="shared" si="3"/>
        <v>182.25</v>
      </c>
      <c r="G80" s="10"/>
      <c r="H80" s="10"/>
      <c r="I80" s="10"/>
      <c r="J80" s="10">
        <v>33</v>
      </c>
      <c r="K80" s="10">
        <f t="shared" si="4"/>
        <v>0.5</v>
      </c>
      <c r="L80" s="10">
        <f t="shared" si="5"/>
        <v>0.25</v>
      </c>
      <c r="M80" s="10"/>
      <c r="N80" s="10"/>
      <c r="O80" s="10"/>
    </row>
    <row r="81" spans="1:15" ht="14.25" customHeight="1">
      <c r="A81" s="10"/>
      <c r="B81" s="10">
        <v>19</v>
      </c>
      <c r="C81" s="10"/>
      <c r="D81" s="10">
        <v>53</v>
      </c>
      <c r="E81" s="10">
        <f t="shared" si="2"/>
        <v>20.5</v>
      </c>
      <c r="F81" s="10">
        <f t="shared" si="3"/>
        <v>420.25</v>
      </c>
      <c r="G81" s="10"/>
      <c r="H81" s="10"/>
      <c r="I81" s="10"/>
      <c r="J81" s="10">
        <v>44</v>
      </c>
      <c r="K81" s="10">
        <f t="shared" si="4"/>
        <v>11.5</v>
      </c>
      <c r="L81" s="10">
        <f t="shared" si="5"/>
        <v>132.25</v>
      </c>
      <c r="M81" s="10"/>
      <c r="N81" s="10"/>
      <c r="O81" s="10"/>
    </row>
    <row r="82" spans="1:15" ht="14.25" customHeight="1">
      <c r="A82" s="10"/>
      <c r="B82" s="10">
        <v>20</v>
      </c>
      <c r="C82" s="10"/>
      <c r="D82" s="10">
        <v>60</v>
      </c>
      <c r="E82" s="10">
        <f t="shared" si="2"/>
        <v>27.5</v>
      </c>
      <c r="F82" s="10">
        <f t="shared" si="3"/>
        <v>756.25</v>
      </c>
      <c r="G82" s="10"/>
      <c r="H82" s="10"/>
      <c r="I82" s="10"/>
      <c r="J82" s="10">
        <v>21</v>
      </c>
      <c r="K82" s="10">
        <f t="shared" si="4"/>
        <v>-11.5</v>
      </c>
      <c r="L82" s="10">
        <f t="shared" si="5"/>
        <v>132.25</v>
      </c>
      <c r="M82" s="10"/>
      <c r="N82" s="10"/>
      <c r="O82" s="10"/>
    </row>
    <row r="83" spans="1:15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4.25" customHeight="1">
      <c r="A84" s="10"/>
      <c r="B84" s="10"/>
      <c r="C84" s="10"/>
      <c r="D84" s="10">
        <f>AVERAGE(D63:D82)</f>
        <v>32.5</v>
      </c>
      <c r="E84" s="10"/>
      <c r="F84" s="10">
        <f>SUM(F63:F82)</f>
        <v>3157</v>
      </c>
      <c r="G84" s="10"/>
      <c r="H84" s="10"/>
      <c r="I84" s="10"/>
      <c r="J84" s="10">
        <f>AVERAGE(J63:J82)</f>
        <v>32.5</v>
      </c>
      <c r="K84" s="10"/>
      <c r="L84" s="10">
        <f>SUM(L63:L82)</f>
        <v>3491</v>
      </c>
      <c r="M84" s="10"/>
      <c r="N84" s="10"/>
      <c r="O84" s="10"/>
    </row>
    <row r="85" spans="1:1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4.25" customHeight="1">
      <c r="A86" s="10"/>
      <c r="B86" s="10"/>
      <c r="C86" s="10"/>
      <c r="D86" s="10"/>
      <c r="E86" s="10"/>
      <c r="F86" s="10">
        <f>COUNT(D63:D82) - 1</f>
        <v>19</v>
      </c>
      <c r="G86" s="10"/>
      <c r="H86" s="10"/>
      <c r="I86" s="10"/>
      <c r="J86" s="10"/>
      <c r="K86" s="10"/>
      <c r="L86" s="10">
        <f>COUNT(J63:J82) - 1</f>
        <v>19</v>
      </c>
      <c r="M86" s="10"/>
      <c r="N86" s="10"/>
      <c r="O86" s="10"/>
    </row>
    <row r="87" spans="1:15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4.25" customHeight="1">
      <c r="A88" s="10"/>
      <c r="B88" s="10"/>
      <c r="C88" s="10"/>
      <c r="D88" s="10"/>
      <c r="E88" s="10"/>
      <c r="F88" s="10">
        <f>F84/F86</f>
        <v>166.15789473684211</v>
      </c>
      <c r="G88" s="10" t="s">
        <v>15</v>
      </c>
      <c r="H88" s="10"/>
      <c r="I88" s="10"/>
      <c r="J88" s="10"/>
      <c r="K88" s="10"/>
      <c r="L88" s="10">
        <f>L84/L86</f>
        <v>183.73684210526315</v>
      </c>
      <c r="M88" s="10" t="s">
        <v>15</v>
      </c>
      <c r="N88" s="10"/>
      <c r="O88" s="10"/>
    </row>
    <row r="89" spans="1:15" ht="14.25" customHeight="1">
      <c r="A89" s="10"/>
      <c r="B89" s="10"/>
      <c r="C89" s="10"/>
      <c r="D89" s="10"/>
      <c r="E89" s="10"/>
      <c r="F89" s="10">
        <f>SQRT(F88)</f>
        <v>12.890224774488694</v>
      </c>
      <c r="G89" s="10" t="s">
        <v>105</v>
      </c>
      <c r="H89" s="10"/>
      <c r="I89" s="10"/>
      <c r="J89" s="10"/>
      <c r="K89" s="10"/>
      <c r="L89" s="10">
        <f>SQRT(L88)</f>
        <v>13.554956366778285</v>
      </c>
      <c r="M89" s="10" t="s">
        <v>105</v>
      </c>
      <c r="N89" s="10"/>
      <c r="O89" s="10"/>
    </row>
    <row r="90" spans="1:15" ht="14.25" customHeight="1">
      <c r="A90" s="10"/>
      <c r="B90" s="10"/>
      <c r="C90" s="10"/>
      <c r="D90" s="10"/>
      <c r="E90" s="10"/>
      <c r="F90" s="10" t="s">
        <v>106</v>
      </c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4.25" customHeight="1">
      <c r="A92" s="10"/>
      <c r="B92" s="10"/>
      <c r="C92" s="10"/>
      <c r="D92" s="10" t="s">
        <v>107</v>
      </c>
      <c r="E92" s="10" t="s">
        <v>108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4.25" customHeight="1">
      <c r="A93" s="10"/>
      <c r="B93" s="10"/>
      <c r="C93" s="10" t="s">
        <v>109</v>
      </c>
      <c r="D93" s="10">
        <v>0.2</v>
      </c>
      <c r="E93" s="10">
        <v>0.08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4.25" customHeight="1">
      <c r="A94" s="10"/>
      <c r="B94" s="10"/>
      <c r="C94" s="10" t="s">
        <v>110</v>
      </c>
      <c r="D94" s="10">
        <v>0.08</v>
      </c>
      <c r="E94" s="10">
        <v>0.02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4.25" customHeight="1"/>
    <row r="96" spans="1:15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1" ht="14.25" customHeight="1">
      <c r="A97" s="10"/>
    </row>
    <row r="98" spans="1:11" ht="14.25" customHeight="1">
      <c r="A98" s="10"/>
    </row>
    <row r="99" spans="1:11" ht="14.25" customHeight="1">
      <c r="A99" s="10"/>
    </row>
    <row r="100" spans="1:11" ht="14.25" customHeight="1">
      <c r="A100" s="10"/>
    </row>
    <row r="101" spans="1:11" ht="14.25" customHeight="1">
      <c r="A101" s="10"/>
    </row>
    <row r="102" spans="1:11" ht="14.25" customHeight="1"/>
    <row r="103" spans="1:11" ht="14.25" customHeight="1"/>
    <row r="104" spans="1:11" ht="14.25" customHeight="1"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ht="14.25" customHeight="1"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ht="14.25" customHeight="1"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ht="14.2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ht="14.25" customHeight="1"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14.25" customHeight="1"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14.25" customHeight="1"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ht="14.25" customHeight="1"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ht="14.25" customHeight="1"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ht="14.25" customHeight="1"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ht="14.25" customHeight="1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ht="14.25" customHeight="1"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ht="14.25" customHeight="1"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25" customHeight="1"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ht="14.25" customHeight="1"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ht="14.25" customHeight="1">
      <c r="B120" s="10"/>
      <c r="C120" s="10"/>
      <c r="D120" s="10"/>
      <c r="E120" s="10"/>
      <c r="F120" s="10"/>
      <c r="G120" s="10"/>
      <c r="H120" s="10"/>
    </row>
    <row r="121" spans="1:11" ht="14.25" customHeight="1">
      <c r="A121" s="10"/>
      <c r="B121" s="10"/>
      <c r="C121" s="10"/>
      <c r="D121" s="10"/>
      <c r="E121" s="10"/>
      <c r="F121" s="10"/>
      <c r="G121" s="10"/>
      <c r="H121" s="10"/>
    </row>
    <row r="122" spans="1:11" ht="14.25" customHeight="1">
      <c r="B122" s="10"/>
      <c r="C122" s="10"/>
      <c r="D122" s="10"/>
      <c r="E122" s="10"/>
      <c r="F122" s="10"/>
      <c r="G122" s="10"/>
      <c r="H122" s="10"/>
    </row>
    <row r="123" spans="1:11" ht="14.25" customHeight="1">
      <c r="B123" s="10"/>
      <c r="C123" s="10"/>
      <c r="D123" s="10"/>
      <c r="E123" s="10"/>
      <c r="F123" s="10"/>
      <c r="G123" s="10"/>
      <c r="H123" s="10"/>
    </row>
    <row r="124" spans="1:11" ht="14.25" customHeight="1">
      <c r="B124" s="10"/>
      <c r="C124" s="10"/>
      <c r="D124" s="10"/>
      <c r="E124" s="10"/>
      <c r="F124" s="10"/>
      <c r="G124" s="10"/>
      <c r="H124" s="10"/>
    </row>
    <row r="125" spans="1:11" ht="14.25" customHeight="1">
      <c r="B125" s="10"/>
      <c r="C125" s="10"/>
      <c r="D125" s="10"/>
      <c r="E125" s="10"/>
      <c r="F125" s="10"/>
      <c r="G125" s="10"/>
      <c r="H125" s="10"/>
    </row>
    <row r="126" spans="1:11" ht="14.25" customHeight="1">
      <c r="B126" s="10"/>
      <c r="C126" s="10"/>
      <c r="D126" s="10"/>
      <c r="E126" s="10"/>
      <c r="F126" s="10"/>
      <c r="G126" s="10"/>
      <c r="H126" s="10"/>
    </row>
    <row r="127" spans="1:11" ht="14.25" customHeight="1">
      <c r="B127" s="10"/>
      <c r="C127" s="10"/>
      <c r="D127" s="10"/>
      <c r="E127" s="10"/>
      <c r="F127" s="10"/>
      <c r="G127" s="10"/>
      <c r="H127" s="10"/>
    </row>
    <row r="128" spans="1:11" ht="14.25" customHeight="1"/>
    <row r="129" spans="1:11" ht="14.25" customHeight="1"/>
    <row r="130" spans="1:11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ht="14.25" customHeight="1">
      <c r="I156" s="10"/>
      <c r="J156" s="10"/>
      <c r="K156" s="10"/>
    </row>
    <row r="157" spans="1:11" ht="14.25" customHeight="1">
      <c r="I157" s="10"/>
      <c r="J157" s="10"/>
      <c r="K157" s="10"/>
    </row>
    <row r="158" spans="1:11" ht="14.25" customHeight="1">
      <c r="I158" s="10"/>
      <c r="J158" s="10"/>
      <c r="K158" s="10"/>
    </row>
    <row r="159" spans="1:11" ht="14.25" customHeight="1">
      <c r="I159" s="10"/>
      <c r="J159" s="10"/>
      <c r="K159" s="10"/>
    </row>
    <row r="160" spans="1:11" ht="14.25" customHeight="1">
      <c r="I160" s="10"/>
      <c r="J160" s="10"/>
      <c r="K160" s="10"/>
    </row>
    <row r="161" spans="1:11" ht="14.25" customHeight="1"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ht="14.25" customHeight="1"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ht="14.25" customHeight="1"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ht="14.25" customHeight="1"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ht="14.25" customHeight="1"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ht="14.25" customHeight="1"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ht="14.25" customHeight="1"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ht="14.25" customHeight="1">
      <c r="A188" s="10"/>
      <c r="B188" s="10"/>
      <c r="C188" s="10"/>
    </row>
    <row r="189" spans="1:11" ht="14.25" customHeight="1">
      <c r="A189" s="10"/>
      <c r="B189" s="10"/>
      <c r="C189" s="10"/>
      <c r="D189" s="10"/>
      <c r="E189" s="10"/>
    </row>
    <row r="190" spans="1:11" ht="14.25" customHeight="1">
      <c r="A190" s="10"/>
      <c r="B190" s="10"/>
      <c r="C190" s="10"/>
    </row>
    <row r="191" spans="1:11" ht="14.25" customHeight="1">
      <c r="A191" s="10"/>
      <c r="B191" s="10"/>
      <c r="C191" s="10"/>
      <c r="D191" s="10"/>
      <c r="E191" s="10"/>
    </row>
    <row r="192" spans="1:11" ht="14.25" customHeight="1">
      <c r="A192" s="10"/>
      <c r="B192" s="10"/>
      <c r="C192" s="10"/>
      <c r="D192" s="10"/>
      <c r="E192" s="10"/>
    </row>
    <row r="193" spans="1:5" ht="14.25" customHeight="1">
      <c r="A193" s="10"/>
      <c r="B193" s="10"/>
      <c r="C193" s="10"/>
      <c r="D193" s="10"/>
      <c r="E193" s="10"/>
    </row>
    <row r="194" spans="1:5" ht="14.25" customHeight="1">
      <c r="A194" s="10"/>
      <c r="B194" s="10"/>
      <c r="C194" s="10"/>
      <c r="D194" s="10"/>
      <c r="E194" s="10"/>
    </row>
    <row r="195" spans="1:5" ht="14.25" customHeight="1">
      <c r="A195" s="10"/>
      <c r="B195" s="10"/>
      <c r="C195" s="10"/>
      <c r="D195" s="10"/>
      <c r="E195" s="10"/>
    </row>
    <row r="196" spans="1:5" ht="14.25" customHeight="1"/>
    <row r="197" spans="1:5" ht="14.25" customHeight="1"/>
    <row r="198" spans="1:5" ht="14.25" customHeight="1"/>
    <row r="199" spans="1:5" ht="14.25" customHeight="1"/>
    <row r="200" spans="1:5" ht="14.25" customHeight="1"/>
    <row r="201" spans="1:5" ht="14.25" customHeight="1"/>
    <row r="202" spans="1:5" ht="14.25" customHeight="1"/>
    <row r="203" spans="1:5" ht="14.25" customHeight="1"/>
    <row r="204" spans="1:5" ht="14.25" customHeight="1"/>
    <row r="205" spans="1:5" ht="14.25" customHeight="1"/>
    <row r="206" spans="1:5" ht="14.25" customHeight="1"/>
    <row r="207" spans="1:5" ht="14.25" customHeight="1"/>
    <row r="208" spans="1:5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14" ht="14.25" customHeight="1">
      <c r="A1" s="95" t="s">
        <v>111</v>
      </c>
      <c r="B1" s="96"/>
      <c r="C1" s="96"/>
      <c r="D1" s="96"/>
      <c r="E1" s="96"/>
      <c r="F1" s="96"/>
      <c r="G1" s="96"/>
      <c r="H1" s="96"/>
      <c r="K1" s="2" t="s">
        <v>1</v>
      </c>
      <c r="L1" s="2">
        <f>AVERAGE(A2:H21)</f>
        <v>43.413333333333334</v>
      </c>
    </row>
    <row r="2" spans="1:14" ht="14.25" customHeight="1">
      <c r="A2" s="15">
        <v>0</v>
      </c>
      <c r="B2" s="15">
        <v>2</v>
      </c>
      <c r="C2" s="15">
        <v>10</v>
      </c>
      <c r="D2" s="15">
        <v>22</v>
      </c>
      <c r="E2" s="15">
        <v>33</v>
      </c>
      <c r="F2" s="15">
        <v>57</v>
      </c>
      <c r="G2" s="15">
        <v>82</v>
      </c>
      <c r="H2" s="15">
        <v>115</v>
      </c>
    </row>
    <row r="3" spans="1:14" ht="14.25" customHeight="1">
      <c r="A3" s="15">
        <v>0</v>
      </c>
      <c r="B3" s="15">
        <v>2</v>
      </c>
      <c r="C3" s="15">
        <v>10</v>
      </c>
      <c r="D3" s="15">
        <v>22</v>
      </c>
      <c r="E3" s="15">
        <v>34</v>
      </c>
      <c r="F3" s="15">
        <v>58</v>
      </c>
      <c r="G3" s="15">
        <v>82</v>
      </c>
      <c r="H3" s="15">
        <v>117</v>
      </c>
      <c r="M3" s="16" t="s">
        <v>112</v>
      </c>
      <c r="N3" s="16" t="s">
        <v>59</v>
      </c>
    </row>
    <row r="4" spans="1:14" ht="14.25" customHeight="1">
      <c r="A4" s="15">
        <v>0</v>
      </c>
      <c r="B4" s="15">
        <v>2</v>
      </c>
      <c r="C4" s="15">
        <v>11</v>
      </c>
      <c r="D4" s="15">
        <v>22</v>
      </c>
      <c r="E4" s="15">
        <v>35</v>
      </c>
      <c r="F4" s="15">
        <v>59</v>
      </c>
      <c r="G4" s="15">
        <v>86</v>
      </c>
      <c r="H4" s="15">
        <v>118</v>
      </c>
      <c r="K4" s="15">
        <v>0</v>
      </c>
      <c r="M4" s="2">
        <v>0</v>
      </c>
      <c r="N4" s="2">
        <v>10</v>
      </c>
    </row>
    <row r="5" spans="1:14" ht="14.25" customHeight="1">
      <c r="A5" s="15">
        <v>0</v>
      </c>
      <c r="B5" s="15">
        <v>2</v>
      </c>
      <c r="C5" s="15">
        <v>11</v>
      </c>
      <c r="D5" s="15">
        <v>23</v>
      </c>
      <c r="E5" s="15">
        <v>35</v>
      </c>
      <c r="F5" s="15">
        <v>61</v>
      </c>
      <c r="G5" s="15">
        <v>86</v>
      </c>
      <c r="H5" s="15">
        <v>123</v>
      </c>
      <c r="K5" s="15">
        <v>20</v>
      </c>
      <c r="M5" s="2">
        <v>20</v>
      </c>
      <c r="N5" s="2">
        <v>47</v>
      </c>
    </row>
    <row r="6" spans="1:14" ht="14.25" customHeight="1">
      <c r="A6" s="15">
        <v>0</v>
      </c>
      <c r="B6" s="15">
        <v>3</v>
      </c>
      <c r="C6" s="15">
        <v>12</v>
      </c>
      <c r="D6" s="15">
        <v>23</v>
      </c>
      <c r="E6" s="15">
        <v>37</v>
      </c>
      <c r="F6" s="15">
        <v>62</v>
      </c>
      <c r="G6" s="15">
        <v>87</v>
      </c>
      <c r="H6" s="15">
        <v>127</v>
      </c>
      <c r="K6" s="15">
        <v>40</v>
      </c>
      <c r="M6" s="2">
        <v>40</v>
      </c>
      <c r="N6" s="2">
        <v>33</v>
      </c>
    </row>
    <row r="7" spans="1:14" ht="14.25" customHeight="1">
      <c r="A7" s="15">
        <v>0</v>
      </c>
      <c r="B7" s="15">
        <v>3</v>
      </c>
      <c r="C7" s="15">
        <v>12</v>
      </c>
      <c r="D7" s="15">
        <v>23</v>
      </c>
      <c r="E7" s="15">
        <v>37</v>
      </c>
      <c r="F7" s="15">
        <v>63</v>
      </c>
      <c r="G7" s="15">
        <v>91</v>
      </c>
      <c r="H7" s="15">
        <v>128</v>
      </c>
      <c r="K7" s="15">
        <v>60</v>
      </c>
      <c r="M7" s="2">
        <v>60</v>
      </c>
      <c r="N7" s="2">
        <v>13</v>
      </c>
    </row>
    <row r="8" spans="1:14" ht="14.25" customHeight="1">
      <c r="A8" s="15">
        <v>0</v>
      </c>
      <c r="B8" s="15">
        <v>3</v>
      </c>
      <c r="C8" s="15">
        <v>13</v>
      </c>
      <c r="D8" s="15">
        <v>24</v>
      </c>
      <c r="E8" s="15">
        <v>37</v>
      </c>
      <c r="F8" s="15">
        <v>64</v>
      </c>
      <c r="G8" s="15">
        <v>94</v>
      </c>
      <c r="H8" s="15">
        <v>133</v>
      </c>
      <c r="K8" s="15">
        <v>80</v>
      </c>
      <c r="M8" s="2">
        <v>80</v>
      </c>
      <c r="N8" s="2">
        <v>16</v>
      </c>
    </row>
    <row r="9" spans="1:14" ht="14.25" customHeight="1">
      <c r="A9" s="15">
        <v>0</v>
      </c>
      <c r="B9" s="15">
        <v>4</v>
      </c>
      <c r="C9" s="15">
        <v>14</v>
      </c>
      <c r="D9" s="15">
        <v>25</v>
      </c>
      <c r="E9" s="15">
        <v>38</v>
      </c>
      <c r="F9" s="15">
        <v>66</v>
      </c>
      <c r="G9" s="15">
        <v>99</v>
      </c>
      <c r="H9" s="15">
        <v>136</v>
      </c>
      <c r="K9" s="15">
        <v>100</v>
      </c>
      <c r="M9" s="2">
        <v>100</v>
      </c>
      <c r="N9" s="2">
        <v>11</v>
      </c>
    </row>
    <row r="10" spans="1:14" ht="14.25" customHeight="1">
      <c r="A10" s="15">
        <v>0</v>
      </c>
      <c r="B10" s="15">
        <v>5</v>
      </c>
      <c r="C10" s="15">
        <v>15</v>
      </c>
      <c r="D10" s="15">
        <v>26</v>
      </c>
      <c r="E10" s="15">
        <v>38</v>
      </c>
      <c r="F10" s="15">
        <v>66</v>
      </c>
      <c r="G10" s="15">
        <v>100</v>
      </c>
      <c r="H10" s="15">
        <v>139</v>
      </c>
      <c r="K10" s="15">
        <v>120</v>
      </c>
      <c r="M10" s="2">
        <v>120</v>
      </c>
      <c r="N10" s="2">
        <v>13</v>
      </c>
    </row>
    <row r="11" spans="1:14" ht="14.25" customHeight="1">
      <c r="A11" s="15">
        <v>0</v>
      </c>
      <c r="B11" s="15">
        <v>6</v>
      </c>
      <c r="C11" s="15">
        <v>15</v>
      </c>
      <c r="D11" s="15">
        <v>27</v>
      </c>
      <c r="E11" s="15">
        <v>40</v>
      </c>
      <c r="F11" s="15">
        <v>66</v>
      </c>
      <c r="G11" s="15">
        <v>100</v>
      </c>
      <c r="H11" s="15">
        <v>183</v>
      </c>
      <c r="K11" s="15">
        <v>140</v>
      </c>
      <c r="M11" s="2">
        <v>140</v>
      </c>
      <c r="N11" s="2">
        <v>6</v>
      </c>
    </row>
    <row r="12" spans="1:14" ht="14.25" customHeight="1">
      <c r="A12" s="15">
        <v>1</v>
      </c>
      <c r="B12" s="15">
        <v>6</v>
      </c>
      <c r="C12" s="15">
        <v>16</v>
      </c>
      <c r="D12" s="15">
        <v>28</v>
      </c>
      <c r="E12" s="15">
        <v>43</v>
      </c>
      <c r="F12" s="15">
        <v>68</v>
      </c>
      <c r="G12" s="15">
        <v>102</v>
      </c>
      <c r="H12" s="15"/>
      <c r="K12" s="15">
        <v>160</v>
      </c>
      <c r="M12" s="2">
        <v>160</v>
      </c>
      <c r="N12" s="2">
        <v>0</v>
      </c>
    </row>
    <row r="13" spans="1:14" ht="14.25" customHeight="1">
      <c r="A13" s="15">
        <v>1</v>
      </c>
      <c r="B13" s="15">
        <v>7</v>
      </c>
      <c r="C13" s="15">
        <v>16</v>
      </c>
      <c r="D13" s="15">
        <v>28</v>
      </c>
      <c r="E13" s="15">
        <v>44</v>
      </c>
      <c r="F13" s="15">
        <v>68</v>
      </c>
      <c r="G13" s="15">
        <v>102</v>
      </c>
      <c r="H13" s="15"/>
      <c r="K13" s="15">
        <v>180</v>
      </c>
      <c r="M13" s="2">
        <v>180</v>
      </c>
      <c r="N13" s="2">
        <v>0</v>
      </c>
    </row>
    <row r="14" spans="1:14" ht="14.25" customHeight="1">
      <c r="A14" s="15">
        <v>1</v>
      </c>
      <c r="B14" s="15">
        <v>7</v>
      </c>
      <c r="C14" s="15">
        <v>18</v>
      </c>
      <c r="D14" s="15">
        <v>30</v>
      </c>
      <c r="E14" s="15">
        <v>46</v>
      </c>
      <c r="F14" s="15">
        <v>68</v>
      </c>
      <c r="G14" s="15">
        <v>105</v>
      </c>
      <c r="H14" s="15"/>
      <c r="K14" s="15">
        <v>200</v>
      </c>
      <c r="M14" s="2">
        <v>200</v>
      </c>
      <c r="N14" s="2">
        <v>1</v>
      </c>
    </row>
    <row r="15" spans="1:14" ht="14.25" customHeight="1">
      <c r="A15" s="15">
        <v>1</v>
      </c>
      <c r="B15" s="15">
        <v>8</v>
      </c>
      <c r="C15" s="15">
        <v>18</v>
      </c>
      <c r="D15" s="15">
        <v>31</v>
      </c>
      <c r="E15" s="15">
        <v>48</v>
      </c>
      <c r="F15" s="15">
        <v>71</v>
      </c>
      <c r="G15" s="15">
        <v>106</v>
      </c>
      <c r="H15" s="15"/>
      <c r="M15" s="17" t="s">
        <v>113</v>
      </c>
      <c r="N15" s="17">
        <v>0</v>
      </c>
    </row>
    <row r="16" spans="1:14" ht="14.25" customHeight="1">
      <c r="A16" s="15">
        <v>1</v>
      </c>
      <c r="B16" s="15">
        <v>8</v>
      </c>
      <c r="C16" s="15">
        <v>18</v>
      </c>
      <c r="D16" s="15">
        <v>31</v>
      </c>
      <c r="E16" s="15">
        <v>49</v>
      </c>
      <c r="F16" s="15">
        <v>77</v>
      </c>
      <c r="G16" s="15">
        <v>107</v>
      </c>
      <c r="H16" s="15"/>
    </row>
    <row r="17" spans="1:15" ht="14.25" customHeight="1">
      <c r="A17" s="15">
        <v>2</v>
      </c>
      <c r="B17" s="15">
        <v>8</v>
      </c>
      <c r="C17" s="15">
        <v>19</v>
      </c>
      <c r="D17" s="15">
        <v>31</v>
      </c>
      <c r="E17" s="15">
        <v>53</v>
      </c>
      <c r="F17" s="15">
        <v>77</v>
      </c>
      <c r="G17" s="15">
        <v>107</v>
      </c>
      <c r="H17" s="15"/>
    </row>
    <row r="18" spans="1:15" ht="14.25" customHeight="1">
      <c r="A18" s="15">
        <v>2</v>
      </c>
      <c r="B18" s="15">
        <v>9</v>
      </c>
      <c r="C18" s="15">
        <v>20</v>
      </c>
      <c r="D18" s="15">
        <v>31</v>
      </c>
      <c r="E18" s="15">
        <v>54</v>
      </c>
      <c r="F18" s="15">
        <v>78</v>
      </c>
      <c r="G18" s="15">
        <v>107</v>
      </c>
      <c r="H18" s="15"/>
      <c r="K18" s="2">
        <v>0</v>
      </c>
      <c r="N18" s="16" t="s">
        <v>112</v>
      </c>
      <c r="O18" s="16" t="s">
        <v>59</v>
      </c>
    </row>
    <row r="19" spans="1:15" ht="14.25" customHeight="1">
      <c r="A19" s="15">
        <v>2</v>
      </c>
      <c r="B19" s="15">
        <v>9</v>
      </c>
      <c r="C19" s="15">
        <v>21</v>
      </c>
      <c r="D19" s="15">
        <v>31</v>
      </c>
      <c r="E19" s="15">
        <v>54</v>
      </c>
      <c r="F19" s="15">
        <v>79</v>
      </c>
      <c r="G19" s="15">
        <v>108</v>
      </c>
      <c r="H19" s="15"/>
      <c r="K19" s="2">
        <v>10</v>
      </c>
      <c r="N19" s="2">
        <v>0</v>
      </c>
      <c r="O19" s="2">
        <v>10</v>
      </c>
    </row>
    <row r="20" spans="1:15" ht="14.25" customHeight="1">
      <c r="A20" s="15">
        <v>2</v>
      </c>
      <c r="B20" s="15">
        <v>9</v>
      </c>
      <c r="C20" s="15">
        <v>22</v>
      </c>
      <c r="D20" s="15">
        <v>31</v>
      </c>
      <c r="E20" s="15">
        <v>54</v>
      </c>
      <c r="F20" s="15">
        <v>80</v>
      </c>
      <c r="G20" s="15">
        <v>112</v>
      </c>
      <c r="H20" s="15"/>
      <c r="K20" s="2">
        <v>20</v>
      </c>
      <c r="N20" s="2">
        <v>10</v>
      </c>
      <c r="O20" s="2">
        <v>32</v>
      </c>
    </row>
    <row r="21" spans="1:15" ht="14.25" customHeight="1">
      <c r="A21" s="15">
        <v>2</v>
      </c>
      <c r="B21" s="15">
        <v>9</v>
      </c>
      <c r="C21" s="15">
        <v>22</v>
      </c>
      <c r="D21" s="15">
        <v>33</v>
      </c>
      <c r="E21" s="15">
        <v>55</v>
      </c>
      <c r="F21" s="15">
        <v>81</v>
      </c>
      <c r="G21" s="15">
        <v>115</v>
      </c>
      <c r="H21" s="15"/>
      <c r="K21" s="2">
        <v>30</v>
      </c>
      <c r="N21" s="2">
        <v>20</v>
      </c>
      <c r="O21" s="2">
        <v>15</v>
      </c>
    </row>
    <row r="22" spans="1:15" ht="14.25" customHeight="1">
      <c r="K22" s="2">
        <v>40</v>
      </c>
      <c r="N22" s="2">
        <v>30</v>
      </c>
      <c r="O22" s="2">
        <v>16</v>
      </c>
    </row>
    <row r="23" spans="1:15" ht="14.25" customHeight="1">
      <c r="K23" s="2">
        <v>50</v>
      </c>
      <c r="N23" s="2">
        <v>40</v>
      </c>
      <c r="O23" s="2">
        <v>17</v>
      </c>
    </row>
    <row r="24" spans="1:15" ht="14.25" customHeight="1">
      <c r="K24" s="2">
        <v>60</v>
      </c>
      <c r="N24" s="2">
        <v>50</v>
      </c>
      <c r="O24" s="2">
        <v>5</v>
      </c>
    </row>
    <row r="25" spans="1:15" ht="14.25" customHeight="1">
      <c r="K25" s="2">
        <v>70</v>
      </c>
      <c r="N25" s="2">
        <v>60</v>
      </c>
      <c r="O25" s="2">
        <v>8</v>
      </c>
    </row>
    <row r="26" spans="1:15" ht="14.25" customHeight="1">
      <c r="K26" s="2">
        <v>80</v>
      </c>
      <c r="N26" s="2">
        <v>70</v>
      </c>
      <c r="O26" s="2">
        <v>10</v>
      </c>
    </row>
    <row r="27" spans="1:15" ht="14.25" customHeight="1">
      <c r="K27" s="2">
        <v>90</v>
      </c>
      <c r="N27" s="2">
        <v>80</v>
      </c>
      <c r="O27" s="2">
        <v>6</v>
      </c>
    </row>
    <row r="28" spans="1:15" ht="14.25" customHeight="1">
      <c r="K28" s="2">
        <v>100</v>
      </c>
      <c r="N28" s="2">
        <v>90</v>
      </c>
      <c r="O28" s="2">
        <v>6</v>
      </c>
    </row>
    <row r="29" spans="1:15" ht="14.25" customHeight="1">
      <c r="K29" s="2">
        <v>110</v>
      </c>
      <c r="N29" s="2">
        <v>100</v>
      </c>
      <c r="O29" s="2">
        <v>5</v>
      </c>
    </row>
    <row r="30" spans="1:15" ht="14.25" customHeight="1">
      <c r="K30" s="2">
        <v>120</v>
      </c>
      <c r="N30" s="2">
        <v>110</v>
      </c>
      <c r="O30" s="2">
        <v>8</v>
      </c>
    </row>
    <row r="31" spans="1:15" ht="14.25" customHeight="1">
      <c r="K31" s="2">
        <v>130</v>
      </c>
      <c r="N31" s="2">
        <v>120</v>
      </c>
      <c r="O31" s="2">
        <v>5</v>
      </c>
    </row>
    <row r="32" spans="1:15" ht="14.25" customHeight="1">
      <c r="K32" s="2">
        <v>140</v>
      </c>
      <c r="N32" s="2">
        <v>130</v>
      </c>
      <c r="O32" s="2">
        <v>3</v>
      </c>
    </row>
    <row r="33" spans="11:15" ht="14.25" customHeight="1">
      <c r="K33" s="2">
        <v>150</v>
      </c>
      <c r="N33" s="2">
        <v>140</v>
      </c>
      <c r="O33" s="2">
        <v>3</v>
      </c>
    </row>
    <row r="34" spans="11:15" ht="14.25" customHeight="1">
      <c r="K34" s="2">
        <v>160</v>
      </c>
      <c r="N34" s="2">
        <v>150</v>
      </c>
      <c r="O34" s="2">
        <v>0</v>
      </c>
    </row>
    <row r="35" spans="11:15" ht="14.25" customHeight="1">
      <c r="K35" s="2">
        <v>170</v>
      </c>
      <c r="N35" s="2">
        <v>160</v>
      </c>
      <c r="O35" s="2">
        <v>0</v>
      </c>
    </row>
    <row r="36" spans="11:15" ht="14.25" customHeight="1">
      <c r="K36" s="2">
        <v>180</v>
      </c>
      <c r="N36" s="2">
        <v>170</v>
      </c>
      <c r="O36" s="2">
        <v>0</v>
      </c>
    </row>
    <row r="37" spans="11:15" ht="14.25" customHeight="1">
      <c r="K37" s="2">
        <v>190</v>
      </c>
      <c r="N37" s="2">
        <v>180</v>
      </c>
      <c r="O37" s="2">
        <v>0</v>
      </c>
    </row>
    <row r="38" spans="11:15" ht="14.25" customHeight="1">
      <c r="N38" s="2">
        <v>190</v>
      </c>
      <c r="O38" s="2">
        <v>1</v>
      </c>
    </row>
    <row r="39" spans="11:15" ht="14.25" customHeight="1">
      <c r="N39" s="17" t="s">
        <v>113</v>
      </c>
      <c r="O39" s="17">
        <v>0</v>
      </c>
    </row>
    <row r="40" spans="11:15" ht="14.25" customHeight="1"/>
    <row r="41" spans="11:15" ht="14.25" customHeight="1"/>
    <row r="42" spans="11:15" ht="14.25" customHeight="1"/>
    <row r="43" spans="11:15" ht="14.25" customHeight="1"/>
    <row r="44" spans="11:15" ht="14.25" customHeight="1"/>
    <row r="45" spans="11:15" ht="14.25" customHeight="1"/>
    <row r="46" spans="11:15" ht="14.25" customHeight="1"/>
    <row r="47" spans="11:15" ht="14.25" customHeight="1"/>
    <row r="48" spans="1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/>
  </sheetViews>
  <sheetFormatPr defaultColWidth="14.44140625" defaultRowHeight="15" customHeight="1"/>
  <cols>
    <col min="1" max="9" width="8.6640625" customWidth="1"/>
    <col min="10" max="10" width="17.6640625" customWidth="1"/>
    <col min="11" max="11" width="12.6640625" customWidth="1"/>
    <col min="12" max="12" width="52.33203125" customWidth="1"/>
    <col min="13" max="26" width="8.6640625" customWidth="1"/>
  </cols>
  <sheetData>
    <row r="1" spans="1:12" ht="14.25" customHeight="1">
      <c r="A1" s="2" t="s">
        <v>111</v>
      </c>
      <c r="K1" s="18"/>
      <c r="L1" s="19"/>
    </row>
    <row r="2" spans="1:12" ht="14.25" customHeight="1">
      <c r="A2" s="2">
        <v>0</v>
      </c>
      <c r="B2" s="2">
        <v>2</v>
      </c>
      <c r="C2" s="2">
        <v>10</v>
      </c>
      <c r="D2" s="2">
        <v>22</v>
      </c>
      <c r="E2" s="2">
        <v>33</v>
      </c>
      <c r="F2" s="2">
        <v>57</v>
      </c>
      <c r="G2" s="2">
        <v>82</v>
      </c>
      <c r="H2" s="2">
        <v>115</v>
      </c>
      <c r="J2" s="2" t="s">
        <v>1</v>
      </c>
      <c r="K2" s="20">
        <f>AVERAGE(A2:H21)</f>
        <v>43.413333333333334</v>
      </c>
      <c r="L2" s="18" t="e">
        <f t="shared" ref="L2:L3" ca="1" si="0">_xludf.FORMULATEXT(K2)</f>
        <v>#NAME?</v>
      </c>
    </row>
    <row r="3" spans="1:12" ht="14.25" customHeight="1">
      <c r="A3" s="2">
        <v>0</v>
      </c>
      <c r="B3" s="2">
        <v>2</v>
      </c>
      <c r="C3" s="2">
        <v>10</v>
      </c>
      <c r="D3" s="2">
        <v>22</v>
      </c>
      <c r="E3" s="2">
        <v>34</v>
      </c>
      <c r="F3" s="2">
        <v>58</v>
      </c>
      <c r="G3" s="2">
        <v>82</v>
      </c>
      <c r="H3" s="2">
        <v>117</v>
      </c>
      <c r="J3" s="2" t="s">
        <v>17</v>
      </c>
      <c r="K3" s="20">
        <f>STDEV(A2:H21)</f>
        <v>40.684773905485727</v>
      </c>
      <c r="L3" s="18" t="e">
        <f t="shared" ca="1" si="0"/>
        <v>#NAME?</v>
      </c>
    </row>
    <row r="4" spans="1:12" ht="14.25" customHeight="1">
      <c r="A4" s="2">
        <v>0</v>
      </c>
      <c r="B4" s="2">
        <v>2</v>
      </c>
      <c r="C4" s="2">
        <v>11</v>
      </c>
      <c r="D4" s="2">
        <v>22</v>
      </c>
      <c r="E4" s="2">
        <v>35</v>
      </c>
      <c r="F4" s="2">
        <v>59</v>
      </c>
      <c r="G4" s="2">
        <v>86</v>
      </c>
      <c r="H4" s="2">
        <v>118</v>
      </c>
      <c r="K4" s="18"/>
      <c r="L4" s="18"/>
    </row>
    <row r="5" spans="1:12" ht="14.25" customHeight="1">
      <c r="A5" s="2">
        <v>0</v>
      </c>
      <c r="B5" s="2">
        <v>2</v>
      </c>
      <c r="C5" s="2">
        <v>11</v>
      </c>
      <c r="D5" s="2">
        <v>23</v>
      </c>
      <c r="E5" s="2">
        <v>35</v>
      </c>
      <c r="F5" s="2">
        <v>61</v>
      </c>
      <c r="G5" s="2">
        <v>86</v>
      </c>
      <c r="H5" s="2">
        <v>123</v>
      </c>
      <c r="J5" s="2" t="s">
        <v>114</v>
      </c>
      <c r="K5" s="18"/>
      <c r="L5" s="18"/>
    </row>
    <row r="6" spans="1:12" ht="14.25" customHeight="1">
      <c r="A6" s="2">
        <v>0</v>
      </c>
      <c r="B6" s="2">
        <v>3</v>
      </c>
      <c r="C6" s="2">
        <v>12</v>
      </c>
      <c r="D6" s="2">
        <v>23</v>
      </c>
      <c r="E6" s="2">
        <v>37</v>
      </c>
      <c r="F6" s="2">
        <v>62</v>
      </c>
      <c r="G6" s="2">
        <v>87</v>
      </c>
      <c r="H6" s="2">
        <v>127</v>
      </c>
      <c r="J6" s="2" t="s">
        <v>115</v>
      </c>
      <c r="K6" s="18"/>
      <c r="L6" s="18"/>
    </row>
    <row r="7" spans="1:12" ht="14.25" customHeight="1">
      <c r="A7" s="2">
        <v>0</v>
      </c>
      <c r="B7" s="2">
        <v>3</v>
      </c>
      <c r="C7" s="2">
        <v>12</v>
      </c>
      <c r="D7" s="2">
        <v>23</v>
      </c>
      <c r="E7" s="2">
        <v>37</v>
      </c>
      <c r="F7" s="2">
        <v>63</v>
      </c>
      <c r="G7" s="2">
        <v>91</v>
      </c>
      <c r="H7" s="2">
        <v>128</v>
      </c>
      <c r="J7" s="2" t="s">
        <v>116</v>
      </c>
      <c r="K7" s="20">
        <f>K2-(1*K3)</f>
        <v>2.7285594278476069</v>
      </c>
      <c r="L7" s="18" t="e">
        <f ca="1">_xludf.FORMULATEXT(K7)</f>
        <v>#NAME?</v>
      </c>
    </row>
    <row r="8" spans="1:12" ht="14.25" customHeight="1">
      <c r="A8" s="2">
        <v>0</v>
      </c>
      <c r="B8" s="2">
        <v>3</v>
      </c>
      <c r="C8" s="2">
        <v>13</v>
      </c>
      <c r="D8" s="2">
        <v>24</v>
      </c>
      <c r="E8" s="2">
        <v>37</v>
      </c>
      <c r="F8" s="2">
        <v>64</v>
      </c>
      <c r="G8" s="2">
        <v>94</v>
      </c>
      <c r="H8" s="2">
        <v>133</v>
      </c>
      <c r="K8" s="18"/>
      <c r="L8" s="18"/>
    </row>
    <row r="9" spans="1:12" ht="14.25" customHeight="1">
      <c r="A9" s="2">
        <v>0</v>
      </c>
      <c r="B9" s="2">
        <v>4</v>
      </c>
      <c r="C9" s="2">
        <v>14</v>
      </c>
      <c r="D9" s="2">
        <v>25</v>
      </c>
      <c r="E9" s="2">
        <v>38</v>
      </c>
      <c r="F9" s="2">
        <v>66</v>
      </c>
      <c r="G9" s="2">
        <v>99</v>
      </c>
      <c r="H9" s="2">
        <v>136</v>
      </c>
      <c r="J9" s="2" t="s">
        <v>117</v>
      </c>
      <c r="K9" s="20">
        <f>K2+(1*K3)</f>
        <v>84.098107238819068</v>
      </c>
      <c r="L9" s="18" t="e">
        <f ca="1">_xludf.FORMULATEXT(K9)</f>
        <v>#NAME?</v>
      </c>
    </row>
    <row r="10" spans="1:12" ht="14.25" customHeight="1">
      <c r="A10" s="2">
        <v>0</v>
      </c>
      <c r="B10" s="2">
        <v>5</v>
      </c>
      <c r="C10" s="2">
        <v>15</v>
      </c>
      <c r="D10" s="2">
        <v>26</v>
      </c>
      <c r="E10" s="2">
        <v>38</v>
      </c>
      <c r="F10" s="2">
        <v>66</v>
      </c>
      <c r="G10" s="2">
        <v>100</v>
      </c>
      <c r="H10" s="2">
        <v>139</v>
      </c>
      <c r="K10" s="18"/>
      <c r="L10" s="18"/>
    </row>
    <row r="11" spans="1:12" ht="14.25" customHeight="1">
      <c r="A11" s="2">
        <v>0</v>
      </c>
      <c r="B11" s="2">
        <v>6</v>
      </c>
      <c r="C11" s="2">
        <v>15</v>
      </c>
      <c r="D11" s="2">
        <v>27</v>
      </c>
      <c r="E11" s="2">
        <v>40</v>
      </c>
      <c r="F11" s="2">
        <v>66</v>
      </c>
      <c r="G11" s="2">
        <v>100</v>
      </c>
      <c r="H11" s="2">
        <v>183</v>
      </c>
      <c r="J11" s="2" t="s">
        <v>118</v>
      </c>
      <c r="K11" s="20">
        <f>COUNTIFS(A2:H21,"&gt;=2.73",A2:H21,"&lt;=84.10")</f>
        <v>98</v>
      </c>
      <c r="L11" s="18" t="e">
        <f ca="1">_xludf.FORMULATEXT(K11)</f>
        <v>#NAME?</v>
      </c>
    </row>
    <row r="12" spans="1:12" ht="14.25" customHeight="1">
      <c r="A12" s="2">
        <v>1</v>
      </c>
      <c r="B12" s="2">
        <v>6</v>
      </c>
      <c r="C12" s="2">
        <v>16</v>
      </c>
      <c r="D12" s="2">
        <v>28</v>
      </c>
      <c r="E12" s="2">
        <v>43</v>
      </c>
      <c r="F12" s="2">
        <v>68</v>
      </c>
      <c r="G12" s="2">
        <v>102</v>
      </c>
      <c r="K12" s="18"/>
      <c r="L12" s="18"/>
    </row>
    <row r="13" spans="1:12" ht="14.25" customHeight="1">
      <c r="A13" s="2">
        <v>1</v>
      </c>
      <c r="B13" s="2">
        <v>7</v>
      </c>
      <c r="C13" s="2">
        <v>16</v>
      </c>
      <c r="D13" s="2">
        <v>28</v>
      </c>
      <c r="E13" s="2">
        <v>44</v>
      </c>
      <c r="F13" s="2">
        <v>68</v>
      </c>
      <c r="G13" s="2">
        <v>102</v>
      </c>
      <c r="J13" s="2" t="s">
        <v>119</v>
      </c>
      <c r="K13" s="20">
        <f>(K11/COUNT(A2:H21))*100</f>
        <v>65.333333333333329</v>
      </c>
      <c r="L13" s="18" t="e">
        <f ca="1">_xludf.FORMULATEXT(K13)</f>
        <v>#NAME?</v>
      </c>
    </row>
    <row r="14" spans="1:12" ht="14.25" customHeight="1">
      <c r="A14" s="2">
        <v>1</v>
      </c>
      <c r="B14" s="2">
        <v>7</v>
      </c>
      <c r="C14" s="2">
        <v>18</v>
      </c>
      <c r="D14" s="2">
        <v>30</v>
      </c>
      <c r="E14" s="2">
        <v>46</v>
      </c>
      <c r="F14" s="2">
        <v>68</v>
      </c>
      <c r="G14" s="2">
        <v>105</v>
      </c>
      <c r="K14" s="18"/>
      <c r="L14" s="18"/>
    </row>
    <row r="15" spans="1:12" ht="14.25" customHeight="1">
      <c r="A15" s="2">
        <v>1</v>
      </c>
      <c r="B15" s="2">
        <v>8</v>
      </c>
      <c r="C15" s="2">
        <v>18</v>
      </c>
      <c r="D15" s="2">
        <v>31</v>
      </c>
      <c r="E15" s="2">
        <v>48</v>
      </c>
      <c r="F15" s="2">
        <v>71</v>
      </c>
      <c r="G15" s="2">
        <v>106</v>
      </c>
      <c r="K15" s="18"/>
      <c r="L15" s="18"/>
    </row>
    <row r="16" spans="1:12" ht="14.25" customHeight="1">
      <c r="A16" s="2">
        <v>1</v>
      </c>
      <c r="B16" s="2">
        <v>8</v>
      </c>
      <c r="C16" s="2">
        <v>18</v>
      </c>
      <c r="D16" s="2">
        <v>31</v>
      </c>
      <c r="E16" s="2">
        <v>49</v>
      </c>
      <c r="F16" s="2">
        <v>77</v>
      </c>
      <c r="G16" s="2">
        <v>107</v>
      </c>
      <c r="J16" s="2" t="s">
        <v>120</v>
      </c>
      <c r="K16" s="18"/>
      <c r="L16" s="18"/>
    </row>
    <row r="17" spans="1:12" ht="14.25" customHeight="1">
      <c r="A17" s="2">
        <v>2</v>
      </c>
      <c r="B17" s="2">
        <v>8</v>
      </c>
      <c r="C17" s="2">
        <v>19</v>
      </c>
      <c r="D17" s="2">
        <v>31</v>
      </c>
      <c r="E17" s="2">
        <v>53</v>
      </c>
      <c r="F17" s="2">
        <v>77</v>
      </c>
      <c r="G17" s="2">
        <v>107</v>
      </c>
      <c r="J17" s="2" t="s">
        <v>121</v>
      </c>
      <c r="K17" s="18"/>
      <c r="L17" s="18"/>
    </row>
    <row r="18" spans="1:12" ht="14.25" customHeight="1">
      <c r="A18" s="2">
        <v>2</v>
      </c>
      <c r="B18" s="2">
        <v>9</v>
      </c>
      <c r="C18" s="2">
        <v>20</v>
      </c>
      <c r="D18" s="2">
        <v>31</v>
      </c>
      <c r="E18" s="2">
        <v>54</v>
      </c>
      <c r="F18" s="2">
        <v>78</v>
      </c>
      <c r="G18" s="2">
        <v>107</v>
      </c>
      <c r="J18" s="2" t="s">
        <v>116</v>
      </c>
      <c r="K18" s="20">
        <f>K2-(2*K3)</f>
        <v>-37.95621447763812</v>
      </c>
      <c r="L18" s="18" t="e">
        <f ca="1">_xludf.FORMULATEXT(K18)</f>
        <v>#NAME?</v>
      </c>
    </row>
    <row r="19" spans="1:12" ht="14.25" customHeight="1">
      <c r="A19" s="2">
        <v>2</v>
      </c>
      <c r="B19" s="2">
        <v>9</v>
      </c>
      <c r="C19" s="2">
        <v>21</v>
      </c>
      <c r="D19" s="2">
        <v>31</v>
      </c>
      <c r="E19" s="2">
        <v>54</v>
      </c>
      <c r="F19" s="2">
        <v>79</v>
      </c>
      <c r="G19" s="2">
        <v>108</v>
      </c>
      <c r="K19" s="18"/>
      <c r="L19" s="18"/>
    </row>
    <row r="20" spans="1:12" ht="14.25" customHeight="1">
      <c r="A20" s="2">
        <v>2</v>
      </c>
      <c r="B20" s="2">
        <v>9</v>
      </c>
      <c r="C20" s="2">
        <v>22</v>
      </c>
      <c r="D20" s="2">
        <v>31</v>
      </c>
      <c r="E20" s="2">
        <v>54</v>
      </c>
      <c r="F20" s="2">
        <v>80</v>
      </c>
      <c r="G20" s="2">
        <v>112</v>
      </c>
      <c r="J20" s="2" t="s">
        <v>117</v>
      </c>
      <c r="K20" s="20">
        <f>K2+(2*K3)</f>
        <v>124.78288114430478</v>
      </c>
      <c r="L20" s="18" t="e">
        <f ca="1">_xludf.FORMULATEXT(K20)</f>
        <v>#NAME?</v>
      </c>
    </row>
    <row r="21" spans="1:12" ht="14.25" customHeight="1">
      <c r="A21" s="2">
        <v>2</v>
      </c>
      <c r="B21" s="2">
        <v>9</v>
      </c>
      <c r="C21" s="2">
        <v>22</v>
      </c>
      <c r="D21" s="2">
        <v>33</v>
      </c>
      <c r="E21" s="2">
        <v>55</v>
      </c>
      <c r="F21" s="2">
        <v>81</v>
      </c>
      <c r="G21" s="2">
        <v>115</v>
      </c>
      <c r="K21" s="18"/>
      <c r="L21" s="18"/>
    </row>
    <row r="22" spans="1:12" ht="14.25" customHeight="1">
      <c r="J22" s="2" t="s">
        <v>118</v>
      </c>
      <c r="K22" s="20">
        <f>COUNTIFS(A2:H21,"&gt;=-37.96",A2:H21,"&lt;=124.78")</f>
        <v>144</v>
      </c>
      <c r="L22" s="18" t="e">
        <f ca="1">_xludf.FORMULATEXT(K22)</f>
        <v>#NAME?</v>
      </c>
    </row>
    <row r="23" spans="1:12" ht="14.25" customHeight="1">
      <c r="K23" s="18"/>
      <c r="L23" s="18"/>
    </row>
    <row r="24" spans="1:12" ht="14.25" customHeight="1">
      <c r="J24" s="2" t="s">
        <v>119</v>
      </c>
      <c r="K24" s="20">
        <f>(K22/COUNT(A2:H21))*100</f>
        <v>96</v>
      </c>
      <c r="L24" s="18" t="e">
        <f ca="1">_xludf.FORMULATEXT(K24)</f>
        <v>#NAME?</v>
      </c>
    </row>
    <row r="25" spans="1:12" ht="14.25" customHeight="1">
      <c r="K25" s="18"/>
      <c r="L25" s="18"/>
    </row>
    <row r="26" spans="1:12" ht="14.25" customHeight="1">
      <c r="K26" s="18"/>
      <c r="L26" s="18"/>
    </row>
    <row r="27" spans="1:12" ht="14.25" customHeight="1">
      <c r="J27" s="2" t="s">
        <v>122</v>
      </c>
      <c r="K27" s="18"/>
      <c r="L27" s="18"/>
    </row>
    <row r="28" spans="1:12" ht="14.25" customHeight="1">
      <c r="J28" s="2" t="s">
        <v>123</v>
      </c>
      <c r="K28" s="18"/>
      <c r="L28" s="18"/>
    </row>
    <row r="29" spans="1:12" ht="14.25" customHeight="1">
      <c r="J29" s="2" t="s">
        <v>116</v>
      </c>
      <c r="K29" s="20">
        <f>K2-(3*K3)</f>
        <v>-78.64098838312384</v>
      </c>
      <c r="L29" s="18" t="e">
        <f ca="1">_xludf.FORMULATEXT(K29)</f>
        <v>#NAME?</v>
      </c>
    </row>
    <row r="30" spans="1:12" ht="14.25" customHeight="1">
      <c r="K30" s="18"/>
      <c r="L30" s="18"/>
    </row>
    <row r="31" spans="1:12" ht="14.25" customHeight="1">
      <c r="J31" s="2" t="s">
        <v>117</v>
      </c>
      <c r="K31" s="20">
        <f>K2+(3*K3)</f>
        <v>165.46765504979052</v>
      </c>
      <c r="L31" s="18" t="e">
        <f ca="1">_xludf.FORMULATEXT(K31)</f>
        <v>#NAME?</v>
      </c>
    </row>
    <row r="32" spans="1:12" ht="14.25" customHeight="1">
      <c r="K32" s="18"/>
      <c r="L32" s="18"/>
    </row>
    <row r="33" spans="10:12" ht="14.25" customHeight="1">
      <c r="J33" s="2" t="s">
        <v>118</v>
      </c>
      <c r="K33" s="20">
        <f>COUNTIFS(A2:H21,"&gt;=-78.64",A2:H21,"&lt;=165.47")</f>
        <v>149</v>
      </c>
      <c r="L33" s="18" t="e">
        <f ca="1">_xludf.FORMULATEXT(K33)</f>
        <v>#NAME?</v>
      </c>
    </row>
    <row r="34" spans="10:12" ht="14.25" customHeight="1">
      <c r="K34" s="18"/>
      <c r="L34" s="18"/>
    </row>
    <row r="35" spans="10:12" ht="14.25" customHeight="1">
      <c r="J35" s="2" t="s">
        <v>119</v>
      </c>
      <c r="K35" s="20">
        <f>(K33/COUNT(A2:H21))*100</f>
        <v>99.333333333333329</v>
      </c>
      <c r="L35" s="18" t="e">
        <f ca="1">_xludf.FORMULATEXT(K35)</f>
        <v>#NAME?</v>
      </c>
    </row>
    <row r="36" spans="10:12" ht="14.25" customHeight="1">
      <c r="K36" s="18"/>
      <c r="L36" s="19"/>
    </row>
    <row r="37" spans="10:12" ht="14.25" customHeight="1">
      <c r="K37" s="18"/>
      <c r="L37" s="19"/>
    </row>
    <row r="38" spans="10:12" ht="14.25" customHeight="1">
      <c r="K38" s="18"/>
      <c r="L38" s="21"/>
    </row>
    <row r="39" spans="10:12" ht="14.25" customHeight="1">
      <c r="K39" s="18"/>
      <c r="L39" s="19"/>
    </row>
    <row r="40" spans="10:12" ht="14.25" customHeight="1">
      <c r="K40" s="18"/>
      <c r="L40" s="19"/>
    </row>
    <row r="41" spans="10:12" ht="14.25" customHeight="1">
      <c r="K41" s="18"/>
      <c r="L41" s="19"/>
    </row>
    <row r="42" spans="10:12" ht="14.25" customHeight="1">
      <c r="K42" s="18"/>
      <c r="L42" s="19"/>
    </row>
    <row r="43" spans="10:12" ht="14.25" customHeight="1">
      <c r="K43" s="18"/>
      <c r="L43" s="19"/>
    </row>
    <row r="44" spans="10:12" ht="14.25" customHeight="1">
      <c r="K44" s="18"/>
      <c r="L44" s="19"/>
    </row>
    <row r="45" spans="10:12" ht="14.25" customHeight="1">
      <c r="K45" s="18"/>
      <c r="L45" s="19"/>
    </row>
    <row r="46" spans="10:12" ht="14.25" customHeight="1">
      <c r="K46" s="18"/>
      <c r="L46" s="19"/>
    </row>
    <row r="47" spans="10:12" ht="14.25" customHeight="1">
      <c r="K47" s="18"/>
      <c r="L47" s="19"/>
    </row>
    <row r="48" spans="10:12" ht="14.25" customHeight="1">
      <c r="K48" s="18"/>
      <c r="L48" s="19"/>
    </row>
    <row r="49" spans="11:12" ht="14.25" customHeight="1">
      <c r="K49" s="18"/>
      <c r="L49" s="19"/>
    </row>
    <row r="50" spans="11:12" ht="14.25" customHeight="1">
      <c r="K50" s="18"/>
      <c r="L50" s="19"/>
    </row>
    <row r="51" spans="11:12" ht="14.25" customHeight="1">
      <c r="K51" s="18"/>
      <c r="L51" s="19"/>
    </row>
    <row r="52" spans="11:12" ht="14.25" customHeight="1">
      <c r="K52" s="18"/>
      <c r="L52" s="19"/>
    </row>
    <row r="53" spans="11:12" ht="14.25" customHeight="1">
      <c r="K53" s="18"/>
      <c r="L53" s="19"/>
    </row>
    <row r="54" spans="11:12" ht="14.25" customHeight="1">
      <c r="K54" s="18"/>
      <c r="L54" s="19"/>
    </row>
    <row r="55" spans="11:12" ht="14.25" customHeight="1">
      <c r="K55" s="18"/>
      <c r="L55" s="19"/>
    </row>
    <row r="56" spans="11:12" ht="14.25" customHeight="1">
      <c r="K56" s="18"/>
      <c r="L56" s="19"/>
    </row>
    <row r="57" spans="11:12" ht="14.25" customHeight="1">
      <c r="K57" s="18"/>
      <c r="L57" s="19"/>
    </row>
    <row r="58" spans="11:12" ht="14.25" customHeight="1">
      <c r="K58" s="18"/>
      <c r="L58" s="19"/>
    </row>
    <row r="59" spans="11:12" ht="14.25" customHeight="1">
      <c r="K59" s="18"/>
      <c r="L59" s="19"/>
    </row>
    <row r="60" spans="11:12" ht="14.25" customHeight="1">
      <c r="K60" s="18"/>
      <c r="L60" s="19"/>
    </row>
    <row r="61" spans="11:12" ht="14.25" customHeight="1">
      <c r="K61" s="18"/>
      <c r="L61" s="19"/>
    </row>
    <row r="62" spans="11:12" ht="14.25" customHeight="1">
      <c r="K62" s="18"/>
      <c r="L62" s="19"/>
    </row>
    <row r="63" spans="11:12" ht="14.25" customHeight="1">
      <c r="K63" s="18"/>
      <c r="L63" s="19"/>
    </row>
    <row r="64" spans="11:12" ht="14.25" customHeight="1">
      <c r="K64" s="18"/>
      <c r="L64" s="19"/>
    </row>
    <row r="65" spans="11:12" ht="14.25" customHeight="1">
      <c r="K65" s="18"/>
      <c r="L65" s="19"/>
    </row>
    <row r="66" spans="11:12" ht="14.25" customHeight="1">
      <c r="K66" s="18"/>
      <c r="L66" s="19"/>
    </row>
    <row r="67" spans="11:12" ht="14.25" customHeight="1">
      <c r="K67" s="18"/>
      <c r="L67" s="19"/>
    </row>
    <row r="68" spans="11:12" ht="14.25" customHeight="1">
      <c r="K68" s="18"/>
      <c r="L68" s="19"/>
    </row>
    <row r="69" spans="11:12" ht="14.25" customHeight="1">
      <c r="K69" s="18"/>
      <c r="L69" s="19"/>
    </row>
    <row r="70" spans="11:12" ht="14.25" customHeight="1">
      <c r="K70" s="18"/>
      <c r="L70" s="19"/>
    </row>
    <row r="71" spans="11:12" ht="14.25" customHeight="1">
      <c r="K71" s="18"/>
      <c r="L71" s="19"/>
    </row>
    <row r="72" spans="11:12" ht="14.25" customHeight="1">
      <c r="K72" s="18"/>
      <c r="L72" s="19"/>
    </row>
    <row r="73" spans="11:12" ht="14.25" customHeight="1">
      <c r="K73" s="18"/>
      <c r="L73" s="19"/>
    </row>
    <row r="74" spans="11:12" ht="14.25" customHeight="1">
      <c r="K74" s="18"/>
      <c r="L74" s="19"/>
    </row>
    <row r="75" spans="11:12" ht="14.25" customHeight="1">
      <c r="K75" s="18"/>
      <c r="L75" s="19"/>
    </row>
    <row r="76" spans="11:12" ht="14.25" customHeight="1">
      <c r="K76" s="18"/>
      <c r="L76" s="19"/>
    </row>
    <row r="77" spans="11:12" ht="14.25" customHeight="1">
      <c r="K77" s="18"/>
      <c r="L77" s="19"/>
    </row>
    <row r="78" spans="11:12" ht="14.25" customHeight="1">
      <c r="K78" s="18"/>
      <c r="L78" s="19"/>
    </row>
    <row r="79" spans="11:12" ht="14.25" customHeight="1">
      <c r="K79" s="18"/>
      <c r="L79" s="19"/>
    </row>
    <row r="80" spans="11:12" ht="14.25" customHeight="1">
      <c r="K80" s="18"/>
      <c r="L80" s="19"/>
    </row>
    <row r="81" spans="11:12" ht="14.25" customHeight="1">
      <c r="K81" s="18"/>
      <c r="L81" s="19"/>
    </row>
    <row r="82" spans="11:12" ht="14.25" customHeight="1">
      <c r="K82" s="18"/>
      <c r="L82" s="19"/>
    </row>
    <row r="83" spans="11:12" ht="14.25" customHeight="1">
      <c r="K83" s="18"/>
      <c r="L83" s="19"/>
    </row>
    <row r="84" spans="11:12" ht="14.25" customHeight="1">
      <c r="K84" s="18"/>
      <c r="L84" s="19"/>
    </row>
    <row r="85" spans="11:12" ht="14.25" customHeight="1">
      <c r="K85" s="18"/>
      <c r="L85" s="19"/>
    </row>
    <row r="86" spans="11:12" ht="14.25" customHeight="1">
      <c r="K86" s="18"/>
      <c r="L86" s="19"/>
    </row>
    <row r="87" spans="11:12" ht="14.25" customHeight="1">
      <c r="K87" s="18"/>
      <c r="L87" s="19"/>
    </row>
    <row r="88" spans="11:12" ht="14.25" customHeight="1">
      <c r="K88" s="18"/>
      <c r="L88" s="19"/>
    </row>
    <row r="89" spans="11:12" ht="14.25" customHeight="1">
      <c r="K89" s="18"/>
      <c r="L89" s="19"/>
    </row>
    <row r="90" spans="11:12" ht="14.25" customHeight="1">
      <c r="K90" s="18"/>
      <c r="L90" s="19"/>
    </row>
    <row r="91" spans="11:12" ht="14.25" customHeight="1">
      <c r="K91" s="18"/>
      <c r="L91" s="19"/>
    </row>
    <row r="92" spans="11:12" ht="14.25" customHeight="1">
      <c r="K92" s="18"/>
      <c r="L92" s="19"/>
    </row>
    <row r="93" spans="11:12" ht="14.25" customHeight="1">
      <c r="K93" s="18"/>
      <c r="L93" s="19"/>
    </row>
    <row r="94" spans="11:12" ht="14.25" customHeight="1">
      <c r="K94" s="18"/>
      <c r="L94" s="19"/>
    </row>
    <row r="95" spans="11:12" ht="14.25" customHeight="1">
      <c r="K95" s="18"/>
      <c r="L95" s="19"/>
    </row>
    <row r="96" spans="11:12" ht="14.25" customHeight="1">
      <c r="K96" s="18"/>
      <c r="L96" s="19"/>
    </row>
    <row r="97" spans="11:12" ht="14.25" customHeight="1">
      <c r="K97" s="18"/>
      <c r="L97" s="19"/>
    </row>
    <row r="98" spans="11:12" ht="14.25" customHeight="1">
      <c r="K98" s="18"/>
      <c r="L98" s="19"/>
    </row>
    <row r="99" spans="11:12" ht="14.25" customHeight="1">
      <c r="K99" s="18"/>
      <c r="L99" s="19"/>
    </row>
    <row r="100" spans="11:12" ht="14.25" customHeight="1">
      <c r="K100" s="18"/>
      <c r="L100" s="19"/>
    </row>
    <row r="101" spans="11:12" ht="14.25" customHeight="1">
      <c r="K101" s="18"/>
      <c r="L101" s="19"/>
    </row>
    <row r="102" spans="11:12" ht="14.25" customHeight="1">
      <c r="K102" s="18"/>
      <c r="L102" s="19"/>
    </row>
    <row r="103" spans="11:12" ht="14.25" customHeight="1">
      <c r="K103" s="18"/>
      <c r="L103" s="19"/>
    </row>
    <row r="104" spans="11:12" ht="14.25" customHeight="1">
      <c r="K104" s="18"/>
      <c r="L104" s="19"/>
    </row>
    <row r="105" spans="11:12" ht="14.25" customHeight="1">
      <c r="K105" s="18"/>
      <c r="L105" s="19"/>
    </row>
    <row r="106" spans="11:12" ht="14.25" customHeight="1">
      <c r="K106" s="18"/>
      <c r="L106" s="19"/>
    </row>
    <row r="107" spans="11:12" ht="14.25" customHeight="1">
      <c r="K107" s="18"/>
      <c r="L107" s="19"/>
    </row>
    <row r="108" spans="11:12" ht="14.25" customHeight="1">
      <c r="K108" s="18"/>
      <c r="L108" s="19"/>
    </row>
    <row r="109" spans="11:12" ht="14.25" customHeight="1">
      <c r="K109" s="18"/>
      <c r="L109" s="19"/>
    </row>
    <row r="110" spans="11:12" ht="14.25" customHeight="1">
      <c r="K110" s="18"/>
      <c r="L110" s="19"/>
    </row>
    <row r="111" spans="11:12" ht="14.25" customHeight="1">
      <c r="K111" s="18"/>
      <c r="L111" s="19"/>
    </row>
    <row r="112" spans="11:12" ht="14.25" customHeight="1">
      <c r="K112" s="18"/>
      <c r="L112" s="19"/>
    </row>
    <row r="113" spans="11:12" ht="14.25" customHeight="1">
      <c r="K113" s="18"/>
      <c r="L113" s="19"/>
    </row>
    <row r="114" spans="11:12" ht="14.25" customHeight="1">
      <c r="K114" s="18"/>
      <c r="L114" s="19"/>
    </row>
    <row r="115" spans="11:12" ht="14.25" customHeight="1">
      <c r="K115" s="18"/>
      <c r="L115" s="19"/>
    </row>
    <row r="116" spans="11:12" ht="14.25" customHeight="1">
      <c r="K116" s="18"/>
      <c r="L116" s="19"/>
    </row>
    <row r="117" spans="11:12" ht="14.25" customHeight="1">
      <c r="K117" s="18"/>
      <c r="L117" s="19"/>
    </row>
    <row r="118" spans="11:12" ht="14.25" customHeight="1">
      <c r="K118" s="18"/>
      <c r="L118" s="19"/>
    </row>
    <row r="119" spans="11:12" ht="14.25" customHeight="1">
      <c r="K119" s="18"/>
      <c r="L119" s="19"/>
    </row>
    <row r="120" spans="11:12" ht="14.25" customHeight="1">
      <c r="K120" s="18"/>
      <c r="L120" s="19"/>
    </row>
    <row r="121" spans="11:12" ht="14.25" customHeight="1">
      <c r="K121" s="18"/>
      <c r="L121" s="19"/>
    </row>
    <row r="122" spans="11:12" ht="14.25" customHeight="1">
      <c r="K122" s="18"/>
      <c r="L122" s="19"/>
    </row>
    <row r="123" spans="11:12" ht="14.25" customHeight="1">
      <c r="K123" s="18"/>
      <c r="L123" s="19"/>
    </row>
    <row r="124" spans="11:12" ht="14.25" customHeight="1">
      <c r="K124" s="18"/>
      <c r="L124" s="19"/>
    </row>
    <row r="125" spans="11:12" ht="14.25" customHeight="1">
      <c r="K125" s="18"/>
      <c r="L125" s="19"/>
    </row>
    <row r="126" spans="11:12" ht="14.25" customHeight="1">
      <c r="K126" s="18"/>
      <c r="L126" s="19"/>
    </row>
    <row r="127" spans="11:12" ht="14.25" customHeight="1">
      <c r="K127" s="18"/>
      <c r="L127" s="19"/>
    </row>
    <row r="128" spans="11:12" ht="14.25" customHeight="1">
      <c r="K128" s="18"/>
      <c r="L128" s="19"/>
    </row>
    <row r="129" spans="11:12" ht="14.25" customHeight="1">
      <c r="K129" s="18"/>
      <c r="L129" s="19"/>
    </row>
    <row r="130" spans="11:12" ht="14.25" customHeight="1">
      <c r="K130" s="18"/>
      <c r="L130" s="19"/>
    </row>
    <row r="131" spans="11:12" ht="14.25" customHeight="1">
      <c r="K131" s="18"/>
      <c r="L131" s="19"/>
    </row>
    <row r="132" spans="11:12" ht="14.25" customHeight="1">
      <c r="K132" s="18"/>
      <c r="L132" s="19"/>
    </row>
    <row r="133" spans="11:12" ht="14.25" customHeight="1">
      <c r="K133" s="18"/>
      <c r="L133" s="19"/>
    </row>
    <row r="134" spans="11:12" ht="14.25" customHeight="1">
      <c r="K134" s="18"/>
      <c r="L134" s="19"/>
    </row>
    <row r="135" spans="11:12" ht="14.25" customHeight="1">
      <c r="K135" s="18"/>
      <c r="L135" s="19"/>
    </row>
    <row r="136" spans="11:12" ht="14.25" customHeight="1">
      <c r="K136" s="18"/>
      <c r="L136" s="19"/>
    </row>
    <row r="137" spans="11:12" ht="14.25" customHeight="1">
      <c r="K137" s="18"/>
      <c r="L137" s="19"/>
    </row>
    <row r="138" spans="11:12" ht="14.25" customHeight="1">
      <c r="K138" s="18"/>
      <c r="L138" s="19"/>
    </row>
    <row r="139" spans="11:12" ht="14.25" customHeight="1">
      <c r="K139" s="18"/>
      <c r="L139" s="19"/>
    </row>
    <row r="140" spans="11:12" ht="14.25" customHeight="1">
      <c r="K140" s="18"/>
      <c r="L140" s="19"/>
    </row>
    <row r="141" spans="11:12" ht="14.25" customHeight="1">
      <c r="K141" s="18"/>
      <c r="L141" s="19"/>
    </row>
    <row r="142" spans="11:12" ht="14.25" customHeight="1">
      <c r="K142" s="18"/>
      <c r="L142" s="19"/>
    </row>
    <row r="143" spans="11:12" ht="14.25" customHeight="1">
      <c r="K143" s="18"/>
      <c r="L143" s="19"/>
    </row>
    <row r="144" spans="11:12" ht="14.25" customHeight="1">
      <c r="K144" s="18"/>
      <c r="L144" s="19"/>
    </row>
    <row r="145" spans="11:12" ht="14.25" customHeight="1">
      <c r="K145" s="18"/>
      <c r="L145" s="19"/>
    </row>
    <row r="146" spans="11:12" ht="14.25" customHeight="1">
      <c r="K146" s="18"/>
      <c r="L146" s="19"/>
    </row>
    <row r="147" spans="11:12" ht="14.25" customHeight="1">
      <c r="K147" s="18"/>
      <c r="L147" s="19"/>
    </row>
    <row r="148" spans="11:12" ht="14.25" customHeight="1">
      <c r="K148" s="18"/>
      <c r="L148" s="19"/>
    </row>
    <row r="149" spans="11:12" ht="14.25" customHeight="1">
      <c r="K149" s="18"/>
      <c r="L149" s="19"/>
    </row>
    <row r="150" spans="11:12" ht="14.25" customHeight="1">
      <c r="K150" s="18"/>
      <c r="L150" s="19"/>
    </row>
    <row r="151" spans="11:12" ht="14.25" customHeight="1">
      <c r="K151" s="18"/>
      <c r="L151" s="19"/>
    </row>
    <row r="152" spans="11:12" ht="14.25" customHeight="1">
      <c r="K152" s="18"/>
      <c r="L152" s="19"/>
    </row>
    <row r="153" spans="11:12" ht="14.25" customHeight="1">
      <c r="K153" s="18"/>
      <c r="L153" s="19"/>
    </row>
    <row r="154" spans="11:12" ht="14.25" customHeight="1">
      <c r="K154" s="18"/>
      <c r="L154" s="19"/>
    </row>
    <row r="155" spans="11:12" ht="14.25" customHeight="1">
      <c r="K155" s="18"/>
      <c r="L155" s="19"/>
    </row>
    <row r="156" spans="11:12" ht="14.25" customHeight="1">
      <c r="K156" s="18"/>
      <c r="L156" s="19"/>
    </row>
    <row r="157" spans="11:12" ht="14.25" customHeight="1">
      <c r="K157" s="18"/>
      <c r="L157" s="19"/>
    </row>
    <row r="158" spans="11:12" ht="14.25" customHeight="1">
      <c r="K158" s="18"/>
      <c r="L158" s="19"/>
    </row>
    <row r="159" spans="11:12" ht="14.25" customHeight="1">
      <c r="K159" s="18"/>
      <c r="L159" s="19"/>
    </row>
    <row r="160" spans="11:12" ht="14.25" customHeight="1">
      <c r="K160" s="18"/>
      <c r="L160" s="19"/>
    </row>
    <row r="161" spans="11:12" ht="14.25" customHeight="1">
      <c r="K161" s="18"/>
      <c r="L161" s="19"/>
    </row>
    <row r="162" spans="11:12" ht="14.25" customHeight="1">
      <c r="K162" s="18"/>
      <c r="L162" s="19"/>
    </row>
    <row r="163" spans="11:12" ht="14.25" customHeight="1">
      <c r="K163" s="18"/>
      <c r="L163" s="19"/>
    </row>
    <row r="164" spans="11:12" ht="14.25" customHeight="1">
      <c r="K164" s="18"/>
      <c r="L164" s="19"/>
    </row>
    <row r="165" spans="11:12" ht="14.25" customHeight="1">
      <c r="K165" s="18"/>
      <c r="L165" s="19"/>
    </row>
    <row r="166" spans="11:12" ht="14.25" customHeight="1">
      <c r="K166" s="18"/>
      <c r="L166" s="19"/>
    </row>
    <row r="167" spans="11:12" ht="14.25" customHeight="1">
      <c r="K167" s="18"/>
      <c r="L167" s="19"/>
    </row>
    <row r="168" spans="11:12" ht="14.25" customHeight="1">
      <c r="K168" s="18"/>
      <c r="L168" s="19"/>
    </row>
    <row r="169" spans="11:12" ht="14.25" customHeight="1">
      <c r="K169" s="18"/>
      <c r="L169" s="19"/>
    </row>
    <row r="170" spans="11:12" ht="14.25" customHeight="1">
      <c r="K170" s="18"/>
      <c r="L170" s="19"/>
    </row>
    <row r="171" spans="11:12" ht="14.25" customHeight="1">
      <c r="K171" s="18"/>
      <c r="L171" s="19"/>
    </row>
    <row r="172" spans="11:12" ht="14.25" customHeight="1">
      <c r="K172" s="18"/>
      <c r="L172" s="19"/>
    </row>
    <row r="173" spans="11:12" ht="14.25" customHeight="1">
      <c r="K173" s="18"/>
      <c r="L173" s="19"/>
    </row>
    <row r="174" spans="11:12" ht="14.25" customHeight="1">
      <c r="K174" s="18"/>
      <c r="L174" s="19"/>
    </row>
    <row r="175" spans="11:12" ht="14.25" customHeight="1">
      <c r="K175" s="18"/>
      <c r="L175" s="19"/>
    </row>
    <row r="176" spans="11:12" ht="14.25" customHeight="1">
      <c r="K176" s="18"/>
      <c r="L176" s="19"/>
    </row>
    <row r="177" spans="11:12" ht="14.25" customHeight="1">
      <c r="K177" s="18"/>
      <c r="L177" s="19"/>
    </row>
    <row r="178" spans="11:12" ht="14.25" customHeight="1">
      <c r="K178" s="18"/>
      <c r="L178" s="19"/>
    </row>
    <row r="179" spans="11:12" ht="14.25" customHeight="1">
      <c r="K179" s="18"/>
      <c r="L179" s="19"/>
    </row>
    <row r="180" spans="11:12" ht="14.25" customHeight="1">
      <c r="K180" s="18"/>
      <c r="L180" s="19"/>
    </row>
    <row r="181" spans="11:12" ht="14.25" customHeight="1">
      <c r="K181" s="18"/>
      <c r="L181" s="19"/>
    </row>
    <row r="182" spans="11:12" ht="14.25" customHeight="1">
      <c r="K182" s="18"/>
      <c r="L182" s="19"/>
    </row>
    <row r="183" spans="11:12" ht="14.25" customHeight="1">
      <c r="K183" s="18"/>
      <c r="L183" s="19"/>
    </row>
    <row r="184" spans="11:12" ht="14.25" customHeight="1">
      <c r="K184" s="18"/>
      <c r="L184" s="19"/>
    </row>
    <row r="185" spans="11:12" ht="14.25" customHeight="1">
      <c r="K185" s="18"/>
      <c r="L185" s="19"/>
    </row>
    <row r="186" spans="11:12" ht="14.25" customHeight="1">
      <c r="K186" s="18"/>
      <c r="L186" s="19"/>
    </row>
    <row r="187" spans="11:12" ht="14.25" customHeight="1">
      <c r="K187" s="18"/>
      <c r="L187" s="19"/>
    </row>
    <row r="188" spans="11:12" ht="14.25" customHeight="1">
      <c r="K188" s="18"/>
      <c r="L188" s="19"/>
    </row>
    <row r="189" spans="11:12" ht="14.25" customHeight="1">
      <c r="K189" s="18"/>
      <c r="L189" s="19"/>
    </row>
    <row r="190" spans="11:12" ht="14.25" customHeight="1">
      <c r="K190" s="18"/>
      <c r="L190" s="19"/>
    </row>
    <row r="191" spans="11:12" ht="14.25" customHeight="1">
      <c r="K191" s="18"/>
      <c r="L191" s="19"/>
    </row>
    <row r="192" spans="11:12" ht="14.25" customHeight="1">
      <c r="K192" s="18"/>
      <c r="L192" s="19"/>
    </row>
    <row r="193" spans="11:12" ht="14.25" customHeight="1">
      <c r="K193" s="18"/>
      <c r="L193" s="19"/>
    </row>
    <row r="194" spans="11:12" ht="14.25" customHeight="1">
      <c r="K194" s="18"/>
      <c r="L194" s="19"/>
    </row>
    <row r="195" spans="11:12" ht="14.25" customHeight="1">
      <c r="K195" s="18"/>
      <c r="L195" s="19"/>
    </row>
    <row r="196" spans="11:12" ht="14.25" customHeight="1">
      <c r="K196" s="18"/>
      <c r="L196" s="19"/>
    </row>
    <row r="197" spans="11:12" ht="14.25" customHeight="1">
      <c r="K197" s="18"/>
      <c r="L197" s="19"/>
    </row>
    <row r="198" spans="11:12" ht="14.25" customHeight="1">
      <c r="K198" s="18"/>
      <c r="L198" s="19"/>
    </row>
    <row r="199" spans="11:12" ht="14.25" customHeight="1">
      <c r="K199" s="18"/>
      <c r="L199" s="19"/>
    </row>
    <row r="200" spans="11:12" ht="14.25" customHeight="1">
      <c r="K200" s="18"/>
      <c r="L200" s="19"/>
    </row>
    <row r="201" spans="11:12" ht="14.25" customHeight="1">
      <c r="K201" s="18"/>
      <c r="L201" s="19"/>
    </row>
    <row r="202" spans="11:12" ht="14.25" customHeight="1">
      <c r="K202" s="18"/>
      <c r="L202" s="19"/>
    </row>
    <row r="203" spans="11:12" ht="14.25" customHeight="1">
      <c r="K203" s="18"/>
      <c r="L203" s="19"/>
    </row>
    <row r="204" spans="11:12" ht="14.25" customHeight="1">
      <c r="K204" s="18"/>
      <c r="L204" s="19"/>
    </row>
    <row r="205" spans="11:12" ht="14.25" customHeight="1">
      <c r="K205" s="18"/>
      <c r="L205" s="19"/>
    </row>
    <row r="206" spans="11:12" ht="14.25" customHeight="1">
      <c r="K206" s="18"/>
      <c r="L206" s="19"/>
    </row>
    <row r="207" spans="11:12" ht="14.25" customHeight="1">
      <c r="K207" s="18"/>
      <c r="L207" s="19"/>
    </row>
    <row r="208" spans="11:12" ht="14.25" customHeight="1">
      <c r="K208" s="18"/>
      <c r="L208" s="19"/>
    </row>
    <row r="209" spans="11:12" ht="14.25" customHeight="1">
      <c r="K209" s="18"/>
      <c r="L209" s="19"/>
    </row>
    <row r="210" spans="11:12" ht="14.25" customHeight="1">
      <c r="K210" s="18"/>
      <c r="L210" s="19"/>
    </row>
    <row r="211" spans="11:12" ht="14.25" customHeight="1">
      <c r="K211" s="18"/>
      <c r="L211" s="19"/>
    </row>
    <row r="212" spans="11:12" ht="14.25" customHeight="1">
      <c r="K212" s="18"/>
      <c r="L212" s="19"/>
    </row>
    <row r="213" spans="11:12" ht="14.25" customHeight="1">
      <c r="K213" s="18"/>
      <c r="L213" s="19"/>
    </row>
    <row r="214" spans="11:12" ht="14.25" customHeight="1">
      <c r="K214" s="18"/>
      <c r="L214" s="19"/>
    </row>
    <row r="215" spans="11:12" ht="14.25" customHeight="1">
      <c r="K215" s="18"/>
      <c r="L215" s="19"/>
    </row>
    <row r="216" spans="11:12" ht="14.25" customHeight="1">
      <c r="K216" s="18"/>
      <c r="L216" s="19"/>
    </row>
    <row r="217" spans="11:12" ht="14.25" customHeight="1">
      <c r="K217" s="18"/>
      <c r="L217" s="19"/>
    </row>
    <row r="218" spans="11:12" ht="14.25" customHeight="1">
      <c r="K218" s="18"/>
      <c r="L218" s="19"/>
    </row>
    <row r="219" spans="11:12" ht="14.25" customHeight="1">
      <c r="K219" s="18"/>
      <c r="L219" s="19"/>
    </row>
    <row r="220" spans="11:12" ht="14.25" customHeight="1">
      <c r="K220" s="18"/>
      <c r="L220" s="19"/>
    </row>
    <row r="221" spans="11:12" ht="14.25" customHeight="1">
      <c r="K221" s="18"/>
      <c r="L221" s="19"/>
    </row>
    <row r="222" spans="11:12" ht="14.25" customHeight="1">
      <c r="K222" s="18"/>
      <c r="L222" s="19"/>
    </row>
    <row r="223" spans="11:12" ht="14.25" customHeight="1">
      <c r="K223" s="18"/>
      <c r="L223" s="19"/>
    </row>
    <row r="224" spans="11:12" ht="14.25" customHeight="1">
      <c r="K224" s="18"/>
      <c r="L224" s="19"/>
    </row>
    <row r="225" spans="11:12" ht="14.25" customHeight="1">
      <c r="K225" s="18"/>
      <c r="L225" s="19"/>
    </row>
    <row r="226" spans="11:12" ht="14.25" customHeight="1">
      <c r="K226" s="18"/>
      <c r="L226" s="19"/>
    </row>
    <row r="227" spans="11:12" ht="14.25" customHeight="1">
      <c r="K227" s="18"/>
      <c r="L227" s="19"/>
    </row>
    <row r="228" spans="11:12" ht="14.25" customHeight="1">
      <c r="K228" s="18"/>
      <c r="L228" s="19"/>
    </row>
    <row r="229" spans="11:12" ht="14.25" customHeight="1">
      <c r="K229" s="18"/>
      <c r="L229" s="19"/>
    </row>
    <row r="230" spans="11:12" ht="14.25" customHeight="1">
      <c r="K230" s="18"/>
      <c r="L230" s="19"/>
    </row>
    <row r="231" spans="11:12" ht="14.25" customHeight="1">
      <c r="K231" s="18"/>
      <c r="L231" s="19"/>
    </row>
    <row r="232" spans="11:12" ht="14.25" customHeight="1">
      <c r="K232" s="18"/>
      <c r="L232" s="19"/>
    </row>
    <row r="233" spans="11:12" ht="14.25" customHeight="1">
      <c r="K233" s="18"/>
      <c r="L233" s="19"/>
    </row>
    <row r="234" spans="11:12" ht="14.25" customHeight="1">
      <c r="K234" s="18"/>
      <c r="L234" s="19"/>
    </row>
    <row r="235" spans="11:12" ht="14.25" customHeight="1">
      <c r="K235" s="18"/>
      <c r="L235" s="19"/>
    </row>
    <row r="236" spans="11:12" ht="14.25" customHeight="1">
      <c r="K236" s="18"/>
      <c r="L236" s="19"/>
    </row>
    <row r="237" spans="11:12" ht="14.25" customHeight="1">
      <c r="K237" s="18"/>
      <c r="L237" s="19"/>
    </row>
    <row r="238" spans="11:12" ht="14.25" customHeight="1">
      <c r="K238" s="18"/>
      <c r="L238" s="19"/>
    </row>
    <row r="239" spans="11:12" ht="14.25" customHeight="1">
      <c r="K239" s="18"/>
      <c r="L239" s="19"/>
    </row>
    <row r="240" spans="11:12" ht="14.25" customHeight="1">
      <c r="K240" s="18"/>
      <c r="L240" s="19"/>
    </row>
    <row r="241" spans="11:12" ht="14.25" customHeight="1">
      <c r="K241" s="18"/>
      <c r="L241" s="19"/>
    </row>
    <row r="242" spans="11:12" ht="14.25" customHeight="1">
      <c r="K242" s="18"/>
      <c r="L242" s="19"/>
    </row>
    <row r="243" spans="11:12" ht="14.25" customHeight="1">
      <c r="K243" s="18"/>
      <c r="L243" s="19"/>
    </row>
    <row r="244" spans="11:12" ht="14.25" customHeight="1">
      <c r="K244" s="18"/>
      <c r="L244" s="19"/>
    </row>
    <row r="245" spans="11:12" ht="14.25" customHeight="1">
      <c r="K245" s="18"/>
      <c r="L245" s="19"/>
    </row>
    <row r="246" spans="11:12" ht="14.25" customHeight="1">
      <c r="K246" s="18"/>
      <c r="L246" s="19"/>
    </row>
    <row r="247" spans="11:12" ht="14.25" customHeight="1">
      <c r="K247" s="18"/>
      <c r="L247" s="19"/>
    </row>
    <row r="248" spans="11:12" ht="14.25" customHeight="1">
      <c r="K248" s="18"/>
      <c r="L248" s="19"/>
    </row>
    <row r="249" spans="11:12" ht="14.25" customHeight="1">
      <c r="K249" s="18"/>
      <c r="L249" s="19"/>
    </row>
    <row r="250" spans="11:12" ht="14.25" customHeight="1">
      <c r="K250" s="18"/>
      <c r="L250" s="19"/>
    </row>
    <row r="251" spans="11:12" ht="14.25" customHeight="1">
      <c r="K251" s="18"/>
      <c r="L251" s="19"/>
    </row>
    <row r="252" spans="11:12" ht="14.25" customHeight="1">
      <c r="K252" s="18"/>
      <c r="L252" s="19"/>
    </row>
    <row r="253" spans="11:12" ht="14.25" customHeight="1">
      <c r="K253" s="18"/>
      <c r="L253" s="19"/>
    </row>
    <row r="254" spans="11:12" ht="14.25" customHeight="1">
      <c r="K254" s="18"/>
      <c r="L254" s="19"/>
    </row>
    <row r="255" spans="11:12" ht="14.25" customHeight="1">
      <c r="K255" s="18"/>
      <c r="L255" s="19"/>
    </row>
    <row r="256" spans="11:12" ht="14.25" customHeight="1">
      <c r="K256" s="18"/>
      <c r="L256" s="19"/>
    </row>
    <row r="257" spans="11:12" ht="14.25" customHeight="1">
      <c r="K257" s="18"/>
      <c r="L257" s="19"/>
    </row>
    <row r="258" spans="11:12" ht="14.25" customHeight="1">
      <c r="K258" s="18"/>
      <c r="L258" s="19"/>
    </row>
    <row r="259" spans="11:12" ht="14.25" customHeight="1">
      <c r="K259" s="18"/>
      <c r="L259" s="19"/>
    </row>
    <row r="260" spans="11:12" ht="14.25" customHeight="1">
      <c r="K260" s="18"/>
      <c r="L260" s="19"/>
    </row>
    <row r="261" spans="11:12" ht="14.25" customHeight="1">
      <c r="K261" s="18"/>
      <c r="L261" s="19"/>
    </row>
    <row r="262" spans="11:12" ht="14.25" customHeight="1">
      <c r="K262" s="18"/>
      <c r="L262" s="19"/>
    </row>
    <row r="263" spans="11:12" ht="14.25" customHeight="1">
      <c r="K263" s="18"/>
      <c r="L263" s="19"/>
    </row>
    <row r="264" spans="11:12" ht="14.25" customHeight="1">
      <c r="K264" s="18"/>
      <c r="L264" s="19"/>
    </row>
    <row r="265" spans="11:12" ht="14.25" customHeight="1">
      <c r="K265" s="18"/>
      <c r="L265" s="19"/>
    </row>
    <row r="266" spans="11:12" ht="14.25" customHeight="1">
      <c r="K266" s="18"/>
      <c r="L266" s="19"/>
    </row>
    <row r="267" spans="11:12" ht="14.25" customHeight="1">
      <c r="K267" s="18"/>
      <c r="L267" s="19"/>
    </row>
    <row r="268" spans="11:12" ht="14.25" customHeight="1">
      <c r="K268" s="18"/>
      <c r="L268" s="19"/>
    </row>
    <row r="269" spans="11:12" ht="14.25" customHeight="1">
      <c r="K269" s="18"/>
      <c r="L269" s="19"/>
    </row>
    <row r="270" spans="11:12" ht="14.25" customHeight="1">
      <c r="K270" s="18"/>
      <c r="L270" s="19"/>
    </row>
    <row r="271" spans="11:12" ht="14.25" customHeight="1">
      <c r="K271" s="18"/>
      <c r="L271" s="19"/>
    </row>
    <row r="272" spans="11:12" ht="14.25" customHeight="1">
      <c r="K272" s="18"/>
      <c r="L272" s="19"/>
    </row>
    <row r="273" spans="11:12" ht="14.25" customHeight="1">
      <c r="K273" s="18"/>
      <c r="L273" s="19"/>
    </row>
    <row r="274" spans="11:12" ht="14.25" customHeight="1">
      <c r="K274" s="18"/>
      <c r="L274" s="19"/>
    </row>
    <row r="275" spans="11:12" ht="14.25" customHeight="1">
      <c r="K275" s="18"/>
      <c r="L275" s="19"/>
    </row>
    <row r="276" spans="11:12" ht="14.25" customHeight="1">
      <c r="K276" s="18"/>
      <c r="L276" s="19"/>
    </row>
    <row r="277" spans="11:12" ht="14.25" customHeight="1">
      <c r="K277" s="18"/>
      <c r="L277" s="19"/>
    </row>
    <row r="278" spans="11:12" ht="14.25" customHeight="1">
      <c r="K278" s="18"/>
      <c r="L278" s="19"/>
    </row>
    <row r="279" spans="11:12" ht="14.25" customHeight="1">
      <c r="K279" s="18"/>
      <c r="L279" s="19"/>
    </row>
    <row r="280" spans="11:12" ht="14.25" customHeight="1">
      <c r="K280" s="18"/>
      <c r="L280" s="19"/>
    </row>
    <row r="281" spans="11:12" ht="14.25" customHeight="1">
      <c r="K281" s="18"/>
      <c r="L281" s="19"/>
    </row>
    <row r="282" spans="11:12" ht="14.25" customHeight="1">
      <c r="K282" s="18"/>
      <c r="L282" s="19"/>
    </row>
    <row r="283" spans="11:12" ht="14.25" customHeight="1">
      <c r="K283" s="18"/>
      <c r="L283" s="19"/>
    </row>
    <row r="284" spans="11:12" ht="14.25" customHeight="1">
      <c r="K284" s="18"/>
      <c r="L284" s="19"/>
    </row>
    <row r="285" spans="11:12" ht="14.25" customHeight="1">
      <c r="K285" s="18"/>
      <c r="L285" s="19"/>
    </row>
    <row r="286" spans="11:12" ht="14.25" customHeight="1">
      <c r="K286" s="18"/>
      <c r="L286" s="19"/>
    </row>
    <row r="287" spans="11:12" ht="14.25" customHeight="1">
      <c r="K287" s="18"/>
      <c r="L287" s="19"/>
    </row>
    <row r="288" spans="11:12" ht="14.25" customHeight="1">
      <c r="K288" s="18"/>
      <c r="L288" s="19"/>
    </row>
    <row r="289" spans="11:12" ht="14.25" customHeight="1">
      <c r="K289" s="18"/>
      <c r="L289" s="19"/>
    </row>
    <row r="290" spans="11:12" ht="14.25" customHeight="1">
      <c r="K290" s="18"/>
      <c r="L290" s="19"/>
    </row>
    <row r="291" spans="11:12" ht="14.25" customHeight="1">
      <c r="K291" s="18"/>
      <c r="L291" s="19"/>
    </row>
    <row r="292" spans="11:12" ht="14.25" customHeight="1">
      <c r="K292" s="18"/>
      <c r="L292" s="19"/>
    </row>
    <row r="293" spans="11:12" ht="14.25" customHeight="1">
      <c r="K293" s="18"/>
      <c r="L293" s="19"/>
    </row>
    <row r="294" spans="11:12" ht="14.25" customHeight="1">
      <c r="K294" s="18"/>
      <c r="L294" s="19"/>
    </row>
    <row r="295" spans="11:12" ht="14.25" customHeight="1">
      <c r="K295" s="18"/>
      <c r="L295" s="19"/>
    </row>
    <row r="296" spans="11:12" ht="14.25" customHeight="1">
      <c r="K296" s="18"/>
      <c r="L296" s="19"/>
    </row>
    <row r="297" spans="11:12" ht="14.25" customHeight="1">
      <c r="K297" s="18"/>
      <c r="L297" s="19"/>
    </row>
    <row r="298" spans="11:12" ht="14.25" customHeight="1">
      <c r="K298" s="18"/>
      <c r="L298" s="19"/>
    </row>
    <row r="299" spans="11:12" ht="14.25" customHeight="1">
      <c r="K299" s="18"/>
      <c r="L299" s="19"/>
    </row>
    <row r="300" spans="11:12" ht="14.25" customHeight="1">
      <c r="K300" s="18"/>
      <c r="L300" s="19"/>
    </row>
    <row r="301" spans="11:12" ht="14.25" customHeight="1">
      <c r="K301" s="18"/>
      <c r="L301" s="19"/>
    </row>
    <row r="302" spans="11:12" ht="14.25" customHeight="1">
      <c r="K302" s="18"/>
      <c r="L302" s="19"/>
    </row>
    <row r="303" spans="11:12" ht="14.25" customHeight="1">
      <c r="K303" s="18"/>
      <c r="L303" s="19"/>
    </row>
    <row r="304" spans="11:12" ht="14.25" customHeight="1">
      <c r="K304" s="18"/>
      <c r="L304" s="19"/>
    </row>
    <row r="305" spans="11:12" ht="14.25" customHeight="1">
      <c r="K305" s="18"/>
      <c r="L305" s="19"/>
    </row>
    <row r="306" spans="11:12" ht="14.25" customHeight="1">
      <c r="K306" s="18"/>
      <c r="L306" s="19"/>
    </row>
    <row r="307" spans="11:12" ht="14.25" customHeight="1">
      <c r="K307" s="18"/>
      <c r="L307" s="19"/>
    </row>
    <row r="308" spans="11:12" ht="14.25" customHeight="1">
      <c r="K308" s="18"/>
      <c r="L308" s="19"/>
    </row>
    <row r="309" spans="11:12" ht="14.25" customHeight="1">
      <c r="K309" s="18"/>
      <c r="L309" s="19"/>
    </row>
    <row r="310" spans="11:12" ht="14.25" customHeight="1">
      <c r="K310" s="18"/>
      <c r="L310" s="19"/>
    </row>
    <row r="311" spans="11:12" ht="14.25" customHeight="1">
      <c r="K311" s="18"/>
      <c r="L311" s="19"/>
    </row>
    <row r="312" spans="11:12" ht="14.25" customHeight="1">
      <c r="K312" s="18"/>
      <c r="L312" s="19"/>
    </row>
    <row r="313" spans="11:12" ht="14.25" customHeight="1">
      <c r="K313" s="18"/>
      <c r="L313" s="19"/>
    </row>
    <row r="314" spans="11:12" ht="14.25" customHeight="1">
      <c r="K314" s="18"/>
      <c r="L314" s="19"/>
    </row>
    <row r="315" spans="11:12" ht="14.25" customHeight="1">
      <c r="K315" s="18"/>
      <c r="L315" s="19"/>
    </row>
    <row r="316" spans="11:12" ht="14.25" customHeight="1">
      <c r="K316" s="18"/>
      <c r="L316" s="19"/>
    </row>
    <row r="317" spans="11:12" ht="14.25" customHeight="1">
      <c r="K317" s="18"/>
      <c r="L317" s="19"/>
    </row>
    <row r="318" spans="11:12" ht="14.25" customHeight="1">
      <c r="K318" s="18"/>
      <c r="L318" s="19"/>
    </row>
    <row r="319" spans="11:12" ht="14.25" customHeight="1">
      <c r="K319" s="18"/>
      <c r="L319" s="19"/>
    </row>
    <row r="320" spans="11:12" ht="14.25" customHeight="1">
      <c r="K320" s="18"/>
      <c r="L320" s="19"/>
    </row>
    <row r="321" spans="11:12" ht="14.25" customHeight="1">
      <c r="K321" s="18"/>
      <c r="L321" s="19"/>
    </row>
    <row r="322" spans="11:12" ht="14.25" customHeight="1">
      <c r="K322" s="18"/>
      <c r="L322" s="19"/>
    </row>
    <row r="323" spans="11:12" ht="14.25" customHeight="1">
      <c r="K323" s="18"/>
      <c r="L323" s="19"/>
    </row>
    <row r="324" spans="11:12" ht="14.25" customHeight="1">
      <c r="K324" s="18"/>
      <c r="L324" s="19"/>
    </row>
    <row r="325" spans="11:12" ht="14.25" customHeight="1">
      <c r="K325" s="18"/>
      <c r="L325" s="19"/>
    </row>
    <row r="326" spans="11:12" ht="14.25" customHeight="1">
      <c r="K326" s="18"/>
      <c r="L326" s="19"/>
    </row>
    <row r="327" spans="11:12" ht="14.25" customHeight="1">
      <c r="K327" s="18"/>
      <c r="L327" s="19"/>
    </row>
    <row r="328" spans="11:12" ht="14.25" customHeight="1">
      <c r="K328" s="18"/>
      <c r="L328" s="19"/>
    </row>
    <row r="329" spans="11:12" ht="14.25" customHeight="1">
      <c r="K329" s="18"/>
      <c r="L329" s="19"/>
    </row>
    <row r="330" spans="11:12" ht="14.25" customHeight="1">
      <c r="K330" s="18"/>
      <c r="L330" s="19"/>
    </row>
    <row r="331" spans="11:12" ht="14.25" customHeight="1">
      <c r="K331" s="18"/>
      <c r="L331" s="19"/>
    </row>
    <row r="332" spans="11:12" ht="14.25" customHeight="1">
      <c r="K332" s="18"/>
      <c r="L332" s="19"/>
    </row>
    <row r="333" spans="11:12" ht="14.25" customHeight="1">
      <c r="K333" s="18"/>
      <c r="L333" s="19"/>
    </row>
    <row r="334" spans="11:12" ht="14.25" customHeight="1">
      <c r="K334" s="18"/>
      <c r="L334" s="19"/>
    </row>
    <row r="335" spans="11:12" ht="14.25" customHeight="1">
      <c r="K335" s="18"/>
      <c r="L335" s="19"/>
    </row>
    <row r="336" spans="11:12" ht="14.25" customHeight="1">
      <c r="K336" s="18"/>
      <c r="L336" s="19"/>
    </row>
    <row r="337" spans="11:12" ht="14.25" customHeight="1">
      <c r="K337" s="18"/>
      <c r="L337" s="19"/>
    </row>
    <row r="338" spans="11:12" ht="14.25" customHeight="1">
      <c r="K338" s="18"/>
      <c r="L338" s="19"/>
    </row>
    <row r="339" spans="11:12" ht="14.25" customHeight="1">
      <c r="K339" s="18"/>
      <c r="L339" s="19"/>
    </row>
    <row r="340" spans="11:12" ht="14.25" customHeight="1">
      <c r="K340" s="18"/>
      <c r="L340" s="19"/>
    </row>
    <row r="341" spans="11:12" ht="14.25" customHeight="1">
      <c r="K341" s="18"/>
      <c r="L341" s="19"/>
    </row>
    <row r="342" spans="11:12" ht="14.25" customHeight="1">
      <c r="K342" s="18"/>
      <c r="L342" s="19"/>
    </row>
    <row r="343" spans="11:12" ht="14.25" customHeight="1">
      <c r="K343" s="18"/>
      <c r="L343" s="19"/>
    </row>
    <row r="344" spans="11:12" ht="14.25" customHeight="1">
      <c r="K344" s="18"/>
      <c r="L344" s="19"/>
    </row>
    <row r="345" spans="11:12" ht="14.25" customHeight="1">
      <c r="K345" s="18"/>
      <c r="L345" s="19"/>
    </row>
    <row r="346" spans="11:12" ht="14.25" customHeight="1">
      <c r="K346" s="18"/>
      <c r="L346" s="19"/>
    </row>
    <row r="347" spans="11:12" ht="14.25" customHeight="1">
      <c r="K347" s="18"/>
      <c r="L347" s="19"/>
    </row>
    <row r="348" spans="11:12" ht="14.25" customHeight="1">
      <c r="K348" s="18"/>
      <c r="L348" s="19"/>
    </row>
    <row r="349" spans="11:12" ht="14.25" customHeight="1">
      <c r="K349" s="18"/>
      <c r="L349" s="19"/>
    </row>
    <row r="350" spans="11:12" ht="14.25" customHeight="1">
      <c r="K350" s="18"/>
      <c r="L350" s="19"/>
    </row>
    <row r="351" spans="11:12" ht="14.25" customHeight="1">
      <c r="K351" s="18"/>
      <c r="L351" s="19"/>
    </row>
    <row r="352" spans="11:12" ht="14.25" customHeight="1">
      <c r="K352" s="18"/>
      <c r="L352" s="19"/>
    </row>
    <row r="353" spans="11:12" ht="14.25" customHeight="1">
      <c r="K353" s="18"/>
      <c r="L353" s="19"/>
    </row>
    <row r="354" spans="11:12" ht="14.25" customHeight="1">
      <c r="K354" s="18"/>
      <c r="L354" s="19"/>
    </row>
    <row r="355" spans="11:12" ht="14.25" customHeight="1">
      <c r="K355" s="18"/>
      <c r="L355" s="19"/>
    </row>
    <row r="356" spans="11:12" ht="14.25" customHeight="1">
      <c r="K356" s="18"/>
      <c r="L356" s="19"/>
    </row>
    <row r="357" spans="11:12" ht="14.25" customHeight="1">
      <c r="K357" s="18"/>
      <c r="L357" s="19"/>
    </row>
    <row r="358" spans="11:12" ht="14.25" customHeight="1">
      <c r="K358" s="18"/>
      <c r="L358" s="19"/>
    </row>
    <row r="359" spans="11:12" ht="14.25" customHeight="1">
      <c r="K359" s="18"/>
      <c r="L359" s="19"/>
    </row>
    <row r="360" spans="11:12" ht="14.25" customHeight="1">
      <c r="K360" s="18"/>
      <c r="L360" s="19"/>
    </row>
    <row r="361" spans="11:12" ht="14.25" customHeight="1">
      <c r="K361" s="18"/>
      <c r="L361" s="19"/>
    </row>
    <row r="362" spans="11:12" ht="14.25" customHeight="1">
      <c r="K362" s="18"/>
      <c r="L362" s="19"/>
    </row>
    <row r="363" spans="11:12" ht="14.25" customHeight="1">
      <c r="K363" s="18"/>
      <c r="L363" s="19"/>
    </row>
    <row r="364" spans="11:12" ht="14.25" customHeight="1">
      <c r="K364" s="18"/>
      <c r="L364" s="19"/>
    </row>
    <row r="365" spans="11:12" ht="14.25" customHeight="1">
      <c r="K365" s="18"/>
      <c r="L365" s="19"/>
    </row>
    <row r="366" spans="11:12" ht="14.25" customHeight="1">
      <c r="K366" s="18"/>
      <c r="L366" s="19"/>
    </row>
    <row r="367" spans="11:12" ht="14.25" customHeight="1">
      <c r="K367" s="18"/>
      <c r="L367" s="19"/>
    </row>
    <row r="368" spans="11:12" ht="14.25" customHeight="1">
      <c r="K368" s="18"/>
      <c r="L368" s="19"/>
    </row>
    <row r="369" spans="11:12" ht="14.25" customHeight="1">
      <c r="K369" s="18"/>
      <c r="L369" s="19"/>
    </row>
    <row r="370" spans="11:12" ht="14.25" customHeight="1">
      <c r="K370" s="18"/>
      <c r="L370" s="19"/>
    </row>
    <row r="371" spans="11:12" ht="14.25" customHeight="1">
      <c r="K371" s="18"/>
      <c r="L371" s="19"/>
    </row>
    <row r="372" spans="11:12" ht="14.25" customHeight="1">
      <c r="K372" s="18"/>
      <c r="L372" s="19"/>
    </row>
    <row r="373" spans="11:12" ht="14.25" customHeight="1">
      <c r="K373" s="18"/>
      <c r="L373" s="19"/>
    </row>
    <row r="374" spans="11:12" ht="14.25" customHeight="1">
      <c r="K374" s="18"/>
      <c r="L374" s="19"/>
    </row>
    <row r="375" spans="11:12" ht="14.25" customHeight="1">
      <c r="K375" s="18"/>
      <c r="L375" s="19"/>
    </row>
    <row r="376" spans="11:12" ht="14.25" customHeight="1">
      <c r="K376" s="18"/>
      <c r="L376" s="19"/>
    </row>
    <row r="377" spans="11:12" ht="14.25" customHeight="1">
      <c r="K377" s="18"/>
      <c r="L377" s="19"/>
    </row>
    <row r="378" spans="11:12" ht="14.25" customHeight="1">
      <c r="K378" s="18"/>
      <c r="L378" s="19"/>
    </row>
    <row r="379" spans="11:12" ht="14.25" customHeight="1">
      <c r="K379" s="18"/>
      <c r="L379" s="19"/>
    </row>
    <row r="380" spans="11:12" ht="14.25" customHeight="1">
      <c r="K380" s="18"/>
      <c r="L380" s="19"/>
    </row>
    <row r="381" spans="11:12" ht="14.25" customHeight="1">
      <c r="K381" s="18"/>
      <c r="L381" s="19"/>
    </row>
    <row r="382" spans="11:12" ht="14.25" customHeight="1">
      <c r="K382" s="18"/>
      <c r="L382" s="19"/>
    </row>
    <row r="383" spans="11:12" ht="14.25" customHeight="1">
      <c r="K383" s="18"/>
      <c r="L383" s="19"/>
    </row>
    <row r="384" spans="11:12" ht="14.25" customHeight="1">
      <c r="K384" s="18"/>
      <c r="L384" s="19"/>
    </row>
    <row r="385" spans="11:12" ht="14.25" customHeight="1">
      <c r="K385" s="18"/>
      <c r="L385" s="19"/>
    </row>
    <row r="386" spans="11:12" ht="14.25" customHeight="1">
      <c r="K386" s="18"/>
      <c r="L386" s="19"/>
    </row>
    <row r="387" spans="11:12" ht="14.25" customHeight="1">
      <c r="K387" s="18"/>
      <c r="L387" s="19"/>
    </row>
    <row r="388" spans="11:12" ht="14.25" customHeight="1">
      <c r="K388" s="18"/>
      <c r="L388" s="19"/>
    </row>
    <row r="389" spans="11:12" ht="14.25" customHeight="1">
      <c r="K389" s="18"/>
      <c r="L389" s="19"/>
    </row>
    <row r="390" spans="11:12" ht="14.25" customHeight="1">
      <c r="K390" s="18"/>
      <c r="L390" s="19"/>
    </row>
    <row r="391" spans="11:12" ht="14.25" customHeight="1">
      <c r="K391" s="18"/>
      <c r="L391" s="19"/>
    </row>
    <row r="392" spans="11:12" ht="14.25" customHeight="1">
      <c r="K392" s="18"/>
      <c r="L392" s="19"/>
    </row>
    <row r="393" spans="11:12" ht="14.25" customHeight="1">
      <c r="K393" s="18"/>
      <c r="L393" s="19"/>
    </row>
    <row r="394" spans="11:12" ht="14.25" customHeight="1">
      <c r="K394" s="18"/>
      <c r="L394" s="19"/>
    </row>
    <row r="395" spans="11:12" ht="14.25" customHeight="1">
      <c r="K395" s="18"/>
      <c r="L395" s="19"/>
    </row>
    <row r="396" spans="11:12" ht="14.25" customHeight="1">
      <c r="K396" s="18"/>
      <c r="L396" s="19"/>
    </row>
    <row r="397" spans="11:12" ht="14.25" customHeight="1">
      <c r="K397" s="18"/>
      <c r="L397" s="19"/>
    </row>
    <row r="398" spans="11:12" ht="14.25" customHeight="1">
      <c r="K398" s="18"/>
      <c r="L398" s="19"/>
    </row>
    <row r="399" spans="11:12" ht="14.25" customHeight="1">
      <c r="K399" s="18"/>
      <c r="L399" s="19"/>
    </row>
    <row r="400" spans="11:12" ht="14.25" customHeight="1">
      <c r="K400" s="18"/>
      <c r="L400" s="19"/>
    </row>
    <row r="401" spans="11:12" ht="14.25" customHeight="1">
      <c r="K401" s="18"/>
      <c r="L401" s="19"/>
    </row>
    <row r="402" spans="11:12" ht="14.25" customHeight="1">
      <c r="K402" s="18"/>
      <c r="L402" s="19"/>
    </row>
    <row r="403" spans="11:12" ht="14.25" customHeight="1">
      <c r="K403" s="18"/>
      <c r="L403" s="19"/>
    </row>
    <row r="404" spans="11:12" ht="14.25" customHeight="1">
      <c r="K404" s="18"/>
      <c r="L404" s="19"/>
    </row>
    <row r="405" spans="11:12" ht="14.25" customHeight="1">
      <c r="K405" s="18"/>
      <c r="L405" s="19"/>
    </row>
    <row r="406" spans="11:12" ht="14.25" customHeight="1">
      <c r="K406" s="18"/>
      <c r="L406" s="19"/>
    </row>
    <row r="407" spans="11:12" ht="14.25" customHeight="1">
      <c r="K407" s="18"/>
      <c r="L407" s="19"/>
    </row>
    <row r="408" spans="11:12" ht="14.25" customHeight="1">
      <c r="K408" s="18"/>
      <c r="L408" s="19"/>
    </row>
    <row r="409" spans="11:12" ht="14.25" customHeight="1">
      <c r="K409" s="18"/>
      <c r="L409" s="19"/>
    </row>
    <row r="410" spans="11:12" ht="14.25" customHeight="1">
      <c r="K410" s="18"/>
      <c r="L410" s="19"/>
    </row>
    <row r="411" spans="11:12" ht="14.25" customHeight="1">
      <c r="K411" s="18"/>
      <c r="L411" s="19"/>
    </row>
    <row r="412" spans="11:12" ht="14.25" customHeight="1">
      <c r="K412" s="18"/>
      <c r="L412" s="19"/>
    </row>
    <row r="413" spans="11:12" ht="14.25" customHeight="1">
      <c r="K413" s="18"/>
      <c r="L413" s="19"/>
    </row>
    <row r="414" spans="11:12" ht="14.25" customHeight="1">
      <c r="K414" s="18"/>
      <c r="L414" s="19"/>
    </row>
    <row r="415" spans="11:12" ht="14.25" customHeight="1">
      <c r="K415" s="18"/>
      <c r="L415" s="19"/>
    </row>
    <row r="416" spans="11:12" ht="14.25" customHeight="1">
      <c r="K416" s="18"/>
      <c r="L416" s="19"/>
    </row>
    <row r="417" spans="11:12" ht="14.25" customHeight="1">
      <c r="K417" s="18"/>
      <c r="L417" s="19"/>
    </row>
    <row r="418" spans="11:12" ht="14.25" customHeight="1">
      <c r="K418" s="18"/>
      <c r="L418" s="19"/>
    </row>
    <row r="419" spans="11:12" ht="14.25" customHeight="1">
      <c r="K419" s="18"/>
      <c r="L419" s="19"/>
    </row>
    <row r="420" spans="11:12" ht="14.25" customHeight="1">
      <c r="K420" s="18"/>
      <c r="L420" s="19"/>
    </row>
    <row r="421" spans="11:12" ht="14.25" customHeight="1">
      <c r="K421" s="18"/>
      <c r="L421" s="19"/>
    </row>
    <row r="422" spans="11:12" ht="14.25" customHeight="1">
      <c r="K422" s="18"/>
      <c r="L422" s="19"/>
    </row>
    <row r="423" spans="11:12" ht="14.25" customHeight="1">
      <c r="K423" s="18"/>
      <c r="L423" s="19"/>
    </row>
    <row r="424" spans="11:12" ht="14.25" customHeight="1">
      <c r="K424" s="18"/>
      <c r="L424" s="19"/>
    </row>
    <row r="425" spans="11:12" ht="14.25" customHeight="1">
      <c r="K425" s="18"/>
      <c r="L425" s="19"/>
    </row>
    <row r="426" spans="11:12" ht="14.25" customHeight="1">
      <c r="K426" s="18"/>
      <c r="L426" s="19"/>
    </row>
    <row r="427" spans="11:12" ht="14.25" customHeight="1">
      <c r="K427" s="18"/>
      <c r="L427" s="19"/>
    </row>
    <row r="428" spans="11:12" ht="14.25" customHeight="1">
      <c r="K428" s="18"/>
      <c r="L428" s="19"/>
    </row>
    <row r="429" spans="11:12" ht="14.25" customHeight="1">
      <c r="K429" s="18"/>
      <c r="L429" s="19"/>
    </row>
    <row r="430" spans="11:12" ht="14.25" customHeight="1">
      <c r="K430" s="18"/>
      <c r="L430" s="19"/>
    </row>
    <row r="431" spans="11:12" ht="14.25" customHeight="1">
      <c r="K431" s="18"/>
      <c r="L431" s="19"/>
    </row>
    <row r="432" spans="11:12" ht="14.25" customHeight="1">
      <c r="K432" s="18"/>
      <c r="L432" s="19"/>
    </row>
    <row r="433" spans="11:12" ht="14.25" customHeight="1">
      <c r="K433" s="18"/>
      <c r="L433" s="19"/>
    </row>
    <row r="434" spans="11:12" ht="14.25" customHeight="1">
      <c r="K434" s="18"/>
      <c r="L434" s="19"/>
    </row>
    <row r="435" spans="11:12" ht="14.25" customHeight="1">
      <c r="K435" s="18"/>
      <c r="L435" s="19"/>
    </row>
    <row r="436" spans="11:12" ht="14.25" customHeight="1">
      <c r="K436" s="18"/>
      <c r="L436" s="19"/>
    </row>
    <row r="437" spans="11:12" ht="14.25" customHeight="1">
      <c r="K437" s="18"/>
      <c r="L437" s="19"/>
    </row>
    <row r="438" spans="11:12" ht="14.25" customHeight="1">
      <c r="K438" s="18"/>
      <c r="L438" s="19"/>
    </row>
    <row r="439" spans="11:12" ht="14.25" customHeight="1">
      <c r="K439" s="18"/>
      <c r="L439" s="19"/>
    </row>
    <row r="440" spans="11:12" ht="14.25" customHeight="1">
      <c r="K440" s="18"/>
      <c r="L440" s="19"/>
    </row>
    <row r="441" spans="11:12" ht="14.25" customHeight="1">
      <c r="K441" s="18"/>
      <c r="L441" s="19"/>
    </row>
    <row r="442" spans="11:12" ht="14.25" customHeight="1">
      <c r="K442" s="18"/>
      <c r="L442" s="19"/>
    </row>
    <row r="443" spans="11:12" ht="14.25" customHeight="1">
      <c r="K443" s="18"/>
      <c r="L443" s="19"/>
    </row>
    <row r="444" spans="11:12" ht="14.25" customHeight="1">
      <c r="K444" s="18"/>
      <c r="L444" s="19"/>
    </row>
    <row r="445" spans="11:12" ht="14.25" customHeight="1">
      <c r="K445" s="18"/>
      <c r="L445" s="19"/>
    </row>
    <row r="446" spans="11:12" ht="14.25" customHeight="1">
      <c r="K446" s="18"/>
      <c r="L446" s="19"/>
    </row>
    <row r="447" spans="11:12" ht="14.25" customHeight="1">
      <c r="K447" s="18"/>
      <c r="L447" s="19"/>
    </row>
    <row r="448" spans="11:12" ht="14.25" customHeight="1">
      <c r="K448" s="18"/>
      <c r="L448" s="19"/>
    </row>
    <row r="449" spans="11:12" ht="14.25" customHeight="1">
      <c r="K449" s="18"/>
      <c r="L449" s="19"/>
    </row>
    <row r="450" spans="11:12" ht="14.25" customHeight="1">
      <c r="K450" s="18"/>
      <c r="L450" s="19"/>
    </row>
    <row r="451" spans="11:12" ht="14.25" customHeight="1">
      <c r="K451" s="18"/>
      <c r="L451" s="19"/>
    </row>
    <row r="452" spans="11:12" ht="14.25" customHeight="1">
      <c r="K452" s="18"/>
      <c r="L452" s="19"/>
    </row>
    <row r="453" spans="11:12" ht="14.25" customHeight="1">
      <c r="K453" s="18"/>
      <c r="L453" s="19"/>
    </row>
    <row r="454" spans="11:12" ht="14.25" customHeight="1">
      <c r="K454" s="18"/>
      <c r="L454" s="19"/>
    </row>
    <row r="455" spans="11:12" ht="14.25" customHeight="1">
      <c r="K455" s="18"/>
      <c r="L455" s="19"/>
    </row>
    <row r="456" spans="11:12" ht="14.25" customHeight="1">
      <c r="K456" s="18"/>
      <c r="L456" s="19"/>
    </row>
    <row r="457" spans="11:12" ht="14.25" customHeight="1">
      <c r="K457" s="18"/>
      <c r="L457" s="19"/>
    </row>
    <row r="458" spans="11:12" ht="14.25" customHeight="1">
      <c r="K458" s="18"/>
      <c r="L458" s="19"/>
    </row>
    <row r="459" spans="11:12" ht="14.25" customHeight="1">
      <c r="K459" s="18"/>
      <c r="L459" s="19"/>
    </row>
    <row r="460" spans="11:12" ht="14.25" customHeight="1">
      <c r="K460" s="18"/>
      <c r="L460" s="19"/>
    </row>
    <row r="461" spans="11:12" ht="14.25" customHeight="1">
      <c r="K461" s="18"/>
      <c r="L461" s="19"/>
    </row>
    <row r="462" spans="11:12" ht="14.25" customHeight="1">
      <c r="K462" s="18"/>
      <c r="L462" s="19"/>
    </row>
    <row r="463" spans="11:12" ht="14.25" customHeight="1">
      <c r="K463" s="18"/>
      <c r="L463" s="19"/>
    </row>
    <row r="464" spans="11:12" ht="14.25" customHeight="1">
      <c r="K464" s="18"/>
      <c r="L464" s="19"/>
    </row>
    <row r="465" spans="11:12" ht="14.25" customHeight="1">
      <c r="K465" s="18"/>
      <c r="L465" s="19"/>
    </row>
    <row r="466" spans="11:12" ht="14.25" customHeight="1">
      <c r="K466" s="18"/>
      <c r="L466" s="19"/>
    </row>
    <row r="467" spans="11:12" ht="14.25" customHeight="1">
      <c r="K467" s="18"/>
      <c r="L467" s="19"/>
    </row>
    <row r="468" spans="11:12" ht="14.25" customHeight="1">
      <c r="K468" s="18"/>
      <c r="L468" s="19"/>
    </row>
    <row r="469" spans="11:12" ht="14.25" customHeight="1">
      <c r="K469" s="18"/>
      <c r="L469" s="19"/>
    </row>
    <row r="470" spans="11:12" ht="14.25" customHeight="1">
      <c r="K470" s="18"/>
      <c r="L470" s="19"/>
    </row>
    <row r="471" spans="11:12" ht="14.25" customHeight="1">
      <c r="K471" s="18"/>
      <c r="L471" s="19"/>
    </row>
    <row r="472" spans="11:12" ht="14.25" customHeight="1">
      <c r="K472" s="18"/>
      <c r="L472" s="19"/>
    </row>
    <row r="473" spans="11:12" ht="14.25" customHeight="1">
      <c r="K473" s="18"/>
      <c r="L473" s="19"/>
    </row>
    <row r="474" spans="11:12" ht="14.25" customHeight="1">
      <c r="K474" s="18"/>
      <c r="L474" s="19"/>
    </row>
    <row r="475" spans="11:12" ht="14.25" customHeight="1">
      <c r="K475" s="18"/>
      <c r="L475" s="19"/>
    </row>
    <row r="476" spans="11:12" ht="14.25" customHeight="1">
      <c r="K476" s="18"/>
      <c r="L476" s="19"/>
    </row>
    <row r="477" spans="11:12" ht="14.25" customHeight="1">
      <c r="K477" s="18"/>
      <c r="L477" s="19"/>
    </row>
    <row r="478" spans="11:12" ht="14.25" customHeight="1">
      <c r="K478" s="18"/>
      <c r="L478" s="19"/>
    </row>
    <row r="479" spans="11:12" ht="14.25" customHeight="1">
      <c r="K479" s="18"/>
      <c r="L479" s="19"/>
    </row>
    <row r="480" spans="11:12" ht="14.25" customHeight="1">
      <c r="K480" s="18"/>
      <c r="L480" s="19"/>
    </row>
    <row r="481" spans="11:12" ht="14.25" customHeight="1">
      <c r="K481" s="18"/>
      <c r="L481" s="19"/>
    </row>
    <row r="482" spans="11:12" ht="14.25" customHeight="1">
      <c r="K482" s="18"/>
      <c r="L482" s="19"/>
    </row>
    <row r="483" spans="11:12" ht="14.25" customHeight="1">
      <c r="K483" s="18"/>
      <c r="L483" s="19"/>
    </row>
    <row r="484" spans="11:12" ht="14.25" customHeight="1">
      <c r="K484" s="18"/>
      <c r="L484" s="19"/>
    </row>
    <row r="485" spans="11:12" ht="14.25" customHeight="1">
      <c r="K485" s="18"/>
      <c r="L485" s="19"/>
    </row>
    <row r="486" spans="11:12" ht="14.25" customHeight="1">
      <c r="K486" s="18"/>
      <c r="L486" s="19"/>
    </row>
    <row r="487" spans="11:12" ht="14.25" customHeight="1">
      <c r="K487" s="18"/>
      <c r="L487" s="19"/>
    </row>
    <row r="488" spans="11:12" ht="14.25" customHeight="1">
      <c r="K488" s="18"/>
      <c r="L488" s="19"/>
    </row>
    <row r="489" spans="11:12" ht="14.25" customHeight="1">
      <c r="K489" s="18"/>
      <c r="L489" s="19"/>
    </row>
    <row r="490" spans="11:12" ht="14.25" customHeight="1">
      <c r="K490" s="18"/>
      <c r="L490" s="19"/>
    </row>
    <row r="491" spans="11:12" ht="14.25" customHeight="1">
      <c r="K491" s="18"/>
      <c r="L491" s="19"/>
    </row>
    <row r="492" spans="11:12" ht="14.25" customHeight="1">
      <c r="K492" s="18"/>
      <c r="L492" s="19"/>
    </row>
    <row r="493" spans="11:12" ht="14.25" customHeight="1">
      <c r="K493" s="18"/>
      <c r="L493" s="19"/>
    </row>
    <row r="494" spans="11:12" ht="14.25" customHeight="1">
      <c r="K494" s="18"/>
      <c r="L494" s="19"/>
    </row>
    <row r="495" spans="11:12" ht="14.25" customHeight="1">
      <c r="K495" s="18"/>
      <c r="L495" s="19"/>
    </row>
    <row r="496" spans="11:12" ht="14.25" customHeight="1">
      <c r="K496" s="18"/>
      <c r="L496" s="19"/>
    </row>
    <row r="497" spans="11:12" ht="14.25" customHeight="1">
      <c r="K497" s="18"/>
      <c r="L497" s="19"/>
    </row>
    <row r="498" spans="11:12" ht="14.25" customHeight="1">
      <c r="K498" s="18"/>
      <c r="L498" s="19"/>
    </row>
    <row r="499" spans="11:12" ht="14.25" customHeight="1">
      <c r="K499" s="18"/>
      <c r="L499" s="19"/>
    </row>
    <row r="500" spans="11:12" ht="14.25" customHeight="1">
      <c r="K500" s="18"/>
      <c r="L500" s="19"/>
    </row>
    <row r="501" spans="11:12" ht="14.25" customHeight="1">
      <c r="K501" s="18"/>
      <c r="L501" s="19"/>
    </row>
    <row r="502" spans="11:12" ht="14.25" customHeight="1">
      <c r="K502" s="18"/>
      <c r="L502" s="19"/>
    </row>
    <row r="503" spans="11:12" ht="14.25" customHeight="1">
      <c r="K503" s="18"/>
      <c r="L503" s="19"/>
    </row>
    <row r="504" spans="11:12" ht="14.25" customHeight="1">
      <c r="K504" s="18"/>
      <c r="L504" s="19"/>
    </row>
    <row r="505" spans="11:12" ht="14.25" customHeight="1">
      <c r="K505" s="18"/>
      <c r="L505" s="19"/>
    </row>
    <row r="506" spans="11:12" ht="14.25" customHeight="1">
      <c r="K506" s="18"/>
      <c r="L506" s="19"/>
    </row>
    <row r="507" spans="11:12" ht="14.25" customHeight="1">
      <c r="K507" s="18"/>
      <c r="L507" s="19"/>
    </row>
    <row r="508" spans="11:12" ht="14.25" customHeight="1">
      <c r="K508" s="18"/>
      <c r="L508" s="19"/>
    </row>
    <row r="509" spans="11:12" ht="14.25" customHeight="1">
      <c r="K509" s="18"/>
      <c r="L509" s="19"/>
    </row>
    <row r="510" spans="11:12" ht="14.25" customHeight="1">
      <c r="K510" s="18"/>
      <c r="L510" s="19"/>
    </row>
    <row r="511" spans="11:12" ht="14.25" customHeight="1">
      <c r="K511" s="18"/>
      <c r="L511" s="19"/>
    </row>
    <row r="512" spans="11:12" ht="14.25" customHeight="1">
      <c r="K512" s="18"/>
      <c r="L512" s="19"/>
    </row>
    <row r="513" spans="11:12" ht="14.25" customHeight="1">
      <c r="K513" s="18"/>
      <c r="L513" s="19"/>
    </row>
    <row r="514" spans="11:12" ht="14.25" customHeight="1">
      <c r="K514" s="18"/>
      <c r="L514" s="19"/>
    </row>
    <row r="515" spans="11:12" ht="14.25" customHeight="1">
      <c r="K515" s="18"/>
      <c r="L515" s="19"/>
    </row>
    <row r="516" spans="11:12" ht="14.25" customHeight="1">
      <c r="K516" s="18"/>
      <c r="L516" s="19"/>
    </row>
    <row r="517" spans="11:12" ht="14.25" customHeight="1">
      <c r="K517" s="18"/>
      <c r="L517" s="19"/>
    </row>
    <row r="518" spans="11:12" ht="14.25" customHeight="1">
      <c r="K518" s="18"/>
      <c r="L518" s="19"/>
    </row>
    <row r="519" spans="11:12" ht="14.25" customHeight="1">
      <c r="K519" s="18"/>
      <c r="L519" s="19"/>
    </row>
    <row r="520" spans="11:12" ht="14.25" customHeight="1">
      <c r="K520" s="18"/>
      <c r="L520" s="19"/>
    </row>
    <row r="521" spans="11:12" ht="14.25" customHeight="1">
      <c r="K521" s="18"/>
      <c r="L521" s="19"/>
    </row>
    <row r="522" spans="11:12" ht="14.25" customHeight="1">
      <c r="K522" s="18"/>
      <c r="L522" s="19"/>
    </row>
    <row r="523" spans="11:12" ht="14.25" customHeight="1">
      <c r="K523" s="18"/>
      <c r="L523" s="19"/>
    </row>
    <row r="524" spans="11:12" ht="14.25" customHeight="1">
      <c r="K524" s="18"/>
      <c r="L524" s="19"/>
    </row>
    <row r="525" spans="11:12" ht="14.25" customHeight="1">
      <c r="K525" s="18"/>
      <c r="L525" s="19"/>
    </row>
    <row r="526" spans="11:12" ht="14.25" customHeight="1">
      <c r="K526" s="18"/>
      <c r="L526" s="19"/>
    </row>
    <row r="527" spans="11:12" ht="14.25" customHeight="1">
      <c r="K527" s="18"/>
      <c r="L527" s="19"/>
    </row>
    <row r="528" spans="11:12" ht="14.25" customHeight="1">
      <c r="K528" s="18"/>
      <c r="L528" s="19"/>
    </row>
    <row r="529" spans="11:12" ht="14.25" customHeight="1">
      <c r="K529" s="18"/>
      <c r="L529" s="19"/>
    </row>
    <row r="530" spans="11:12" ht="14.25" customHeight="1">
      <c r="K530" s="18"/>
      <c r="L530" s="19"/>
    </row>
    <row r="531" spans="11:12" ht="14.25" customHeight="1">
      <c r="K531" s="18"/>
      <c r="L531" s="19"/>
    </row>
    <row r="532" spans="11:12" ht="14.25" customHeight="1">
      <c r="K532" s="18"/>
      <c r="L532" s="19"/>
    </row>
    <row r="533" spans="11:12" ht="14.25" customHeight="1">
      <c r="K533" s="18"/>
      <c r="L533" s="19"/>
    </row>
    <row r="534" spans="11:12" ht="14.25" customHeight="1">
      <c r="K534" s="18"/>
      <c r="L534" s="19"/>
    </row>
    <row r="535" spans="11:12" ht="14.25" customHeight="1">
      <c r="K535" s="18"/>
      <c r="L535" s="19"/>
    </row>
    <row r="536" spans="11:12" ht="14.25" customHeight="1">
      <c r="K536" s="18"/>
      <c r="L536" s="19"/>
    </row>
    <row r="537" spans="11:12" ht="14.25" customHeight="1">
      <c r="K537" s="18"/>
      <c r="L537" s="19"/>
    </row>
    <row r="538" spans="11:12" ht="14.25" customHeight="1">
      <c r="K538" s="18"/>
      <c r="L538" s="19"/>
    </row>
    <row r="539" spans="11:12" ht="14.25" customHeight="1">
      <c r="K539" s="18"/>
      <c r="L539" s="19"/>
    </row>
    <row r="540" spans="11:12" ht="14.25" customHeight="1">
      <c r="K540" s="18"/>
      <c r="L540" s="19"/>
    </row>
    <row r="541" spans="11:12" ht="14.25" customHeight="1">
      <c r="K541" s="18"/>
      <c r="L541" s="19"/>
    </row>
    <row r="542" spans="11:12" ht="14.25" customHeight="1">
      <c r="K542" s="18"/>
      <c r="L542" s="19"/>
    </row>
    <row r="543" spans="11:12" ht="14.25" customHeight="1">
      <c r="K543" s="18"/>
      <c r="L543" s="19"/>
    </row>
    <row r="544" spans="11:12" ht="14.25" customHeight="1">
      <c r="K544" s="18"/>
      <c r="L544" s="19"/>
    </row>
    <row r="545" spans="11:12" ht="14.25" customHeight="1">
      <c r="K545" s="18"/>
      <c r="L545" s="19"/>
    </row>
    <row r="546" spans="11:12" ht="14.25" customHeight="1">
      <c r="K546" s="18"/>
      <c r="L546" s="19"/>
    </row>
    <row r="547" spans="11:12" ht="14.25" customHeight="1">
      <c r="K547" s="18"/>
      <c r="L547" s="19"/>
    </row>
    <row r="548" spans="11:12" ht="14.25" customHeight="1">
      <c r="K548" s="18"/>
      <c r="L548" s="19"/>
    </row>
    <row r="549" spans="11:12" ht="14.25" customHeight="1">
      <c r="K549" s="18"/>
      <c r="L549" s="19"/>
    </row>
    <row r="550" spans="11:12" ht="14.25" customHeight="1">
      <c r="K550" s="18"/>
      <c r="L550" s="19"/>
    </row>
    <row r="551" spans="11:12" ht="14.25" customHeight="1">
      <c r="K551" s="18"/>
      <c r="L551" s="19"/>
    </row>
    <row r="552" spans="11:12" ht="14.25" customHeight="1">
      <c r="K552" s="18"/>
      <c r="L552" s="19"/>
    </row>
    <row r="553" spans="11:12" ht="14.25" customHeight="1">
      <c r="K553" s="18"/>
      <c r="L553" s="19"/>
    </row>
    <row r="554" spans="11:12" ht="14.25" customHeight="1">
      <c r="K554" s="18"/>
      <c r="L554" s="19"/>
    </row>
    <row r="555" spans="11:12" ht="14.25" customHeight="1">
      <c r="K555" s="18"/>
      <c r="L555" s="19"/>
    </row>
    <row r="556" spans="11:12" ht="14.25" customHeight="1">
      <c r="K556" s="18"/>
      <c r="L556" s="19"/>
    </row>
    <row r="557" spans="11:12" ht="14.25" customHeight="1">
      <c r="K557" s="18"/>
      <c r="L557" s="19"/>
    </row>
    <row r="558" spans="11:12" ht="14.25" customHeight="1">
      <c r="K558" s="18"/>
      <c r="L558" s="19"/>
    </row>
    <row r="559" spans="11:12" ht="14.25" customHeight="1">
      <c r="K559" s="18"/>
      <c r="L559" s="19"/>
    </row>
    <row r="560" spans="11:12" ht="14.25" customHeight="1">
      <c r="K560" s="18"/>
      <c r="L560" s="19"/>
    </row>
    <row r="561" spans="11:12" ht="14.25" customHeight="1">
      <c r="K561" s="18"/>
      <c r="L561" s="19"/>
    </row>
    <row r="562" spans="11:12" ht="14.25" customHeight="1">
      <c r="K562" s="18"/>
      <c r="L562" s="19"/>
    </row>
    <row r="563" spans="11:12" ht="14.25" customHeight="1">
      <c r="K563" s="18"/>
      <c r="L563" s="19"/>
    </row>
    <row r="564" spans="11:12" ht="14.25" customHeight="1">
      <c r="K564" s="18"/>
      <c r="L564" s="19"/>
    </row>
    <row r="565" spans="11:12" ht="14.25" customHeight="1">
      <c r="K565" s="18"/>
      <c r="L565" s="19"/>
    </row>
    <row r="566" spans="11:12" ht="14.25" customHeight="1">
      <c r="K566" s="18"/>
      <c r="L566" s="19"/>
    </row>
    <row r="567" spans="11:12" ht="14.25" customHeight="1">
      <c r="K567" s="18"/>
      <c r="L567" s="19"/>
    </row>
    <row r="568" spans="11:12" ht="14.25" customHeight="1">
      <c r="K568" s="18"/>
      <c r="L568" s="19"/>
    </row>
    <row r="569" spans="11:12" ht="14.25" customHeight="1">
      <c r="K569" s="18"/>
      <c r="L569" s="19"/>
    </row>
    <row r="570" spans="11:12" ht="14.25" customHeight="1">
      <c r="K570" s="18"/>
      <c r="L570" s="19"/>
    </row>
    <row r="571" spans="11:12" ht="14.25" customHeight="1">
      <c r="K571" s="18"/>
      <c r="L571" s="19"/>
    </row>
    <row r="572" spans="11:12" ht="14.25" customHeight="1">
      <c r="K572" s="18"/>
      <c r="L572" s="19"/>
    </row>
    <row r="573" spans="11:12" ht="14.25" customHeight="1">
      <c r="K573" s="18"/>
      <c r="L573" s="19"/>
    </row>
    <row r="574" spans="11:12" ht="14.25" customHeight="1">
      <c r="K574" s="18"/>
      <c r="L574" s="19"/>
    </row>
    <row r="575" spans="11:12" ht="14.25" customHeight="1">
      <c r="K575" s="18"/>
      <c r="L575" s="19"/>
    </row>
    <row r="576" spans="11:12" ht="14.25" customHeight="1">
      <c r="K576" s="18"/>
      <c r="L576" s="19"/>
    </row>
    <row r="577" spans="11:12" ht="14.25" customHeight="1">
      <c r="K577" s="18"/>
      <c r="L577" s="19"/>
    </row>
    <row r="578" spans="11:12" ht="14.25" customHeight="1">
      <c r="K578" s="18"/>
      <c r="L578" s="19"/>
    </row>
    <row r="579" spans="11:12" ht="14.25" customHeight="1">
      <c r="K579" s="18"/>
      <c r="L579" s="19"/>
    </row>
    <row r="580" spans="11:12" ht="14.25" customHeight="1">
      <c r="K580" s="18"/>
      <c r="L580" s="19"/>
    </row>
    <row r="581" spans="11:12" ht="14.25" customHeight="1">
      <c r="K581" s="18"/>
      <c r="L581" s="19"/>
    </row>
    <row r="582" spans="11:12" ht="14.25" customHeight="1">
      <c r="K582" s="18"/>
      <c r="L582" s="19"/>
    </row>
    <row r="583" spans="11:12" ht="14.25" customHeight="1">
      <c r="K583" s="18"/>
      <c r="L583" s="19"/>
    </row>
    <row r="584" spans="11:12" ht="14.25" customHeight="1">
      <c r="K584" s="18"/>
      <c r="L584" s="19"/>
    </row>
    <row r="585" spans="11:12" ht="14.25" customHeight="1">
      <c r="K585" s="18"/>
      <c r="L585" s="19"/>
    </row>
    <row r="586" spans="11:12" ht="14.25" customHeight="1">
      <c r="K586" s="18"/>
      <c r="L586" s="19"/>
    </row>
    <row r="587" spans="11:12" ht="14.25" customHeight="1">
      <c r="K587" s="18"/>
      <c r="L587" s="19"/>
    </row>
    <row r="588" spans="11:12" ht="14.25" customHeight="1">
      <c r="K588" s="18"/>
      <c r="L588" s="19"/>
    </row>
    <row r="589" spans="11:12" ht="14.25" customHeight="1">
      <c r="K589" s="18"/>
      <c r="L589" s="19"/>
    </row>
    <row r="590" spans="11:12" ht="14.25" customHeight="1">
      <c r="K590" s="18"/>
      <c r="L590" s="19"/>
    </row>
    <row r="591" spans="11:12" ht="14.25" customHeight="1">
      <c r="K591" s="18"/>
      <c r="L591" s="19"/>
    </row>
    <row r="592" spans="11:12" ht="14.25" customHeight="1">
      <c r="K592" s="18"/>
      <c r="L592" s="19"/>
    </row>
    <row r="593" spans="11:12" ht="14.25" customHeight="1">
      <c r="K593" s="18"/>
      <c r="L593" s="19"/>
    </row>
    <row r="594" spans="11:12" ht="14.25" customHeight="1">
      <c r="K594" s="18"/>
      <c r="L594" s="19"/>
    </row>
    <row r="595" spans="11:12" ht="14.25" customHeight="1">
      <c r="K595" s="18"/>
      <c r="L595" s="19"/>
    </row>
    <row r="596" spans="11:12" ht="14.25" customHeight="1">
      <c r="K596" s="18"/>
      <c r="L596" s="19"/>
    </row>
    <row r="597" spans="11:12" ht="14.25" customHeight="1">
      <c r="K597" s="18"/>
      <c r="L597" s="19"/>
    </row>
    <row r="598" spans="11:12" ht="14.25" customHeight="1">
      <c r="K598" s="18"/>
      <c r="L598" s="19"/>
    </row>
    <row r="599" spans="11:12" ht="14.25" customHeight="1">
      <c r="K599" s="18"/>
      <c r="L599" s="19"/>
    </row>
    <row r="600" spans="11:12" ht="14.25" customHeight="1">
      <c r="K600" s="18"/>
      <c r="L600" s="19"/>
    </row>
    <row r="601" spans="11:12" ht="14.25" customHeight="1">
      <c r="K601" s="18"/>
      <c r="L601" s="19"/>
    </row>
    <row r="602" spans="11:12" ht="14.25" customHeight="1">
      <c r="K602" s="18"/>
      <c r="L602" s="19"/>
    </row>
    <row r="603" spans="11:12" ht="14.25" customHeight="1">
      <c r="K603" s="18"/>
      <c r="L603" s="19"/>
    </row>
    <row r="604" spans="11:12" ht="14.25" customHeight="1">
      <c r="K604" s="18"/>
      <c r="L604" s="19"/>
    </row>
    <row r="605" spans="11:12" ht="14.25" customHeight="1">
      <c r="K605" s="18"/>
      <c r="L605" s="19"/>
    </row>
    <row r="606" spans="11:12" ht="14.25" customHeight="1">
      <c r="K606" s="18"/>
      <c r="L606" s="19"/>
    </row>
    <row r="607" spans="11:12" ht="14.25" customHeight="1">
      <c r="K607" s="18"/>
      <c r="L607" s="19"/>
    </row>
    <row r="608" spans="11:12" ht="14.25" customHeight="1">
      <c r="K608" s="18"/>
      <c r="L608" s="19"/>
    </row>
    <row r="609" spans="11:12" ht="14.25" customHeight="1">
      <c r="K609" s="18"/>
      <c r="L609" s="19"/>
    </row>
    <row r="610" spans="11:12" ht="14.25" customHeight="1">
      <c r="K610" s="18"/>
      <c r="L610" s="19"/>
    </row>
    <row r="611" spans="11:12" ht="14.25" customHeight="1">
      <c r="K611" s="18"/>
      <c r="L611" s="19"/>
    </row>
    <row r="612" spans="11:12" ht="14.25" customHeight="1">
      <c r="K612" s="18"/>
      <c r="L612" s="19"/>
    </row>
    <row r="613" spans="11:12" ht="14.25" customHeight="1">
      <c r="K613" s="18"/>
      <c r="L613" s="19"/>
    </row>
    <row r="614" spans="11:12" ht="14.25" customHeight="1">
      <c r="K614" s="18"/>
      <c r="L614" s="19"/>
    </row>
    <row r="615" spans="11:12" ht="14.25" customHeight="1">
      <c r="K615" s="18"/>
      <c r="L615" s="19"/>
    </row>
    <row r="616" spans="11:12" ht="14.25" customHeight="1">
      <c r="K616" s="18"/>
      <c r="L616" s="19"/>
    </row>
    <row r="617" spans="11:12" ht="14.25" customHeight="1">
      <c r="K617" s="18"/>
      <c r="L617" s="19"/>
    </row>
    <row r="618" spans="11:12" ht="14.25" customHeight="1">
      <c r="K618" s="18"/>
      <c r="L618" s="19"/>
    </row>
    <row r="619" spans="11:12" ht="14.25" customHeight="1">
      <c r="K619" s="18"/>
      <c r="L619" s="19"/>
    </row>
    <row r="620" spans="11:12" ht="14.25" customHeight="1">
      <c r="K620" s="18"/>
      <c r="L620" s="19"/>
    </row>
    <row r="621" spans="11:12" ht="14.25" customHeight="1">
      <c r="K621" s="18"/>
      <c r="L621" s="19"/>
    </row>
    <row r="622" spans="11:12" ht="14.25" customHeight="1">
      <c r="K622" s="18"/>
      <c r="L622" s="19"/>
    </row>
    <row r="623" spans="11:12" ht="14.25" customHeight="1">
      <c r="K623" s="18"/>
      <c r="L623" s="19"/>
    </row>
    <row r="624" spans="11:12" ht="14.25" customHeight="1">
      <c r="K624" s="18"/>
      <c r="L624" s="19"/>
    </row>
    <row r="625" spans="11:12" ht="14.25" customHeight="1">
      <c r="K625" s="18"/>
      <c r="L625" s="19"/>
    </row>
    <row r="626" spans="11:12" ht="14.25" customHeight="1">
      <c r="K626" s="18"/>
      <c r="L626" s="19"/>
    </row>
    <row r="627" spans="11:12" ht="14.25" customHeight="1">
      <c r="K627" s="18"/>
      <c r="L627" s="19"/>
    </row>
    <row r="628" spans="11:12" ht="14.25" customHeight="1">
      <c r="K628" s="18"/>
      <c r="L628" s="19"/>
    </row>
    <row r="629" spans="11:12" ht="14.25" customHeight="1">
      <c r="K629" s="18"/>
      <c r="L629" s="19"/>
    </row>
    <row r="630" spans="11:12" ht="14.25" customHeight="1">
      <c r="K630" s="18"/>
      <c r="L630" s="19"/>
    </row>
    <row r="631" spans="11:12" ht="14.25" customHeight="1">
      <c r="K631" s="18"/>
      <c r="L631" s="19"/>
    </row>
    <row r="632" spans="11:12" ht="14.25" customHeight="1">
      <c r="K632" s="18"/>
      <c r="L632" s="19"/>
    </row>
    <row r="633" spans="11:12" ht="14.25" customHeight="1">
      <c r="K633" s="18"/>
      <c r="L633" s="19"/>
    </row>
    <row r="634" spans="11:12" ht="14.25" customHeight="1">
      <c r="K634" s="18"/>
      <c r="L634" s="19"/>
    </row>
    <row r="635" spans="11:12" ht="14.25" customHeight="1">
      <c r="K635" s="18"/>
      <c r="L635" s="19"/>
    </row>
    <row r="636" spans="11:12" ht="14.25" customHeight="1">
      <c r="K636" s="18"/>
      <c r="L636" s="19"/>
    </row>
    <row r="637" spans="11:12" ht="14.25" customHeight="1">
      <c r="K637" s="18"/>
      <c r="L637" s="19"/>
    </row>
    <row r="638" spans="11:12" ht="14.25" customHeight="1">
      <c r="K638" s="18"/>
      <c r="L638" s="19"/>
    </row>
    <row r="639" spans="11:12" ht="14.25" customHeight="1">
      <c r="K639" s="18"/>
      <c r="L639" s="19"/>
    </row>
    <row r="640" spans="11:12" ht="14.25" customHeight="1">
      <c r="K640" s="18"/>
      <c r="L640" s="19"/>
    </row>
    <row r="641" spans="11:12" ht="14.25" customHeight="1">
      <c r="K641" s="18"/>
      <c r="L641" s="19"/>
    </row>
    <row r="642" spans="11:12" ht="14.25" customHeight="1">
      <c r="K642" s="18"/>
      <c r="L642" s="19"/>
    </row>
    <row r="643" spans="11:12" ht="14.25" customHeight="1">
      <c r="K643" s="18"/>
      <c r="L643" s="19"/>
    </row>
    <row r="644" spans="11:12" ht="14.25" customHeight="1">
      <c r="K644" s="18"/>
      <c r="L644" s="19"/>
    </row>
    <row r="645" spans="11:12" ht="14.25" customHeight="1">
      <c r="K645" s="18"/>
      <c r="L645" s="19"/>
    </row>
    <row r="646" spans="11:12" ht="14.25" customHeight="1">
      <c r="K646" s="18"/>
      <c r="L646" s="19"/>
    </row>
    <row r="647" spans="11:12" ht="14.25" customHeight="1">
      <c r="K647" s="18"/>
      <c r="L647" s="19"/>
    </row>
    <row r="648" spans="11:12" ht="14.25" customHeight="1">
      <c r="K648" s="18"/>
      <c r="L648" s="19"/>
    </row>
    <row r="649" spans="11:12" ht="14.25" customHeight="1">
      <c r="K649" s="18"/>
      <c r="L649" s="19"/>
    </row>
    <row r="650" spans="11:12" ht="14.25" customHeight="1">
      <c r="K650" s="18"/>
      <c r="L650" s="19"/>
    </row>
    <row r="651" spans="11:12" ht="14.25" customHeight="1">
      <c r="K651" s="18"/>
      <c r="L651" s="19"/>
    </row>
    <row r="652" spans="11:12" ht="14.25" customHeight="1">
      <c r="K652" s="18"/>
      <c r="L652" s="19"/>
    </row>
    <row r="653" spans="11:12" ht="14.25" customHeight="1">
      <c r="K653" s="18"/>
      <c r="L653" s="19"/>
    </row>
    <row r="654" spans="11:12" ht="14.25" customHeight="1">
      <c r="K654" s="18"/>
      <c r="L654" s="19"/>
    </row>
    <row r="655" spans="11:12" ht="14.25" customHeight="1">
      <c r="K655" s="18"/>
      <c r="L655" s="19"/>
    </row>
    <row r="656" spans="11:12" ht="14.25" customHeight="1">
      <c r="K656" s="18"/>
      <c r="L656" s="19"/>
    </row>
    <row r="657" spans="11:12" ht="14.25" customHeight="1">
      <c r="K657" s="18"/>
      <c r="L657" s="19"/>
    </row>
    <row r="658" spans="11:12" ht="14.25" customHeight="1">
      <c r="K658" s="18"/>
      <c r="L658" s="19"/>
    </row>
    <row r="659" spans="11:12" ht="14.25" customHeight="1">
      <c r="K659" s="18"/>
      <c r="L659" s="19"/>
    </row>
    <row r="660" spans="11:12" ht="14.25" customHeight="1">
      <c r="K660" s="18"/>
      <c r="L660" s="19"/>
    </row>
    <row r="661" spans="11:12" ht="14.25" customHeight="1">
      <c r="K661" s="18"/>
      <c r="L661" s="19"/>
    </row>
    <row r="662" spans="11:12" ht="14.25" customHeight="1">
      <c r="K662" s="18"/>
      <c r="L662" s="19"/>
    </row>
    <row r="663" spans="11:12" ht="14.25" customHeight="1">
      <c r="K663" s="18"/>
      <c r="L663" s="19"/>
    </row>
    <row r="664" spans="11:12" ht="14.25" customHeight="1">
      <c r="K664" s="18"/>
      <c r="L664" s="19"/>
    </row>
    <row r="665" spans="11:12" ht="14.25" customHeight="1">
      <c r="K665" s="18"/>
      <c r="L665" s="19"/>
    </row>
    <row r="666" spans="11:12" ht="14.25" customHeight="1">
      <c r="K666" s="18"/>
      <c r="L666" s="19"/>
    </row>
    <row r="667" spans="11:12" ht="14.25" customHeight="1">
      <c r="K667" s="18"/>
      <c r="L667" s="19"/>
    </row>
    <row r="668" spans="11:12" ht="14.25" customHeight="1">
      <c r="K668" s="18"/>
      <c r="L668" s="19"/>
    </row>
    <row r="669" spans="11:12" ht="14.25" customHeight="1">
      <c r="K669" s="18"/>
      <c r="L669" s="19"/>
    </row>
    <row r="670" spans="11:12" ht="14.25" customHeight="1">
      <c r="K670" s="18"/>
      <c r="L670" s="19"/>
    </row>
    <row r="671" spans="11:12" ht="14.25" customHeight="1">
      <c r="K671" s="18"/>
      <c r="L671" s="19"/>
    </row>
    <row r="672" spans="11:12" ht="14.25" customHeight="1">
      <c r="K672" s="18"/>
      <c r="L672" s="19"/>
    </row>
    <row r="673" spans="11:12" ht="14.25" customHeight="1">
      <c r="K673" s="18"/>
      <c r="L673" s="19"/>
    </row>
    <row r="674" spans="11:12" ht="14.25" customHeight="1">
      <c r="K674" s="18"/>
      <c r="L674" s="19"/>
    </row>
    <row r="675" spans="11:12" ht="14.25" customHeight="1">
      <c r="K675" s="18"/>
      <c r="L675" s="19"/>
    </row>
    <row r="676" spans="11:12" ht="14.25" customHeight="1">
      <c r="K676" s="18"/>
      <c r="L676" s="19"/>
    </row>
    <row r="677" spans="11:12" ht="14.25" customHeight="1">
      <c r="K677" s="18"/>
      <c r="L677" s="19"/>
    </row>
    <row r="678" spans="11:12" ht="14.25" customHeight="1">
      <c r="K678" s="18"/>
      <c r="L678" s="19"/>
    </row>
    <row r="679" spans="11:12" ht="14.25" customHeight="1">
      <c r="K679" s="18"/>
      <c r="L679" s="19"/>
    </row>
    <row r="680" spans="11:12" ht="14.25" customHeight="1">
      <c r="K680" s="18"/>
      <c r="L680" s="19"/>
    </row>
    <row r="681" spans="11:12" ht="14.25" customHeight="1">
      <c r="K681" s="18"/>
      <c r="L681" s="19"/>
    </row>
    <row r="682" spans="11:12" ht="14.25" customHeight="1">
      <c r="K682" s="18"/>
      <c r="L682" s="19"/>
    </row>
    <row r="683" spans="11:12" ht="14.25" customHeight="1">
      <c r="K683" s="18"/>
      <c r="L683" s="19"/>
    </row>
    <row r="684" spans="11:12" ht="14.25" customHeight="1">
      <c r="K684" s="18"/>
      <c r="L684" s="19"/>
    </row>
    <row r="685" spans="11:12" ht="14.25" customHeight="1">
      <c r="K685" s="18"/>
      <c r="L685" s="19"/>
    </row>
    <row r="686" spans="11:12" ht="14.25" customHeight="1">
      <c r="K686" s="18"/>
      <c r="L686" s="19"/>
    </row>
    <row r="687" spans="11:12" ht="14.25" customHeight="1">
      <c r="K687" s="18"/>
      <c r="L687" s="19"/>
    </row>
    <row r="688" spans="11:12" ht="14.25" customHeight="1">
      <c r="K688" s="18"/>
      <c r="L688" s="19"/>
    </row>
    <row r="689" spans="11:12" ht="14.25" customHeight="1">
      <c r="K689" s="18"/>
      <c r="L689" s="19"/>
    </row>
    <row r="690" spans="11:12" ht="14.25" customHeight="1">
      <c r="K690" s="18"/>
      <c r="L690" s="19"/>
    </row>
    <row r="691" spans="11:12" ht="14.25" customHeight="1">
      <c r="K691" s="18"/>
      <c r="L691" s="19"/>
    </row>
    <row r="692" spans="11:12" ht="14.25" customHeight="1">
      <c r="K692" s="18"/>
      <c r="L692" s="19"/>
    </row>
    <row r="693" spans="11:12" ht="14.25" customHeight="1">
      <c r="K693" s="18"/>
      <c r="L693" s="19"/>
    </row>
    <row r="694" spans="11:12" ht="14.25" customHeight="1">
      <c r="K694" s="18"/>
      <c r="L694" s="19"/>
    </row>
    <row r="695" spans="11:12" ht="14.25" customHeight="1">
      <c r="K695" s="18"/>
      <c r="L695" s="19"/>
    </row>
    <row r="696" spans="11:12" ht="14.25" customHeight="1">
      <c r="K696" s="18"/>
      <c r="L696" s="19"/>
    </row>
    <row r="697" spans="11:12" ht="14.25" customHeight="1">
      <c r="K697" s="18"/>
      <c r="L697" s="19"/>
    </row>
    <row r="698" spans="11:12" ht="14.25" customHeight="1">
      <c r="K698" s="18"/>
      <c r="L698" s="19"/>
    </row>
    <row r="699" spans="11:12" ht="14.25" customHeight="1">
      <c r="K699" s="18"/>
      <c r="L699" s="19"/>
    </row>
    <row r="700" spans="11:12" ht="14.25" customHeight="1">
      <c r="K700" s="18"/>
      <c r="L700" s="19"/>
    </row>
    <row r="701" spans="11:12" ht="14.25" customHeight="1">
      <c r="K701" s="18"/>
      <c r="L701" s="19"/>
    </row>
    <row r="702" spans="11:12" ht="14.25" customHeight="1">
      <c r="K702" s="18"/>
      <c r="L702" s="19"/>
    </row>
    <row r="703" spans="11:12" ht="14.25" customHeight="1">
      <c r="K703" s="18"/>
      <c r="L703" s="19"/>
    </row>
    <row r="704" spans="11:12" ht="14.25" customHeight="1">
      <c r="K704" s="18"/>
      <c r="L704" s="19"/>
    </row>
    <row r="705" spans="11:12" ht="14.25" customHeight="1">
      <c r="K705" s="18"/>
      <c r="L705" s="19"/>
    </row>
    <row r="706" spans="11:12" ht="14.25" customHeight="1">
      <c r="K706" s="18"/>
      <c r="L706" s="19"/>
    </row>
    <row r="707" spans="11:12" ht="14.25" customHeight="1">
      <c r="K707" s="18"/>
      <c r="L707" s="19"/>
    </row>
    <row r="708" spans="11:12" ht="14.25" customHeight="1">
      <c r="K708" s="18"/>
      <c r="L708" s="19"/>
    </row>
    <row r="709" spans="11:12" ht="14.25" customHeight="1">
      <c r="K709" s="18"/>
      <c r="L709" s="19"/>
    </row>
    <row r="710" spans="11:12" ht="14.25" customHeight="1">
      <c r="K710" s="18"/>
      <c r="L710" s="19"/>
    </row>
    <row r="711" spans="11:12" ht="14.25" customHeight="1">
      <c r="K711" s="18"/>
      <c r="L711" s="19"/>
    </row>
    <row r="712" spans="11:12" ht="14.25" customHeight="1">
      <c r="K712" s="18"/>
      <c r="L712" s="19"/>
    </row>
    <row r="713" spans="11:12" ht="14.25" customHeight="1">
      <c r="K713" s="18"/>
      <c r="L713" s="19"/>
    </row>
    <row r="714" spans="11:12" ht="14.25" customHeight="1">
      <c r="K714" s="18"/>
      <c r="L714" s="19"/>
    </row>
    <row r="715" spans="11:12" ht="14.25" customHeight="1">
      <c r="K715" s="18"/>
      <c r="L715" s="19"/>
    </row>
    <row r="716" spans="11:12" ht="14.25" customHeight="1">
      <c r="K716" s="18"/>
      <c r="L716" s="19"/>
    </row>
    <row r="717" spans="11:12" ht="14.25" customHeight="1">
      <c r="K717" s="18"/>
      <c r="L717" s="19"/>
    </row>
    <row r="718" spans="11:12" ht="14.25" customHeight="1">
      <c r="K718" s="18"/>
      <c r="L718" s="19"/>
    </row>
    <row r="719" spans="11:12" ht="14.25" customHeight="1">
      <c r="K719" s="18"/>
      <c r="L719" s="19"/>
    </row>
    <row r="720" spans="11:12" ht="14.25" customHeight="1">
      <c r="K720" s="18"/>
      <c r="L720" s="19"/>
    </row>
    <row r="721" spans="11:12" ht="14.25" customHeight="1">
      <c r="K721" s="18"/>
      <c r="L721" s="19"/>
    </row>
    <row r="722" spans="11:12" ht="14.25" customHeight="1">
      <c r="K722" s="18"/>
      <c r="L722" s="19"/>
    </row>
    <row r="723" spans="11:12" ht="14.25" customHeight="1">
      <c r="K723" s="18"/>
      <c r="L723" s="19"/>
    </row>
    <row r="724" spans="11:12" ht="14.25" customHeight="1">
      <c r="K724" s="18"/>
      <c r="L724" s="19"/>
    </row>
    <row r="725" spans="11:12" ht="14.25" customHeight="1">
      <c r="K725" s="18"/>
      <c r="L725" s="19"/>
    </row>
    <row r="726" spans="11:12" ht="14.25" customHeight="1">
      <c r="K726" s="18"/>
      <c r="L726" s="19"/>
    </row>
    <row r="727" spans="11:12" ht="14.25" customHeight="1">
      <c r="K727" s="18"/>
      <c r="L727" s="19"/>
    </row>
    <row r="728" spans="11:12" ht="14.25" customHeight="1">
      <c r="K728" s="18"/>
      <c r="L728" s="19"/>
    </row>
    <row r="729" spans="11:12" ht="14.25" customHeight="1">
      <c r="K729" s="18"/>
      <c r="L729" s="19"/>
    </row>
    <row r="730" spans="11:12" ht="14.25" customHeight="1">
      <c r="K730" s="18"/>
      <c r="L730" s="19"/>
    </row>
    <row r="731" spans="11:12" ht="14.25" customHeight="1">
      <c r="K731" s="18"/>
      <c r="L731" s="19"/>
    </row>
    <row r="732" spans="11:12" ht="14.25" customHeight="1">
      <c r="K732" s="18"/>
      <c r="L732" s="19"/>
    </row>
    <row r="733" spans="11:12" ht="14.25" customHeight="1">
      <c r="K733" s="18"/>
      <c r="L733" s="19"/>
    </row>
    <row r="734" spans="11:12" ht="14.25" customHeight="1">
      <c r="K734" s="18"/>
      <c r="L734" s="19"/>
    </row>
    <row r="735" spans="11:12" ht="14.25" customHeight="1">
      <c r="K735" s="18"/>
      <c r="L735" s="19"/>
    </row>
    <row r="736" spans="11:12" ht="14.25" customHeight="1">
      <c r="K736" s="18"/>
      <c r="L736" s="19"/>
    </row>
    <row r="737" spans="11:12" ht="14.25" customHeight="1">
      <c r="K737" s="18"/>
      <c r="L737" s="19"/>
    </row>
    <row r="738" spans="11:12" ht="14.25" customHeight="1">
      <c r="K738" s="18"/>
      <c r="L738" s="19"/>
    </row>
    <row r="739" spans="11:12" ht="14.25" customHeight="1">
      <c r="K739" s="18"/>
      <c r="L739" s="19"/>
    </row>
    <row r="740" spans="11:12" ht="14.25" customHeight="1">
      <c r="K740" s="18"/>
      <c r="L740" s="19"/>
    </row>
    <row r="741" spans="11:12" ht="14.25" customHeight="1">
      <c r="K741" s="18"/>
      <c r="L741" s="19"/>
    </row>
    <row r="742" spans="11:12" ht="14.25" customHeight="1">
      <c r="K742" s="18"/>
      <c r="L742" s="19"/>
    </row>
    <row r="743" spans="11:12" ht="14.25" customHeight="1">
      <c r="K743" s="18"/>
      <c r="L743" s="19"/>
    </row>
    <row r="744" spans="11:12" ht="14.25" customHeight="1">
      <c r="K744" s="18"/>
      <c r="L744" s="19"/>
    </row>
    <row r="745" spans="11:12" ht="14.25" customHeight="1">
      <c r="K745" s="18"/>
      <c r="L745" s="19"/>
    </row>
    <row r="746" spans="11:12" ht="14.25" customHeight="1">
      <c r="K746" s="18"/>
      <c r="L746" s="19"/>
    </row>
    <row r="747" spans="11:12" ht="14.25" customHeight="1">
      <c r="K747" s="18"/>
      <c r="L747" s="19"/>
    </row>
    <row r="748" spans="11:12" ht="14.25" customHeight="1">
      <c r="K748" s="18"/>
      <c r="L748" s="19"/>
    </row>
    <row r="749" spans="11:12" ht="14.25" customHeight="1">
      <c r="K749" s="18"/>
      <c r="L749" s="19"/>
    </row>
    <row r="750" spans="11:12" ht="14.25" customHeight="1">
      <c r="K750" s="18"/>
      <c r="L750" s="19"/>
    </row>
    <row r="751" spans="11:12" ht="14.25" customHeight="1">
      <c r="K751" s="18"/>
      <c r="L751" s="19"/>
    </row>
    <row r="752" spans="11:12" ht="14.25" customHeight="1">
      <c r="K752" s="18"/>
      <c r="L752" s="19"/>
    </row>
    <row r="753" spans="11:12" ht="14.25" customHeight="1">
      <c r="K753" s="18"/>
      <c r="L753" s="19"/>
    </row>
    <row r="754" spans="11:12" ht="14.25" customHeight="1">
      <c r="K754" s="18"/>
      <c r="L754" s="19"/>
    </row>
    <row r="755" spans="11:12" ht="14.25" customHeight="1">
      <c r="K755" s="18"/>
      <c r="L755" s="19"/>
    </row>
    <row r="756" spans="11:12" ht="14.25" customHeight="1">
      <c r="K756" s="18"/>
      <c r="L756" s="19"/>
    </row>
    <row r="757" spans="11:12" ht="14.25" customHeight="1">
      <c r="K757" s="18"/>
      <c r="L757" s="19"/>
    </row>
    <row r="758" spans="11:12" ht="14.25" customHeight="1">
      <c r="K758" s="18"/>
      <c r="L758" s="19"/>
    </row>
    <row r="759" spans="11:12" ht="14.25" customHeight="1">
      <c r="K759" s="18"/>
      <c r="L759" s="19"/>
    </row>
    <row r="760" spans="11:12" ht="14.25" customHeight="1">
      <c r="K760" s="18"/>
      <c r="L760" s="19"/>
    </row>
    <row r="761" spans="11:12" ht="14.25" customHeight="1">
      <c r="K761" s="18"/>
      <c r="L761" s="19"/>
    </row>
    <row r="762" spans="11:12" ht="14.25" customHeight="1">
      <c r="K762" s="18"/>
      <c r="L762" s="19"/>
    </row>
    <row r="763" spans="11:12" ht="14.25" customHeight="1">
      <c r="K763" s="18"/>
      <c r="L763" s="19"/>
    </row>
    <row r="764" spans="11:12" ht="14.25" customHeight="1">
      <c r="K764" s="18"/>
      <c r="L764" s="19"/>
    </row>
    <row r="765" spans="11:12" ht="14.25" customHeight="1">
      <c r="K765" s="18"/>
      <c r="L765" s="19"/>
    </row>
    <row r="766" spans="11:12" ht="14.25" customHeight="1">
      <c r="K766" s="18"/>
      <c r="L766" s="19"/>
    </row>
    <row r="767" spans="11:12" ht="14.25" customHeight="1">
      <c r="K767" s="18"/>
      <c r="L767" s="19"/>
    </row>
    <row r="768" spans="11:12" ht="14.25" customHeight="1">
      <c r="K768" s="18"/>
      <c r="L768" s="19"/>
    </row>
    <row r="769" spans="11:12" ht="14.25" customHeight="1">
      <c r="K769" s="18"/>
      <c r="L769" s="19"/>
    </row>
    <row r="770" spans="11:12" ht="14.25" customHeight="1">
      <c r="K770" s="18"/>
      <c r="L770" s="19"/>
    </row>
    <row r="771" spans="11:12" ht="14.25" customHeight="1">
      <c r="K771" s="18"/>
      <c r="L771" s="19"/>
    </row>
    <row r="772" spans="11:12" ht="14.25" customHeight="1">
      <c r="K772" s="18"/>
      <c r="L772" s="19"/>
    </row>
    <row r="773" spans="11:12" ht="14.25" customHeight="1">
      <c r="K773" s="18"/>
      <c r="L773" s="19"/>
    </row>
    <row r="774" spans="11:12" ht="14.25" customHeight="1">
      <c r="K774" s="18"/>
      <c r="L774" s="19"/>
    </row>
    <row r="775" spans="11:12" ht="14.25" customHeight="1">
      <c r="K775" s="18"/>
      <c r="L775" s="19"/>
    </row>
    <row r="776" spans="11:12" ht="14.25" customHeight="1">
      <c r="K776" s="18"/>
      <c r="L776" s="19"/>
    </row>
    <row r="777" spans="11:12" ht="14.25" customHeight="1">
      <c r="K777" s="18"/>
      <c r="L777" s="19"/>
    </row>
    <row r="778" spans="11:12" ht="14.25" customHeight="1">
      <c r="K778" s="18"/>
      <c r="L778" s="19"/>
    </row>
    <row r="779" spans="11:12" ht="14.25" customHeight="1">
      <c r="K779" s="18"/>
      <c r="L779" s="19"/>
    </row>
    <row r="780" spans="11:12" ht="14.25" customHeight="1">
      <c r="K780" s="18"/>
      <c r="L780" s="19"/>
    </row>
    <row r="781" spans="11:12" ht="14.25" customHeight="1">
      <c r="K781" s="18"/>
      <c r="L781" s="19"/>
    </row>
    <row r="782" spans="11:12" ht="14.25" customHeight="1">
      <c r="K782" s="18"/>
      <c r="L782" s="19"/>
    </row>
    <row r="783" spans="11:12" ht="14.25" customHeight="1">
      <c r="K783" s="18"/>
      <c r="L783" s="19"/>
    </row>
    <row r="784" spans="11:12" ht="14.25" customHeight="1">
      <c r="K784" s="18"/>
      <c r="L784" s="19"/>
    </row>
    <row r="785" spans="11:12" ht="14.25" customHeight="1">
      <c r="K785" s="18"/>
      <c r="L785" s="19"/>
    </row>
    <row r="786" spans="11:12" ht="14.25" customHeight="1">
      <c r="K786" s="18"/>
      <c r="L786" s="19"/>
    </row>
    <row r="787" spans="11:12" ht="14.25" customHeight="1">
      <c r="K787" s="18"/>
      <c r="L787" s="19"/>
    </row>
    <row r="788" spans="11:12" ht="14.25" customHeight="1">
      <c r="K788" s="18"/>
      <c r="L788" s="19"/>
    </row>
    <row r="789" spans="11:12" ht="14.25" customHeight="1">
      <c r="K789" s="18"/>
      <c r="L789" s="19"/>
    </row>
    <row r="790" spans="11:12" ht="14.25" customHeight="1">
      <c r="K790" s="18"/>
      <c r="L790" s="19"/>
    </row>
    <row r="791" spans="11:12" ht="14.25" customHeight="1">
      <c r="K791" s="18"/>
      <c r="L791" s="19"/>
    </row>
    <row r="792" spans="11:12" ht="14.25" customHeight="1">
      <c r="K792" s="18"/>
      <c r="L792" s="19"/>
    </row>
    <row r="793" spans="11:12" ht="14.25" customHeight="1">
      <c r="K793" s="18"/>
      <c r="L793" s="19"/>
    </row>
    <row r="794" spans="11:12" ht="14.25" customHeight="1">
      <c r="K794" s="18"/>
      <c r="L794" s="19"/>
    </row>
    <row r="795" spans="11:12" ht="14.25" customHeight="1">
      <c r="K795" s="18"/>
      <c r="L795" s="19"/>
    </row>
    <row r="796" spans="11:12" ht="14.25" customHeight="1">
      <c r="K796" s="18"/>
      <c r="L796" s="19"/>
    </row>
    <row r="797" spans="11:12" ht="14.25" customHeight="1">
      <c r="K797" s="18"/>
      <c r="L797" s="19"/>
    </row>
    <row r="798" spans="11:12" ht="14.25" customHeight="1">
      <c r="K798" s="18"/>
      <c r="L798" s="19"/>
    </row>
    <row r="799" spans="11:12" ht="14.25" customHeight="1">
      <c r="K799" s="18"/>
      <c r="L799" s="19"/>
    </row>
    <row r="800" spans="11:12" ht="14.25" customHeight="1">
      <c r="K800" s="18"/>
      <c r="L800" s="19"/>
    </row>
    <row r="801" spans="11:12" ht="14.25" customHeight="1">
      <c r="K801" s="18"/>
      <c r="L801" s="19"/>
    </row>
    <row r="802" spans="11:12" ht="14.25" customHeight="1">
      <c r="K802" s="18"/>
      <c r="L802" s="19"/>
    </row>
    <row r="803" spans="11:12" ht="14.25" customHeight="1">
      <c r="K803" s="18"/>
      <c r="L803" s="19"/>
    </row>
    <row r="804" spans="11:12" ht="14.25" customHeight="1">
      <c r="K804" s="18"/>
      <c r="L804" s="19"/>
    </row>
    <row r="805" spans="11:12" ht="14.25" customHeight="1">
      <c r="K805" s="18"/>
      <c r="L805" s="19"/>
    </row>
    <row r="806" spans="11:12" ht="14.25" customHeight="1">
      <c r="K806" s="18"/>
      <c r="L806" s="19"/>
    </row>
    <row r="807" spans="11:12" ht="14.25" customHeight="1">
      <c r="K807" s="18"/>
      <c r="L807" s="19"/>
    </row>
    <row r="808" spans="11:12" ht="14.25" customHeight="1">
      <c r="K808" s="18"/>
      <c r="L808" s="19"/>
    </row>
    <row r="809" spans="11:12" ht="14.25" customHeight="1">
      <c r="K809" s="18"/>
      <c r="L809" s="19"/>
    </row>
    <row r="810" spans="11:12" ht="14.25" customHeight="1">
      <c r="K810" s="18"/>
      <c r="L810" s="19"/>
    </row>
    <row r="811" spans="11:12" ht="14.25" customHeight="1">
      <c r="K811" s="18"/>
      <c r="L811" s="19"/>
    </row>
    <row r="812" spans="11:12" ht="14.25" customHeight="1">
      <c r="K812" s="18"/>
      <c r="L812" s="19"/>
    </row>
    <row r="813" spans="11:12" ht="14.25" customHeight="1">
      <c r="K813" s="18"/>
      <c r="L813" s="19"/>
    </row>
    <row r="814" spans="11:12" ht="14.25" customHeight="1">
      <c r="K814" s="18"/>
      <c r="L814" s="19"/>
    </row>
    <row r="815" spans="11:12" ht="14.25" customHeight="1">
      <c r="K815" s="18"/>
      <c r="L815" s="19"/>
    </row>
    <row r="816" spans="11:12" ht="14.25" customHeight="1">
      <c r="K816" s="18"/>
      <c r="L816" s="19"/>
    </row>
    <row r="817" spans="11:12" ht="14.25" customHeight="1">
      <c r="K817" s="18"/>
      <c r="L817" s="19"/>
    </row>
    <row r="818" spans="11:12" ht="14.25" customHeight="1">
      <c r="K818" s="18"/>
      <c r="L818" s="19"/>
    </row>
    <row r="819" spans="11:12" ht="14.25" customHeight="1">
      <c r="K819" s="18"/>
      <c r="L819" s="19"/>
    </row>
    <row r="820" spans="11:12" ht="14.25" customHeight="1">
      <c r="K820" s="18"/>
      <c r="L820" s="19"/>
    </row>
    <row r="821" spans="11:12" ht="14.25" customHeight="1">
      <c r="K821" s="18"/>
      <c r="L821" s="19"/>
    </row>
    <row r="822" spans="11:12" ht="14.25" customHeight="1">
      <c r="K822" s="18"/>
      <c r="L822" s="19"/>
    </row>
    <row r="823" spans="11:12" ht="14.25" customHeight="1">
      <c r="K823" s="18"/>
      <c r="L823" s="19"/>
    </row>
    <row r="824" spans="11:12" ht="14.25" customHeight="1">
      <c r="K824" s="18"/>
      <c r="L824" s="19"/>
    </row>
    <row r="825" spans="11:12" ht="14.25" customHeight="1">
      <c r="K825" s="18"/>
      <c r="L825" s="19"/>
    </row>
    <row r="826" spans="11:12" ht="14.25" customHeight="1">
      <c r="K826" s="18"/>
      <c r="L826" s="19"/>
    </row>
    <row r="827" spans="11:12" ht="14.25" customHeight="1">
      <c r="K827" s="18"/>
      <c r="L827" s="19"/>
    </row>
    <row r="828" spans="11:12" ht="14.25" customHeight="1">
      <c r="K828" s="18"/>
      <c r="L828" s="19"/>
    </row>
    <row r="829" spans="11:12" ht="14.25" customHeight="1">
      <c r="K829" s="18"/>
      <c r="L829" s="19"/>
    </row>
    <row r="830" spans="11:12" ht="14.25" customHeight="1">
      <c r="K830" s="18"/>
      <c r="L830" s="19"/>
    </row>
    <row r="831" spans="11:12" ht="14.25" customHeight="1">
      <c r="K831" s="18"/>
      <c r="L831" s="19"/>
    </row>
    <row r="832" spans="11:12" ht="14.25" customHeight="1">
      <c r="K832" s="18"/>
      <c r="L832" s="19"/>
    </row>
    <row r="833" spans="11:12" ht="14.25" customHeight="1">
      <c r="K833" s="18"/>
      <c r="L833" s="19"/>
    </row>
    <row r="834" spans="11:12" ht="14.25" customHeight="1">
      <c r="K834" s="18"/>
      <c r="L834" s="19"/>
    </row>
    <row r="835" spans="11:12" ht="14.25" customHeight="1">
      <c r="K835" s="18"/>
      <c r="L835" s="19"/>
    </row>
    <row r="836" spans="11:12" ht="14.25" customHeight="1">
      <c r="K836" s="18"/>
      <c r="L836" s="19"/>
    </row>
    <row r="837" spans="11:12" ht="14.25" customHeight="1">
      <c r="K837" s="18"/>
      <c r="L837" s="19"/>
    </row>
    <row r="838" spans="11:12" ht="14.25" customHeight="1">
      <c r="K838" s="18"/>
      <c r="L838" s="19"/>
    </row>
    <row r="839" spans="11:12" ht="14.25" customHeight="1">
      <c r="K839" s="18"/>
      <c r="L839" s="19"/>
    </row>
    <row r="840" spans="11:12" ht="14.25" customHeight="1">
      <c r="K840" s="18"/>
      <c r="L840" s="19"/>
    </row>
    <row r="841" spans="11:12" ht="14.25" customHeight="1">
      <c r="K841" s="18"/>
      <c r="L841" s="19"/>
    </row>
    <row r="842" spans="11:12" ht="14.25" customHeight="1">
      <c r="K842" s="18"/>
      <c r="L842" s="19"/>
    </row>
    <row r="843" spans="11:12" ht="14.25" customHeight="1">
      <c r="K843" s="18"/>
      <c r="L843" s="19"/>
    </row>
    <row r="844" spans="11:12" ht="14.25" customHeight="1">
      <c r="K844" s="18"/>
      <c r="L844" s="19"/>
    </row>
    <row r="845" spans="11:12" ht="14.25" customHeight="1">
      <c r="K845" s="18"/>
      <c r="L845" s="19"/>
    </row>
    <row r="846" spans="11:12" ht="14.25" customHeight="1">
      <c r="K846" s="18"/>
      <c r="L846" s="19"/>
    </row>
    <row r="847" spans="11:12" ht="14.25" customHeight="1">
      <c r="K847" s="18"/>
      <c r="L847" s="19"/>
    </row>
    <row r="848" spans="11:12" ht="14.25" customHeight="1">
      <c r="K848" s="18"/>
      <c r="L848" s="19"/>
    </row>
    <row r="849" spans="11:12" ht="14.25" customHeight="1">
      <c r="K849" s="18"/>
      <c r="L849" s="19"/>
    </row>
    <row r="850" spans="11:12" ht="14.25" customHeight="1">
      <c r="K850" s="18"/>
      <c r="L850" s="19"/>
    </row>
    <row r="851" spans="11:12" ht="14.25" customHeight="1">
      <c r="K851" s="18"/>
      <c r="L851" s="19"/>
    </row>
    <row r="852" spans="11:12" ht="14.25" customHeight="1">
      <c r="K852" s="18"/>
      <c r="L852" s="19"/>
    </row>
    <row r="853" spans="11:12" ht="14.25" customHeight="1">
      <c r="K853" s="18"/>
      <c r="L853" s="19"/>
    </row>
    <row r="854" spans="11:12" ht="14.25" customHeight="1">
      <c r="K854" s="18"/>
      <c r="L854" s="19"/>
    </row>
    <row r="855" spans="11:12" ht="14.25" customHeight="1">
      <c r="K855" s="18"/>
      <c r="L855" s="19"/>
    </row>
    <row r="856" spans="11:12" ht="14.25" customHeight="1">
      <c r="K856" s="18"/>
      <c r="L856" s="19"/>
    </row>
    <row r="857" spans="11:12" ht="14.25" customHeight="1">
      <c r="K857" s="18"/>
      <c r="L857" s="19"/>
    </row>
    <row r="858" spans="11:12" ht="14.25" customHeight="1">
      <c r="K858" s="18"/>
      <c r="L858" s="19"/>
    </row>
    <row r="859" spans="11:12" ht="14.25" customHeight="1">
      <c r="K859" s="18"/>
      <c r="L859" s="19"/>
    </row>
    <row r="860" spans="11:12" ht="14.25" customHeight="1">
      <c r="K860" s="18"/>
      <c r="L860" s="19"/>
    </row>
    <row r="861" spans="11:12" ht="14.25" customHeight="1">
      <c r="K861" s="18"/>
      <c r="L861" s="19"/>
    </row>
    <row r="862" spans="11:12" ht="14.25" customHeight="1">
      <c r="K862" s="18"/>
      <c r="L862" s="19"/>
    </row>
    <row r="863" spans="11:12" ht="14.25" customHeight="1">
      <c r="K863" s="18"/>
      <c r="L863" s="19"/>
    </row>
    <row r="864" spans="11:12" ht="14.25" customHeight="1">
      <c r="K864" s="18"/>
      <c r="L864" s="19"/>
    </row>
    <row r="865" spans="11:12" ht="14.25" customHeight="1">
      <c r="K865" s="18"/>
      <c r="L865" s="19"/>
    </row>
    <row r="866" spans="11:12" ht="14.25" customHeight="1">
      <c r="K866" s="18"/>
      <c r="L866" s="19"/>
    </row>
    <row r="867" spans="11:12" ht="14.25" customHeight="1">
      <c r="K867" s="18"/>
      <c r="L867" s="19"/>
    </row>
    <row r="868" spans="11:12" ht="14.25" customHeight="1">
      <c r="K868" s="18"/>
      <c r="L868" s="19"/>
    </row>
    <row r="869" spans="11:12" ht="14.25" customHeight="1">
      <c r="K869" s="18"/>
      <c r="L869" s="19"/>
    </row>
    <row r="870" spans="11:12" ht="14.25" customHeight="1">
      <c r="K870" s="18"/>
      <c r="L870" s="19"/>
    </row>
    <row r="871" spans="11:12" ht="14.25" customHeight="1">
      <c r="K871" s="18"/>
      <c r="L871" s="19"/>
    </row>
    <row r="872" spans="11:12" ht="14.25" customHeight="1">
      <c r="K872" s="18"/>
      <c r="L872" s="19"/>
    </row>
    <row r="873" spans="11:12" ht="14.25" customHeight="1">
      <c r="K873" s="18"/>
      <c r="L873" s="19"/>
    </row>
    <row r="874" spans="11:12" ht="14.25" customHeight="1">
      <c r="K874" s="18"/>
      <c r="L874" s="19"/>
    </row>
    <row r="875" spans="11:12" ht="14.25" customHeight="1">
      <c r="K875" s="18"/>
      <c r="L875" s="19"/>
    </row>
    <row r="876" spans="11:12" ht="14.25" customHeight="1">
      <c r="K876" s="18"/>
      <c r="L876" s="19"/>
    </row>
    <row r="877" spans="11:12" ht="14.25" customHeight="1">
      <c r="K877" s="18"/>
      <c r="L877" s="19"/>
    </row>
    <row r="878" spans="11:12" ht="14.25" customHeight="1">
      <c r="K878" s="18"/>
      <c r="L878" s="19"/>
    </row>
    <row r="879" spans="11:12" ht="14.25" customHeight="1">
      <c r="K879" s="18"/>
      <c r="L879" s="19"/>
    </row>
    <row r="880" spans="11:12" ht="14.25" customHeight="1">
      <c r="K880" s="18"/>
      <c r="L880" s="19"/>
    </row>
    <row r="881" spans="11:12" ht="14.25" customHeight="1">
      <c r="K881" s="18"/>
      <c r="L881" s="19"/>
    </row>
    <row r="882" spans="11:12" ht="14.25" customHeight="1">
      <c r="K882" s="18"/>
      <c r="L882" s="19"/>
    </row>
    <row r="883" spans="11:12" ht="14.25" customHeight="1">
      <c r="K883" s="18"/>
      <c r="L883" s="19"/>
    </row>
    <row r="884" spans="11:12" ht="14.25" customHeight="1">
      <c r="K884" s="18"/>
      <c r="L884" s="19"/>
    </row>
    <row r="885" spans="11:12" ht="14.25" customHeight="1">
      <c r="K885" s="18"/>
      <c r="L885" s="19"/>
    </row>
    <row r="886" spans="11:12" ht="14.25" customHeight="1">
      <c r="K886" s="18"/>
      <c r="L886" s="19"/>
    </row>
    <row r="887" spans="11:12" ht="14.25" customHeight="1">
      <c r="K887" s="18"/>
      <c r="L887" s="19"/>
    </row>
    <row r="888" spans="11:12" ht="14.25" customHeight="1">
      <c r="K888" s="18"/>
      <c r="L888" s="19"/>
    </row>
    <row r="889" spans="11:12" ht="14.25" customHeight="1">
      <c r="K889" s="18"/>
      <c r="L889" s="19"/>
    </row>
    <row r="890" spans="11:12" ht="14.25" customHeight="1">
      <c r="K890" s="18"/>
      <c r="L890" s="19"/>
    </row>
    <row r="891" spans="11:12" ht="14.25" customHeight="1">
      <c r="K891" s="18"/>
      <c r="L891" s="19"/>
    </row>
    <row r="892" spans="11:12" ht="14.25" customHeight="1">
      <c r="K892" s="18"/>
      <c r="L892" s="19"/>
    </row>
    <row r="893" spans="11:12" ht="14.25" customHeight="1">
      <c r="K893" s="18"/>
      <c r="L893" s="19"/>
    </row>
    <row r="894" spans="11:12" ht="14.25" customHeight="1">
      <c r="K894" s="18"/>
      <c r="L894" s="19"/>
    </row>
    <row r="895" spans="11:12" ht="14.25" customHeight="1">
      <c r="K895" s="18"/>
      <c r="L895" s="19"/>
    </row>
    <row r="896" spans="11:12" ht="14.25" customHeight="1">
      <c r="K896" s="18"/>
      <c r="L896" s="19"/>
    </row>
    <row r="897" spans="11:12" ht="14.25" customHeight="1">
      <c r="K897" s="18"/>
      <c r="L897" s="19"/>
    </row>
    <row r="898" spans="11:12" ht="14.25" customHeight="1">
      <c r="K898" s="18"/>
      <c r="L898" s="19"/>
    </row>
    <row r="899" spans="11:12" ht="14.25" customHeight="1">
      <c r="K899" s="18"/>
      <c r="L899" s="19"/>
    </row>
    <row r="900" spans="11:12" ht="14.25" customHeight="1">
      <c r="K900" s="18"/>
      <c r="L900" s="19"/>
    </row>
    <row r="901" spans="11:12" ht="14.25" customHeight="1">
      <c r="K901" s="18"/>
      <c r="L901" s="19"/>
    </row>
    <row r="902" spans="11:12" ht="14.25" customHeight="1">
      <c r="K902" s="18"/>
      <c r="L902" s="19"/>
    </row>
    <row r="903" spans="11:12" ht="14.25" customHeight="1">
      <c r="K903" s="18"/>
      <c r="L903" s="19"/>
    </row>
    <row r="904" spans="11:12" ht="14.25" customHeight="1">
      <c r="K904" s="18"/>
      <c r="L904" s="19"/>
    </row>
    <row r="905" spans="11:12" ht="14.25" customHeight="1">
      <c r="K905" s="18"/>
      <c r="L905" s="19"/>
    </row>
    <row r="906" spans="11:12" ht="14.25" customHeight="1">
      <c r="K906" s="18"/>
      <c r="L906" s="19"/>
    </row>
    <row r="907" spans="11:12" ht="14.25" customHeight="1">
      <c r="K907" s="18"/>
      <c r="L907" s="19"/>
    </row>
    <row r="908" spans="11:12" ht="14.25" customHeight="1">
      <c r="K908" s="18"/>
      <c r="L908" s="19"/>
    </row>
    <row r="909" spans="11:12" ht="14.25" customHeight="1">
      <c r="K909" s="18"/>
      <c r="L909" s="19"/>
    </row>
    <row r="910" spans="11:12" ht="14.25" customHeight="1">
      <c r="K910" s="18"/>
      <c r="L910" s="19"/>
    </row>
    <row r="911" spans="11:12" ht="14.25" customHeight="1">
      <c r="K911" s="18"/>
      <c r="L911" s="19"/>
    </row>
    <row r="912" spans="11:12" ht="14.25" customHeight="1">
      <c r="K912" s="18"/>
      <c r="L912" s="19"/>
    </row>
    <row r="913" spans="11:12" ht="14.25" customHeight="1">
      <c r="K913" s="18"/>
      <c r="L913" s="19"/>
    </row>
    <row r="914" spans="11:12" ht="14.25" customHeight="1">
      <c r="K914" s="18"/>
      <c r="L914" s="19"/>
    </row>
    <row r="915" spans="11:12" ht="14.25" customHeight="1">
      <c r="K915" s="18"/>
      <c r="L915" s="19"/>
    </row>
    <row r="916" spans="11:12" ht="14.25" customHeight="1">
      <c r="K916" s="18"/>
      <c r="L916" s="19"/>
    </row>
    <row r="917" spans="11:12" ht="14.25" customHeight="1">
      <c r="K917" s="18"/>
      <c r="L917" s="19"/>
    </row>
    <row r="918" spans="11:12" ht="14.25" customHeight="1">
      <c r="K918" s="18"/>
      <c r="L918" s="19"/>
    </row>
    <row r="919" spans="11:12" ht="14.25" customHeight="1">
      <c r="K919" s="18"/>
      <c r="L919" s="19"/>
    </row>
    <row r="920" spans="11:12" ht="14.25" customHeight="1">
      <c r="K920" s="18"/>
      <c r="L920" s="19"/>
    </row>
    <row r="921" spans="11:12" ht="14.25" customHeight="1">
      <c r="K921" s="18"/>
      <c r="L921" s="19"/>
    </row>
    <row r="922" spans="11:12" ht="14.25" customHeight="1">
      <c r="K922" s="18"/>
      <c r="L922" s="19"/>
    </row>
    <row r="923" spans="11:12" ht="14.25" customHeight="1">
      <c r="K923" s="18"/>
      <c r="L923" s="19"/>
    </row>
    <row r="924" spans="11:12" ht="14.25" customHeight="1">
      <c r="K924" s="18"/>
      <c r="L924" s="19"/>
    </row>
    <row r="925" spans="11:12" ht="14.25" customHeight="1">
      <c r="K925" s="18"/>
      <c r="L925" s="19"/>
    </row>
    <row r="926" spans="11:12" ht="14.25" customHeight="1">
      <c r="K926" s="18"/>
      <c r="L926" s="19"/>
    </row>
    <row r="927" spans="11:12" ht="14.25" customHeight="1">
      <c r="K927" s="18"/>
      <c r="L927" s="19"/>
    </row>
    <row r="928" spans="11:12" ht="14.25" customHeight="1">
      <c r="K928" s="18"/>
      <c r="L928" s="19"/>
    </row>
    <row r="929" spans="11:12" ht="14.25" customHeight="1">
      <c r="K929" s="18"/>
      <c r="L929" s="19"/>
    </row>
    <row r="930" spans="11:12" ht="14.25" customHeight="1">
      <c r="K930" s="18"/>
      <c r="L930" s="19"/>
    </row>
    <row r="931" spans="11:12" ht="14.25" customHeight="1">
      <c r="K931" s="18"/>
      <c r="L931" s="19"/>
    </row>
    <row r="932" spans="11:12" ht="14.25" customHeight="1">
      <c r="K932" s="18"/>
      <c r="L932" s="19"/>
    </row>
    <row r="933" spans="11:12" ht="14.25" customHeight="1">
      <c r="K933" s="18"/>
      <c r="L933" s="19"/>
    </row>
    <row r="934" spans="11:12" ht="14.25" customHeight="1">
      <c r="K934" s="18"/>
      <c r="L934" s="19"/>
    </row>
    <row r="935" spans="11:12" ht="14.25" customHeight="1">
      <c r="K935" s="18"/>
      <c r="L935" s="19"/>
    </row>
    <row r="936" spans="11:12" ht="14.25" customHeight="1">
      <c r="K936" s="18"/>
      <c r="L936" s="19"/>
    </row>
    <row r="937" spans="11:12" ht="14.25" customHeight="1">
      <c r="K937" s="18"/>
      <c r="L937" s="19"/>
    </row>
    <row r="938" spans="11:12" ht="14.25" customHeight="1">
      <c r="K938" s="18"/>
      <c r="L938" s="19"/>
    </row>
    <row r="939" spans="11:12" ht="14.25" customHeight="1">
      <c r="K939" s="18"/>
      <c r="L939" s="19"/>
    </row>
    <row r="940" spans="11:12" ht="14.25" customHeight="1">
      <c r="K940" s="18"/>
      <c r="L940" s="19"/>
    </row>
    <row r="941" spans="11:12" ht="14.25" customHeight="1">
      <c r="K941" s="18"/>
      <c r="L941" s="19"/>
    </row>
    <row r="942" spans="11:12" ht="14.25" customHeight="1">
      <c r="K942" s="18"/>
      <c r="L942" s="19"/>
    </row>
    <row r="943" spans="11:12" ht="14.25" customHeight="1">
      <c r="K943" s="18"/>
      <c r="L943" s="19"/>
    </row>
    <row r="944" spans="11:12" ht="14.25" customHeight="1">
      <c r="K944" s="18"/>
      <c r="L944" s="19"/>
    </row>
    <row r="945" spans="11:12" ht="14.25" customHeight="1">
      <c r="K945" s="18"/>
      <c r="L945" s="19"/>
    </row>
    <row r="946" spans="11:12" ht="14.25" customHeight="1">
      <c r="K946" s="18"/>
      <c r="L946" s="19"/>
    </row>
    <row r="947" spans="11:12" ht="14.25" customHeight="1">
      <c r="K947" s="18"/>
      <c r="L947" s="19"/>
    </row>
    <row r="948" spans="11:12" ht="14.25" customHeight="1">
      <c r="K948" s="18"/>
      <c r="L948" s="19"/>
    </row>
    <row r="949" spans="11:12" ht="14.25" customHeight="1">
      <c r="K949" s="18"/>
      <c r="L949" s="19"/>
    </row>
    <row r="950" spans="11:12" ht="14.25" customHeight="1">
      <c r="K950" s="18"/>
      <c r="L950" s="19"/>
    </row>
    <row r="951" spans="11:12" ht="14.25" customHeight="1">
      <c r="K951" s="18"/>
      <c r="L951" s="19"/>
    </row>
    <row r="952" spans="11:12" ht="14.25" customHeight="1">
      <c r="K952" s="18"/>
      <c r="L952" s="19"/>
    </row>
    <row r="953" spans="11:12" ht="14.25" customHeight="1">
      <c r="K953" s="18"/>
      <c r="L953" s="19"/>
    </row>
    <row r="954" spans="11:12" ht="14.25" customHeight="1">
      <c r="K954" s="18"/>
      <c r="L954" s="19"/>
    </row>
    <row r="955" spans="11:12" ht="14.25" customHeight="1">
      <c r="K955" s="18"/>
      <c r="L955" s="19"/>
    </row>
    <row r="956" spans="11:12" ht="14.25" customHeight="1">
      <c r="K956" s="18"/>
      <c r="L956" s="19"/>
    </row>
    <row r="957" spans="11:12" ht="14.25" customHeight="1">
      <c r="K957" s="18"/>
      <c r="L957" s="19"/>
    </row>
    <row r="958" spans="11:12" ht="14.25" customHeight="1">
      <c r="K958" s="18"/>
      <c r="L958" s="19"/>
    </row>
    <row r="959" spans="11:12" ht="14.25" customHeight="1">
      <c r="K959" s="18"/>
      <c r="L959" s="19"/>
    </row>
    <row r="960" spans="11:12" ht="14.25" customHeight="1">
      <c r="K960" s="18"/>
      <c r="L960" s="19"/>
    </row>
    <row r="961" spans="11:12" ht="14.25" customHeight="1">
      <c r="K961" s="18"/>
      <c r="L961" s="19"/>
    </row>
    <row r="962" spans="11:12" ht="14.25" customHeight="1">
      <c r="K962" s="18"/>
      <c r="L962" s="19"/>
    </row>
    <row r="963" spans="11:12" ht="14.25" customHeight="1">
      <c r="K963" s="18"/>
      <c r="L963" s="19"/>
    </row>
    <row r="964" spans="11:12" ht="14.25" customHeight="1">
      <c r="K964" s="18"/>
      <c r="L964" s="19"/>
    </row>
    <row r="965" spans="11:12" ht="14.25" customHeight="1">
      <c r="K965" s="18"/>
      <c r="L965" s="19"/>
    </row>
    <row r="966" spans="11:12" ht="14.25" customHeight="1">
      <c r="K966" s="18"/>
      <c r="L966" s="19"/>
    </row>
    <row r="967" spans="11:12" ht="14.25" customHeight="1">
      <c r="K967" s="18"/>
      <c r="L967" s="19"/>
    </row>
    <row r="968" spans="11:12" ht="14.25" customHeight="1">
      <c r="K968" s="18"/>
      <c r="L968" s="19"/>
    </row>
    <row r="969" spans="11:12" ht="14.25" customHeight="1">
      <c r="K969" s="18"/>
      <c r="L969" s="19"/>
    </row>
    <row r="970" spans="11:12" ht="14.25" customHeight="1">
      <c r="K970" s="18"/>
      <c r="L970" s="19"/>
    </row>
    <row r="971" spans="11:12" ht="14.25" customHeight="1">
      <c r="K971" s="18"/>
      <c r="L971" s="19"/>
    </row>
    <row r="972" spans="11:12" ht="14.25" customHeight="1">
      <c r="K972" s="18"/>
      <c r="L972" s="19"/>
    </row>
    <row r="973" spans="11:12" ht="14.25" customHeight="1">
      <c r="K973" s="18"/>
      <c r="L973" s="19"/>
    </row>
    <row r="974" spans="11:12" ht="14.25" customHeight="1">
      <c r="K974" s="18"/>
      <c r="L974" s="19"/>
    </row>
    <row r="975" spans="11:12" ht="14.25" customHeight="1">
      <c r="K975" s="18"/>
      <c r="L975" s="19"/>
    </row>
    <row r="976" spans="11:12" ht="14.25" customHeight="1">
      <c r="K976" s="18"/>
      <c r="L976" s="19"/>
    </row>
    <row r="977" spans="11:12" ht="14.25" customHeight="1">
      <c r="K977" s="18"/>
      <c r="L977" s="19"/>
    </row>
    <row r="978" spans="11:12" ht="14.25" customHeight="1">
      <c r="K978" s="18"/>
      <c r="L978" s="19"/>
    </row>
    <row r="979" spans="11:12" ht="14.25" customHeight="1">
      <c r="K979" s="18"/>
      <c r="L979" s="19"/>
    </row>
    <row r="980" spans="11:12" ht="14.25" customHeight="1">
      <c r="K980" s="18"/>
      <c r="L980" s="19"/>
    </row>
    <row r="981" spans="11:12" ht="14.25" customHeight="1">
      <c r="K981" s="18"/>
      <c r="L981" s="19"/>
    </row>
    <row r="982" spans="11:12" ht="14.25" customHeight="1">
      <c r="K982" s="18"/>
      <c r="L982" s="19"/>
    </row>
    <row r="983" spans="11:12" ht="14.25" customHeight="1">
      <c r="K983" s="18"/>
      <c r="L983" s="19"/>
    </row>
    <row r="984" spans="11:12" ht="14.25" customHeight="1">
      <c r="K984" s="18"/>
      <c r="L984" s="19"/>
    </row>
    <row r="985" spans="11:12" ht="14.25" customHeight="1">
      <c r="K985" s="18"/>
      <c r="L985" s="19"/>
    </row>
    <row r="986" spans="11:12" ht="14.25" customHeight="1">
      <c r="K986" s="18"/>
      <c r="L986" s="19"/>
    </row>
    <row r="987" spans="11:12" ht="14.25" customHeight="1">
      <c r="K987" s="18"/>
      <c r="L987" s="19"/>
    </row>
    <row r="988" spans="11:12" ht="14.25" customHeight="1">
      <c r="K988" s="18"/>
      <c r="L988" s="19"/>
    </row>
    <row r="989" spans="11:12" ht="14.25" customHeight="1">
      <c r="K989" s="18"/>
      <c r="L989" s="19"/>
    </row>
    <row r="990" spans="11:12" ht="14.25" customHeight="1">
      <c r="K990" s="18"/>
      <c r="L990" s="19"/>
    </row>
    <row r="991" spans="11:12" ht="14.25" customHeight="1">
      <c r="K991" s="18"/>
      <c r="L991" s="19"/>
    </row>
    <row r="992" spans="11:12" ht="14.25" customHeight="1">
      <c r="K992" s="18"/>
      <c r="L992" s="19"/>
    </row>
    <row r="993" spans="11:12" ht="14.25" customHeight="1">
      <c r="K993" s="18"/>
      <c r="L993" s="19"/>
    </row>
    <row r="994" spans="11:12" ht="14.25" customHeight="1">
      <c r="K994" s="18"/>
      <c r="L994" s="19"/>
    </row>
    <row r="995" spans="11:12" ht="14.25" customHeight="1">
      <c r="K995" s="18"/>
      <c r="L995" s="19"/>
    </row>
    <row r="996" spans="11:12" ht="14.25" customHeight="1">
      <c r="K996" s="18"/>
      <c r="L996" s="19"/>
    </row>
    <row r="997" spans="11:12" ht="14.25" customHeight="1">
      <c r="K997" s="18"/>
      <c r="L997" s="19"/>
    </row>
    <row r="998" spans="11:12" ht="14.25" customHeight="1">
      <c r="K998" s="18"/>
      <c r="L998" s="19"/>
    </row>
    <row r="999" spans="11:12" ht="14.25" customHeight="1">
      <c r="K999" s="18"/>
      <c r="L999" s="19"/>
    </row>
    <row r="1000" spans="11:12" ht="14.25" customHeight="1">
      <c r="K1000" s="18"/>
      <c r="L1000" s="19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/>
  </sheetViews>
  <sheetFormatPr defaultColWidth="14.44140625" defaultRowHeight="15" customHeight="1"/>
  <cols>
    <col min="1" max="15" width="8.6640625" customWidth="1"/>
    <col min="16" max="16" width="22.109375" customWidth="1"/>
    <col min="17" max="17" width="99.33203125" customWidth="1"/>
    <col min="18" max="18" width="20.109375" customWidth="1"/>
    <col min="19" max="41" width="8.6640625" customWidth="1"/>
  </cols>
  <sheetData>
    <row r="1" spans="1:27" ht="14.25" customHeight="1">
      <c r="A1" s="15">
        <v>0</v>
      </c>
    </row>
    <row r="2" spans="1:27" ht="14.25" customHeight="1">
      <c r="A2" s="15">
        <v>0</v>
      </c>
      <c r="W2" s="2">
        <v>0</v>
      </c>
      <c r="Z2" s="16" t="s">
        <v>124</v>
      </c>
      <c r="AA2" s="16" t="s">
        <v>59</v>
      </c>
    </row>
    <row r="3" spans="1:27" ht="14.25" customHeight="1">
      <c r="A3" s="15">
        <v>0</v>
      </c>
      <c r="W3" s="2">
        <v>20</v>
      </c>
      <c r="Z3" s="2">
        <v>20</v>
      </c>
      <c r="AA3" s="2">
        <v>57</v>
      </c>
    </row>
    <row r="4" spans="1:27" ht="14.25" customHeight="1">
      <c r="A4" s="15">
        <v>0</v>
      </c>
      <c r="W4" s="2">
        <v>40</v>
      </c>
      <c r="Z4" s="2">
        <v>40</v>
      </c>
      <c r="AA4" s="2">
        <v>33</v>
      </c>
    </row>
    <row r="5" spans="1:27" ht="14.25" customHeight="1">
      <c r="A5" s="15">
        <v>0</v>
      </c>
      <c r="W5" s="2">
        <v>60</v>
      </c>
      <c r="Z5" s="2">
        <v>60</v>
      </c>
      <c r="AA5" s="2">
        <v>13</v>
      </c>
    </row>
    <row r="6" spans="1:27" ht="14.25" customHeight="1">
      <c r="A6" s="15">
        <v>0</v>
      </c>
      <c r="W6" s="2">
        <v>80</v>
      </c>
      <c r="Z6" s="2">
        <v>80</v>
      </c>
      <c r="AA6" s="2">
        <v>16</v>
      </c>
    </row>
    <row r="7" spans="1:27" ht="14.25" customHeight="1">
      <c r="A7" s="15">
        <v>0</v>
      </c>
      <c r="W7" s="2">
        <v>100</v>
      </c>
      <c r="Z7" s="2">
        <v>100</v>
      </c>
      <c r="AA7" s="2">
        <v>11</v>
      </c>
    </row>
    <row r="8" spans="1:27" ht="14.25" customHeight="1">
      <c r="A8" s="15">
        <v>0</v>
      </c>
      <c r="W8" s="2">
        <v>120</v>
      </c>
      <c r="Z8" s="2">
        <v>120</v>
      </c>
      <c r="AA8" s="2">
        <v>13</v>
      </c>
    </row>
    <row r="9" spans="1:27" ht="14.25" customHeight="1">
      <c r="A9" s="15">
        <v>0</v>
      </c>
      <c r="W9" s="2">
        <v>140</v>
      </c>
      <c r="Z9" s="2">
        <v>140</v>
      </c>
      <c r="AA9" s="2">
        <v>6</v>
      </c>
    </row>
    <row r="10" spans="1:27" ht="14.25" customHeight="1">
      <c r="A10" s="15">
        <v>0</v>
      </c>
      <c r="W10" s="2">
        <v>160</v>
      </c>
      <c r="Z10" s="2">
        <v>160</v>
      </c>
      <c r="AA10" s="2">
        <v>0</v>
      </c>
    </row>
    <row r="11" spans="1:27" ht="14.25" customHeight="1">
      <c r="A11" s="15">
        <v>1</v>
      </c>
      <c r="H11" s="15"/>
      <c r="W11" s="2">
        <v>180</v>
      </c>
      <c r="Z11" s="2">
        <v>180</v>
      </c>
      <c r="AA11" s="2">
        <v>0</v>
      </c>
    </row>
    <row r="12" spans="1:27" ht="14.25" customHeight="1">
      <c r="A12" s="15">
        <v>1</v>
      </c>
      <c r="H12" s="15"/>
      <c r="W12" s="2">
        <v>200</v>
      </c>
      <c r="Z12" s="2">
        <v>200</v>
      </c>
      <c r="AA12" s="2">
        <v>1</v>
      </c>
    </row>
    <row r="13" spans="1:27" ht="14.25" customHeight="1">
      <c r="A13" s="15">
        <v>1</v>
      </c>
      <c r="H13" s="15"/>
      <c r="Z13" s="17" t="s">
        <v>113</v>
      </c>
      <c r="AA13" s="17">
        <v>0</v>
      </c>
    </row>
    <row r="14" spans="1:27" ht="14.25" customHeight="1">
      <c r="A14" s="15">
        <v>1</v>
      </c>
      <c r="H14" s="15"/>
    </row>
    <row r="15" spans="1:27" ht="14.25" customHeight="1">
      <c r="A15" s="15">
        <v>1</v>
      </c>
      <c r="H15" s="15"/>
    </row>
    <row r="16" spans="1:27" ht="14.25" customHeight="1">
      <c r="A16" s="15">
        <v>2</v>
      </c>
      <c r="H16" s="15"/>
    </row>
    <row r="17" spans="1:19" ht="14.25" customHeight="1">
      <c r="A17" s="15">
        <v>2</v>
      </c>
      <c r="H17" s="15"/>
    </row>
    <row r="18" spans="1:19" ht="14.25" customHeight="1">
      <c r="A18" s="15">
        <v>2</v>
      </c>
      <c r="H18" s="15"/>
    </row>
    <row r="19" spans="1:19" ht="14.25" customHeight="1">
      <c r="A19" s="15">
        <v>2</v>
      </c>
      <c r="H19" s="15"/>
    </row>
    <row r="20" spans="1:19" ht="14.25" customHeight="1">
      <c r="A20" s="15">
        <v>2</v>
      </c>
      <c r="H20" s="15"/>
    </row>
    <row r="21" spans="1:19" ht="14.25" customHeight="1">
      <c r="A21" s="15">
        <v>2</v>
      </c>
      <c r="M21" s="2" t="s">
        <v>1</v>
      </c>
      <c r="P21" s="22">
        <f>AVERAGE(A1:A150)</f>
        <v>43.413333333333334</v>
      </c>
      <c r="Q21" s="18" t="e">
        <f t="shared" ref="Q21:Q25" ca="1" si="0">_xludf.FORMULATEXT(P21)</f>
        <v>#NAME?</v>
      </c>
      <c r="R21" s="22"/>
      <c r="S21" s="22"/>
    </row>
    <row r="22" spans="1:19" ht="14.25" customHeight="1">
      <c r="A22" s="15">
        <v>2</v>
      </c>
      <c r="M22" s="2" t="s">
        <v>105</v>
      </c>
      <c r="P22" s="22">
        <f>STDEV(A1:A150)</f>
        <v>40.684773905485727</v>
      </c>
      <c r="Q22" s="18" t="e">
        <f t="shared" ca="1" si="0"/>
        <v>#NAME?</v>
      </c>
      <c r="R22" s="22"/>
      <c r="S22" s="22"/>
    </row>
    <row r="23" spans="1:19" ht="14.25" customHeight="1">
      <c r="A23" s="15">
        <v>2</v>
      </c>
      <c r="M23" s="2" t="s">
        <v>15</v>
      </c>
      <c r="P23" s="22">
        <f>VAR(A1:A150)</f>
        <v>1655.2508277404922</v>
      </c>
      <c r="Q23" s="18" t="e">
        <f t="shared" ca="1" si="0"/>
        <v>#NAME?</v>
      </c>
      <c r="R23" s="22"/>
      <c r="S23" s="22"/>
    </row>
    <row r="24" spans="1:19" ht="14.25" customHeight="1">
      <c r="A24" s="15">
        <v>2</v>
      </c>
      <c r="M24" s="2" t="s">
        <v>125</v>
      </c>
      <c r="P24" s="22">
        <f>MEDIAN(A1:A150)</f>
        <v>31</v>
      </c>
      <c r="Q24" s="18" t="e">
        <f t="shared" ca="1" si="0"/>
        <v>#NAME?</v>
      </c>
      <c r="R24" s="2" t="s">
        <v>126</v>
      </c>
      <c r="S24" s="22"/>
    </row>
    <row r="25" spans="1:19" ht="14.25" customHeight="1">
      <c r="A25" s="15">
        <v>3</v>
      </c>
      <c r="M25" s="2" t="s">
        <v>5</v>
      </c>
      <c r="P25" s="22">
        <f>MODE(A1:A150)</f>
        <v>0</v>
      </c>
      <c r="Q25" s="18" t="e">
        <f t="shared" ca="1" si="0"/>
        <v>#NAME?</v>
      </c>
      <c r="R25" s="22"/>
      <c r="S25" s="22"/>
    </row>
    <row r="26" spans="1:19" ht="14.25" customHeight="1">
      <c r="A26" s="15">
        <v>3</v>
      </c>
      <c r="Q26" s="18"/>
    </row>
    <row r="27" spans="1:19" ht="14.25" customHeight="1">
      <c r="A27" s="15">
        <v>3</v>
      </c>
      <c r="M27" s="2" t="s">
        <v>127</v>
      </c>
      <c r="P27" s="22">
        <f>QUARTILE(A1:A150,1)</f>
        <v>9</v>
      </c>
      <c r="Q27" s="18" t="e">
        <f t="shared" ref="Q27:Q29" ca="1" si="1">_xludf.FORMULATEXT(P27)</f>
        <v>#NAME?</v>
      </c>
      <c r="R27" s="2" t="s">
        <v>128</v>
      </c>
      <c r="S27" s="22"/>
    </row>
    <row r="28" spans="1:19" ht="14.25" customHeight="1">
      <c r="A28" s="15">
        <v>4</v>
      </c>
      <c r="P28" s="22">
        <f>ROUND(((COUNT(A1:A150)/4)*1),0)</f>
        <v>38</v>
      </c>
      <c r="Q28" s="18" t="e">
        <f t="shared" ca="1" si="1"/>
        <v>#NAME?</v>
      </c>
      <c r="R28" s="2" t="s">
        <v>129</v>
      </c>
      <c r="S28" s="22"/>
    </row>
    <row r="29" spans="1:19" ht="14.25" customHeight="1">
      <c r="A29" s="15">
        <v>5</v>
      </c>
      <c r="P29" s="22">
        <f t="array" ref="P29">INDEX(A1:A150,38)</f>
        <v>9</v>
      </c>
      <c r="Q29" s="18" t="e">
        <f t="shared" ca="1" si="1"/>
        <v>#NAME?</v>
      </c>
      <c r="R29" s="22" t="s">
        <v>130</v>
      </c>
      <c r="S29" s="22"/>
    </row>
    <row r="30" spans="1:19" ht="14.25" customHeight="1">
      <c r="A30" s="15">
        <v>6</v>
      </c>
      <c r="Q30" s="18"/>
    </row>
    <row r="31" spans="1:19" ht="14.25" customHeight="1">
      <c r="A31" s="15">
        <v>6</v>
      </c>
      <c r="M31" s="2" t="s">
        <v>131</v>
      </c>
      <c r="P31" s="22">
        <f>QUARTILE(A1:A150,3)</f>
        <v>68</v>
      </c>
      <c r="Q31" s="18" t="e">
        <f t="shared" ref="Q31:Q33" ca="1" si="2">_xludf.FORMULATEXT(P31)</f>
        <v>#NAME?</v>
      </c>
      <c r="R31" s="2" t="s">
        <v>132</v>
      </c>
    </row>
    <row r="32" spans="1:19" ht="14.25" customHeight="1">
      <c r="A32" s="15">
        <v>7</v>
      </c>
      <c r="P32" s="22">
        <f>ROUND(((COUNT(A1:A150)/4)*3),0)</f>
        <v>113</v>
      </c>
      <c r="Q32" s="18" t="e">
        <f t="shared" ca="1" si="2"/>
        <v>#NAME?</v>
      </c>
      <c r="R32" s="2" t="s">
        <v>133</v>
      </c>
    </row>
    <row r="33" spans="1:19" ht="14.25" customHeight="1">
      <c r="A33" s="15">
        <v>7</v>
      </c>
      <c r="P33" s="22">
        <f t="array" ref="P33">INDEX(A1:A150,113)</f>
        <v>68</v>
      </c>
      <c r="Q33" s="18" t="e">
        <f t="shared" ca="1" si="2"/>
        <v>#NAME?</v>
      </c>
      <c r="R33" s="22" t="s">
        <v>134</v>
      </c>
    </row>
    <row r="34" spans="1:19" ht="14.25" customHeight="1">
      <c r="A34" s="15">
        <v>8</v>
      </c>
      <c r="P34" s="22"/>
      <c r="Q34" s="18"/>
    </row>
    <row r="35" spans="1:19" ht="14.25" customHeight="1">
      <c r="A35" s="15">
        <v>8</v>
      </c>
      <c r="M35" s="2" t="s">
        <v>135</v>
      </c>
      <c r="P35" s="22">
        <f>P31-P27</f>
        <v>59</v>
      </c>
      <c r="Q35" s="18" t="e">
        <f ca="1">_xludf.FORMULATEXT(P35)</f>
        <v>#NAME?</v>
      </c>
      <c r="R35" s="2" t="s">
        <v>136</v>
      </c>
      <c r="S35" s="22"/>
    </row>
    <row r="36" spans="1:19" ht="14.25" customHeight="1">
      <c r="A36" s="15">
        <v>8</v>
      </c>
      <c r="P36" s="22"/>
      <c r="Q36" s="18"/>
    </row>
    <row r="37" spans="1:19" ht="14.25" customHeight="1">
      <c r="A37" s="15">
        <v>9</v>
      </c>
      <c r="M37" s="2" t="s">
        <v>117</v>
      </c>
      <c r="P37" s="22">
        <f>P31 + (1.5*P35)</f>
        <v>156.5</v>
      </c>
      <c r="Q37" s="18" t="e">
        <f t="shared" ref="Q37:Q40" ca="1" si="3">_xludf.FORMULATEXT(P37)</f>
        <v>#NAME?</v>
      </c>
      <c r="R37" s="2" t="s">
        <v>137</v>
      </c>
      <c r="S37" s="22"/>
    </row>
    <row r="38" spans="1:19" ht="14.25" customHeight="1">
      <c r="A38" s="15">
        <v>9</v>
      </c>
      <c r="M38" s="2" t="s">
        <v>116</v>
      </c>
      <c r="P38" s="22">
        <f>P27 - (1.5*P35)</f>
        <v>-79.5</v>
      </c>
      <c r="Q38" s="18" t="e">
        <f t="shared" ca="1" si="3"/>
        <v>#NAME?</v>
      </c>
      <c r="R38" s="2" t="s">
        <v>138</v>
      </c>
      <c r="S38" s="22"/>
    </row>
    <row r="39" spans="1:19" ht="14.25" customHeight="1">
      <c r="A39" s="15">
        <v>9</v>
      </c>
      <c r="M39" s="2" t="s">
        <v>139</v>
      </c>
      <c r="P39" s="2" t="e">
        <f t="array" aca="1" ref="P39" ca="1">_xlws.FILTER(A1:A151, (A1:A151&gt;P37) + (A1:A151&lt;P38))</f>
        <v>#NAME?</v>
      </c>
      <c r="Q39" s="18" t="e">
        <f t="shared" ca="1" si="3"/>
        <v>#NAME?</v>
      </c>
      <c r="R39" s="2" t="s">
        <v>140</v>
      </c>
      <c r="S39" s="22"/>
    </row>
    <row r="40" spans="1:19" ht="14.25" customHeight="1">
      <c r="A40" s="15">
        <v>9</v>
      </c>
      <c r="M40" s="2" t="s">
        <v>20</v>
      </c>
      <c r="P40" s="22">
        <f>SKEW(A1:A151)</f>
        <v>0.90017629003952671</v>
      </c>
      <c r="Q40" s="18" t="e">
        <f t="shared" ca="1" si="3"/>
        <v>#NAME?</v>
      </c>
      <c r="R40" s="22"/>
      <c r="S40" s="22"/>
    </row>
    <row r="41" spans="1:19" ht="14.25" customHeight="1">
      <c r="A41" s="15">
        <v>10</v>
      </c>
    </row>
    <row r="42" spans="1:19" ht="14.25" customHeight="1">
      <c r="A42" s="15">
        <v>10</v>
      </c>
      <c r="P42" s="2" t="e">
        <f t="array" aca="1" ref="P42" ca="1">_xludf.XLOOKUP(1, ((A1:A151&gt;P37) + (A1:A151&lt;P38)), A1:A151,"No Values Found")</f>
        <v>#NAME?</v>
      </c>
    </row>
    <row r="43" spans="1:19" ht="14.25" customHeight="1">
      <c r="A43" s="15">
        <v>11</v>
      </c>
    </row>
    <row r="44" spans="1:19" ht="14.25" customHeight="1">
      <c r="A44" s="15">
        <v>11</v>
      </c>
    </row>
    <row r="45" spans="1:19" ht="14.25" customHeight="1">
      <c r="A45" s="15">
        <v>12</v>
      </c>
    </row>
    <row r="46" spans="1:19" ht="14.25" customHeight="1">
      <c r="A46" s="15">
        <v>12</v>
      </c>
    </row>
    <row r="47" spans="1:19" ht="14.25" customHeight="1">
      <c r="A47" s="15">
        <v>13</v>
      </c>
    </row>
    <row r="48" spans="1:19" ht="14.25" customHeight="1">
      <c r="A48" s="15">
        <v>14</v>
      </c>
    </row>
    <row r="49" spans="1:19" ht="14.25" customHeight="1">
      <c r="A49" s="15">
        <v>15</v>
      </c>
    </row>
    <row r="50" spans="1:19" ht="14.25" customHeight="1">
      <c r="A50" s="15">
        <v>15</v>
      </c>
      <c r="Q50" s="2" t="s">
        <v>141</v>
      </c>
    </row>
    <row r="51" spans="1:19" ht="14.25" customHeight="1">
      <c r="A51" s="15">
        <v>16</v>
      </c>
      <c r="Q51" s="2" t="s">
        <v>142</v>
      </c>
    </row>
    <row r="52" spans="1:19" ht="14.25" customHeight="1">
      <c r="A52" s="15">
        <v>16</v>
      </c>
      <c r="P52" s="2" t="b">
        <f t="array" ref="P52">IF(OR(A1:A150&gt;P37, A1:A150 &lt; P38), TRUE, FALSE)</f>
        <v>1</v>
      </c>
      <c r="Q52" s="2" t="s">
        <v>143</v>
      </c>
    </row>
    <row r="53" spans="1:19" ht="14.25" customHeight="1">
      <c r="A53" s="15">
        <v>18</v>
      </c>
      <c r="Q53" s="2" t="s">
        <v>144</v>
      </c>
    </row>
    <row r="54" spans="1:19" ht="14.25" customHeight="1">
      <c r="A54" s="15">
        <v>18</v>
      </c>
      <c r="Q54" s="2" t="s">
        <v>145</v>
      </c>
    </row>
    <row r="55" spans="1:19" ht="14.25" customHeight="1">
      <c r="A55" s="15">
        <v>18</v>
      </c>
      <c r="Q55" s="2" t="s">
        <v>146</v>
      </c>
    </row>
    <row r="56" spans="1:19" ht="14.25" customHeight="1">
      <c r="A56" s="15">
        <v>19</v>
      </c>
      <c r="Q56" s="2" t="s">
        <v>147</v>
      </c>
    </row>
    <row r="57" spans="1:19" ht="14.25" customHeight="1">
      <c r="A57" s="15">
        <v>20</v>
      </c>
    </row>
    <row r="58" spans="1:19" ht="14.25" customHeight="1">
      <c r="A58" s="15">
        <v>21</v>
      </c>
    </row>
    <row r="59" spans="1:19" ht="14.25" customHeight="1">
      <c r="A59" s="15">
        <v>22</v>
      </c>
    </row>
    <row r="60" spans="1:19" ht="14.25" customHeight="1">
      <c r="A60" s="15">
        <v>22</v>
      </c>
    </row>
    <row r="61" spans="1:19" ht="14.25" customHeight="1">
      <c r="A61" s="15">
        <v>22</v>
      </c>
    </row>
    <row r="62" spans="1:19" ht="14.25" customHeight="1">
      <c r="A62" s="15">
        <v>22</v>
      </c>
    </row>
    <row r="63" spans="1:19" ht="14.25" customHeight="1">
      <c r="A63" s="15">
        <v>22</v>
      </c>
    </row>
    <row r="64" spans="1:19" ht="14.25" customHeight="1">
      <c r="A64" s="15">
        <v>23</v>
      </c>
      <c r="S64" s="22"/>
    </row>
    <row r="65" spans="1:19" ht="14.25" customHeight="1">
      <c r="A65" s="15">
        <v>23</v>
      </c>
      <c r="P65" s="22"/>
      <c r="Q65" s="22"/>
      <c r="R65" s="22"/>
      <c r="S65" s="22"/>
    </row>
    <row r="66" spans="1:19" ht="14.25" customHeight="1">
      <c r="A66" s="15">
        <v>23</v>
      </c>
      <c r="Q66" s="22"/>
    </row>
    <row r="67" spans="1:19" ht="14.25" customHeight="1">
      <c r="A67" s="15">
        <v>24</v>
      </c>
    </row>
    <row r="68" spans="1:19" ht="14.25" customHeight="1">
      <c r="A68" s="15">
        <v>25</v>
      </c>
    </row>
    <row r="69" spans="1:19" ht="14.25" customHeight="1">
      <c r="A69" s="15">
        <v>26</v>
      </c>
    </row>
    <row r="70" spans="1:19" ht="14.25" customHeight="1">
      <c r="A70" s="15">
        <v>27</v>
      </c>
    </row>
    <row r="71" spans="1:19" ht="14.25" customHeight="1">
      <c r="A71" s="15">
        <v>28</v>
      </c>
    </row>
    <row r="72" spans="1:19" ht="14.25" customHeight="1">
      <c r="A72" s="15">
        <v>28</v>
      </c>
    </row>
    <row r="73" spans="1:19" ht="14.25" customHeight="1">
      <c r="A73" s="15">
        <v>30</v>
      </c>
    </row>
    <row r="74" spans="1:19" ht="14.25" customHeight="1">
      <c r="A74" s="15">
        <v>31</v>
      </c>
    </row>
    <row r="75" spans="1:19" ht="14.25" customHeight="1">
      <c r="A75" s="15">
        <v>31</v>
      </c>
    </row>
    <row r="76" spans="1:19" ht="14.25" customHeight="1">
      <c r="A76" s="15">
        <v>31</v>
      </c>
    </row>
    <row r="77" spans="1:19" ht="14.25" customHeight="1">
      <c r="A77" s="15">
        <v>31</v>
      </c>
    </row>
    <row r="78" spans="1:19" ht="14.25" customHeight="1">
      <c r="A78" s="15">
        <v>31</v>
      </c>
    </row>
    <row r="79" spans="1:19" ht="14.25" customHeight="1">
      <c r="A79" s="15">
        <v>31</v>
      </c>
    </row>
    <row r="80" spans="1:19" ht="14.25" customHeight="1">
      <c r="A80" s="15">
        <v>33</v>
      </c>
    </row>
    <row r="81" spans="1:1" ht="14.25" customHeight="1">
      <c r="A81" s="15">
        <v>33</v>
      </c>
    </row>
    <row r="82" spans="1:1" ht="14.25" customHeight="1">
      <c r="A82" s="15">
        <v>34</v>
      </c>
    </row>
    <row r="83" spans="1:1" ht="14.25" customHeight="1">
      <c r="A83" s="15">
        <v>35</v>
      </c>
    </row>
    <row r="84" spans="1:1" ht="14.25" customHeight="1">
      <c r="A84" s="15">
        <v>35</v>
      </c>
    </row>
    <row r="85" spans="1:1" ht="14.25" customHeight="1">
      <c r="A85" s="15">
        <v>37</v>
      </c>
    </row>
    <row r="86" spans="1:1" ht="14.25" customHeight="1">
      <c r="A86" s="15">
        <v>37</v>
      </c>
    </row>
    <row r="87" spans="1:1" ht="14.25" customHeight="1">
      <c r="A87" s="15">
        <v>37</v>
      </c>
    </row>
    <row r="88" spans="1:1" ht="14.25" customHeight="1">
      <c r="A88" s="15">
        <v>38</v>
      </c>
    </row>
    <row r="89" spans="1:1" ht="14.25" customHeight="1">
      <c r="A89" s="15">
        <v>38</v>
      </c>
    </row>
    <row r="90" spans="1:1" ht="14.25" customHeight="1">
      <c r="A90" s="15">
        <v>40</v>
      </c>
    </row>
    <row r="91" spans="1:1" ht="14.25" customHeight="1">
      <c r="A91" s="15">
        <v>43</v>
      </c>
    </row>
    <row r="92" spans="1:1" ht="14.25" customHeight="1">
      <c r="A92" s="15">
        <v>44</v>
      </c>
    </row>
    <row r="93" spans="1:1" ht="14.25" customHeight="1">
      <c r="A93" s="15">
        <v>46</v>
      </c>
    </row>
    <row r="94" spans="1:1" ht="14.25" customHeight="1">
      <c r="A94" s="15">
        <v>48</v>
      </c>
    </row>
    <row r="95" spans="1:1" ht="14.25" customHeight="1">
      <c r="A95" s="15">
        <v>49</v>
      </c>
    </row>
    <row r="96" spans="1:1" ht="14.25" customHeight="1">
      <c r="A96" s="15">
        <v>53</v>
      </c>
    </row>
    <row r="97" spans="1:1" ht="14.25" customHeight="1">
      <c r="A97" s="15">
        <v>54</v>
      </c>
    </row>
    <row r="98" spans="1:1" ht="14.25" customHeight="1">
      <c r="A98" s="15">
        <v>54</v>
      </c>
    </row>
    <row r="99" spans="1:1" ht="14.25" customHeight="1">
      <c r="A99" s="15">
        <v>54</v>
      </c>
    </row>
    <row r="100" spans="1:1" ht="14.25" customHeight="1">
      <c r="A100" s="15">
        <v>55</v>
      </c>
    </row>
    <row r="101" spans="1:1" ht="14.25" customHeight="1">
      <c r="A101" s="15">
        <v>57</v>
      </c>
    </row>
    <row r="102" spans="1:1" ht="14.25" customHeight="1">
      <c r="A102" s="15">
        <v>58</v>
      </c>
    </row>
    <row r="103" spans="1:1" ht="14.25" customHeight="1">
      <c r="A103" s="15">
        <v>59</v>
      </c>
    </row>
    <row r="104" spans="1:1" ht="14.25" customHeight="1">
      <c r="A104" s="15">
        <v>61</v>
      </c>
    </row>
    <row r="105" spans="1:1" ht="14.25" customHeight="1">
      <c r="A105" s="15">
        <v>62</v>
      </c>
    </row>
    <row r="106" spans="1:1" ht="14.25" customHeight="1">
      <c r="A106" s="15">
        <v>63</v>
      </c>
    </row>
    <row r="107" spans="1:1" ht="14.25" customHeight="1">
      <c r="A107" s="15">
        <v>64</v>
      </c>
    </row>
    <row r="108" spans="1:1" ht="14.25" customHeight="1">
      <c r="A108" s="15">
        <v>66</v>
      </c>
    </row>
    <row r="109" spans="1:1" ht="14.25" customHeight="1">
      <c r="A109" s="15">
        <v>66</v>
      </c>
    </row>
    <row r="110" spans="1:1" ht="14.25" customHeight="1">
      <c r="A110" s="15">
        <v>66</v>
      </c>
    </row>
    <row r="111" spans="1:1" ht="14.25" customHeight="1">
      <c r="A111" s="15">
        <v>68</v>
      </c>
    </row>
    <row r="112" spans="1:1" ht="14.25" customHeight="1">
      <c r="A112" s="15">
        <v>68</v>
      </c>
    </row>
    <row r="113" spans="1:1" ht="14.25" customHeight="1">
      <c r="A113" s="15">
        <v>68</v>
      </c>
    </row>
    <row r="114" spans="1:1" ht="14.25" customHeight="1">
      <c r="A114" s="15">
        <v>71</v>
      </c>
    </row>
    <row r="115" spans="1:1" ht="14.25" customHeight="1">
      <c r="A115" s="15">
        <v>77</v>
      </c>
    </row>
    <row r="116" spans="1:1" ht="14.25" customHeight="1">
      <c r="A116" s="15">
        <v>77</v>
      </c>
    </row>
    <row r="117" spans="1:1" ht="14.25" customHeight="1">
      <c r="A117" s="15">
        <v>78</v>
      </c>
    </row>
    <row r="118" spans="1:1" ht="14.25" customHeight="1">
      <c r="A118" s="15">
        <v>79</v>
      </c>
    </row>
    <row r="119" spans="1:1" ht="14.25" customHeight="1">
      <c r="A119" s="15">
        <v>80</v>
      </c>
    </row>
    <row r="120" spans="1:1" ht="14.25" customHeight="1">
      <c r="A120" s="15">
        <v>81</v>
      </c>
    </row>
    <row r="121" spans="1:1" ht="14.25" customHeight="1">
      <c r="A121" s="15">
        <v>82</v>
      </c>
    </row>
    <row r="122" spans="1:1" ht="14.25" customHeight="1">
      <c r="A122" s="15">
        <v>82</v>
      </c>
    </row>
    <row r="123" spans="1:1" ht="14.25" customHeight="1">
      <c r="A123" s="15">
        <v>86</v>
      </c>
    </row>
    <row r="124" spans="1:1" ht="14.25" customHeight="1">
      <c r="A124" s="15">
        <v>86</v>
      </c>
    </row>
    <row r="125" spans="1:1" ht="14.25" customHeight="1">
      <c r="A125" s="15">
        <v>87</v>
      </c>
    </row>
    <row r="126" spans="1:1" ht="14.25" customHeight="1">
      <c r="A126" s="15">
        <v>91</v>
      </c>
    </row>
    <row r="127" spans="1:1" ht="14.25" customHeight="1">
      <c r="A127" s="15">
        <v>94</v>
      </c>
    </row>
    <row r="128" spans="1:1" ht="14.25" customHeight="1">
      <c r="A128" s="15">
        <v>99</v>
      </c>
    </row>
    <row r="129" spans="1:1" ht="14.25" customHeight="1">
      <c r="A129" s="15">
        <v>100</v>
      </c>
    </row>
    <row r="130" spans="1:1" ht="14.25" customHeight="1">
      <c r="A130" s="15">
        <v>100</v>
      </c>
    </row>
    <row r="131" spans="1:1" ht="14.25" customHeight="1">
      <c r="A131" s="15">
        <v>102</v>
      </c>
    </row>
    <row r="132" spans="1:1" ht="14.25" customHeight="1">
      <c r="A132" s="15">
        <v>102</v>
      </c>
    </row>
    <row r="133" spans="1:1" ht="14.25" customHeight="1">
      <c r="A133" s="15">
        <v>105</v>
      </c>
    </row>
    <row r="134" spans="1:1" ht="14.25" customHeight="1">
      <c r="A134" s="15">
        <v>106</v>
      </c>
    </row>
    <row r="135" spans="1:1" ht="14.25" customHeight="1">
      <c r="A135" s="15">
        <v>107</v>
      </c>
    </row>
    <row r="136" spans="1:1" ht="14.25" customHeight="1">
      <c r="A136" s="15">
        <v>107</v>
      </c>
    </row>
    <row r="137" spans="1:1" ht="14.25" customHeight="1">
      <c r="A137" s="15">
        <v>107</v>
      </c>
    </row>
    <row r="138" spans="1:1" ht="14.25" customHeight="1">
      <c r="A138" s="15">
        <v>108</v>
      </c>
    </row>
    <row r="139" spans="1:1" ht="14.25" customHeight="1">
      <c r="A139" s="15">
        <v>112</v>
      </c>
    </row>
    <row r="140" spans="1:1" ht="14.25" customHeight="1">
      <c r="A140" s="15">
        <v>115</v>
      </c>
    </row>
    <row r="141" spans="1:1" ht="14.25" customHeight="1">
      <c r="A141" s="15">
        <v>115</v>
      </c>
    </row>
    <row r="142" spans="1:1" ht="14.25" customHeight="1">
      <c r="A142" s="15">
        <v>117</v>
      </c>
    </row>
    <row r="143" spans="1:1" ht="14.25" customHeight="1">
      <c r="A143" s="15">
        <v>118</v>
      </c>
    </row>
    <row r="144" spans="1:1" ht="14.25" customHeight="1">
      <c r="A144" s="15">
        <v>123</v>
      </c>
    </row>
    <row r="145" spans="1:1" ht="14.25" customHeight="1">
      <c r="A145" s="15">
        <v>127</v>
      </c>
    </row>
    <row r="146" spans="1:1" ht="14.25" customHeight="1">
      <c r="A146" s="15">
        <v>128</v>
      </c>
    </row>
    <row r="147" spans="1:1" ht="14.25" customHeight="1">
      <c r="A147" s="15">
        <v>133</v>
      </c>
    </row>
    <row r="148" spans="1:1" ht="14.25" customHeight="1">
      <c r="A148" s="15">
        <v>136</v>
      </c>
    </row>
    <row r="149" spans="1:1" ht="14.25" customHeight="1">
      <c r="A149" s="15">
        <v>139</v>
      </c>
    </row>
    <row r="150" spans="1:1" ht="14.25" customHeight="1">
      <c r="A150" s="15">
        <v>183</v>
      </c>
    </row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13" ht="14.25" customHeight="1"/>
    <row r="2" spans="1:13" ht="14.25" customHeight="1"/>
    <row r="3" spans="1:13" ht="14.25" customHeight="1"/>
    <row r="4" spans="1:13" ht="14.25" customHeight="1">
      <c r="A4" s="15" t="s">
        <v>148</v>
      </c>
      <c r="B4" s="15"/>
      <c r="C4" s="15">
        <v>1</v>
      </c>
      <c r="D4" s="15">
        <v>0.1</v>
      </c>
      <c r="E4" s="15"/>
      <c r="F4" s="15" t="s">
        <v>149</v>
      </c>
      <c r="G4" s="15"/>
      <c r="H4" s="15"/>
      <c r="I4" s="15"/>
      <c r="J4" s="15"/>
    </row>
    <row r="5" spans="1:13" ht="14.25" customHeight="1">
      <c r="A5" s="15"/>
      <c r="B5" s="15"/>
      <c r="C5" s="15">
        <v>2</v>
      </c>
      <c r="D5" s="15">
        <v>0.2</v>
      </c>
      <c r="E5" s="15"/>
      <c r="F5" s="15" t="s">
        <v>150</v>
      </c>
      <c r="G5" s="15"/>
      <c r="H5" s="15"/>
      <c r="I5" s="15"/>
      <c r="J5" s="15"/>
    </row>
    <row r="6" spans="1:13" ht="14.25" customHeight="1">
      <c r="A6" s="15"/>
      <c r="B6" s="15"/>
      <c r="C6" s="15">
        <v>3</v>
      </c>
      <c r="D6" s="15">
        <v>0.3</v>
      </c>
      <c r="E6" s="15"/>
      <c r="F6" s="15"/>
      <c r="G6" s="15"/>
      <c r="H6" s="15"/>
      <c r="I6" s="15"/>
      <c r="J6" s="15"/>
    </row>
    <row r="7" spans="1:13" ht="14.25" customHeight="1">
      <c r="A7" s="15"/>
      <c r="B7" s="15"/>
      <c r="C7" s="15">
        <v>4</v>
      </c>
      <c r="D7" s="15">
        <v>0.4</v>
      </c>
      <c r="E7" s="15"/>
      <c r="F7" s="15"/>
      <c r="G7" s="15"/>
      <c r="H7" s="15"/>
      <c r="I7" s="15"/>
      <c r="J7" s="15"/>
    </row>
    <row r="8" spans="1:13" ht="14.25" customHeight="1">
      <c r="A8" s="15"/>
      <c r="B8" s="15"/>
      <c r="C8" s="15">
        <v>5</v>
      </c>
      <c r="D8" s="15">
        <v>0.5</v>
      </c>
      <c r="E8" s="15"/>
      <c r="F8" s="15"/>
      <c r="G8" s="15"/>
      <c r="H8" s="15" t="s">
        <v>151</v>
      </c>
      <c r="I8" s="15"/>
      <c r="J8" s="15"/>
      <c r="K8" s="15"/>
      <c r="L8" s="15"/>
      <c r="M8" s="15"/>
    </row>
    <row r="9" spans="1:13" ht="14.25" customHeight="1">
      <c r="A9" s="15"/>
      <c r="B9" s="15"/>
      <c r="C9" s="15">
        <v>6</v>
      </c>
      <c r="D9" s="15">
        <v>0.6</v>
      </c>
      <c r="E9" s="15"/>
      <c r="F9" s="15"/>
      <c r="G9" s="15"/>
      <c r="H9" s="15"/>
      <c r="I9" s="15"/>
      <c r="J9" s="15"/>
      <c r="K9" s="15"/>
      <c r="L9" s="15"/>
      <c r="M9" s="15"/>
    </row>
    <row r="10" spans="1:13" ht="14.25" customHeight="1">
      <c r="A10" s="15"/>
      <c r="B10" s="15"/>
      <c r="C10" s="15">
        <v>7</v>
      </c>
      <c r="D10" s="15">
        <v>0.7</v>
      </c>
      <c r="E10" s="15"/>
      <c r="F10" s="15"/>
      <c r="G10" s="15"/>
      <c r="H10" s="15" t="s">
        <v>152</v>
      </c>
      <c r="I10" s="15"/>
      <c r="J10" s="15" t="s">
        <v>153</v>
      </c>
      <c r="K10" s="15"/>
      <c r="L10" s="15" t="s">
        <v>154</v>
      </c>
      <c r="M10" s="15"/>
    </row>
    <row r="11" spans="1:13" ht="14.25" customHeight="1">
      <c r="A11" s="15"/>
      <c r="B11" s="15"/>
      <c r="C11" s="15">
        <v>8</v>
      </c>
      <c r="D11" s="15">
        <v>0.8</v>
      </c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25" customHeight="1">
      <c r="A12" s="15"/>
      <c r="B12" s="15"/>
      <c r="C12" s="15">
        <v>9</v>
      </c>
      <c r="D12" s="15">
        <v>0.9</v>
      </c>
      <c r="E12" s="15"/>
      <c r="F12" s="15"/>
      <c r="G12" s="15"/>
      <c r="H12" s="15" t="s">
        <v>155</v>
      </c>
      <c r="I12" s="15"/>
      <c r="J12" s="15" t="s">
        <v>156</v>
      </c>
      <c r="K12" s="15"/>
      <c r="L12" s="15" t="s">
        <v>157</v>
      </c>
      <c r="M12" s="15"/>
    </row>
    <row r="13" spans="1:13" ht="14.25" customHeight="1">
      <c r="A13" s="15"/>
      <c r="B13" s="15"/>
      <c r="C13" s="15">
        <v>10</v>
      </c>
      <c r="D13" s="15">
        <v>1</v>
      </c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4.25" customHeight="1">
      <c r="A14" s="15"/>
      <c r="B14" s="15"/>
      <c r="C14" s="15"/>
      <c r="D14" s="15"/>
      <c r="E14" s="15"/>
      <c r="F14" s="15"/>
      <c r="G14" s="15"/>
      <c r="H14" s="15" t="s">
        <v>158</v>
      </c>
      <c r="I14" s="15"/>
      <c r="J14" s="15" t="s">
        <v>159</v>
      </c>
      <c r="K14" s="15"/>
      <c r="L14" s="15" t="s">
        <v>160</v>
      </c>
      <c r="M14" s="15"/>
    </row>
    <row r="15" spans="1:13" ht="14.25" customHeight="1">
      <c r="A15" s="15" t="s">
        <v>161</v>
      </c>
      <c r="B15" s="15"/>
      <c r="C15" s="15">
        <v>1</v>
      </c>
      <c r="D15" s="15">
        <v>0.01</v>
      </c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4.25" customHeight="1">
      <c r="A16" s="15"/>
      <c r="B16" s="15"/>
      <c r="C16" s="15">
        <v>2</v>
      </c>
      <c r="D16" s="15">
        <v>0.02</v>
      </c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4.25" customHeight="1">
      <c r="A17" s="15"/>
      <c r="B17" s="15"/>
      <c r="C17" s="15">
        <v>3</v>
      </c>
      <c r="D17" s="15">
        <v>0.03</v>
      </c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25" customHeight="1">
      <c r="A18" s="15"/>
      <c r="B18" s="15"/>
      <c r="C18" s="15">
        <v>4</v>
      </c>
      <c r="D18" s="15"/>
      <c r="E18" s="15"/>
      <c r="F18" s="15"/>
      <c r="G18" s="15"/>
      <c r="H18" s="15" t="s">
        <v>162</v>
      </c>
      <c r="I18" s="15"/>
      <c r="J18" s="15" t="s">
        <v>163</v>
      </c>
      <c r="K18" s="15"/>
      <c r="L18" s="15" t="s">
        <v>164</v>
      </c>
      <c r="M18" s="15"/>
    </row>
    <row r="19" spans="1:13" ht="14.25" customHeight="1">
      <c r="A19" s="15"/>
      <c r="B19" s="15"/>
      <c r="C19" s="15">
        <v>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4.25" customHeight="1">
      <c r="A20" s="15"/>
      <c r="B20" s="15"/>
      <c r="C20" s="15">
        <v>6</v>
      </c>
      <c r="D20" s="15"/>
      <c r="E20" s="15"/>
      <c r="F20" s="15"/>
      <c r="G20" s="15"/>
      <c r="H20" s="15" t="s">
        <v>165</v>
      </c>
      <c r="I20" s="15"/>
      <c r="J20" s="15" t="s">
        <v>166</v>
      </c>
      <c r="K20" s="15"/>
      <c r="L20" s="15" t="s">
        <v>167</v>
      </c>
      <c r="M20" s="15"/>
    </row>
    <row r="21" spans="1:13" ht="14.25" customHeight="1">
      <c r="A21" s="15"/>
      <c r="B21" s="15"/>
      <c r="C21" s="15">
        <v>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4.25" customHeight="1">
      <c r="A22" s="15"/>
      <c r="B22" s="15"/>
      <c r="C22" s="15">
        <v>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4.25" customHeight="1">
      <c r="A23" s="15"/>
      <c r="B23" s="15"/>
      <c r="C23" s="15">
        <v>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4.25" customHeight="1">
      <c r="A24" s="15"/>
      <c r="B24" s="15"/>
      <c r="C24" s="15">
        <v>10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4.25" customHeight="1">
      <c r="A25" s="15"/>
      <c r="B25" s="15"/>
      <c r="C25" s="15">
        <v>11</v>
      </c>
      <c r="D25" s="15"/>
      <c r="E25" s="15"/>
      <c r="F25" s="15"/>
      <c r="G25" s="15"/>
      <c r="H25" s="15"/>
      <c r="I25" s="15"/>
      <c r="J25" s="15"/>
    </row>
    <row r="26" spans="1:13" ht="14.25" customHeight="1">
      <c r="C26" s="2" t="s">
        <v>168</v>
      </c>
    </row>
    <row r="27" spans="1:13" ht="14.25" customHeight="1">
      <c r="C27" s="2" t="s">
        <v>168</v>
      </c>
    </row>
    <row r="28" spans="1:13" ht="14.25" customHeight="1">
      <c r="C28" s="2" t="s">
        <v>168</v>
      </c>
    </row>
    <row r="29" spans="1:13" ht="14.25" customHeight="1">
      <c r="C29" s="2" t="s">
        <v>168</v>
      </c>
    </row>
    <row r="30" spans="1:13" ht="14.25" customHeight="1">
      <c r="C30" s="15">
        <v>100</v>
      </c>
    </row>
    <row r="31" spans="1:13" ht="14.25" customHeight="1"/>
    <row r="32" spans="1:1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744"/>
  <sheetViews>
    <sheetView workbookViewId="0"/>
  </sheetViews>
  <sheetFormatPr defaultColWidth="14.44140625" defaultRowHeight="15" customHeight="1"/>
  <cols>
    <col min="1" max="19" width="8.6640625" customWidth="1"/>
  </cols>
  <sheetData>
    <row r="1" spans="1:2" ht="14.25" customHeight="1">
      <c r="A1" s="2" t="s">
        <v>169</v>
      </c>
      <c r="B1" s="2" t="s">
        <v>170</v>
      </c>
    </row>
    <row r="2" spans="1:2" ht="14.25" customHeight="1">
      <c r="A2" s="2">
        <v>1135.5999999999999</v>
      </c>
      <c r="B2" s="2">
        <v>1625.65</v>
      </c>
    </row>
    <row r="3" spans="1:2" ht="14.25" customHeight="1">
      <c r="A3" s="2">
        <v>1134.5999999999999</v>
      </c>
      <c r="B3" s="2">
        <v>1616.8</v>
      </c>
    </row>
    <row r="4" spans="1:2" ht="14.25" customHeight="1">
      <c r="A4" s="2">
        <v>1139.5999999999999</v>
      </c>
      <c r="B4" s="2">
        <v>1638.5</v>
      </c>
    </row>
    <row r="5" spans="1:2" ht="14.25" customHeight="1">
      <c r="A5" s="2">
        <v>1144.1500000000001</v>
      </c>
      <c r="B5" s="2">
        <v>1648.7</v>
      </c>
    </row>
    <row r="6" spans="1:2" ht="14.25" customHeight="1">
      <c r="A6" s="2">
        <v>1144.05</v>
      </c>
      <c r="B6" s="2">
        <v>1639.8</v>
      </c>
    </row>
    <row r="7" spans="1:2" ht="14.25" customHeight="1">
      <c r="A7" s="2">
        <v>1137</v>
      </c>
      <c r="B7" s="2">
        <v>1629.45</v>
      </c>
    </row>
    <row r="8" spans="1:2" ht="14.25" customHeight="1">
      <c r="A8" s="2">
        <v>1143.6500000000001</v>
      </c>
      <c r="B8" s="2">
        <v>1583.85</v>
      </c>
    </row>
    <row r="9" spans="1:2" ht="14.25" customHeight="1">
      <c r="A9" s="2">
        <v>1142.25</v>
      </c>
      <c r="B9" s="2">
        <v>1571.3</v>
      </c>
    </row>
    <row r="10" spans="1:2" ht="14.25" customHeight="1">
      <c r="A10" s="2">
        <v>1148.2</v>
      </c>
      <c r="B10" s="2">
        <v>1573.55</v>
      </c>
    </row>
    <row r="11" spans="1:2" ht="14.25" customHeight="1">
      <c r="A11" s="2">
        <v>1207.05</v>
      </c>
      <c r="B11" s="2">
        <v>1570.4</v>
      </c>
    </row>
    <row r="12" spans="1:2" ht="14.25" customHeight="1">
      <c r="A12" s="2">
        <v>1236.25</v>
      </c>
      <c r="B12" s="2">
        <v>1562.5</v>
      </c>
    </row>
    <row r="13" spans="1:2" ht="14.25" customHeight="1">
      <c r="A13" s="2">
        <v>1221.25</v>
      </c>
      <c r="B13" s="2">
        <v>1559.95</v>
      </c>
    </row>
    <row r="14" spans="1:2" ht="14.25" customHeight="1">
      <c r="A14" s="2">
        <v>1186.2</v>
      </c>
      <c r="B14" s="2">
        <v>1563.45</v>
      </c>
    </row>
    <row r="15" spans="1:2" ht="14.25" customHeight="1">
      <c r="A15" s="2">
        <v>1150.1500000000001</v>
      </c>
      <c r="B15" s="2">
        <v>1539.55</v>
      </c>
    </row>
    <row r="16" spans="1:2" ht="14.25" customHeight="1">
      <c r="A16" s="2">
        <v>1170.75</v>
      </c>
      <c r="B16" s="2">
        <v>1514.3</v>
      </c>
    </row>
    <row r="17" spans="1:2" ht="14.25" customHeight="1">
      <c r="A17" s="2">
        <v>1154.7</v>
      </c>
      <c r="B17" s="2">
        <v>1532.05</v>
      </c>
    </row>
    <row r="18" spans="1:2" ht="14.25" customHeight="1">
      <c r="A18" s="2">
        <v>1058.5999999999999</v>
      </c>
      <c r="B18" s="2">
        <v>1523.4</v>
      </c>
    </row>
    <row r="19" spans="1:2" ht="14.25" customHeight="1">
      <c r="A19" s="2">
        <v>1039.3</v>
      </c>
      <c r="B19" s="2">
        <v>1526</v>
      </c>
    </row>
    <row r="20" spans="1:2" ht="14.25" customHeight="1">
      <c r="A20" s="2">
        <v>1068.95</v>
      </c>
      <c r="B20" s="2">
        <v>1520.45</v>
      </c>
    </row>
    <row r="21" spans="1:2" ht="14.25" customHeight="1">
      <c r="A21" s="2">
        <v>1140.0999999999999</v>
      </c>
      <c r="B21" s="2">
        <v>1540.75</v>
      </c>
    </row>
    <row r="22" spans="1:2" ht="14.25" customHeight="1">
      <c r="A22" s="2">
        <v>1107.95</v>
      </c>
      <c r="B22" s="2">
        <v>1540.15</v>
      </c>
    </row>
    <row r="23" spans="1:2" ht="14.25" customHeight="1">
      <c r="A23" s="2">
        <v>1118.8</v>
      </c>
      <c r="B23" s="2">
        <v>1564.8</v>
      </c>
    </row>
    <row r="24" spans="1:2" ht="14.25" customHeight="1">
      <c r="A24" s="2">
        <v>1090.3</v>
      </c>
      <c r="B24" s="2">
        <v>1561.3</v>
      </c>
    </row>
    <row r="25" spans="1:2" ht="14.25" customHeight="1">
      <c r="A25" s="2">
        <v>1070.45</v>
      </c>
      <c r="B25" s="2">
        <v>1559.95</v>
      </c>
    </row>
    <row r="26" spans="1:2" ht="14.25" customHeight="1">
      <c r="A26" s="2">
        <v>1080.4000000000001</v>
      </c>
      <c r="B26" s="2">
        <v>1561.9</v>
      </c>
    </row>
    <row r="27" spans="1:2" ht="14.25" customHeight="1">
      <c r="A27" s="2">
        <v>1095.6500000000001</v>
      </c>
      <c r="B27" s="2">
        <v>1529.1</v>
      </c>
    </row>
    <row r="28" spans="1:2" ht="14.25" customHeight="1">
      <c r="A28" s="2">
        <v>1109</v>
      </c>
      <c r="B28" s="2">
        <v>1530.4</v>
      </c>
    </row>
    <row r="29" spans="1:2" ht="14.25" customHeight="1">
      <c r="A29" s="2">
        <v>1095.45</v>
      </c>
      <c r="B29" s="2">
        <v>1561.05</v>
      </c>
    </row>
    <row r="30" spans="1:2" ht="14.25" customHeight="1">
      <c r="A30" s="2">
        <v>1120.55</v>
      </c>
      <c r="B30" s="2">
        <v>1578.85</v>
      </c>
    </row>
    <row r="31" spans="1:2" ht="14.25" customHeight="1">
      <c r="A31" s="2">
        <v>1139.6500000000001</v>
      </c>
      <c r="B31" s="2">
        <v>1578.95</v>
      </c>
    </row>
    <row r="32" spans="1:2" ht="14.25" customHeight="1">
      <c r="A32" s="2">
        <v>1137.9000000000001</v>
      </c>
      <c r="B32" s="2">
        <v>1569.3</v>
      </c>
    </row>
    <row r="33" spans="1:15" ht="14.25" customHeight="1">
      <c r="A33" s="2">
        <v>1142.75</v>
      </c>
      <c r="B33" s="2">
        <v>1584.45</v>
      </c>
    </row>
    <row r="34" spans="1:15" ht="14.25" customHeight="1">
      <c r="A34" s="2">
        <v>1131</v>
      </c>
      <c r="B34" s="2">
        <v>1580.35</v>
      </c>
    </row>
    <row r="35" spans="1:15" ht="14.25" customHeight="1">
      <c r="A35" s="2">
        <v>1116.4000000000001</v>
      </c>
      <c r="B35" s="2">
        <v>1651.55</v>
      </c>
    </row>
    <row r="36" spans="1:15" ht="14.25" customHeight="1">
      <c r="A36" s="2">
        <v>1094</v>
      </c>
      <c r="B36" s="2">
        <v>1680.25</v>
      </c>
    </row>
    <row r="37" spans="1:15" ht="14.25" customHeight="1">
      <c r="A37" s="2">
        <v>1065</v>
      </c>
      <c r="B37" s="2">
        <v>1711.35</v>
      </c>
    </row>
    <row r="38" spans="1:15" ht="14.25" customHeight="1">
      <c r="A38" s="2">
        <v>1046.45</v>
      </c>
      <c r="B38" s="2">
        <v>1710.2</v>
      </c>
      <c r="J38" s="2">
        <v>1</v>
      </c>
      <c r="K38" s="2">
        <v>1011.15</v>
      </c>
      <c r="N38" s="2" t="s">
        <v>23</v>
      </c>
      <c r="O38" s="2">
        <f>COUNT(K38:K96)</f>
        <v>59</v>
      </c>
    </row>
    <row r="39" spans="1:15" ht="14.25" customHeight="1">
      <c r="A39" s="2">
        <v>1011.15</v>
      </c>
      <c r="B39" s="2">
        <v>1722.8</v>
      </c>
      <c r="J39" s="2">
        <v>2</v>
      </c>
      <c r="K39" s="2">
        <v>1013.55</v>
      </c>
      <c r="N39" s="2" t="s">
        <v>171</v>
      </c>
      <c r="O39" s="2">
        <f>ROUND(59/2,0)</f>
        <v>30</v>
      </c>
    </row>
    <row r="40" spans="1:15" ht="14.25" customHeight="1">
      <c r="A40" s="2">
        <v>1013.55</v>
      </c>
      <c r="B40" s="2">
        <v>1709.9</v>
      </c>
      <c r="J40" s="2">
        <v>3</v>
      </c>
      <c r="K40" s="2">
        <v>1019.55</v>
      </c>
    </row>
    <row r="41" spans="1:15" ht="14.25" customHeight="1">
      <c r="A41" s="2">
        <v>1042</v>
      </c>
      <c r="B41" s="2">
        <v>1707.1</v>
      </c>
      <c r="J41" s="2">
        <v>4</v>
      </c>
      <c r="K41" s="2">
        <v>1029.2</v>
      </c>
    </row>
    <row r="42" spans="1:15" ht="14.25" customHeight="1">
      <c r="A42" s="2">
        <v>1035.8499999999999</v>
      </c>
      <c r="B42" s="2">
        <v>1710</v>
      </c>
      <c r="J42" s="2">
        <v>5</v>
      </c>
      <c r="K42" s="2">
        <v>1033.8499999999999</v>
      </c>
    </row>
    <row r="43" spans="1:15" ht="14.25" customHeight="1">
      <c r="A43" s="2">
        <v>1048.9000000000001</v>
      </c>
      <c r="B43" s="2">
        <v>1739.55</v>
      </c>
      <c r="J43" s="2">
        <v>6</v>
      </c>
      <c r="K43" s="2">
        <v>1035.8499999999999</v>
      </c>
    </row>
    <row r="44" spans="1:15" ht="14.25" customHeight="1">
      <c r="A44" s="2">
        <v>1064.3</v>
      </c>
      <c r="B44" s="2">
        <v>1741.8</v>
      </c>
      <c r="J44" s="2">
        <v>7</v>
      </c>
      <c r="K44" s="2">
        <v>1036.1500000000001</v>
      </c>
    </row>
    <row r="45" spans="1:15" ht="14.25" customHeight="1">
      <c r="A45" s="2">
        <v>1069.8</v>
      </c>
      <c r="B45" s="2">
        <v>1772.55</v>
      </c>
      <c r="J45" s="2">
        <v>8</v>
      </c>
      <c r="K45" s="2">
        <v>1038.8499999999999</v>
      </c>
    </row>
    <row r="46" spans="1:15" ht="14.25" customHeight="1">
      <c r="A46" s="2">
        <v>1063.75</v>
      </c>
      <c r="B46" s="2">
        <v>1750.95</v>
      </c>
      <c r="J46" s="2">
        <v>9</v>
      </c>
      <c r="K46" s="2">
        <v>1039.3</v>
      </c>
    </row>
    <row r="47" spans="1:15" ht="14.25" customHeight="1">
      <c r="A47" s="2">
        <v>1059.55</v>
      </c>
      <c r="B47" s="2">
        <v>1767.65</v>
      </c>
      <c r="J47" s="2">
        <v>10</v>
      </c>
      <c r="K47" s="2">
        <v>1042</v>
      </c>
    </row>
    <row r="48" spans="1:15" ht="14.25" customHeight="1">
      <c r="A48" s="2">
        <v>1044.8499999999999</v>
      </c>
      <c r="B48" s="2">
        <v>1744.95</v>
      </c>
      <c r="J48" s="2">
        <v>11</v>
      </c>
      <c r="K48" s="2">
        <v>1044.8499999999999</v>
      </c>
    </row>
    <row r="49" spans="1:11" ht="14.25" customHeight="1">
      <c r="A49" s="2">
        <v>1036.1500000000001</v>
      </c>
      <c r="B49" s="2">
        <v>1729.4</v>
      </c>
      <c r="J49" s="2">
        <v>12</v>
      </c>
      <c r="K49" s="2">
        <v>1045.0999999999999</v>
      </c>
    </row>
    <row r="50" spans="1:11" ht="14.25" customHeight="1">
      <c r="A50" s="2">
        <v>1019.55</v>
      </c>
      <c r="B50" s="2">
        <v>1697.55</v>
      </c>
      <c r="J50" s="2">
        <v>13</v>
      </c>
      <c r="K50" s="2">
        <v>1046.45</v>
      </c>
    </row>
    <row r="51" spans="1:11" ht="14.25" customHeight="1">
      <c r="A51" s="2">
        <v>1029.2</v>
      </c>
      <c r="B51" s="2">
        <v>1696.75</v>
      </c>
      <c r="J51" s="2">
        <v>14</v>
      </c>
      <c r="K51" s="2">
        <v>1047.95</v>
      </c>
    </row>
    <row r="52" spans="1:11" ht="14.25" customHeight="1">
      <c r="A52" s="2">
        <v>1038.8499999999999</v>
      </c>
      <c r="B52" s="2">
        <v>1692.3</v>
      </c>
      <c r="J52" s="2">
        <v>15</v>
      </c>
      <c r="K52" s="2">
        <v>1048.9000000000001</v>
      </c>
    </row>
    <row r="53" spans="1:11" ht="14.25" customHeight="1">
      <c r="A53" s="2">
        <v>1049.25</v>
      </c>
      <c r="B53" s="2">
        <v>1702.05</v>
      </c>
      <c r="J53" s="2">
        <v>16</v>
      </c>
      <c r="K53" s="2">
        <v>1049.25</v>
      </c>
    </row>
    <row r="54" spans="1:11" ht="14.25" customHeight="1">
      <c r="A54" s="2">
        <v>1063.0999999999999</v>
      </c>
      <c r="B54" s="2">
        <v>1725.2</v>
      </c>
      <c r="J54" s="2">
        <v>17</v>
      </c>
      <c r="K54" s="2">
        <v>1050.2</v>
      </c>
    </row>
    <row r="55" spans="1:11" ht="14.25" customHeight="1">
      <c r="A55" s="2">
        <v>1050.2</v>
      </c>
      <c r="B55" s="2">
        <v>1742.15</v>
      </c>
      <c r="J55" s="2">
        <v>18</v>
      </c>
      <c r="K55" s="2">
        <v>1050.45</v>
      </c>
    </row>
    <row r="56" spans="1:11" ht="14.25" customHeight="1">
      <c r="A56" s="2">
        <v>1045.0999999999999</v>
      </c>
      <c r="B56" s="2">
        <v>1745.9</v>
      </c>
      <c r="J56" s="2">
        <v>19</v>
      </c>
      <c r="K56" s="2">
        <v>1057.5999999999999</v>
      </c>
    </row>
    <row r="57" spans="1:11" ht="14.25" customHeight="1">
      <c r="A57" s="2">
        <v>1033.8499999999999</v>
      </c>
      <c r="B57" s="2">
        <v>1748.35</v>
      </c>
      <c r="J57" s="2">
        <v>20</v>
      </c>
      <c r="K57" s="2">
        <v>1058.5999999999999</v>
      </c>
    </row>
    <row r="58" spans="1:11" ht="14.25" customHeight="1">
      <c r="A58" s="2">
        <v>1050.45</v>
      </c>
      <c r="B58" s="2">
        <v>1748.85</v>
      </c>
      <c r="J58" s="2">
        <v>21</v>
      </c>
      <c r="K58" s="2">
        <v>1059.55</v>
      </c>
    </row>
    <row r="59" spans="1:11" ht="14.25" customHeight="1">
      <c r="A59" s="2">
        <v>1057.5999999999999</v>
      </c>
      <c r="B59" s="2">
        <v>1757.85</v>
      </c>
      <c r="J59" s="2">
        <v>22</v>
      </c>
      <c r="K59" s="2">
        <v>1063.0999999999999</v>
      </c>
    </row>
    <row r="60" spans="1:11" ht="14.25" customHeight="1">
      <c r="A60" s="2">
        <v>1047.95</v>
      </c>
      <c r="B60" s="2">
        <v>1772.3</v>
      </c>
      <c r="J60" s="2">
        <v>23</v>
      </c>
      <c r="K60" s="2">
        <v>1063.75</v>
      </c>
    </row>
    <row r="61" spans="1:11" ht="14.25" customHeight="1">
      <c r="A61" s="2">
        <v>1049.5999999999999</v>
      </c>
      <c r="B61" s="2">
        <v>1778</v>
      </c>
      <c r="J61" s="2">
        <v>24</v>
      </c>
      <c r="K61" s="2">
        <v>1064.3</v>
      </c>
    </row>
    <row r="62" spans="1:11" ht="14.25" customHeight="1">
      <c r="A62" s="2">
        <v>1059</v>
      </c>
      <c r="B62" s="2">
        <v>1768.85</v>
      </c>
      <c r="J62" s="2">
        <v>25</v>
      </c>
      <c r="K62" s="2">
        <v>1065</v>
      </c>
    </row>
    <row r="63" spans="1:11" ht="14.25" customHeight="1">
      <c r="A63" s="2">
        <v>1064.1500000000001</v>
      </c>
      <c r="B63" s="2">
        <v>1785.1</v>
      </c>
      <c r="J63" s="2">
        <v>26</v>
      </c>
      <c r="K63" s="2">
        <v>1068.95</v>
      </c>
    </row>
    <row r="64" spans="1:11" ht="14.25" customHeight="1">
      <c r="A64" s="2">
        <v>1087.8499999999999</v>
      </c>
      <c r="B64" s="2">
        <v>1762.85</v>
      </c>
      <c r="J64" s="2">
        <v>27</v>
      </c>
      <c r="K64" s="2">
        <v>1069.8</v>
      </c>
    </row>
    <row r="65" spans="1:13" ht="14.25" customHeight="1">
      <c r="A65" s="2">
        <v>1076.45</v>
      </c>
      <c r="B65" s="2">
        <v>1760.95</v>
      </c>
      <c r="J65" s="2">
        <v>28</v>
      </c>
      <c r="K65" s="2">
        <v>1070.45</v>
      </c>
    </row>
    <row r="66" spans="1:13" ht="14.25" customHeight="1">
      <c r="A66" s="2">
        <v>1069.5999999999999</v>
      </c>
      <c r="B66" s="2">
        <v>1770.05</v>
      </c>
      <c r="J66" s="2">
        <v>29</v>
      </c>
      <c r="K66" s="2">
        <v>1080.4000000000001</v>
      </c>
    </row>
    <row r="67" spans="1:13" ht="14.25" customHeight="1">
      <c r="A67" s="2">
        <v>1077.05</v>
      </c>
      <c r="B67" s="2">
        <v>1780.25</v>
      </c>
      <c r="J67" s="2">
        <v>30</v>
      </c>
      <c r="K67" s="2">
        <v>1090.3</v>
      </c>
      <c r="M67" s="2" t="s">
        <v>3</v>
      </c>
    </row>
    <row r="68" spans="1:13" ht="14.25" customHeight="1">
      <c r="A68" s="2">
        <v>1081.3</v>
      </c>
      <c r="B68" s="2">
        <v>1789.75</v>
      </c>
      <c r="J68" s="2">
        <v>31</v>
      </c>
      <c r="K68" s="2">
        <v>1094</v>
      </c>
    </row>
    <row r="69" spans="1:13" ht="14.25" customHeight="1">
      <c r="A69" s="2">
        <v>1074.6500000000001</v>
      </c>
      <c r="B69" s="2">
        <v>1801.1</v>
      </c>
      <c r="J69" s="2">
        <v>32</v>
      </c>
      <c r="K69" s="2">
        <v>1095.45</v>
      </c>
    </row>
    <row r="70" spans="1:13" ht="14.25" customHeight="1">
      <c r="A70" s="2">
        <v>1067.45</v>
      </c>
      <c r="B70" s="2">
        <v>1810.2</v>
      </c>
      <c r="J70" s="2">
        <v>33</v>
      </c>
      <c r="K70" s="2">
        <v>1095.6500000000001</v>
      </c>
    </row>
    <row r="71" spans="1:13" ht="14.25" customHeight="1">
      <c r="A71" s="2">
        <v>1046.3</v>
      </c>
      <c r="B71" s="2">
        <v>1827.8</v>
      </c>
      <c r="J71" s="2">
        <v>34</v>
      </c>
      <c r="K71" s="2">
        <v>1107.95</v>
      </c>
    </row>
    <row r="72" spans="1:13" ht="14.25" customHeight="1">
      <c r="A72" s="2">
        <v>1036.45</v>
      </c>
      <c r="B72" s="2">
        <v>1851.6</v>
      </c>
      <c r="J72" s="2">
        <v>35</v>
      </c>
      <c r="K72" s="2">
        <v>1109</v>
      </c>
    </row>
    <row r="73" spans="1:13" ht="14.25" customHeight="1">
      <c r="A73" s="2">
        <v>1038.55</v>
      </c>
      <c r="B73" s="2">
        <v>1863.05</v>
      </c>
      <c r="J73" s="2">
        <v>36</v>
      </c>
      <c r="K73" s="2">
        <v>1116.4000000000001</v>
      </c>
    </row>
    <row r="74" spans="1:13" ht="14.25" customHeight="1">
      <c r="A74" s="2">
        <v>1031.25</v>
      </c>
      <c r="B74" s="2">
        <v>1917.3</v>
      </c>
      <c r="J74" s="2">
        <v>37</v>
      </c>
      <c r="K74" s="2">
        <v>1118.8</v>
      </c>
    </row>
    <row r="75" spans="1:13" ht="14.25" customHeight="1">
      <c r="A75" s="2">
        <v>1025.5999999999999</v>
      </c>
      <c r="B75" s="2">
        <v>1905.15</v>
      </c>
      <c r="J75" s="2">
        <v>38</v>
      </c>
      <c r="K75" s="2">
        <v>1120.55</v>
      </c>
    </row>
    <row r="76" spans="1:13" ht="14.25" customHeight="1">
      <c r="A76" s="2">
        <v>1032.95</v>
      </c>
      <c r="B76" s="2">
        <v>1898.6</v>
      </c>
      <c r="J76" s="2">
        <v>39</v>
      </c>
      <c r="K76" s="2">
        <v>1131</v>
      </c>
    </row>
    <row r="77" spans="1:13" ht="14.25" customHeight="1">
      <c r="A77" s="2">
        <v>1050.4000000000001</v>
      </c>
      <c r="B77" s="2">
        <v>1883.75</v>
      </c>
      <c r="J77" s="2">
        <v>40</v>
      </c>
      <c r="K77" s="2">
        <v>1134.5999999999999</v>
      </c>
    </row>
    <row r="78" spans="1:13" ht="14.25" customHeight="1">
      <c r="A78" s="2">
        <v>1050.9000000000001</v>
      </c>
      <c r="B78" s="2">
        <v>1885.45</v>
      </c>
      <c r="J78" s="2">
        <v>41</v>
      </c>
      <c r="K78" s="2">
        <v>1135.5999999999999</v>
      </c>
    </row>
    <row r="79" spans="1:13" ht="14.25" customHeight="1">
      <c r="A79" s="2">
        <v>1047.05</v>
      </c>
      <c r="B79" s="2">
        <v>1897.1</v>
      </c>
      <c r="J79" s="2">
        <v>42</v>
      </c>
      <c r="K79" s="2">
        <v>1137</v>
      </c>
    </row>
    <row r="80" spans="1:13" ht="14.25" customHeight="1">
      <c r="A80" s="2">
        <v>1049.4000000000001</v>
      </c>
      <c r="B80" s="2">
        <v>1882.8</v>
      </c>
      <c r="J80" s="2">
        <v>43</v>
      </c>
      <c r="K80" s="2">
        <v>1137.9000000000001</v>
      </c>
    </row>
    <row r="81" spans="1:11" ht="14.25" customHeight="1">
      <c r="A81" s="2">
        <v>1048.05</v>
      </c>
      <c r="B81" s="2">
        <v>1912.95</v>
      </c>
      <c r="J81" s="2">
        <v>44</v>
      </c>
      <c r="K81" s="2">
        <v>1139.5999999999999</v>
      </c>
    </row>
    <row r="82" spans="1:11" ht="14.25" customHeight="1">
      <c r="A82" s="2">
        <v>1038.05</v>
      </c>
      <c r="B82" s="2">
        <v>1898.5</v>
      </c>
      <c r="J82" s="2">
        <v>45</v>
      </c>
      <c r="K82" s="2">
        <v>1139.6500000000001</v>
      </c>
    </row>
    <row r="83" spans="1:11" ht="14.25" customHeight="1">
      <c r="A83" s="2">
        <v>1026.7</v>
      </c>
      <c r="B83" s="2">
        <v>1888.65</v>
      </c>
      <c r="J83" s="2">
        <v>46</v>
      </c>
      <c r="K83" s="2">
        <v>1140.0999999999999</v>
      </c>
    </row>
    <row r="84" spans="1:11" ht="14.25" customHeight="1">
      <c r="A84" s="2">
        <v>1012.2</v>
      </c>
      <c r="B84" s="2">
        <v>1945.6</v>
      </c>
      <c r="J84" s="2">
        <v>47</v>
      </c>
      <c r="K84" s="2">
        <v>1142.25</v>
      </c>
    </row>
    <row r="85" spans="1:11" ht="14.25" customHeight="1">
      <c r="A85" s="2">
        <v>1014.85</v>
      </c>
      <c r="B85" s="2">
        <v>1985.3</v>
      </c>
      <c r="J85" s="2">
        <v>48</v>
      </c>
      <c r="K85" s="2">
        <v>1142.75</v>
      </c>
    </row>
    <row r="86" spans="1:11" ht="14.25" customHeight="1">
      <c r="A86" s="2">
        <v>988.25</v>
      </c>
      <c r="B86" s="2">
        <v>1942.8</v>
      </c>
      <c r="J86" s="2">
        <v>49</v>
      </c>
      <c r="K86" s="2">
        <v>1143.6500000000001</v>
      </c>
    </row>
    <row r="87" spans="1:11" ht="14.25" customHeight="1">
      <c r="A87" s="2">
        <v>1006.5</v>
      </c>
      <c r="B87" s="2">
        <v>1996.1</v>
      </c>
      <c r="J87" s="2">
        <v>50</v>
      </c>
      <c r="K87" s="2">
        <v>1144.05</v>
      </c>
    </row>
    <row r="88" spans="1:11" ht="14.25" customHeight="1">
      <c r="A88" s="2">
        <v>995.2</v>
      </c>
      <c r="B88" s="2">
        <v>1997.8</v>
      </c>
      <c r="J88" s="2">
        <v>51</v>
      </c>
      <c r="K88" s="2">
        <v>1144.1500000000001</v>
      </c>
    </row>
    <row r="89" spans="1:11" ht="14.25" customHeight="1">
      <c r="A89" s="2">
        <v>995</v>
      </c>
      <c r="B89" s="2">
        <v>2057.75</v>
      </c>
      <c r="J89" s="2">
        <v>52</v>
      </c>
      <c r="K89" s="2">
        <v>1148.2</v>
      </c>
    </row>
    <row r="90" spans="1:11" ht="14.25" customHeight="1">
      <c r="A90" s="2">
        <v>1009.4</v>
      </c>
      <c r="B90" s="2">
        <v>2132.4</v>
      </c>
      <c r="J90" s="2">
        <v>53</v>
      </c>
      <c r="K90" s="2">
        <v>1150.1500000000001</v>
      </c>
    </row>
    <row r="91" spans="1:11" ht="14.25" customHeight="1">
      <c r="A91" s="2">
        <v>1005.05</v>
      </c>
      <c r="B91" s="2">
        <v>2140</v>
      </c>
      <c r="J91" s="2">
        <v>54</v>
      </c>
      <c r="K91" s="2">
        <v>1154.7</v>
      </c>
    </row>
    <row r="92" spans="1:11" ht="14.25" customHeight="1">
      <c r="A92" s="2">
        <v>1002.65</v>
      </c>
      <c r="B92" s="2">
        <v>2160.4499999999998</v>
      </c>
      <c r="J92" s="2">
        <v>55</v>
      </c>
      <c r="K92" s="2">
        <v>1170.75</v>
      </c>
    </row>
    <row r="93" spans="1:11" ht="14.25" customHeight="1">
      <c r="A93" s="2">
        <v>1048.5999999999999</v>
      </c>
      <c r="B93" s="2">
        <v>2174.4</v>
      </c>
      <c r="J93" s="2">
        <v>56</v>
      </c>
      <c r="K93" s="2">
        <v>1186.2</v>
      </c>
    </row>
    <row r="94" spans="1:11" ht="14.25" customHeight="1">
      <c r="A94" s="2">
        <v>984.85</v>
      </c>
      <c r="B94" s="2">
        <v>2064.3000000000002</v>
      </c>
      <c r="J94" s="2">
        <v>57</v>
      </c>
      <c r="K94" s="2">
        <v>1207.05</v>
      </c>
    </row>
    <row r="95" spans="1:11" ht="14.25" customHeight="1">
      <c r="A95" s="2">
        <v>991.05</v>
      </c>
      <c r="B95" s="2">
        <v>2085.5500000000002</v>
      </c>
      <c r="J95" s="2">
        <v>58</v>
      </c>
      <c r="K95" s="2">
        <v>1221.25</v>
      </c>
    </row>
    <row r="96" spans="1:11" ht="14.25" customHeight="1">
      <c r="A96" s="2">
        <v>995.4</v>
      </c>
      <c r="B96" s="2">
        <v>2043.95</v>
      </c>
      <c r="J96" s="2">
        <v>59</v>
      </c>
      <c r="K96" s="2">
        <v>1236.25</v>
      </c>
    </row>
    <row r="97" spans="1:2" ht="14.25" customHeight="1">
      <c r="A97" s="2">
        <v>999.5</v>
      </c>
      <c r="B97" s="2">
        <v>2025.9</v>
      </c>
    </row>
    <row r="98" spans="1:2" ht="14.25" customHeight="1">
      <c r="A98" s="2">
        <v>975.7</v>
      </c>
      <c r="B98" s="2">
        <v>2008.95</v>
      </c>
    </row>
    <row r="99" spans="1:2" ht="14.25" customHeight="1">
      <c r="A99" s="2">
        <v>976.7</v>
      </c>
      <c r="B99" s="2">
        <v>2008.35</v>
      </c>
    </row>
    <row r="100" spans="1:2" ht="14.25" customHeight="1">
      <c r="A100" s="2">
        <v>963.9</v>
      </c>
      <c r="B100" s="2">
        <v>1981.1</v>
      </c>
    </row>
    <row r="101" spans="1:2" ht="14.25" customHeight="1">
      <c r="A101" s="2">
        <v>981.3</v>
      </c>
      <c r="B101" s="2">
        <v>1995.9</v>
      </c>
    </row>
    <row r="102" spans="1:2" ht="14.25" customHeight="1">
      <c r="A102" s="2">
        <v>970.55</v>
      </c>
      <c r="B102" s="2">
        <v>2107.9499999999998</v>
      </c>
    </row>
    <row r="103" spans="1:2" ht="14.25" customHeight="1">
      <c r="A103" s="2">
        <v>965</v>
      </c>
      <c r="B103" s="2">
        <v>2087.9</v>
      </c>
    </row>
    <row r="104" spans="1:2" ht="14.25" customHeight="1">
      <c r="A104" s="2">
        <v>968.25</v>
      </c>
      <c r="B104" s="2">
        <v>2107.85</v>
      </c>
    </row>
    <row r="105" spans="1:2" ht="14.25" customHeight="1">
      <c r="A105" s="2">
        <v>994</v>
      </c>
      <c r="B105" s="2">
        <v>2080.4499999999998</v>
      </c>
    </row>
    <row r="106" spans="1:2" ht="14.25" customHeight="1">
      <c r="A106" s="2">
        <v>1000.55</v>
      </c>
      <c r="B106" s="2">
        <v>2035.2</v>
      </c>
    </row>
    <row r="107" spans="1:2" ht="14.25" customHeight="1">
      <c r="A107" s="2">
        <v>978.05</v>
      </c>
      <c r="B107" s="2">
        <v>2030.6</v>
      </c>
    </row>
    <row r="108" spans="1:2" ht="14.25" customHeight="1">
      <c r="A108" s="2">
        <v>996.75</v>
      </c>
      <c r="B108" s="2">
        <v>2028.55</v>
      </c>
    </row>
    <row r="109" spans="1:2" ht="14.25" customHeight="1">
      <c r="A109" s="2">
        <v>996.95</v>
      </c>
      <c r="B109" s="2">
        <v>2103.1999999999998</v>
      </c>
    </row>
    <row r="110" spans="1:2" ht="14.25" customHeight="1">
      <c r="A110" s="2">
        <v>999.3</v>
      </c>
      <c r="B110" s="2">
        <v>2106.3000000000002</v>
      </c>
    </row>
    <row r="111" spans="1:2" ht="14.25" customHeight="1">
      <c r="A111" s="2">
        <v>1001.15</v>
      </c>
      <c r="B111" s="2">
        <v>2076.9</v>
      </c>
    </row>
    <row r="112" spans="1:2" ht="14.25" customHeight="1">
      <c r="A112" s="2">
        <v>1013.7</v>
      </c>
      <c r="B112" s="2">
        <v>2076.1999999999998</v>
      </c>
    </row>
    <row r="113" spans="1:2" ht="14.25" customHeight="1">
      <c r="A113" s="2">
        <v>1011.55</v>
      </c>
      <c r="B113" s="2">
        <v>2077.5</v>
      </c>
    </row>
    <row r="114" spans="1:2" ht="14.25" customHeight="1">
      <c r="A114" s="2">
        <v>1010.4</v>
      </c>
      <c r="B114" s="2">
        <v>2084.6999999999998</v>
      </c>
    </row>
    <row r="115" spans="1:2" ht="14.25" customHeight="1">
      <c r="A115" s="2">
        <v>1013.75</v>
      </c>
      <c r="B115" s="2">
        <v>2096.6999999999998</v>
      </c>
    </row>
    <row r="116" spans="1:2" ht="14.25" customHeight="1">
      <c r="A116" s="2">
        <v>1021.85</v>
      </c>
      <c r="B116" s="2">
        <v>2084.9499999999998</v>
      </c>
    </row>
    <row r="117" spans="1:2" ht="14.25" customHeight="1">
      <c r="A117" s="2">
        <v>1036.3499999999999</v>
      </c>
      <c r="B117" s="2">
        <v>2123.25</v>
      </c>
    </row>
    <row r="118" spans="1:2" ht="14.25" customHeight="1">
      <c r="A118" s="2">
        <v>1021.2</v>
      </c>
      <c r="B118" s="2">
        <v>2097.6</v>
      </c>
    </row>
    <row r="119" spans="1:2" ht="14.25" customHeight="1">
      <c r="A119" s="2">
        <v>1027.5</v>
      </c>
      <c r="B119" s="2">
        <v>2119.5500000000002</v>
      </c>
    </row>
    <row r="120" spans="1:2" ht="14.25" customHeight="1">
      <c r="A120" s="2">
        <v>1003.7</v>
      </c>
      <c r="B120" s="2">
        <v>2141.9</v>
      </c>
    </row>
    <row r="121" spans="1:2" ht="14.25" customHeight="1">
      <c r="A121" s="2">
        <v>1008.95</v>
      </c>
      <c r="B121" s="2">
        <v>2174.5500000000002</v>
      </c>
    </row>
    <row r="122" spans="1:2" ht="14.25" customHeight="1">
      <c r="A122" s="2">
        <v>1010.2</v>
      </c>
      <c r="B122" s="2">
        <v>2193.1999999999998</v>
      </c>
    </row>
    <row r="123" spans="1:2" ht="14.25" customHeight="1">
      <c r="A123" s="2">
        <v>998.3</v>
      </c>
      <c r="B123" s="2">
        <v>2218.25</v>
      </c>
    </row>
    <row r="124" spans="1:2" ht="14.25" customHeight="1">
      <c r="A124" s="2">
        <v>1000.6</v>
      </c>
      <c r="B124" s="2">
        <v>2183.9499999999998</v>
      </c>
    </row>
    <row r="125" spans="1:2" ht="14.25" customHeight="1">
      <c r="A125" s="2">
        <v>995</v>
      </c>
      <c r="B125" s="2">
        <v>2188.6</v>
      </c>
    </row>
    <row r="126" spans="1:2" ht="14.25" customHeight="1">
      <c r="A126" s="2">
        <v>1000.2</v>
      </c>
      <c r="B126" s="2">
        <v>2160.1999999999998</v>
      </c>
    </row>
    <row r="127" spans="1:2" ht="14.25" customHeight="1">
      <c r="A127" s="2">
        <v>984.4</v>
      </c>
      <c r="B127" s="2">
        <v>2169.4</v>
      </c>
    </row>
    <row r="128" spans="1:2" ht="14.25" customHeight="1">
      <c r="A128" s="2">
        <v>996.4</v>
      </c>
      <c r="B128" s="2">
        <v>2135.1999999999998</v>
      </c>
    </row>
    <row r="129" spans="1:2" ht="14.25" customHeight="1">
      <c r="A129" s="2">
        <v>1002.15</v>
      </c>
      <c r="B129" s="2">
        <v>2133.4</v>
      </c>
    </row>
    <row r="130" spans="1:2" ht="14.25" customHeight="1">
      <c r="A130" s="2">
        <v>999.35</v>
      </c>
      <c r="B130" s="2">
        <v>2137.1999999999998</v>
      </c>
    </row>
    <row r="131" spans="1:2" ht="14.25" customHeight="1">
      <c r="A131" s="2">
        <v>1001.25</v>
      </c>
      <c r="B131" s="2">
        <v>2110.0500000000002</v>
      </c>
    </row>
    <row r="132" spans="1:2" ht="14.25" customHeight="1">
      <c r="A132" s="2">
        <v>999.25</v>
      </c>
      <c r="B132" s="2">
        <v>2085.6</v>
      </c>
    </row>
    <row r="133" spans="1:2" ht="14.25" customHeight="1">
      <c r="A133" s="2">
        <v>996.2</v>
      </c>
      <c r="B133" s="2">
        <v>2047.3</v>
      </c>
    </row>
    <row r="134" spans="1:2" ht="14.25" customHeight="1">
      <c r="A134" s="2">
        <v>1014.25</v>
      </c>
      <c r="B134" s="2">
        <v>2088.4</v>
      </c>
    </row>
    <row r="135" spans="1:2" ht="14.25" customHeight="1">
      <c r="A135" s="2">
        <v>1018.2</v>
      </c>
      <c r="B135" s="2">
        <v>2074.15</v>
      </c>
    </row>
    <row r="136" spans="1:2" ht="14.25" customHeight="1">
      <c r="A136" s="2">
        <v>1003.95</v>
      </c>
      <c r="B136" s="2">
        <v>2068.9</v>
      </c>
    </row>
    <row r="137" spans="1:2" ht="14.25" customHeight="1">
      <c r="A137" s="2">
        <v>1020.35</v>
      </c>
      <c r="B137" s="2">
        <v>2047.9</v>
      </c>
    </row>
    <row r="138" spans="1:2" ht="14.25" customHeight="1">
      <c r="A138" s="2">
        <v>1021.25</v>
      </c>
      <c r="B138" s="2">
        <v>2026.9</v>
      </c>
    </row>
    <row r="139" spans="1:2" ht="14.25" customHeight="1">
      <c r="A139" s="2">
        <v>1033.5</v>
      </c>
      <c r="B139" s="2">
        <v>2030.95</v>
      </c>
    </row>
    <row r="140" spans="1:2" ht="14.25" customHeight="1">
      <c r="A140" s="2">
        <v>1028.1500000000001</v>
      </c>
      <c r="B140" s="2">
        <v>2029.9</v>
      </c>
    </row>
    <row r="141" spans="1:2" ht="14.25" customHeight="1">
      <c r="A141" s="2">
        <v>1020.55</v>
      </c>
      <c r="B141" s="2">
        <v>2076.75</v>
      </c>
    </row>
    <row r="142" spans="1:2" ht="14.25" customHeight="1">
      <c r="A142" s="2">
        <v>1017.5</v>
      </c>
      <c r="B142" s="2">
        <v>2065.0500000000002</v>
      </c>
    </row>
    <row r="143" spans="1:2" ht="14.25" customHeight="1">
      <c r="A143" s="2">
        <v>1014.65</v>
      </c>
      <c r="B143" s="2">
        <v>2060</v>
      </c>
    </row>
    <row r="144" spans="1:2" ht="14.25" customHeight="1">
      <c r="A144" s="2">
        <v>1014.1</v>
      </c>
      <c r="B144" s="2">
        <v>2064.5500000000002</v>
      </c>
    </row>
    <row r="145" spans="1:2" ht="14.25" customHeight="1">
      <c r="A145" s="2">
        <v>1008.4</v>
      </c>
      <c r="B145" s="2">
        <v>2023.3</v>
      </c>
    </row>
    <row r="146" spans="1:2" ht="14.25" customHeight="1">
      <c r="A146" s="2">
        <v>1015.95</v>
      </c>
      <c r="B146" s="2">
        <v>2010.8</v>
      </c>
    </row>
    <row r="147" spans="1:2" ht="14.25" customHeight="1">
      <c r="A147" s="2">
        <v>1030.95</v>
      </c>
      <c r="B147" s="2">
        <v>2014.85</v>
      </c>
    </row>
    <row r="148" spans="1:2" ht="14.25" customHeight="1">
      <c r="A148" s="2">
        <v>1027.05</v>
      </c>
      <c r="B148" s="2">
        <v>2003</v>
      </c>
    </row>
    <row r="149" spans="1:2" ht="14.25" customHeight="1">
      <c r="A149" s="2">
        <v>1026.1500000000001</v>
      </c>
      <c r="B149" s="2">
        <v>1998.15</v>
      </c>
    </row>
    <row r="150" spans="1:2" ht="14.25" customHeight="1">
      <c r="A150" s="2">
        <v>1025.45</v>
      </c>
      <c r="B150" s="2">
        <v>2012.15</v>
      </c>
    </row>
    <row r="151" spans="1:2" ht="14.25" customHeight="1">
      <c r="A151" s="2">
        <v>1013.65</v>
      </c>
      <c r="B151" s="2">
        <v>2018.05</v>
      </c>
    </row>
    <row r="152" spans="1:2" ht="14.25" customHeight="1">
      <c r="A152" s="2">
        <v>1010.7</v>
      </c>
      <c r="B152" s="2">
        <v>1995.35</v>
      </c>
    </row>
    <row r="153" spans="1:2" ht="14.25" customHeight="1">
      <c r="A153" s="2">
        <v>1005.6</v>
      </c>
      <c r="B153" s="2">
        <v>1990.35</v>
      </c>
    </row>
    <row r="154" spans="1:2" ht="14.25" customHeight="1">
      <c r="A154" s="2">
        <v>995.8</v>
      </c>
      <c r="B154" s="2">
        <v>1958.25</v>
      </c>
    </row>
    <row r="155" spans="1:2" ht="14.25" customHeight="1">
      <c r="A155" s="2">
        <v>992.05</v>
      </c>
      <c r="B155" s="2">
        <v>1950.4</v>
      </c>
    </row>
    <row r="156" spans="1:2" ht="14.25" customHeight="1">
      <c r="A156" s="2">
        <v>1009.2</v>
      </c>
      <c r="B156" s="2">
        <v>1961.8</v>
      </c>
    </row>
    <row r="157" spans="1:2" ht="14.25" customHeight="1">
      <c r="A157" s="2">
        <v>1009.9</v>
      </c>
      <c r="B157" s="2">
        <v>1945.05</v>
      </c>
    </row>
    <row r="158" spans="1:2" ht="14.25" customHeight="1">
      <c r="A158" s="2">
        <v>1016</v>
      </c>
      <c r="B158" s="2">
        <v>1961.55</v>
      </c>
    </row>
    <row r="159" spans="1:2" ht="14.25" customHeight="1">
      <c r="A159" s="2">
        <v>1019.1</v>
      </c>
      <c r="B159" s="2">
        <v>1943.7</v>
      </c>
    </row>
    <row r="160" spans="1:2" ht="14.25" customHeight="1">
      <c r="A160" s="2">
        <v>1022.45</v>
      </c>
      <c r="B160" s="2">
        <v>1976</v>
      </c>
    </row>
    <row r="161" spans="1:2" ht="14.25" customHeight="1">
      <c r="A161" s="2">
        <v>1020.3</v>
      </c>
      <c r="B161" s="2">
        <v>2017.05</v>
      </c>
    </row>
    <row r="162" spans="1:2" ht="14.25" customHeight="1">
      <c r="A162" s="2">
        <v>1021.15</v>
      </c>
      <c r="B162" s="2">
        <v>1971.8</v>
      </c>
    </row>
    <row r="163" spans="1:2" ht="14.25" customHeight="1">
      <c r="A163" s="2">
        <v>1020.45</v>
      </c>
      <c r="B163" s="2">
        <v>1945.65</v>
      </c>
    </row>
    <row r="164" spans="1:2" ht="14.25" customHeight="1">
      <c r="A164" s="2">
        <v>1022.1</v>
      </c>
      <c r="B164" s="2">
        <v>1889.8</v>
      </c>
    </row>
    <row r="165" spans="1:2" ht="14.25" customHeight="1">
      <c r="A165" s="2">
        <v>1002.35</v>
      </c>
      <c r="B165" s="2">
        <v>1873.45</v>
      </c>
    </row>
    <row r="166" spans="1:2" ht="14.25" customHeight="1">
      <c r="A166" s="2">
        <v>1004.05</v>
      </c>
      <c r="B166" s="2">
        <v>1872.85</v>
      </c>
    </row>
    <row r="167" spans="1:2" ht="14.25" customHeight="1">
      <c r="A167" s="2">
        <v>1009.3</v>
      </c>
      <c r="B167" s="2">
        <v>1894</v>
      </c>
    </row>
    <row r="168" spans="1:2" ht="14.25" customHeight="1">
      <c r="A168" s="2">
        <v>1009</v>
      </c>
      <c r="B168" s="2">
        <v>1860.7</v>
      </c>
    </row>
    <row r="169" spans="1:2" ht="14.25" customHeight="1">
      <c r="A169" s="2">
        <v>1013.15</v>
      </c>
      <c r="B169" s="2">
        <v>1880.25</v>
      </c>
    </row>
    <row r="170" spans="1:2" ht="14.25" customHeight="1">
      <c r="A170" s="2">
        <v>1061.0999999999999</v>
      </c>
      <c r="B170" s="2">
        <v>1906.7</v>
      </c>
    </row>
    <row r="171" spans="1:2" ht="14.25" customHeight="1">
      <c r="A171" s="2">
        <v>1134.05</v>
      </c>
      <c r="B171" s="2">
        <v>1916.4</v>
      </c>
    </row>
    <row r="172" spans="1:2" ht="14.25" customHeight="1">
      <c r="A172" s="2">
        <v>1195.05</v>
      </c>
      <c r="B172" s="2">
        <v>1916.85</v>
      </c>
    </row>
    <row r="173" spans="1:2" ht="14.25" customHeight="1">
      <c r="A173" s="2">
        <v>1188</v>
      </c>
      <c r="B173" s="2">
        <v>1916.8</v>
      </c>
    </row>
    <row r="174" spans="1:2" ht="14.25" customHeight="1">
      <c r="A174" s="2">
        <v>1172.3</v>
      </c>
      <c r="B174" s="2">
        <v>1918.35</v>
      </c>
    </row>
    <row r="175" spans="1:2" ht="14.25" customHeight="1">
      <c r="A175" s="2">
        <v>1205.95</v>
      </c>
      <c r="B175" s="2">
        <v>1916.8</v>
      </c>
    </row>
    <row r="176" spans="1:2" ht="14.25" customHeight="1">
      <c r="A176" s="2">
        <v>1185.0999999999999</v>
      </c>
      <c r="B176" s="2">
        <v>1953.85</v>
      </c>
    </row>
    <row r="177" spans="1:2" ht="14.25" customHeight="1">
      <c r="A177" s="2">
        <v>1170.3</v>
      </c>
      <c r="B177" s="2">
        <v>1938.5</v>
      </c>
    </row>
    <row r="178" spans="1:2" ht="14.25" customHeight="1">
      <c r="A178" s="2">
        <v>1168.0999999999999</v>
      </c>
      <c r="B178" s="2">
        <v>1928.35</v>
      </c>
    </row>
    <row r="179" spans="1:2" ht="14.25" customHeight="1">
      <c r="A179" s="2">
        <v>1152.5999999999999</v>
      </c>
      <c r="B179" s="2">
        <v>1916.8</v>
      </c>
    </row>
    <row r="180" spans="1:2" ht="14.25" customHeight="1">
      <c r="A180" s="2">
        <v>1164.8</v>
      </c>
      <c r="B180" s="2">
        <v>1956.3</v>
      </c>
    </row>
    <row r="181" spans="1:2" ht="14.25" customHeight="1">
      <c r="A181" s="2">
        <v>1161.3499999999999</v>
      </c>
      <c r="B181" s="2">
        <v>2026.9</v>
      </c>
    </row>
    <row r="182" spans="1:2" ht="14.25" customHeight="1">
      <c r="A182" s="2">
        <v>1141.0999999999999</v>
      </c>
      <c r="B182" s="2">
        <v>2070.25</v>
      </c>
    </row>
    <row r="183" spans="1:2" ht="14.25" customHeight="1">
      <c r="A183" s="2">
        <v>1137.8499999999999</v>
      </c>
      <c r="B183" s="2">
        <v>2087.3000000000002</v>
      </c>
    </row>
    <row r="184" spans="1:2" ht="14.25" customHeight="1">
      <c r="A184" s="2">
        <v>1110.55</v>
      </c>
      <c r="B184" s="2">
        <v>2084.8000000000002</v>
      </c>
    </row>
    <row r="185" spans="1:2" ht="14.25" customHeight="1">
      <c r="A185" s="2">
        <v>1090.8</v>
      </c>
      <c r="B185" s="2">
        <v>2112.75</v>
      </c>
    </row>
    <row r="186" spans="1:2" ht="14.25" customHeight="1">
      <c r="A186" s="2">
        <v>1114.9000000000001</v>
      </c>
      <c r="B186" s="2">
        <v>2157.1</v>
      </c>
    </row>
    <row r="187" spans="1:2" ht="14.25" customHeight="1">
      <c r="A187" s="2">
        <v>1112.95</v>
      </c>
      <c r="B187" s="2">
        <v>2158.65</v>
      </c>
    </row>
    <row r="188" spans="1:2" ht="14.25" customHeight="1">
      <c r="A188" s="2">
        <v>1106.05</v>
      </c>
      <c r="B188" s="2">
        <v>2240.9499999999998</v>
      </c>
    </row>
    <row r="189" spans="1:2" ht="14.25" customHeight="1">
      <c r="A189" s="2">
        <v>1079.1500000000001</v>
      </c>
      <c r="B189" s="2">
        <v>2209.9499999999998</v>
      </c>
    </row>
    <row r="190" spans="1:2" ht="14.25" customHeight="1">
      <c r="A190" s="2">
        <v>1107.45</v>
      </c>
      <c r="B190" s="2">
        <v>2251.0500000000002</v>
      </c>
    </row>
    <row r="191" spans="1:2" ht="14.25" customHeight="1">
      <c r="A191" s="2">
        <v>1144.3</v>
      </c>
      <c r="B191" s="2">
        <v>2301.8000000000002</v>
      </c>
    </row>
    <row r="192" spans="1:2" ht="14.25" customHeight="1">
      <c r="A192" s="2">
        <v>1190.25</v>
      </c>
      <c r="B192" s="2">
        <v>2285.15</v>
      </c>
    </row>
    <row r="193" spans="1:2" ht="14.25" customHeight="1">
      <c r="A193" s="2">
        <v>1178.0999999999999</v>
      </c>
      <c r="B193" s="2">
        <v>2290.5</v>
      </c>
    </row>
    <row r="194" spans="1:2" ht="14.25" customHeight="1">
      <c r="A194" s="2">
        <v>1152.4000000000001</v>
      </c>
      <c r="B194" s="2">
        <v>2275.0500000000002</v>
      </c>
    </row>
    <row r="195" spans="1:2" ht="14.25" customHeight="1">
      <c r="A195" s="2">
        <v>1144.6500000000001</v>
      </c>
      <c r="B195" s="2">
        <v>2293.4</v>
      </c>
    </row>
    <row r="196" spans="1:2" ht="14.25" customHeight="1">
      <c r="A196" s="2">
        <v>1157.9000000000001</v>
      </c>
      <c r="B196" s="2">
        <v>2286.15</v>
      </c>
    </row>
    <row r="197" spans="1:2" ht="14.25" customHeight="1">
      <c r="A197" s="2">
        <v>1144.8</v>
      </c>
      <c r="B197" s="2">
        <v>2288.85</v>
      </c>
    </row>
    <row r="198" spans="1:2" ht="14.25" customHeight="1">
      <c r="A198" s="2">
        <v>1141.6500000000001</v>
      </c>
      <c r="B198" s="2">
        <v>2295.0500000000002</v>
      </c>
    </row>
    <row r="199" spans="1:2" ht="14.25" customHeight="1">
      <c r="A199" s="2">
        <v>1145.3499999999999</v>
      </c>
      <c r="B199" s="2">
        <v>2305.1</v>
      </c>
    </row>
    <row r="200" spans="1:2" ht="14.25" customHeight="1">
      <c r="A200" s="2">
        <v>1139.3499999999999</v>
      </c>
      <c r="B200" s="2">
        <v>2300.75</v>
      </c>
    </row>
    <row r="201" spans="1:2" ht="14.25" customHeight="1">
      <c r="A201" s="2">
        <v>1121.7</v>
      </c>
      <c r="B201" s="2">
        <v>2351.1999999999998</v>
      </c>
    </row>
    <row r="202" spans="1:2" ht="14.25" customHeight="1">
      <c r="A202" s="2">
        <v>1133</v>
      </c>
      <c r="B202" s="2">
        <v>2353</v>
      </c>
    </row>
    <row r="203" spans="1:2" ht="14.25" customHeight="1">
      <c r="A203" s="2">
        <v>1129.5999999999999</v>
      </c>
      <c r="B203" s="2">
        <v>2361.1</v>
      </c>
    </row>
    <row r="204" spans="1:2" ht="14.25" customHeight="1">
      <c r="A204" s="2">
        <v>1146.3499999999999</v>
      </c>
      <c r="B204" s="2">
        <v>2352.6999999999998</v>
      </c>
    </row>
    <row r="205" spans="1:2" ht="14.25" customHeight="1">
      <c r="A205" s="2">
        <v>1142.45</v>
      </c>
      <c r="B205" s="2">
        <v>2348</v>
      </c>
    </row>
    <row r="206" spans="1:2" ht="14.25" customHeight="1">
      <c r="A206" s="2">
        <v>1130.1500000000001</v>
      </c>
      <c r="B206" s="2">
        <v>2352.35</v>
      </c>
    </row>
    <row r="207" spans="1:2" ht="14.25" customHeight="1">
      <c r="A207" s="2">
        <v>1131.4000000000001</v>
      </c>
      <c r="B207" s="2">
        <v>2308.8000000000002</v>
      </c>
    </row>
    <row r="208" spans="1:2" ht="14.25" customHeight="1">
      <c r="A208" s="2">
        <v>1124.75</v>
      </c>
      <c r="B208" s="2">
        <v>2261.9</v>
      </c>
    </row>
    <row r="209" spans="1:2" ht="14.25" customHeight="1">
      <c r="A209" s="2">
        <v>1094.1500000000001</v>
      </c>
      <c r="B209" s="2">
        <v>2258.9</v>
      </c>
    </row>
    <row r="210" spans="1:2" ht="14.25" customHeight="1">
      <c r="A210" s="2">
        <v>1123.6500000000001</v>
      </c>
      <c r="B210" s="2">
        <v>2222.4499999999998</v>
      </c>
    </row>
    <row r="211" spans="1:2" ht="14.25" customHeight="1">
      <c r="A211" s="2">
        <v>1110.8499999999999</v>
      </c>
      <c r="B211" s="2">
        <v>2199.0500000000002</v>
      </c>
    </row>
    <row r="212" spans="1:2" ht="14.25" customHeight="1">
      <c r="A212" s="2">
        <v>1100.9000000000001</v>
      </c>
      <c r="B212" s="2">
        <v>2240.85</v>
      </c>
    </row>
    <row r="213" spans="1:2" ht="14.25" customHeight="1">
      <c r="A213" s="2">
        <v>1128.95</v>
      </c>
      <c r="B213" s="2">
        <v>2220.1</v>
      </c>
    </row>
    <row r="214" spans="1:2" ht="14.25" customHeight="1">
      <c r="A214" s="2">
        <v>1136.1500000000001</v>
      </c>
      <c r="B214" s="2">
        <v>2224.6</v>
      </c>
    </row>
    <row r="215" spans="1:2" ht="14.25" customHeight="1">
      <c r="A215" s="2">
        <v>1133.8499999999999</v>
      </c>
      <c r="B215" s="2">
        <v>2276.1</v>
      </c>
    </row>
    <row r="216" spans="1:2" ht="14.25" customHeight="1">
      <c r="A216" s="2">
        <v>1135.3</v>
      </c>
      <c r="B216" s="2">
        <v>2293.5</v>
      </c>
    </row>
    <row r="217" spans="1:2" ht="14.25" customHeight="1">
      <c r="A217" s="2">
        <v>1120.75</v>
      </c>
      <c r="B217" s="2">
        <v>2302.1</v>
      </c>
    </row>
    <row r="218" spans="1:2" ht="14.25" customHeight="1">
      <c r="A218" s="2">
        <v>1127.5999999999999</v>
      </c>
      <c r="B218" s="2">
        <v>2255.75</v>
      </c>
    </row>
    <row r="219" spans="1:2" ht="14.25" customHeight="1">
      <c r="A219" s="2">
        <v>1125.8499999999999</v>
      </c>
      <c r="B219" s="2">
        <v>2254.5</v>
      </c>
    </row>
    <row r="220" spans="1:2" ht="14.25" customHeight="1">
      <c r="A220" s="2">
        <v>1103.55</v>
      </c>
      <c r="B220" s="2">
        <v>2228.3000000000002</v>
      </c>
    </row>
    <row r="221" spans="1:2" ht="14.25" customHeight="1">
      <c r="A221" s="2">
        <v>1099.8499999999999</v>
      </c>
      <c r="B221" s="2">
        <v>2233.0500000000002</v>
      </c>
    </row>
    <row r="222" spans="1:2" ht="14.25" customHeight="1">
      <c r="A222" s="2">
        <v>1104</v>
      </c>
      <c r="B222" s="2">
        <v>2270.35</v>
      </c>
    </row>
    <row r="223" spans="1:2" ht="14.25" customHeight="1">
      <c r="A223" s="2">
        <v>1100.45</v>
      </c>
      <c r="B223" s="2">
        <v>2277.1999999999998</v>
      </c>
    </row>
    <row r="224" spans="1:2" ht="14.25" customHeight="1">
      <c r="A224" s="2">
        <v>1093.5</v>
      </c>
      <c r="B224" s="2">
        <v>2227.6999999999998</v>
      </c>
    </row>
    <row r="225" spans="1:2" ht="14.25" customHeight="1">
      <c r="A225" s="2">
        <v>1085.8499999999999</v>
      </c>
      <c r="B225" s="2">
        <v>2261.85</v>
      </c>
    </row>
    <row r="226" spans="1:2" ht="14.25" customHeight="1">
      <c r="A226" s="2">
        <v>1077.6500000000001</v>
      </c>
      <c r="B226" s="2">
        <v>2240.4</v>
      </c>
    </row>
    <row r="227" spans="1:2" ht="14.25" customHeight="1">
      <c r="A227" s="2">
        <v>1065</v>
      </c>
      <c r="B227" s="2">
        <v>2208.5</v>
      </c>
    </row>
    <row r="228" spans="1:2" ht="14.25" customHeight="1">
      <c r="A228" s="2">
        <v>1041.5</v>
      </c>
      <c r="B228" s="2">
        <v>2098.0500000000002</v>
      </c>
    </row>
    <row r="229" spans="1:2" ht="14.25" customHeight="1">
      <c r="A229" s="2">
        <v>990.7</v>
      </c>
      <c r="B229" s="2">
        <v>2107.25</v>
      </c>
    </row>
    <row r="230" spans="1:2" ht="14.25" customHeight="1">
      <c r="A230" s="2">
        <v>980.2</v>
      </c>
      <c r="B230" s="2">
        <v>2118.15</v>
      </c>
    </row>
    <row r="231" spans="1:2" ht="14.25" customHeight="1">
      <c r="A231" s="2">
        <v>982.9</v>
      </c>
      <c r="B231" s="2">
        <v>2130.6</v>
      </c>
    </row>
    <row r="232" spans="1:2" ht="14.25" customHeight="1">
      <c r="A232" s="2">
        <v>1018.4</v>
      </c>
      <c r="B232" s="2">
        <v>2170.25</v>
      </c>
    </row>
    <row r="233" spans="1:2" ht="14.25" customHeight="1">
      <c r="A233" s="2">
        <v>1026.1500000000001</v>
      </c>
      <c r="B233" s="2">
        <v>2163.8000000000002</v>
      </c>
    </row>
    <row r="234" spans="1:2" ht="14.25" customHeight="1">
      <c r="A234" s="2">
        <v>1009.2</v>
      </c>
      <c r="B234" s="2">
        <v>2131.25</v>
      </c>
    </row>
    <row r="235" spans="1:2" ht="14.25" customHeight="1">
      <c r="A235" s="2">
        <v>1005.6</v>
      </c>
      <c r="B235" s="2">
        <v>2131.35</v>
      </c>
    </row>
    <row r="236" spans="1:2" ht="14.25" customHeight="1">
      <c r="A236" s="2">
        <v>1023.45</v>
      </c>
      <c r="B236" s="2">
        <v>2150.9</v>
      </c>
    </row>
    <row r="237" spans="1:2" ht="14.25" customHeight="1">
      <c r="A237" s="2">
        <v>1004.95</v>
      </c>
      <c r="B237" s="2">
        <v>2146.25</v>
      </c>
    </row>
    <row r="238" spans="1:2" ht="14.25" customHeight="1">
      <c r="A238" s="2">
        <v>1000.3</v>
      </c>
      <c r="B238" s="2">
        <v>2130.5500000000002</v>
      </c>
    </row>
    <row r="239" spans="1:2" ht="14.25" customHeight="1">
      <c r="A239" s="2">
        <v>998</v>
      </c>
      <c r="B239" s="2">
        <v>2135.85</v>
      </c>
    </row>
    <row r="240" spans="1:2" ht="14.25" customHeight="1">
      <c r="A240" s="2">
        <v>999.7</v>
      </c>
      <c r="B240" s="2">
        <v>2156.1999999999998</v>
      </c>
    </row>
    <row r="241" spans="1:2" ht="14.25" customHeight="1">
      <c r="A241" s="2">
        <v>1004.95</v>
      </c>
      <c r="B241" s="2">
        <v>2196.4</v>
      </c>
    </row>
    <row r="242" spans="1:2" ht="14.25" customHeight="1">
      <c r="A242" s="2">
        <v>991.8</v>
      </c>
      <c r="B242" s="2">
        <v>2193</v>
      </c>
    </row>
    <row r="243" spans="1:2" ht="14.25" customHeight="1">
      <c r="A243" s="2">
        <v>989</v>
      </c>
      <c r="B243" s="2">
        <v>2195.0500000000002</v>
      </c>
    </row>
    <row r="244" spans="1:2" ht="14.25" customHeight="1">
      <c r="A244" s="2">
        <v>992.3</v>
      </c>
      <c r="B244" s="2">
        <v>2201.85</v>
      </c>
    </row>
    <row r="245" spans="1:2" ht="14.25" customHeight="1">
      <c r="A245" s="2">
        <v>997.75</v>
      </c>
      <c r="B245" s="2">
        <v>2200.25</v>
      </c>
    </row>
    <row r="246" spans="1:2" ht="14.25" customHeight="1">
      <c r="A246" s="2">
        <v>992.65</v>
      </c>
      <c r="B246" s="2">
        <v>2201.4</v>
      </c>
    </row>
    <row r="247" spans="1:2" ht="14.25" customHeight="1">
      <c r="A247" s="2">
        <v>993.1</v>
      </c>
      <c r="B247" s="2">
        <v>2205.3000000000002</v>
      </c>
    </row>
    <row r="248" spans="1:2" ht="14.25" customHeight="1">
      <c r="A248" s="2">
        <v>994.3</v>
      </c>
      <c r="B248" s="2">
        <v>2212.1</v>
      </c>
    </row>
    <row r="249" spans="1:2" ht="14.25" customHeight="1">
      <c r="A249" s="2">
        <v>979.55</v>
      </c>
      <c r="B249" s="2">
        <v>2226.9</v>
      </c>
    </row>
    <row r="250" spans="1:2" ht="14.25" customHeight="1">
      <c r="A250" s="2">
        <v>977.6</v>
      </c>
      <c r="B250" s="2">
        <v>2238.75</v>
      </c>
    </row>
    <row r="251" spans="1:2" ht="14.25" customHeight="1">
      <c r="A251" s="2">
        <v>984.05</v>
      </c>
      <c r="B251" s="2">
        <v>2281.3000000000002</v>
      </c>
    </row>
    <row r="252" spans="1:2" ht="14.25" customHeight="1">
      <c r="A252" s="2">
        <v>998.8</v>
      </c>
      <c r="B252" s="2">
        <v>2324.9</v>
      </c>
    </row>
    <row r="253" spans="1:2" ht="14.25" customHeight="1">
      <c r="A253" s="2">
        <v>1032.25</v>
      </c>
      <c r="B253" s="2">
        <v>2337.5</v>
      </c>
    </row>
    <row r="254" spans="1:2" ht="14.25" customHeight="1">
      <c r="A254" s="2">
        <v>1028.2</v>
      </c>
      <c r="B254" s="2">
        <v>2342.6</v>
      </c>
    </row>
    <row r="255" spans="1:2" ht="14.25" customHeight="1">
      <c r="A255" s="2">
        <v>1023.75</v>
      </c>
      <c r="B255" s="2">
        <v>2347.8000000000002</v>
      </c>
    </row>
    <row r="256" spans="1:2" ht="14.25" customHeight="1">
      <c r="A256" s="2">
        <v>1006.65</v>
      </c>
      <c r="B256" s="2">
        <v>2381.75</v>
      </c>
    </row>
    <row r="257" spans="1:2" ht="14.25" customHeight="1">
      <c r="A257" s="2">
        <v>993.95</v>
      </c>
      <c r="B257" s="2">
        <v>2400.1999999999998</v>
      </c>
    </row>
    <row r="258" spans="1:2" ht="14.25" customHeight="1">
      <c r="A258" s="2">
        <v>987.05</v>
      </c>
      <c r="B258" s="2">
        <v>2376.75</v>
      </c>
    </row>
    <row r="259" spans="1:2" ht="14.25" customHeight="1">
      <c r="A259" s="2">
        <v>967.25</v>
      </c>
      <c r="B259" s="2">
        <v>2390.1</v>
      </c>
    </row>
    <row r="260" spans="1:2" ht="14.25" customHeight="1">
      <c r="A260" s="2">
        <v>962.2</v>
      </c>
      <c r="B260" s="2">
        <v>2383.6</v>
      </c>
    </row>
    <row r="261" spans="1:2" ht="14.25" customHeight="1">
      <c r="A261" s="2">
        <v>967.35</v>
      </c>
      <c r="B261" s="2">
        <v>2391.6999999999998</v>
      </c>
    </row>
    <row r="262" spans="1:2" ht="14.25" customHeight="1">
      <c r="A262" s="2">
        <v>954.15</v>
      </c>
      <c r="B262" s="2">
        <v>2343.35</v>
      </c>
    </row>
    <row r="263" spans="1:2" ht="14.25" customHeight="1">
      <c r="A263" s="2">
        <v>949.7</v>
      </c>
      <c r="B263" s="2">
        <v>2331.35</v>
      </c>
    </row>
    <row r="264" spans="1:2" ht="14.25" customHeight="1">
      <c r="A264" s="2">
        <v>945.2</v>
      </c>
      <c r="B264" s="2">
        <v>2314.9499999999998</v>
      </c>
    </row>
    <row r="265" spans="1:2" ht="14.25" customHeight="1">
      <c r="A265" s="2">
        <v>939.9</v>
      </c>
      <c r="B265" s="2">
        <v>2313.6999999999998</v>
      </c>
    </row>
    <row r="266" spans="1:2" ht="14.25" customHeight="1">
      <c r="A266" s="2">
        <v>940.8</v>
      </c>
      <c r="B266" s="2">
        <v>2301.9499999999998</v>
      </c>
    </row>
    <row r="267" spans="1:2" ht="14.25" customHeight="1">
      <c r="A267" s="2">
        <v>942.85</v>
      </c>
      <c r="B267" s="2">
        <v>2257.1</v>
      </c>
    </row>
    <row r="268" spans="1:2" ht="14.25" customHeight="1">
      <c r="A268" s="2">
        <v>949.15</v>
      </c>
      <c r="B268" s="2">
        <v>2280.6</v>
      </c>
    </row>
    <row r="269" spans="1:2" ht="14.25" customHeight="1">
      <c r="A269" s="2">
        <v>943.55</v>
      </c>
      <c r="B269" s="2">
        <v>2241.4</v>
      </c>
    </row>
    <row r="270" spans="1:2" ht="14.25" customHeight="1">
      <c r="A270" s="2">
        <v>929.35</v>
      </c>
      <c r="B270" s="2">
        <v>2269.6</v>
      </c>
    </row>
    <row r="271" spans="1:2" ht="14.25" customHeight="1">
      <c r="A271" s="2">
        <v>905.5</v>
      </c>
      <c r="B271" s="2">
        <v>2234.75</v>
      </c>
    </row>
    <row r="272" spans="1:2" ht="14.25" customHeight="1">
      <c r="A272" s="2">
        <v>887.7</v>
      </c>
      <c r="B272" s="2">
        <v>2278.5500000000002</v>
      </c>
    </row>
    <row r="273" spans="1:2" ht="14.25" customHeight="1">
      <c r="A273" s="2">
        <v>870.1</v>
      </c>
      <c r="B273" s="2">
        <v>2284.65</v>
      </c>
    </row>
    <row r="274" spans="1:2" ht="14.25" customHeight="1">
      <c r="A274" s="2">
        <v>829.3</v>
      </c>
      <c r="B274" s="2">
        <v>2265</v>
      </c>
    </row>
    <row r="275" spans="1:2" ht="14.25" customHeight="1">
      <c r="A275" s="2">
        <v>819.7</v>
      </c>
      <c r="B275" s="2">
        <v>2257.35</v>
      </c>
    </row>
    <row r="276" spans="1:2" ht="14.25" customHeight="1">
      <c r="A276" s="2">
        <v>813.95</v>
      </c>
      <c r="B276" s="2">
        <v>2242.1999999999998</v>
      </c>
    </row>
    <row r="277" spans="1:2" ht="14.25" customHeight="1">
      <c r="A277" s="2">
        <v>794.65</v>
      </c>
      <c r="B277" s="2">
        <v>2230.35</v>
      </c>
    </row>
    <row r="278" spans="1:2" ht="14.25" customHeight="1">
      <c r="A278" s="2">
        <v>759.85</v>
      </c>
      <c r="B278" s="2">
        <v>2233.5</v>
      </c>
    </row>
    <row r="279" spans="1:2" ht="14.25" customHeight="1">
      <c r="A279" s="2">
        <v>675.3</v>
      </c>
      <c r="B279" s="2">
        <v>2241.75</v>
      </c>
    </row>
    <row r="280" spans="1:2" ht="14.25" customHeight="1">
      <c r="A280" s="2">
        <v>584.85</v>
      </c>
      <c r="B280" s="2">
        <v>2197.8000000000002</v>
      </c>
    </row>
    <row r="281" spans="1:2" ht="14.25" customHeight="1">
      <c r="A281" s="2">
        <v>589.20000000000005</v>
      </c>
      <c r="B281" s="2">
        <v>2210.5500000000002</v>
      </c>
    </row>
    <row r="282" spans="1:2" ht="14.25" customHeight="1">
      <c r="A282" s="2">
        <v>614.45000000000005</v>
      </c>
      <c r="B282" s="2">
        <v>2213.9</v>
      </c>
    </row>
    <row r="283" spans="1:2" ht="14.25" customHeight="1">
      <c r="A283" s="2">
        <v>651</v>
      </c>
      <c r="B283" s="2">
        <v>2201.1</v>
      </c>
    </row>
    <row r="284" spans="1:2" ht="14.25" customHeight="1">
      <c r="A284" s="2">
        <v>660.7</v>
      </c>
      <c r="B284" s="2">
        <v>2222.3000000000002</v>
      </c>
    </row>
    <row r="285" spans="1:2" ht="14.25" customHeight="1">
      <c r="A285" s="2">
        <v>668.75</v>
      </c>
      <c r="B285" s="2">
        <v>2218.5</v>
      </c>
    </row>
    <row r="286" spans="1:2" ht="14.25" customHeight="1">
      <c r="A286" s="2">
        <v>679.65</v>
      </c>
      <c r="B286" s="2">
        <v>2230.9499999999998</v>
      </c>
    </row>
    <row r="287" spans="1:2" ht="14.25" customHeight="1">
      <c r="A287" s="2">
        <v>658.55</v>
      </c>
      <c r="B287" s="2">
        <v>2221.6999999999998</v>
      </c>
    </row>
    <row r="288" spans="1:2" ht="14.25" customHeight="1">
      <c r="A288" s="2">
        <v>668</v>
      </c>
      <c r="B288" s="2">
        <v>2233.35</v>
      </c>
    </row>
    <row r="289" spans="1:2" ht="14.25" customHeight="1">
      <c r="A289" s="2">
        <v>663.95</v>
      </c>
      <c r="B289" s="2">
        <v>2235.9</v>
      </c>
    </row>
    <row r="290" spans="1:2" ht="14.25" customHeight="1">
      <c r="A290" s="2">
        <v>660.4</v>
      </c>
      <c r="B290" s="2">
        <v>2221.65</v>
      </c>
    </row>
    <row r="291" spans="1:2" ht="14.25" customHeight="1">
      <c r="A291" s="2">
        <v>633.6</v>
      </c>
      <c r="B291" s="2">
        <v>2218.9</v>
      </c>
    </row>
    <row r="292" spans="1:2" ht="14.25" customHeight="1">
      <c r="A292" s="2">
        <v>613.5</v>
      </c>
      <c r="B292" s="2">
        <v>2221.35</v>
      </c>
    </row>
    <row r="293" spans="1:2" ht="14.25" customHeight="1">
      <c r="A293" s="2">
        <v>620.45000000000005</v>
      </c>
      <c r="B293" s="2">
        <v>2208.5500000000002</v>
      </c>
    </row>
    <row r="294" spans="1:2" ht="14.25" customHeight="1">
      <c r="A294" s="2">
        <v>642.85</v>
      </c>
      <c r="B294" s="2">
        <v>2198.0500000000002</v>
      </c>
    </row>
    <row r="295" spans="1:2" ht="14.25" customHeight="1">
      <c r="A295" s="2">
        <v>646.6</v>
      </c>
      <c r="B295" s="2">
        <v>2178</v>
      </c>
    </row>
    <row r="296" spans="1:2" ht="14.25" customHeight="1">
      <c r="A296" s="2">
        <v>643.70000000000005</v>
      </c>
      <c r="B296" s="2">
        <v>2166.5500000000002</v>
      </c>
    </row>
    <row r="297" spans="1:2" ht="14.25" customHeight="1">
      <c r="A297" s="2">
        <v>637.54999999999995</v>
      </c>
      <c r="B297" s="2">
        <v>2149.6</v>
      </c>
    </row>
    <row r="298" spans="1:2" ht="14.25" customHeight="1">
      <c r="A298" s="2">
        <v>641</v>
      </c>
      <c r="B298" s="2">
        <v>2162.1</v>
      </c>
    </row>
    <row r="299" spans="1:2" ht="14.25" customHeight="1">
      <c r="A299" s="2">
        <v>662.45</v>
      </c>
      <c r="B299" s="2">
        <v>2182.75</v>
      </c>
    </row>
    <row r="300" spans="1:2" ht="14.25" customHeight="1">
      <c r="A300" s="2">
        <v>654.20000000000005</v>
      </c>
      <c r="B300" s="2">
        <v>2187.75</v>
      </c>
    </row>
    <row r="301" spans="1:2" ht="14.25" customHeight="1">
      <c r="A301" s="2">
        <v>665.95</v>
      </c>
      <c r="B301" s="2">
        <v>2171.9499999999998</v>
      </c>
    </row>
    <row r="302" spans="1:2" ht="14.25" customHeight="1">
      <c r="A302" s="2">
        <v>671.45</v>
      </c>
      <c r="B302" s="2">
        <v>2122.4</v>
      </c>
    </row>
    <row r="303" spans="1:2" ht="14.25" customHeight="1">
      <c r="A303" s="2">
        <v>673.4</v>
      </c>
      <c r="B303" s="2">
        <v>2085.4</v>
      </c>
    </row>
    <row r="304" spans="1:2" ht="14.25" customHeight="1">
      <c r="A304" s="2">
        <v>675.4</v>
      </c>
      <c r="B304" s="2">
        <v>2045.25</v>
      </c>
    </row>
    <row r="305" spans="1:2" ht="14.25" customHeight="1">
      <c r="A305" s="2">
        <v>669.95</v>
      </c>
      <c r="B305" s="2">
        <v>2099.3000000000002</v>
      </c>
    </row>
    <row r="306" spans="1:2" ht="14.25" customHeight="1">
      <c r="A306" s="2">
        <v>660.05</v>
      </c>
      <c r="B306" s="2">
        <v>2039.8</v>
      </c>
    </row>
    <row r="307" spans="1:2" ht="14.25" customHeight="1">
      <c r="A307" s="2">
        <v>662.6</v>
      </c>
      <c r="B307" s="2">
        <v>2043.5</v>
      </c>
    </row>
    <row r="308" spans="1:2" ht="14.25" customHeight="1">
      <c r="A308" s="2">
        <v>661.45</v>
      </c>
      <c r="B308" s="2">
        <v>2039.75</v>
      </c>
    </row>
    <row r="309" spans="1:2" ht="14.25" customHeight="1">
      <c r="A309" s="2">
        <v>679.95</v>
      </c>
      <c r="B309" s="2">
        <v>2024.75</v>
      </c>
    </row>
    <row r="310" spans="1:2" ht="14.25" customHeight="1">
      <c r="A310" s="2">
        <v>685.9</v>
      </c>
      <c r="B310" s="2">
        <v>2096.1999999999998</v>
      </c>
    </row>
    <row r="311" spans="1:2" ht="14.25" customHeight="1">
      <c r="A311" s="2">
        <v>698.3</v>
      </c>
      <c r="B311" s="2">
        <v>2097.4499999999998</v>
      </c>
    </row>
    <row r="312" spans="1:2" ht="14.25" customHeight="1">
      <c r="A312" s="2">
        <v>692.15</v>
      </c>
      <c r="B312" s="2">
        <v>2097.35</v>
      </c>
    </row>
    <row r="313" spans="1:2" ht="14.25" customHeight="1">
      <c r="A313" s="2">
        <v>691.25</v>
      </c>
      <c r="B313" s="2">
        <v>2080.4499999999998</v>
      </c>
    </row>
    <row r="314" spans="1:2" ht="14.25" customHeight="1">
      <c r="A314" s="2">
        <v>693.55</v>
      </c>
      <c r="B314" s="2">
        <v>2095.4499999999998</v>
      </c>
    </row>
    <row r="315" spans="1:2" ht="14.25" customHeight="1">
      <c r="A315" s="2">
        <v>681.95</v>
      </c>
      <c r="B315" s="2">
        <v>2062.9499999999998</v>
      </c>
    </row>
    <row r="316" spans="1:2" ht="14.25" customHeight="1">
      <c r="A316" s="2">
        <v>705.95</v>
      </c>
      <c r="B316" s="2">
        <v>2090.9</v>
      </c>
    </row>
    <row r="317" spans="1:2" ht="14.25" customHeight="1">
      <c r="A317" s="2">
        <v>737.6</v>
      </c>
      <c r="B317" s="2">
        <v>2121.5500000000002</v>
      </c>
    </row>
    <row r="318" spans="1:2" ht="14.25" customHeight="1">
      <c r="A318" s="2">
        <v>749.9</v>
      </c>
      <c r="B318" s="2">
        <v>2112.5500000000002</v>
      </c>
    </row>
    <row r="319" spans="1:2" ht="14.25" customHeight="1">
      <c r="A319" s="2">
        <v>750.6</v>
      </c>
      <c r="B319" s="2">
        <v>2129.9</v>
      </c>
    </row>
    <row r="320" spans="1:2" ht="14.25" customHeight="1">
      <c r="A320" s="2">
        <v>759.25</v>
      </c>
      <c r="B320" s="2">
        <v>2148.85</v>
      </c>
    </row>
    <row r="321" spans="1:2" ht="14.25" customHeight="1">
      <c r="A321" s="2">
        <v>736.05</v>
      </c>
      <c r="B321" s="2">
        <v>2177.9</v>
      </c>
    </row>
    <row r="322" spans="1:2" ht="14.25" customHeight="1">
      <c r="A322" s="2">
        <v>722.85</v>
      </c>
      <c r="B322" s="2">
        <v>2147.75</v>
      </c>
    </row>
    <row r="323" spans="1:2" ht="14.25" customHeight="1">
      <c r="A323" s="2">
        <v>729.95</v>
      </c>
      <c r="B323" s="2">
        <v>2134.5500000000002</v>
      </c>
    </row>
    <row r="324" spans="1:2" ht="14.25" customHeight="1">
      <c r="A324" s="2">
        <v>728.15</v>
      </c>
      <c r="B324" s="2">
        <v>2104.9</v>
      </c>
    </row>
    <row r="325" spans="1:2" ht="14.25" customHeight="1">
      <c r="A325" s="2">
        <v>724.3</v>
      </c>
      <c r="B325" s="2">
        <v>2120.4</v>
      </c>
    </row>
    <row r="326" spans="1:2" ht="14.25" customHeight="1">
      <c r="A326" s="2">
        <v>715.9</v>
      </c>
      <c r="B326" s="2">
        <v>2119</v>
      </c>
    </row>
    <row r="327" spans="1:2" ht="14.25" customHeight="1">
      <c r="A327" s="2">
        <v>723.05</v>
      </c>
      <c r="B327" s="2">
        <v>2114.15</v>
      </c>
    </row>
    <row r="328" spans="1:2" ht="14.25" customHeight="1">
      <c r="A328" s="2">
        <v>725.35</v>
      </c>
      <c r="B328" s="2">
        <v>2111.5500000000002</v>
      </c>
    </row>
    <row r="329" spans="1:2" ht="14.25" customHeight="1">
      <c r="A329" s="2">
        <v>727.7</v>
      </c>
      <c r="B329" s="2">
        <v>2109</v>
      </c>
    </row>
    <row r="330" spans="1:2" ht="14.25" customHeight="1">
      <c r="A330" s="2">
        <v>724.3</v>
      </c>
      <c r="B330" s="2">
        <v>2115</v>
      </c>
    </row>
    <row r="331" spans="1:2" ht="14.25" customHeight="1">
      <c r="A331" s="2">
        <v>720.9</v>
      </c>
      <c r="B331" s="2">
        <v>2193.9</v>
      </c>
    </row>
    <row r="332" spans="1:2" ht="14.25" customHeight="1">
      <c r="A332" s="2">
        <v>708.35</v>
      </c>
      <c r="B332" s="2">
        <v>2227.9</v>
      </c>
    </row>
    <row r="333" spans="1:2" ht="14.25" customHeight="1">
      <c r="A333" s="2">
        <v>694.85</v>
      </c>
      <c r="B333" s="2">
        <v>2257.65</v>
      </c>
    </row>
    <row r="334" spans="1:2" ht="14.25" customHeight="1">
      <c r="A334" s="2">
        <v>670.6</v>
      </c>
      <c r="B334" s="2">
        <v>2273</v>
      </c>
    </row>
    <row r="335" spans="1:2" ht="14.25" customHeight="1">
      <c r="A335" s="2">
        <v>662.8</v>
      </c>
      <c r="B335" s="2">
        <v>2292.5</v>
      </c>
    </row>
    <row r="336" spans="1:2" ht="14.25" customHeight="1">
      <c r="A336" s="2">
        <v>674.05</v>
      </c>
      <c r="B336" s="2">
        <v>2336</v>
      </c>
    </row>
    <row r="337" spans="1:2" ht="14.25" customHeight="1">
      <c r="A337" s="2">
        <v>657.65</v>
      </c>
      <c r="B337" s="2">
        <v>2255.65</v>
      </c>
    </row>
    <row r="338" spans="1:2" ht="14.25" customHeight="1">
      <c r="A338" s="2">
        <v>668.7</v>
      </c>
      <c r="B338" s="2">
        <v>2294.35</v>
      </c>
    </row>
    <row r="339" spans="1:2" ht="14.25" customHeight="1">
      <c r="A339" s="2">
        <v>665.8</v>
      </c>
      <c r="B339" s="2">
        <v>2293.4</v>
      </c>
    </row>
    <row r="340" spans="1:2" ht="14.25" customHeight="1">
      <c r="A340" s="2">
        <v>661.35</v>
      </c>
      <c r="B340" s="2">
        <v>2303.9</v>
      </c>
    </row>
    <row r="341" spans="1:2" ht="14.25" customHeight="1">
      <c r="A341" s="2">
        <v>660.95</v>
      </c>
      <c r="B341" s="2">
        <v>2334.1999999999998</v>
      </c>
    </row>
    <row r="342" spans="1:2" ht="14.25" customHeight="1">
      <c r="A342" s="2">
        <v>657.55</v>
      </c>
      <c r="B342" s="2">
        <v>2340.4499999999998</v>
      </c>
    </row>
    <row r="343" spans="1:2" ht="14.25" customHeight="1">
      <c r="A343" s="2">
        <v>659.3</v>
      </c>
      <c r="B343" s="2">
        <v>2339.5</v>
      </c>
    </row>
    <row r="344" spans="1:2" ht="14.25" customHeight="1">
      <c r="A344" s="2">
        <v>652.15</v>
      </c>
      <c r="B344" s="2">
        <v>2372.1999999999998</v>
      </c>
    </row>
    <row r="345" spans="1:2" ht="14.25" customHeight="1">
      <c r="A345" s="2">
        <v>646.54999999999995</v>
      </c>
      <c r="B345" s="2">
        <v>2359.9</v>
      </c>
    </row>
    <row r="346" spans="1:2" ht="14.25" customHeight="1">
      <c r="A346" s="2">
        <v>640.45000000000005</v>
      </c>
      <c r="B346" s="2">
        <v>2335.4</v>
      </c>
    </row>
    <row r="347" spans="1:2" ht="14.25" customHeight="1">
      <c r="A347" s="2">
        <v>638.79999999999995</v>
      </c>
      <c r="B347" s="2">
        <v>2320.15</v>
      </c>
    </row>
    <row r="348" spans="1:2" ht="14.25" customHeight="1">
      <c r="A348" s="2">
        <v>643.54999999999995</v>
      </c>
      <c r="B348" s="2">
        <v>2333.6</v>
      </c>
    </row>
    <row r="349" spans="1:2" ht="14.25" customHeight="1">
      <c r="A349" s="2">
        <v>630.35</v>
      </c>
      <c r="B349" s="2">
        <v>2333.5500000000002</v>
      </c>
    </row>
    <row r="350" spans="1:2" ht="14.25" customHeight="1">
      <c r="A350" s="2">
        <v>622.85</v>
      </c>
      <c r="B350" s="2">
        <v>2341.35</v>
      </c>
    </row>
    <row r="351" spans="1:2" ht="14.25" customHeight="1">
      <c r="A351" s="2">
        <v>613</v>
      </c>
      <c r="B351" s="2">
        <v>2339.3000000000002</v>
      </c>
    </row>
    <row r="352" spans="1:2" ht="14.25" customHeight="1">
      <c r="A352" s="2">
        <v>625.25</v>
      </c>
      <c r="B352" s="2">
        <v>2328.65</v>
      </c>
    </row>
    <row r="353" spans="1:2" ht="14.25" customHeight="1">
      <c r="A353" s="2">
        <v>650.85</v>
      </c>
      <c r="B353" s="2">
        <v>2336.8000000000002</v>
      </c>
    </row>
    <row r="354" spans="1:2" ht="14.25" customHeight="1">
      <c r="A354" s="2">
        <v>646.85</v>
      </c>
      <c r="B354" s="2">
        <v>2312.1999999999998</v>
      </c>
    </row>
    <row r="355" spans="1:2" ht="14.25" customHeight="1">
      <c r="A355" s="2">
        <v>653.1</v>
      </c>
      <c r="B355" s="2">
        <v>2321.5</v>
      </c>
    </row>
    <row r="356" spans="1:2" ht="14.25" customHeight="1">
      <c r="A356" s="2">
        <v>612.45000000000005</v>
      </c>
      <c r="B356" s="2">
        <v>2360.65</v>
      </c>
    </row>
    <row r="357" spans="1:2" ht="14.25" customHeight="1">
      <c r="A357" s="2">
        <v>603.75</v>
      </c>
      <c r="B357" s="2">
        <v>2366.6999999999998</v>
      </c>
    </row>
    <row r="358" spans="1:2" ht="14.25" customHeight="1">
      <c r="A358" s="2">
        <v>604</v>
      </c>
      <c r="B358" s="2">
        <v>2394.5500000000002</v>
      </c>
    </row>
    <row r="359" spans="1:2" ht="14.25" customHeight="1">
      <c r="A359" s="2">
        <v>598.45000000000005</v>
      </c>
      <c r="B359" s="2">
        <v>2369</v>
      </c>
    </row>
    <row r="360" spans="1:2" ht="14.25" customHeight="1">
      <c r="A360" s="2">
        <v>599</v>
      </c>
      <c r="B360" s="2">
        <v>2359.3000000000002</v>
      </c>
    </row>
    <row r="361" spans="1:2" ht="14.25" customHeight="1">
      <c r="A361" s="2">
        <v>599.65</v>
      </c>
      <c r="B361" s="2">
        <v>2360.0500000000002</v>
      </c>
    </row>
    <row r="362" spans="1:2" ht="14.25" customHeight="1">
      <c r="A362" s="2">
        <v>599.5</v>
      </c>
      <c r="B362" s="2">
        <v>2364.6999999999998</v>
      </c>
    </row>
    <row r="363" spans="1:2" ht="14.25" customHeight="1">
      <c r="A363" s="2">
        <v>596.35</v>
      </c>
      <c r="B363" s="2">
        <v>2402.3000000000002</v>
      </c>
    </row>
    <row r="364" spans="1:2" ht="14.25" customHeight="1">
      <c r="A364" s="2">
        <v>588.25</v>
      </c>
      <c r="B364" s="2">
        <v>2433.1999999999998</v>
      </c>
    </row>
    <row r="365" spans="1:2" ht="14.25" customHeight="1">
      <c r="A365" s="2">
        <v>583.75</v>
      </c>
      <c r="B365" s="2">
        <v>2434.4499999999998</v>
      </c>
    </row>
    <row r="366" spans="1:2" ht="14.25" customHeight="1">
      <c r="A366" s="2">
        <v>584.95000000000005</v>
      </c>
      <c r="B366" s="2">
        <v>2445.1999999999998</v>
      </c>
    </row>
    <row r="367" spans="1:2" ht="14.25" customHeight="1">
      <c r="A367" s="2">
        <v>579.75</v>
      </c>
      <c r="B367" s="2">
        <v>2459.9</v>
      </c>
    </row>
    <row r="368" spans="1:2" ht="14.25" customHeight="1">
      <c r="A368" s="2">
        <v>587.95000000000005</v>
      </c>
      <c r="B368" s="2">
        <v>2350.85</v>
      </c>
    </row>
    <row r="369" spans="1:2" ht="14.25" customHeight="1">
      <c r="A369" s="2">
        <v>572.70000000000005</v>
      </c>
      <c r="B369" s="2">
        <v>2327.6</v>
      </c>
    </row>
    <row r="370" spans="1:2" ht="14.25" customHeight="1">
      <c r="A370" s="2">
        <v>559.4</v>
      </c>
      <c r="B370" s="2">
        <v>2320.75</v>
      </c>
    </row>
    <row r="371" spans="1:2" ht="14.25" customHeight="1">
      <c r="A371" s="2">
        <v>541.20000000000005</v>
      </c>
      <c r="B371" s="2">
        <v>2317.4499999999998</v>
      </c>
    </row>
    <row r="372" spans="1:2" ht="14.25" customHeight="1">
      <c r="A372" s="2">
        <v>552.15</v>
      </c>
      <c r="B372" s="2">
        <v>2316.85</v>
      </c>
    </row>
    <row r="373" spans="1:2" ht="14.25" customHeight="1">
      <c r="A373" s="2">
        <v>568.15</v>
      </c>
      <c r="B373" s="2">
        <v>2338.5</v>
      </c>
    </row>
    <row r="374" spans="1:2" ht="14.25" customHeight="1">
      <c r="A374" s="2">
        <v>578</v>
      </c>
      <c r="B374" s="2">
        <v>2326.5500000000002</v>
      </c>
    </row>
    <row r="375" spans="1:2" ht="14.25" customHeight="1">
      <c r="A375" s="2">
        <v>583.5</v>
      </c>
      <c r="B375" s="2">
        <v>2331.9499999999998</v>
      </c>
    </row>
    <row r="376" spans="1:2" ht="14.25" customHeight="1">
      <c r="A376" s="2">
        <v>592.75</v>
      </c>
      <c r="B376" s="2">
        <v>2357.4</v>
      </c>
    </row>
    <row r="377" spans="1:2" ht="14.25" customHeight="1">
      <c r="A377" s="2">
        <v>580.20000000000005</v>
      </c>
      <c r="B377" s="2">
        <v>2350.15</v>
      </c>
    </row>
    <row r="378" spans="1:2" ht="14.25" customHeight="1">
      <c r="A378" s="2">
        <v>589.35</v>
      </c>
      <c r="B378" s="2">
        <v>2346.1</v>
      </c>
    </row>
    <row r="379" spans="1:2" ht="14.25" customHeight="1">
      <c r="A379" s="2">
        <v>594.45000000000005</v>
      </c>
      <c r="B379" s="2">
        <v>2356.1</v>
      </c>
    </row>
    <row r="380" spans="1:2" ht="14.25" customHeight="1">
      <c r="A380" s="2">
        <v>610.04999999999995</v>
      </c>
      <c r="B380" s="2">
        <v>2335.5500000000002</v>
      </c>
    </row>
    <row r="381" spans="1:2" ht="14.25" customHeight="1">
      <c r="A381" s="2">
        <v>607.15</v>
      </c>
      <c r="B381" s="2">
        <v>2331.6999999999998</v>
      </c>
    </row>
    <row r="382" spans="1:2" ht="14.25" customHeight="1">
      <c r="A382" s="2">
        <v>609.25</v>
      </c>
      <c r="B382" s="2">
        <v>2353.15</v>
      </c>
    </row>
    <row r="383" spans="1:2" ht="14.25" customHeight="1">
      <c r="A383" s="2">
        <v>602.75</v>
      </c>
      <c r="B383" s="2">
        <v>2318.15</v>
      </c>
    </row>
    <row r="384" spans="1:2" ht="14.25" customHeight="1">
      <c r="A384" s="2">
        <v>598.35</v>
      </c>
      <c r="B384" s="2">
        <v>2329.4</v>
      </c>
    </row>
    <row r="385" spans="1:2" ht="14.25" customHeight="1">
      <c r="A385" s="2">
        <v>590.15</v>
      </c>
      <c r="B385" s="2">
        <v>2330.35</v>
      </c>
    </row>
    <row r="386" spans="1:2" ht="14.25" customHeight="1">
      <c r="A386" s="2">
        <v>594.20000000000005</v>
      </c>
      <c r="B386" s="2">
        <v>2325.85</v>
      </c>
    </row>
    <row r="387" spans="1:2" ht="14.25" customHeight="1">
      <c r="A387" s="2">
        <v>595.79999999999995</v>
      </c>
      <c r="B387" s="2">
        <v>2326.3000000000002</v>
      </c>
    </row>
    <row r="388" spans="1:2" ht="14.25" customHeight="1">
      <c r="A388" s="2">
        <v>589.45000000000005</v>
      </c>
      <c r="B388" s="2">
        <v>2345.15</v>
      </c>
    </row>
    <row r="389" spans="1:2" ht="14.25" customHeight="1">
      <c r="A389" s="2">
        <v>583.20000000000005</v>
      </c>
      <c r="B389" s="2">
        <v>2301.25</v>
      </c>
    </row>
    <row r="390" spans="1:2" ht="14.25" customHeight="1">
      <c r="A390" s="2">
        <v>581.5</v>
      </c>
      <c r="B390" s="2">
        <v>2311.1999999999998</v>
      </c>
    </row>
    <row r="391" spans="1:2" ht="14.25" customHeight="1">
      <c r="A391" s="2">
        <v>576.75</v>
      </c>
      <c r="B391" s="2">
        <v>2297.15</v>
      </c>
    </row>
    <row r="392" spans="1:2" ht="14.25" customHeight="1">
      <c r="A392" s="2">
        <v>568.9</v>
      </c>
      <c r="B392" s="2">
        <v>2320.4499999999998</v>
      </c>
    </row>
    <row r="393" spans="1:2" ht="14.25" customHeight="1">
      <c r="A393" s="2">
        <v>570.1</v>
      </c>
      <c r="B393" s="2">
        <v>2316.0500000000002</v>
      </c>
    </row>
    <row r="394" spans="1:2" ht="14.25" customHeight="1">
      <c r="A394" s="2">
        <v>575.6</v>
      </c>
      <c r="B394" s="2">
        <v>2345.4</v>
      </c>
    </row>
    <row r="395" spans="1:2" ht="14.25" customHeight="1">
      <c r="A395" s="2">
        <v>557.35</v>
      </c>
      <c r="B395" s="2">
        <v>2315.5</v>
      </c>
    </row>
    <row r="396" spans="1:2" ht="14.25" customHeight="1">
      <c r="A396" s="2">
        <v>560.6</v>
      </c>
      <c r="B396" s="2">
        <v>2302.6</v>
      </c>
    </row>
    <row r="397" spans="1:2" ht="14.25" customHeight="1">
      <c r="A397" s="2">
        <v>546.45000000000005</v>
      </c>
      <c r="B397" s="2">
        <v>2381.1</v>
      </c>
    </row>
    <row r="398" spans="1:2" ht="14.25" customHeight="1">
      <c r="A398" s="2">
        <v>549.29999999999995</v>
      </c>
      <c r="B398" s="2">
        <v>2344.9</v>
      </c>
    </row>
    <row r="399" spans="1:2" ht="14.25" customHeight="1">
      <c r="A399" s="2">
        <v>541.20000000000005</v>
      </c>
      <c r="B399" s="2">
        <v>2307.35</v>
      </c>
    </row>
    <row r="400" spans="1:2" ht="14.25" customHeight="1">
      <c r="A400" s="2">
        <v>533.9</v>
      </c>
      <c r="B400" s="2">
        <v>2292.25</v>
      </c>
    </row>
    <row r="401" spans="1:2" ht="14.25" customHeight="1">
      <c r="A401" s="2">
        <v>529.1</v>
      </c>
      <c r="B401" s="2">
        <v>2275.6</v>
      </c>
    </row>
    <row r="402" spans="1:2" ht="14.25" customHeight="1">
      <c r="A402" s="2">
        <v>522.04999999999995</v>
      </c>
      <c r="B402" s="2">
        <v>2280.9499999999998</v>
      </c>
    </row>
    <row r="403" spans="1:2" ht="14.25" customHeight="1">
      <c r="A403" s="2">
        <v>500</v>
      </c>
      <c r="B403" s="2">
        <v>2200.9</v>
      </c>
    </row>
    <row r="404" spans="1:2" ht="14.25" customHeight="1">
      <c r="A404" s="2">
        <v>490.8</v>
      </c>
      <c r="B404" s="2">
        <v>2136.5500000000002</v>
      </c>
    </row>
    <row r="405" spans="1:2" ht="14.25" customHeight="1">
      <c r="A405" s="2">
        <v>480.35</v>
      </c>
      <c r="B405" s="2">
        <v>2112.15</v>
      </c>
    </row>
    <row r="406" spans="1:2" ht="14.25" customHeight="1">
      <c r="A406" s="2">
        <v>485.35</v>
      </c>
      <c r="B406" s="2">
        <v>2118.4499999999998</v>
      </c>
    </row>
    <row r="407" spans="1:2" ht="14.25" customHeight="1">
      <c r="A407" s="2">
        <v>482.3</v>
      </c>
      <c r="B407" s="2">
        <v>2158.4499999999998</v>
      </c>
    </row>
    <row r="408" spans="1:2" ht="14.25" customHeight="1">
      <c r="A408" s="2">
        <v>481.65</v>
      </c>
      <c r="B408" s="2">
        <v>2139.65</v>
      </c>
    </row>
    <row r="409" spans="1:2" ht="14.25" customHeight="1">
      <c r="A409" s="2">
        <v>451.7</v>
      </c>
      <c r="B409" s="2">
        <v>2135.4499999999998</v>
      </c>
    </row>
    <row r="410" spans="1:2" ht="14.25" customHeight="1">
      <c r="A410" s="2">
        <v>444.75</v>
      </c>
      <c r="B410" s="2">
        <v>2147.9</v>
      </c>
    </row>
    <row r="411" spans="1:2" ht="14.25" customHeight="1">
      <c r="A411" s="2">
        <v>435.9</v>
      </c>
      <c r="B411" s="2">
        <v>2151.9499999999998</v>
      </c>
    </row>
    <row r="412" spans="1:2" ht="14.25" customHeight="1">
      <c r="A412" s="2">
        <v>418.85</v>
      </c>
      <c r="B412" s="2">
        <v>2146.4499999999998</v>
      </c>
    </row>
    <row r="413" spans="1:2" ht="14.25" customHeight="1">
      <c r="A413" s="2">
        <v>440.25</v>
      </c>
      <c r="B413" s="2">
        <v>2158.1999999999998</v>
      </c>
    </row>
    <row r="414" spans="1:2" ht="14.25" customHeight="1">
      <c r="A414" s="2">
        <v>449.75</v>
      </c>
      <c r="B414" s="2">
        <v>2166.35</v>
      </c>
    </row>
    <row r="415" spans="1:2" ht="14.25" customHeight="1">
      <c r="A415" s="2">
        <v>448.25</v>
      </c>
      <c r="B415" s="2">
        <v>2149.65</v>
      </c>
    </row>
    <row r="416" spans="1:2" ht="14.25" customHeight="1">
      <c r="A416" s="2">
        <v>446.45</v>
      </c>
      <c r="B416" s="2">
        <v>2104.6999999999998</v>
      </c>
    </row>
    <row r="417" spans="1:2" ht="14.25" customHeight="1">
      <c r="A417" s="2">
        <v>439.8</v>
      </c>
      <c r="B417" s="2">
        <v>2125.25</v>
      </c>
    </row>
    <row r="418" spans="1:2" ht="14.25" customHeight="1">
      <c r="A418" s="2">
        <v>452.55</v>
      </c>
      <c r="B418" s="2">
        <v>2108.4</v>
      </c>
    </row>
    <row r="419" spans="1:2" ht="14.25" customHeight="1">
      <c r="A419" s="2">
        <v>463.4</v>
      </c>
      <c r="B419" s="2">
        <v>2119.6</v>
      </c>
    </row>
    <row r="420" spans="1:2" ht="14.25" customHeight="1">
      <c r="A420" s="2">
        <v>463.85</v>
      </c>
      <c r="B420" s="2">
        <v>2130.6</v>
      </c>
    </row>
    <row r="421" spans="1:2" ht="14.25" customHeight="1">
      <c r="A421" s="2">
        <v>470.15</v>
      </c>
      <c r="B421" s="2">
        <v>2129.9</v>
      </c>
    </row>
    <row r="422" spans="1:2" ht="14.25" customHeight="1">
      <c r="A422" s="2">
        <v>468.65</v>
      </c>
      <c r="B422" s="2">
        <v>2130.75</v>
      </c>
    </row>
    <row r="423" spans="1:2" ht="14.25" customHeight="1">
      <c r="A423" s="2">
        <v>472.25</v>
      </c>
      <c r="B423" s="2">
        <v>2123.35</v>
      </c>
    </row>
    <row r="424" spans="1:2" ht="14.25" customHeight="1">
      <c r="A424" s="2">
        <v>468.9</v>
      </c>
      <c r="B424" s="2">
        <v>2117.15</v>
      </c>
    </row>
    <row r="425" spans="1:2" ht="14.25" customHeight="1">
      <c r="A425" s="2">
        <v>455.2</v>
      </c>
      <c r="B425" s="2">
        <v>2094.35</v>
      </c>
    </row>
    <row r="426" spans="1:2" ht="14.25" customHeight="1">
      <c r="A426" s="2">
        <v>457.75</v>
      </c>
      <c r="B426" s="2">
        <v>2076.9499999999998</v>
      </c>
    </row>
    <row r="427" spans="1:2" ht="14.25" customHeight="1">
      <c r="A427" s="2">
        <v>473.7</v>
      </c>
      <c r="B427" s="2">
        <v>2059.6999999999998</v>
      </c>
    </row>
    <row r="428" spans="1:2" ht="14.25" customHeight="1">
      <c r="A428" s="2">
        <v>482.4</v>
      </c>
      <c r="B428" s="2">
        <v>2043.85</v>
      </c>
    </row>
    <row r="429" spans="1:2" ht="14.25" customHeight="1">
      <c r="A429" s="2">
        <v>478.5</v>
      </c>
      <c r="B429" s="2">
        <v>2059.5500000000002</v>
      </c>
    </row>
    <row r="430" spans="1:2" ht="14.25" customHeight="1">
      <c r="A430" s="2">
        <v>481.35</v>
      </c>
      <c r="B430" s="2">
        <v>2052.75</v>
      </c>
    </row>
    <row r="431" spans="1:2" ht="14.25" customHeight="1">
      <c r="A431" s="2">
        <v>474.4</v>
      </c>
      <c r="B431" s="2">
        <v>2067.6</v>
      </c>
    </row>
    <row r="432" spans="1:2" ht="14.25" customHeight="1">
      <c r="A432" s="2">
        <v>480.75</v>
      </c>
      <c r="B432" s="2">
        <v>2058.5</v>
      </c>
    </row>
    <row r="433" spans="1:2" ht="14.25" customHeight="1">
      <c r="A433" s="2">
        <v>491.7</v>
      </c>
      <c r="B433" s="2">
        <v>2069.75</v>
      </c>
    </row>
    <row r="434" spans="1:2" ht="14.25" customHeight="1">
      <c r="A434" s="2">
        <v>469</v>
      </c>
      <c r="B434" s="2">
        <v>2051.35</v>
      </c>
    </row>
    <row r="435" spans="1:2" ht="14.25" customHeight="1">
      <c r="A435" s="2">
        <v>455.05</v>
      </c>
      <c r="B435" s="2">
        <v>2004.65</v>
      </c>
    </row>
    <row r="436" spans="1:2" ht="14.25" customHeight="1">
      <c r="A436" s="2">
        <v>449.5</v>
      </c>
      <c r="B436" s="2">
        <v>2022.8</v>
      </c>
    </row>
    <row r="437" spans="1:2" ht="14.25" customHeight="1">
      <c r="A437" s="2">
        <v>472.25</v>
      </c>
      <c r="B437" s="2">
        <v>2064.8000000000002</v>
      </c>
    </row>
    <row r="438" spans="1:2" ht="14.25" customHeight="1">
      <c r="A438" s="2">
        <v>463.65</v>
      </c>
      <c r="B438" s="2">
        <v>2093.9499999999998</v>
      </c>
    </row>
    <row r="439" spans="1:2" ht="14.25" customHeight="1">
      <c r="A439" s="2">
        <v>461.9</v>
      </c>
      <c r="B439" s="2">
        <v>2085.8000000000002</v>
      </c>
    </row>
    <row r="440" spans="1:2" ht="14.25" customHeight="1">
      <c r="A440" s="2">
        <v>457.8</v>
      </c>
      <c r="B440" s="2">
        <v>2091</v>
      </c>
    </row>
    <row r="441" spans="1:2" ht="14.25" customHeight="1">
      <c r="A441" s="2">
        <v>458.95</v>
      </c>
      <c r="B441" s="2">
        <v>2098.9499999999998</v>
      </c>
    </row>
    <row r="442" spans="1:2" ht="14.25" customHeight="1">
      <c r="A442" s="2">
        <v>455.95</v>
      </c>
      <c r="B442" s="2">
        <v>2100.4</v>
      </c>
    </row>
    <row r="443" spans="1:2" ht="14.25" customHeight="1">
      <c r="A443" s="2">
        <v>449.6</v>
      </c>
      <c r="B443" s="2">
        <v>2091.6999999999998</v>
      </c>
    </row>
    <row r="444" spans="1:2" ht="14.25" customHeight="1">
      <c r="A444" s="2">
        <v>468.1</v>
      </c>
      <c r="B444" s="2">
        <v>2098.85</v>
      </c>
    </row>
    <row r="445" spans="1:2" ht="14.25" customHeight="1">
      <c r="A445" s="2">
        <v>489.6</v>
      </c>
      <c r="B445" s="2">
        <v>2083.25</v>
      </c>
    </row>
    <row r="446" spans="1:2" ht="14.25" customHeight="1">
      <c r="A446" s="2">
        <v>487.1</v>
      </c>
      <c r="B446" s="2">
        <v>2059.5500000000002</v>
      </c>
    </row>
    <row r="447" spans="1:2" ht="14.25" customHeight="1">
      <c r="A447" s="2">
        <v>490.8</v>
      </c>
      <c r="B447" s="2">
        <v>2047.05</v>
      </c>
    </row>
    <row r="448" spans="1:2" ht="14.25" customHeight="1">
      <c r="A448" s="2">
        <v>488.8</v>
      </c>
      <c r="B448" s="2">
        <v>2058.25</v>
      </c>
    </row>
    <row r="449" spans="1:2" ht="14.25" customHeight="1">
      <c r="A449" s="2">
        <v>514.70000000000005</v>
      </c>
      <c r="B449" s="2">
        <v>2061.9499999999998</v>
      </c>
    </row>
    <row r="450" spans="1:2" ht="14.25" customHeight="1">
      <c r="A450" s="2">
        <v>508.8</v>
      </c>
      <c r="B450" s="2">
        <v>2075.0500000000002</v>
      </c>
    </row>
    <row r="451" spans="1:2" ht="14.25" customHeight="1">
      <c r="A451" s="2">
        <v>491.2</v>
      </c>
      <c r="B451" s="2">
        <v>2071.25</v>
      </c>
    </row>
    <row r="452" spans="1:2" ht="14.25" customHeight="1">
      <c r="A452" s="2">
        <v>492.9</v>
      </c>
      <c r="B452" s="2">
        <v>2093.35</v>
      </c>
    </row>
    <row r="453" spans="1:2" ht="14.25" customHeight="1">
      <c r="A453" s="2">
        <v>484.05</v>
      </c>
      <c r="B453" s="2">
        <v>2091.4</v>
      </c>
    </row>
    <row r="454" spans="1:2" ht="14.25" customHeight="1">
      <c r="A454" s="2">
        <v>481.95</v>
      </c>
      <c r="B454" s="2">
        <v>2106.0500000000002</v>
      </c>
    </row>
    <row r="455" spans="1:2" ht="14.25" customHeight="1">
      <c r="A455" s="2">
        <v>482</v>
      </c>
      <c r="B455" s="2">
        <v>2087.1999999999998</v>
      </c>
    </row>
    <row r="456" spans="1:2" ht="14.25" customHeight="1">
      <c r="A456" s="2">
        <v>484.65</v>
      </c>
      <c r="B456" s="2">
        <v>2097.4499999999998</v>
      </c>
    </row>
    <row r="457" spans="1:2" ht="14.25" customHeight="1">
      <c r="A457" s="2">
        <v>495.65</v>
      </c>
      <c r="B457" s="2">
        <v>2102.9</v>
      </c>
    </row>
    <row r="458" spans="1:2" ht="14.25" customHeight="1">
      <c r="A458" s="2">
        <v>525.79999999999995</v>
      </c>
      <c r="B458" s="2">
        <v>2120.65</v>
      </c>
    </row>
    <row r="459" spans="1:2" ht="14.25" customHeight="1">
      <c r="A459" s="2">
        <v>529</v>
      </c>
      <c r="B459" s="2">
        <v>2057.6</v>
      </c>
    </row>
    <row r="460" spans="1:2" ht="14.25" customHeight="1">
      <c r="A460" s="2">
        <v>523.04999999999995</v>
      </c>
      <c r="B460" s="2">
        <v>2103.5</v>
      </c>
    </row>
    <row r="461" spans="1:2" ht="14.25" customHeight="1">
      <c r="A461" s="2">
        <v>516.65</v>
      </c>
      <c r="B461" s="2">
        <v>2102.5500000000002</v>
      </c>
    </row>
    <row r="462" spans="1:2" ht="14.25" customHeight="1">
      <c r="A462" s="2">
        <v>531.79999999999995</v>
      </c>
      <c r="B462" s="2">
        <v>2085.9499999999998</v>
      </c>
    </row>
    <row r="463" spans="1:2" ht="14.25" customHeight="1">
      <c r="A463" s="2">
        <v>543.45000000000005</v>
      </c>
      <c r="B463" s="2">
        <v>2113.5</v>
      </c>
    </row>
    <row r="464" spans="1:2" ht="14.25" customHeight="1">
      <c r="A464" s="2">
        <v>548.04999999999995</v>
      </c>
      <c r="B464" s="2">
        <v>2045.25</v>
      </c>
    </row>
    <row r="465" spans="1:2" ht="14.25" customHeight="1">
      <c r="A465" s="2">
        <v>538.35</v>
      </c>
      <c r="B465" s="2">
        <v>2007.75</v>
      </c>
    </row>
    <row r="466" spans="1:2" ht="14.25" customHeight="1">
      <c r="A466" s="2">
        <v>528.29999999999995</v>
      </c>
      <c r="B466" s="2">
        <v>2027.65</v>
      </c>
    </row>
    <row r="467" spans="1:2" ht="14.25" customHeight="1">
      <c r="A467" s="2">
        <v>520.75</v>
      </c>
      <c r="B467" s="2">
        <v>2029.7</v>
      </c>
    </row>
    <row r="468" spans="1:2" ht="14.25" customHeight="1">
      <c r="A468" s="2">
        <v>499.9</v>
      </c>
      <c r="B468" s="2">
        <v>2003.55</v>
      </c>
    </row>
    <row r="469" spans="1:2" ht="14.25" customHeight="1">
      <c r="A469" s="2">
        <v>487.35</v>
      </c>
      <c r="B469" s="2">
        <v>1983.2</v>
      </c>
    </row>
    <row r="470" spans="1:2" ht="14.25" customHeight="1">
      <c r="A470" s="2">
        <v>494.15</v>
      </c>
      <c r="B470" s="2">
        <v>1993.45</v>
      </c>
    </row>
    <row r="471" spans="1:2" ht="14.25" customHeight="1">
      <c r="A471" s="2">
        <v>488.25</v>
      </c>
      <c r="B471" s="2">
        <v>1998.75</v>
      </c>
    </row>
    <row r="472" spans="1:2" ht="14.25" customHeight="1">
      <c r="A472" s="2">
        <v>482.95</v>
      </c>
      <c r="B472" s="2">
        <v>1968.65</v>
      </c>
    </row>
    <row r="473" spans="1:2" ht="14.25" customHeight="1">
      <c r="A473" s="2">
        <v>472.85</v>
      </c>
      <c r="B473" s="2">
        <v>1950.75</v>
      </c>
    </row>
    <row r="474" spans="1:2" ht="14.25" customHeight="1">
      <c r="A474" s="2">
        <v>449.05</v>
      </c>
      <c r="B474" s="2">
        <v>1902.5</v>
      </c>
    </row>
    <row r="475" spans="1:2" ht="14.25" customHeight="1">
      <c r="A475" s="2">
        <v>462.2</v>
      </c>
      <c r="B475" s="2">
        <v>1949.8</v>
      </c>
    </row>
    <row r="476" spans="1:2" ht="14.25" customHeight="1">
      <c r="A476" s="2">
        <v>484</v>
      </c>
      <c r="B476" s="2">
        <v>1967.2</v>
      </c>
    </row>
    <row r="477" spans="1:2" ht="14.25" customHeight="1">
      <c r="A477" s="2">
        <v>497.5</v>
      </c>
      <c r="B477" s="2">
        <v>1953.7</v>
      </c>
    </row>
    <row r="478" spans="1:2" ht="14.25" customHeight="1">
      <c r="A478" s="2">
        <v>500.2</v>
      </c>
      <c r="B478" s="2">
        <v>1943.55</v>
      </c>
    </row>
    <row r="479" spans="1:2" ht="14.25" customHeight="1">
      <c r="A479" s="2">
        <v>504.45</v>
      </c>
      <c r="B479" s="2">
        <v>1917.1</v>
      </c>
    </row>
    <row r="480" spans="1:2" ht="14.25" customHeight="1">
      <c r="A480" s="2">
        <v>504.3</v>
      </c>
      <c r="B480" s="2">
        <v>1900.15</v>
      </c>
    </row>
    <row r="481" spans="1:2" ht="14.25" customHeight="1">
      <c r="A481" s="2">
        <v>515.70000000000005</v>
      </c>
      <c r="B481" s="2">
        <v>1925.7</v>
      </c>
    </row>
    <row r="482" spans="1:2" ht="14.25" customHeight="1">
      <c r="A482" s="2">
        <v>518.20000000000005</v>
      </c>
      <c r="B482" s="2">
        <v>1913.15</v>
      </c>
    </row>
    <row r="483" spans="1:2" ht="14.25" customHeight="1">
      <c r="A483" s="2">
        <v>517.29999999999995</v>
      </c>
      <c r="B483" s="2">
        <v>1909.85</v>
      </c>
    </row>
    <row r="484" spans="1:2" ht="14.25" customHeight="1">
      <c r="A484" s="2">
        <v>507.55</v>
      </c>
      <c r="B484" s="2">
        <v>1899.3</v>
      </c>
    </row>
    <row r="485" spans="1:2" ht="14.25" customHeight="1">
      <c r="A485" s="2">
        <v>504.2</v>
      </c>
      <c r="B485" s="2">
        <v>1863.15</v>
      </c>
    </row>
    <row r="486" spans="1:2" ht="14.25" customHeight="1">
      <c r="A486" s="2">
        <v>485.45</v>
      </c>
      <c r="B486" s="2">
        <v>1864.15</v>
      </c>
    </row>
    <row r="487" spans="1:2" ht="14.25" customHeight="1">
      <c r="A487" s="2">
        <v>480.1</v>
      </c>
      <c r="B487" s="2">
        <v>1869.6</v>
      </c>
    </row>
    <row r="488" spans="1:2" ht="14.25" customHeight="1">
      <c r="A488" s="2">
        <v>479.3</v>
      </c>
      <c r="B488" s="2">
        <v>1860</v>
      </c>
    </row>
    <row r="489" spans="1:2" ht="14.25" customHeight="1">
      <c r="A489" s="2">
        <v>471.55</v>
      </c>
      <c r="B489" s="2">
        <v>1875</v>
      </c>
    </row>
    <row r="490" spans="1:2" ht="14.25" customHeight="1">
      <c r="A490" s="2">
        <v>460.1</v>
      </c>
      <c r="B490" s="2">
        <v>1840.15</v>
      </c>
    </row>
    <row r="491" spans="1:2" ht="14.25" customHeight="1">
      <c r="A491" s="2">
        <v>462.05</v>
      </c>
      <c r="B491" s="2">
        <v>1847.8</v>
      </c>
    </row>
    <row r="492" spans="1:2" ht="14.25" customHeight="1">
      <c r="A492" s="2">
        <v>468.5</v>
      </c>
      <c r="B492" s="2">
        <v>1849.5</v>
      </c>
    </row>
    <row r="493" spans="1:2" ht="14.25" customHeight="1">
      <c r="A493" s="2">
        <v>470</v>
      </c>
      <c r="B493" s="2">
        <v>1868.55</v>
      </c>
    </row>
    <row r="494" spans="1:2" ht="14.25" customHeight="1">
      <c r="A494" s="2">
        <v>463.45</v>
      </c>
      <c r="B494" s="2">
        <v>1920.85</v>
      </c>
    </row>
    <row r="495" spans="1:2" ht="14.25" customHeight="1">
      <c r="A495" s="2">
        <v>463.6</v>
      </c>
      <c r="B495" s="2">
        <v>1913.35</v>
      </c>
    </row>
    <row r="496" spans="1:2" ht="14.25" customHeight="1">
      <c r="A496" s="2">
        <v>469.25</v>
      </c>
      <c r="B496" s="2">
        <v>1919.55</v>
      </c>
    </row>
    <row r="497" spans="1:2" ht="14.25" customHeight="1">
      <c r="A497" s="2">
        <v>466.9</v>
      </c>
      <c r="B497" s="2">
        <v>1926.05</v>
      </c>
    </row>
    <row r="498" spans="1:2" ht="14.25" customHeight="1">
      <c r="A498" s="2">
        <v>469.3</v>
      </c>
      <c r="B498" s="2">
        <v>1927.8</v>
      </c>
    </row>
    <row r="499" spans="1:2" ht="14.25" customHeight="1">
      <c r="A499" s="2">
        <v>455</v>
      </c>
      <c r="B499" s="2">
        <v>1938.5</v>
      </c>
    </row>
    <row r="500" spans="1:2" ht="14.25" customHeight="1">
      <c r="A500" s="2">
        <v>455.15</v>
      </c>
      <c r="B500" s="2">
        <v>1945.15</v>
      </c>
    </row>
    <row r="501" spans="1:2" ht="14.25" customHeight="1">
      <c r="A501" s="2">
        <v>459.4</v>
      </c>
      <c r="B501" s="2">
        <v>1981.85</v>
      </c>
    </row>
    <row r="502" spans="1:2" ht="14.25" customHeight="1">
      <c r="A502" s="2">
        <v>466.3</v>
      </c>
      <c r="B502" s="2">
        <v>1986.35</v>
      </c>
    </row>
    <row r="503" spans="1:2" ht="14.25" customHeight="1">
      <c r="A503" s="2">
        <v>472.75</v>
      </c>
      <c r="B503" s="2">
        <v>1985.55</v>
      </c>
    </row>
    <row r="504" spans="1:2" ht="14.25" customHeight="1">
      <c r="A504" s="2">
        <v>471.1</v>
      </c>
      <c r="B504" s="2">
        <v>1965.05</v>
      </c>
    </row>
    <row r="505" spans="1:2" ht="14.25" customHeight="1">
      <c r="A505" s="2">
        <v>476.3</v>
      </c>
      <c r="B505" s="2">
        <v>1951.25</v>
      </c>
    </row>
    <row r="506" spans="1:2" ht="14.25" customHeight="1">
      <c r="A506" s="2">
        <v>486</v>
      </c>
      <c r="B506" s="2">
        <v>1957.55</v>
      </c>
    </row>
    <row r="507" spans="1:2" ht="14.25" customHeight="1">
      <c r="A507" s="2">
        <v>497.15</v>
      </c>
      <c r="B507" s="2">
        <v>1959.5</v>
      </c>
    </row>
    <row r="508" spans="1:2" ht="14.25" customHeight="1">
      <c r="A508" s="2">
        <v>507.1</v>
      </c>
      <c r="B508" s="2">
        <v>1969.05</v>
      </c>
    </row>
    <row r="509" spans="1:2" ht="14.25" customHeight="1">
      <c r="A509" s="2">
        <v>513.35</v>
      </c>
      <c r="B509" s="2">
        <v>1965.55</v>
      </c>
    </row>
    <row r="510" spans="1:2" ht="14.25" customHeight="1">
      <c r="A510" s="2">
        <v>516</v>
      </c>
      <c r="B510" s="2">
        <v>1959.7</v>
      </c>
    </row>
    <row r="511" spans="1:2" ht="14.25" customHeight="1">
      <c r="A511" s="2">
        <v>517.04999999999995</v>
      </c>
      <c r="B511" s="2">
        <v>1963.25</v>
      </c>
    </row>
    <row r="512" spans="1:2" ht="14.25" customHeight="1">
      <c r="A512" s="2">
        <v>517.79999999999995</v>
      </c>
      <c r="B512" s="2">
        <v>1983.65</v>
      </c>
    </row>
    <row r="513" spans="1:2" ht="14.25" customHeight="1">
      <c r="A513" s="2">
        <v>528.04999999999995</v>
      </c>
      <c r="B513" s="2">
        <v>1983.35</v>
      </c>
    </row>
    <row r="514" spans="1:2" ht="14.25" customHeight="1">
      <c r="A514" s="2">
        <v>508.9</v>
      </c>
      <c r="B514" s="2">
        <v>1979.9</v>
      </c>
    </row>
    <row r="515" spans="1:2" ht="14.25" customHeight="1">
      <c r="A515" s="2">
        <v>533.79999999999995</v>
      </c>
      <c r="B515" s="2">
        <v>1965.8</v>
      </c>
    </row>
    <row r="516" spans="1:2" ht="14.25" customHeight="1">
      <c r="A516" s="2">
        <v>528.29999999999995</v>
      </c>
      <c r="B516" s="2">
        <v>1962.75</v>
      </c>
    </row>
    <row r="517" spans="1:2" ht="14.25" customHeight="1">
      <c r="A517" s="2">
        <v>529.75</v>
      </c>
      <c r="B517" s="2">
        <v>1958.9</v>
      </c>
    </row>
    <row r="518" spans="1:2" ht="14.25" customHeight="1">
      <c r="A518" s="2">
        <v>529.75</v>
      </c>
      <c r="B518" s="2">
        <v>1944.85</v>
      </c>
    </row>
    <row r="519" spans="1:2" ht="14.25" customHeight="1">
      <c r="A519" s="2">
        <v>528.75</v>
      </c>
      <c r="B519" s="2">
        <v>1936.35</v>
      </c>
    </row>
    <row r="520" spans="1:2" ht="14.25" customHeight="1">
      <c r="A520" s="2">
        <v>529.54999999999995</v>
      </c>
      <c r="B520" s="2">
        <v>1946.35</v>
      </c>
    </row>
    <row r="521" spans="1:2" ht="14.25" customHeight="1">
      <c r="A521" s="2">
        <v>520.29999999999995</v>
      </c>
      <c r="B521" s="2">
        <v>1934.45</v>
      </c>
    </row>
    <row r="522" spans="1:2" ht="14.25" customHeight="1">
      <c r="A522" s="2">
        <v>530.29999999999995</v>
      </c>
      <c r="B522" s="2">
        <v>1940.05</v>
      </c>
    </row>
    <row r="523" spans="1:2" ht="14.25" customHeight="1">
      <c r="A523" s="2">
        <v>534.79999999999995</v>
      </c>
      <c r="B523" s="2">
        <v>1939.7</v>
      </c>
    </row>
    <row r="524" spans="1:2" ht="14.25" customHeight="1">
      <c r="A524" s="2">
        <v>532.1</v>
      </c>
      <c r="B524" s="2">
        <v>1960.5</v>
      </c>
    </row>
    <row r="525" spans="1:2" ht="14.25" customHeight="1">
      <c r="A525" s="2">
        <v>548.20000000000005</v>
      </c>
      <c r="B525" s="2">
        <v>1959.95</v>
      </c>
    </row>
    <row r="526" spans="1:2" ht="14.25" customHeight="1">
      <c r="A526" s="2">
        <v>573.29999999999995</v>
      </c>
      <c r="B526" s="2">
        <v>1982.7</v>
      </c>
    </row>
    <row r="527" spans="1:2" ht="14.25" customHeight="1">
      <c r="A527" s="2">
        <v>549.15</v>
      </c>
      <c r="B527" s="2">
        <v>2038.3</v>
      </c>
    </row>
    <row r="528" spans="1:2" ht="14.25" customHeight="1">
      <c r="A528" s="2">
        <v>555.75</v>
      </c>
      <c r="B528" s="2">
        <v>2025.25</v>
      </c>
    </row>
    <row r="529" spans="1:2" ht="14.25" customHeight="1">
      <c r="A529" s="2">
        <v>570.95000000000005</v>
      </c>
      <c r="B529" s="2">
        <v>2039.25</v>
      </c>
    </row>
    <row r="530" spans="1:2" ht="14.25" customHeight="1">
      <c r="A530" s="2">
        <v>577.85</v>
      </c>
      <c r="B530" s="2">
        <v>2034.55</v>
      </c>
    </row>
    <row r="531" spans="1:2" ht="14.25" customHeight="1">
      <c r="A531" s="2">
        <v>572.70000000000005</v>
      </c>
      <c r="B531" s="2">
        <v>2035.05</v>
      </c>
    </row>
    <row r="532" spans="1:2" ht="14.25" customHeight="1">
      <c r="A532" s="2">
        <v>587.20000000000005</v>
      </c>
      <c r="B532" s="2">
        <v>2042.25</v>
      </c>
    </row>
    <row r="533" spans="1:2" ht="14.25" customHeight="1">
      <c r="A533" s="2">
        <v>594.54999999999995</v>
      </c>
      <c r="B533" s="2">
        <v>2106.25</v>
      </c>
    </row>
    <row r="534" spans="1:2" ht="14.25" customHeight="1">
      <c r="A534" s="2">
        <v>608.75</v>
      </c>
      <c r="B534" s="2">
        <v>2086.5500000000002</v>
      </c>
    </row>
    <row r="535" spans="1:2" ht="14.25" customHeight="1">
      <c r="A535" s="2">
        <v>634</v>
      </c>
      <c r="B535" s="2">
        <v>2086.35</v>
      </c>
    </row>
    <row r="536" spans="1:2" ht="14.25" customHeight="1">
      <c r="A536" s="2">
        <v>637.70000000000005</v>
      </c>
      <c r="B536" s="2">
        <v>2088.1</v>
      </c>
    </row>
    <row r="537" spans="1:2" ht="14.25" customHeight="1">
      <c r="A537" s="2">
        <v>640.6</v>
      </c>
      <c r="B537" s="2">
        <v>2083</v>
      </c>
    </row>
    <row r="538" spans="1:2" ht="14.25" customHeight="1">
      <c r="A538" s="2">
        <v>644.65</v>
      </c>
      <c r="B538" s="2">
        <v>2074.6</v>
      </c>
    </row>
    <row r="539" spans="1:2" ht="14.25" customHeight="1">
      <c r="A539" s="2">
        <v>653.95000000000005</v>
      </c>
      <c r="B539" s="2">
        <v>2079.5500000000002</v>
      </c>
    </row>
    <row r="540" spans="1:2" ht="14.25" customHeight="1">
      <c r="A540" s="2">
        <v>643.1</v>
      </c>
      <c r="B540" s="2">
        <v>2065.75</v>
      </c>
    </row>
    <row r="541" spans="1:2" ht="14.25" customHeight="1">
      <c r="A541" s="2">
        <v>667.45</v>
      </c>
      <c r="B541" s="2">
        <v>2080.6</v>
      </c>
    </row>
    <row r="542" spans="1:2" ht="14.25" customHeight="1">
      <c r="A542" s="2">
        <v>665.6</v>
      </c>
      <c r="B542" s="2">
        <v>2074.85</v>
      </c>
    </row>
    <row r="543" spans="1:2" ht="14.25" customHeight="1">
      <c r="A543" s="2">
        <v>664.7</v>
      </c>
      <c r="B543" s="2">
        <v>2087.4</v>
      </c>
    </row>
    <row r="544" spans="1:2" ht="14.25" customHeight="1">
      <c r="A544" s="2">
        <v>662.45</v>
      </c>
      <c r="B544" s="2">
        <v>2084.4</v>
      </c>
    </row>
    <row r="545" spans="1:2" ht="14.25" customHeight="1">
      <c r="A545" s="2">
        <v>659.7</v>
      </c>
      <c r="B545" s="2">
        <v>2073.5</v>
      </c>
    </row>
    <row r="546" spans="1:2" ht="14.25" customHeight="1">
      <c r="A546" s="2">
        <v>666.9</v>
      </c>
      <c r="B546" s="2">
        <v>2075.25</v>
      </c>
    </row>
    <row r="547" spans="1:2" ht="14.25" customHeight="1">
      <c r="A547" s="2">
        <v>670</v>
      </c>
      <c r="B547" s="2">
        <v>2080.0500000000002</v>
      </c>
    </row>
    <row r="548" spans="1:2" ht="14.25" customHeight="1">
      <c r="A548" s="2">
        <v>660.55</v>
      </c>
      <c r="B548" s="2">
        <v>2083.4</v>
      </c>
    </row>
    <row r="549" spans="1:2" ht="14.25" customHeight="1">
      <c r="A549" s="2">
        <v>667.8</v>
      </c>
      <c r="B549" s="2">
        <v>2084</v>
      </c>
    </row>
    <row r="550" spans="1:2" ht="14.25" customHeight="1">
      <c r="A550" s="2">
        <v>688.95</v>
      </c>
      <c r="B550" s="2">
        <v>2082.9</v>
      </c>
    </row>
    <row r="551" spans="1:2" ht="14.25" customHeight="1">
      <c r="A551" s="2">
        <v>683.5</v>
      </c>
      <c r="B551" s="2">
        <v>2086.6999999999998</v>
      </c>
    </row>
    <row r="552" spans="1:2" ht="14.25" customHeight="1">
      <c r="A552" s="2">
        <v>688.75</v>
      </c>
      <c r="B552" s="2">
        <v>2087.0500000000002</v>
      </c>
    </row>
    <row r="553" spans="1:2" ht="14.25" customHeight="1">
      <c r="A553" s="2">
        <v>684.3</v>
      </c>
      <c r="B553" s="2">
        <v>2116.4499999999998</v>
      </c>
    </row>
    <row r="554" spans="1:2" ht="14.25" customHeight="1">
      <c r="A554" s="2">
        <v>689.4</v>
      </c>
      <c r="B554" s="2">
        <v>2140.4499999999998</v>
      </c>
    </row>
    <row r="555" spans="1:2" ht="14.25" customHeight="1">
      <c r="A555" s="2">
        <v>669.25</v>
      </c>
      <c r="B555" s="2">
        <v>2144.9</v>
      </c>
    </row>
    <row r="556" spans="1:2" ht="14.25" customHeight="1">
      <c r="A556" s="2">
        <v>660.7</v>
      </c>
      <c r="B556" s="2">
        <v>2163.75</v>
      </c>
    </row>
    <row r="557" spans="1:2" ht="14.25" customHeight="1">
      <c r="A557" s="2">
        <v>682.05</v>
      </c>
      <c r="B557" s="2">
        <v>2207.6</v>
      </c>
    </row>
    <row r="558" spans="1:2" ht="14.25" customHeight="1">
      <c r="A558" s="2">
        <v>671.5</v>
      </c>
      <c r="B558" s="2">
        <v>2190.1999999999998</v>
      </c>
    </row>
    <row r="559" spans="1:2" ht="14.25" customHeight="1">
      <c r="A559" s="2">
        <v>678.05</v>
      </c>
      <c r="B559" s="2">
        <v>2171.75</v>
      </c>
    </row>
    <row r="560" spans="1:2" ht="14.25" customHeight="1">
      <c r="A560" s="2">
        <v>669.85</v>
      </c>
      <c r="B560" s="2">
        <v>2189.6</v>
      </c>
    </row>
    <row r="561" spans="1:2" ht="14.25" customHeight="1">
      <c r="A561" s="2">
        <v>656.2</v>
      </c>
      <c r="B561" s="2">
        <v>2200.1999999999998</v>
      </c>
    </row>
    <row r="562" spans="1:2" ht="14.25" customHeight="1">
      <c r="A562" s="2">
        <v>624.95000000000005</v>
      </c>
      <c r="B562" s="2">
        <v>2256.8000000000002</v>
      </c>
    </row>
    <row r="563" spans="1:2" ht="14.25" customHeight="1">
      <c r="A563" s="2">
        <v>610.70000000000005</v>
      </c>
      <c r="B563" s="2">
        <v>2223.75</v>
      </c>
    </row>
    <row r="564" spans="1:2" ht="14.25" customHeight="1">
      <c r="A564" s="2">
        <v>653.65</v>
      </c>
      <c r="B564" s="2">
        <v>2316.5500000000002</v>
      </c>
    </row>
    <row r="565" spans="1:2" ht="14.25" customHeight="1">
      <c r="A565" s="2">
        <v>621.54999999999995</v>
      </c>
      <c r="B565" s="2">
        <v>2277.6</v>
      </c>
    </row>
    <row r="566" spans="1:2" ht="14.25" customHeight="1">
      <c r="A566" s="2">
        <v>618.4</v>
      </c>
      <c r="B566" s="2">
        <v>2289.4</v>
      </c>
    </row>
    <row r="567" spans="1:2" ht="14.25" customHeight="1">
      <c r="A567" s="2">
        <v>619.04999999999995</v>
      </c>
      <c r="B567" s="2">
        <v>2255</v>
      </c>
    </row>
    <row r="568" spans="1:2" ht="14.25" customHeight="1">
      <c r="A568" s="2">
        <v>608.70000000000005</v>
      </c>
      <c r="B568" s="2">
        <v>2210.75</v>
      </c>
    </row>
    <row r="569" spans="1:2" ht="14.25" customHeight="1">
      <c r="A569" s="2">
        <v>580.75</v>
      </c>
      <c r="B569" s="2">
        <v>2218.4499999999998</v>
      </c>
    </row>
    <row r="570" spans="1:2" ht="14.25" customHeight="1">
      <c r="A570" s="2">
        <v>565.85</v>
      </c>
      <c r="B570" s="2">
        <v>2185.4499999999998</v>
      </c>
    </row>
    <row r="571" spans="1:2" ht="14.25" customHeight="1">
      <c r="A571" s="2">
        <v>582.35</v>
      </c>
      <c r="B571" s="2">
        <v>2172.85</v>
      </c>
    </row>
    <row r="572" spans="1:2" ht="14.25" customHeight="1">
      <c r="A572" s="2">
        <v>584.5</v>
      </c>
      <c r="B572" s="2">
        <v>2192.1999999999998</v>
      </c>
    </row>
    <row r="573" spans="1:2" ht="14.25" customHeight="1">
      <c r="A573" s="2">
        <v>579.75</v>
      </c>
      <c r="B573" s="2">
        <v>2174.75</v>
      </c>
    </row>
    <row r="574" spans="1:2" ht="14.25" customHeight="1">
      <c r="A574" s="2">
        <v>573.95000000000005</v>
      </c>
      <c r="B574" s="2">
        <v>2210.1999999999998</v>
      </c>
    </row>
    <row r="575" spans="1:2" ht="14.25" customHeight="1">
      <c r="A575" s="2">
        <v>576.04999999999995</v>
      </c>
      <c r="B575" s="2">
        <v>2251.9</v>
      </c>
    </row>
    <row r="576" spans="1:2" ht="14.25" customHeight="1">
      <c r="A576" s="2">
        <v>561.9</v>
      </c>
      <c r="B576" s="2">
        <v>2214.75</v>
      </c>
    </row>
    <row r="577" spans="1:2" ht="14.25" customHeight="1">
      <c r="A577" s="2">
        <v>553.9</v>
      </c>
      <c r="B577" s="2">
        <v>2240.9</v>
      </c>
    </row>
    <row r="578" spans="1:2" ht="14.25" customHeight="1">
      <c r="A578" s="2">
        <v>554.75</v>
      </c>
      <c r="B578" s="2">
        <v>2238.9499999999998</v>
      </c>
    </row>
    <row r="579" spans="1:2" ht="14.25" customHeight="1">
      <c r="A579" s="2">
        <v>546.04999999999995</v>
      </c>
      <c r="B579" s="2">
        <v>2211.65</v>
      </c>
    </row>
    <row r="580" spans="1:2" ht="14.25" customHeight="1">
      <c r="A580" s="2">
        <v>547.4</v>
      </c>
      <c r="B580" s="2">
        <v>2190.65</v>
      </c>
    </row>
    <row r="581" spans="1:2" ht="14.25" customHeight="1">
      <c r="A581" s="2">
        <v>532.70000000000005</v>
      </c>
      <c r="B581" s="2">
        <v>2179.9</v>
      </c>
    </row>
    <row r="582" spans="1:2" ht="14.25" customHeight="1">
      <c r="A582" s="2">
        <v>529.75</v>
      </c>
      <c r="B582" s="2">
        <v>2177.9499999999998</v>
      </c>
    </row>
    <row r="583" spans="1:2" ht="14.25" customHeight="1">
      <c r="A583" s="2">
        <v>531.35</v>
      </c>
      <c r="B583" s="2">
        <v>2179.9</v>
      </c>
    </row>
    <row r="584" spans="1:2" ht="14.25" customHeight="1">
      <c r="A584" s="2">
        <v>533.6</v>
      </c>
      <c r="B584" s="2">
        <v>2144.0500000000002</v>
      </c>
    </row>
    <row r="585" spans="1:2" ht="14.25" customHeight="1">
      <c r="A585" s="2">
        <v>526.95000000000005</v>
      </c>
      <c r="B585" s="2">
        <v>2172.9499999999998</v>
      </c>
    </row>
    <row r="586" spans="1:2" ht="14.25" customHeight="1">
      <c r="A586" s="2">
        <v>523.75</v>
      </c>
      <c r="B586" s="2">
        <v>2170.75</v>
      </c>
    </row>
    <row r="587" spans="1:2" ht="14.25" customHeight="1">
      <c r="A587" s="2">
        <v>521.79999999999995</v>
      </c>
      <c r="B587" s="2">
        <v>2137.3000000000002</v>
      </c>
    </row>
    <row r="588" spans="1:2" ht="14.25" customHeight="1">
      <c r="A588" s="2">
        <v>513</v>
      </c>
      <c r="B588" s="2">
        <v>2127.6</v>
      </c>
    </row>
    <row r="589" spans="1:2" ht="14.25" customHeight="1">
      <c r="A589" s="2">
        <v>523.45000000000005</v>
      </c>
      <c r="B589" s="2">
        <v>2100.3000000000002</v>
      </c>
    </row>
    <row r="590" spans="1:2" ht="14.25" customHeight="1">
      <c r="A590" s="2">
        <v>519.45000000000005</v>
      </c>
      <c r="B590" s="2">
        <v>2082.9499999999998</v>
      </c>
    </row>
    <row r="591" spans="1:2" ht="14.25" customHeight="1">
      <c r="A591" s="2">
        <v>528.75</v>
      </c>
      <c r="B591" s="2">
        <v>2054.35</v>
      </c>
    </row>
    <row r="592" spans="1:2" ht="14.25" customHeight="1">
      <c r="A592" s="2">
        <v>527.45000000000005</v>
      </c>
      <c r="B592" s="2">
        <v>2050.1</v>
      </c>
    </row>
    <row r="593" spans="1:2" ht="14.25" customHeight="1">
      <c r="A593" s="2">
        <v>505.6</v>
      </c>
      <c r="B593" s="2">
        <v>2056.35</v>
      </c>
    </row>
    <row r="594" spans="1:2" ht="14.25" customHeight="1">
      <c r="A594" s="2">
        <v>517.95000000000005</v>
      </c>
      <c r="B594" s="2">
        <v>2028.8</v>
      </c>
    </row>
    <row r="595" spans="1:2" ht="14.25" customHeight="1">
      <c r="A595" s="2">
        <v>508.45</v>
      </c>
      <c r="B595" s="2">
        <v>2028.4</v>
      </c>
    </row>
    <row r="596" spans="1:2" ht="14.25" customHeight="1">
      <c r="A596" s="2">
        <v>515.54999999999995</v>
      </c>
      <c r="B596" s="2">
        <v>2063.9499999999998</v>
      </c>
    </row>
    <row r="597" spans="1:2" ht="14.25" customHeight="1">
      <c r="A597" s="2">
        <v>474.25</v>
      </c>
      <c r="B597" s="2">
        <v>2049.65</v>
      </c>
    </row>
    <row r="598" spans="1:2" ht="14.25" customHeight="1">
      <c r="A598" s="2">
        <v>482.65</v>
      </c>
      <c r="B598" s="2">
        <v>2042.3</v>
      </c>
    </row>
    <row r="599" spans="1:2" ht="14.25" customHeight="1">
      <c r="A599" s="2">
        <v>468.25</v>
      </c>
      <c r="B599" s="2">
        <v>1990.15</v>
      </c>
    </row>
    <row r="600" spans="1:2" ht="14.25" customHeight="1">
      <c r="A600" s="2">
        <v>462.15</v>
      </c>
      <c r="B600" s="2">
        <v>1964.85</v>
      </c>
    </row>
    <row r="601" spans="1:2" ht="14.25" customHeight="1">
      <c r="A601" s="2">
        <v>458.95</v>
      </c>
      <c r="B601" s="2">
        <v>1981.35</v>
      </c>
    </row>
    <row r="602" spans="1:2" ht="14.25" customHeight="1">
      <c r="A602" s="2">
        <v>455.9</v>
      </c>
      <c r="B602" s="2">
        <v>1995.05</v>
      </c>
    </row>
    <row r="603" spans="1:2" ht="14.25" customHeight="1">
      <c r="A603" s="2">
        <v>454.4</v>
      </c>
      <c r="B603" s="2">
        <v>2004.8</v>
      </c>
    </row>
    <row r="604" spans="1:2" ht="14.25" customHeight="1">
      <c r="A604" s="2">
        <v>436.05</v>
      </c>
      <c r="B604" s="2">
        <v>1988.05</v>
      </c>
    </row>
    <row r="605" spans="1:2" ht="14.25" customHeight="1">
      <c r="A605" s="2">
        <v>428.85</v>
      </c>
      <c r="B605" s="2">
        <v>2024.4</v>
      </c>
    </row>
    <row r="606" spans="1:2" ht="14.25" customHeight="1">
      <c r="A606" s="2">
        <v>430.4</v>
      </c>
      <c r="B606" s="2">
        <v>2010</v>
      </c>
    </row>
    <row r="607" spans="1:2" ht="14.25" customHeight="1">
      <c r="A607" s="2">
        <v>417.4</v>
      </c>
      <c r="B607" s="2">
        <v>1973.5</v>
      </c>
    </row>
    <row r="608" spans="1:2" ht="14.25" customHeight="1">
      <c r="A608" s="2">
        <v>417.45</v>
      </c>
      <c r="B608" s="2">
        <v>1985.6</v>
      </c>
    </row>
    <row r="609" spans="1:2" ht="14.25" customHeight="1">
      <c r="A609" s="2">
        <v>409.65</v>
      </c>
      <c r="B609" s="2">
        <v>2010</v>
      </c>
    </row>
    <row r="610" spans="1:2" ht="14.25" customHeight="1">
      <c r="A610" s="2">
        <v>410.25</v>
      </c>
      <c r="B610" s="2">
        <v>1985.55</v>
      </c>
    </row>
    <row r="611" spans="1:2" ht="14.25" customHeight="1">
      <c r="A611" s="2">
        <v>407.1</v>
      </c>
      <c r="B611" s="2">
        <v>1990.15</v>
      </c>
    </row>
    <row r="612" spans="1:2" ht="14.25" customHeight="1">
      <c r="A612" s="2">
        <v>383.85</v>
      </c>
      <c r="B612" s="2">
        <v>1988.8</v>
      </c>
    </row>
    <row r="613" spans="1:2" ht="14.25" customHeight="1">
      <c r="A613" s="2">
        <v>374</v>
      </c>
      <c r="B613" s="2">
        <v>1958.75</v>
      </c>
    </row>
    <row r="614" spans="1:2" ht="14.25" customHeight="1">
      <c r="A614" s="2">
        <v>384</v>
      </c>
      <c r="B614" s="2">
        <v>2033.65</v>
      </c>
    </row>
    <row r="615" spans="1:2" ht="14.25" customHeight="1">
      <c r="A615" s="2">
        <v>377</v>
      </c>
      <c r="B615" s="2">
        <v>2048.3000000000002</v>
      </c>
    </row>
    <row r="616" spans="1:2" ht="14.25" customHeight="1">
      <c r="A616" s="2">
        <v>370.3</v>
      </c>
      <c r="B616" s="2">
        <v>2019.7</v>
      </c>
    </row>
    <row r="617" spans="1:2" ht="14.25" customHeight="1">
      <c r="A617" s="2">
        <v>372.2</v>
      </c>
      <c r="B617" s="2">
        <v>2012.65</v>
      </c>
    </row>
    <row r="618" spans="1:2" ht="14.25" customHeight="1">
      <c r="A618" s="2">
        <v>370.65</v>
      </c>
      <c r="B618" s="2">
        <v>2000</v>
      </c>
    </row>
    <row r="619" spans="1:2" ht="14.25" customHeight="1">
      <c r="A619" s="2">
        <v>370</v>
      </c>
      <c r="B619" s="2">
        <v>2001</v>
      </c>
    </row>
    <row r="620" spans="1:2" ht="14.25" customHeight="1">
      <c r="A620" s="2">
        <v>378.55</v>
      </c>
      <c r="B620" s="2">
        <v>2033.7</v>
      </c>
    </row>
    <row r="621" spans="1:2" ht="14.25" customHeight="1">
      <c r="A621" s="2">
        <v>381.6</v>
      </c>
      <c r="B621" s="2">
        <v>2022.35</v>
      </c>
    </row>
    <row r="622" spans="1:2" ht="14.25" customHeight="1">
      <c r="A622" s="2">
        <v>378.45</v>
      </c>
      <c r="B622" s="2">
        <v>2013.85</v>
      </c>
    </row>
    <row r="623" spans="1:2" ht="14.25" customHeight="1">
      <c r="A623" s="2">
        <v>381</v>
      </c>
      <c r="B623" s="2">
        <v>2016.7</v>
      </c>
    </row>
    <row r="624" spans="1:2" ht="14.25" customHeight="1">
      <c r="A624" s="2">
        <v>382.7</v>
      </c>
      <c r="B624" s="2">
        <v>2017.3</v>
      </c>
    </row>
    <row r="625" spans="1:2" ht="14.25" customHeight="1">
      <c r="A625" s="2">
        <v>379.65</v>
      </c>
      <c r="B625" s="2">
        <v>2003.25</v>
      </c>
    </row>
    <row r="626" spans="1:2" ht="14.25" customHeight="1">
      <c r="A626" s="2">
        <v>375</v>
      </c>
      <c r="B626" s="2">
        <v>2007.1</v>
      </c>
    </row>
    <row r="627" spans="1:2" ht="14.25" customHeight="1">
      <c r="A627" s="2">
        <v>377.35</v>
      </c>
      <c r="B627" s="2">
        <v>2019.3</v>
      </c>
    </row>
    <row r="628" spans="1:2" ht="14.25" customHeight="1">
      <c r="A628" s="2">
        <v>394.05</v>
      </c>
      <c r="B628" s="2">
        <v>2029.85</v>
      </c>
    </row>
    <row r="629" spans="1:2" ht="14.25" customHeight="1">
      <c r="A629" s="2">
        <v>405.85</v>
      </c>
      <c r="B629" s="2">
        <v>2038.65</v>
      </c>
    </row>
    <row r="630" spans="1:2" ht="14.25" customHeight="1">
      <c r="A630" s="2">
        <v>408.85</v>
      </c>
      <c r="B630" s="2">
        <v>2022.15</v>
      </c>
    </row>
    <row r="631" spans="1:2" ht="14.25" customHeight="1">
      <c r="A631" s="2">
        <v>411.3</v>
      </c>
      <c r="B631" s="2">
        <v>2019.3</v>
      </c>
    </row>
    <row r="632" spans="1:2" ht="14.25" customHeight="1">
      <c r="A632" s="2">
        <v>407.4</v>
      </c>
      <c r="B632" s="2">
        <v>2016.45</v>
      </c>
    </row>
    <row r="633" spans="1:2" ht="14.25" customHeight="1">
      <c r="A633" s="2">
        <v>389.95</v>
      </c>
      <c r="B633" s="2">
        <v>2015.7</v>
      </c>
    </row>
    <row r="634" spans="1:2" ht="14.25" customHeight="1">
      <c r="A634" s="2">
        <v>388.75</v>
      </c>
      <c r="B634" s="2">
        <v>2039.85</v>
      </c>
    </row>
    <row r="635" spans="1:2" ht="14.25" customHeight="1">
      <c r="A635" s="2">
        <v>385.4</v>
      </c>
      <c r="B635" s="2">
        <v>2061.4499999999998</v>
      </c>
    </row>
    <row r="636" spans="1:2" ht="14.25" customHeight="1">
      <c r="A636" s="2">
        <v>380</v>
      </c>
      <c r="B636" s="2">
        <v>2050.75</v>
      </c>
    </row>
    <row r="637" spans="1:2" ht="14.25" customHeight="1">
      <c r="A637" s="2">
        <v>376.9</v>
      </c>
      <c r="B637" s="2">
        <v>2040.65</v>
      </c>
    </row>
    <row r="638" spans="1:2" ht="14.25" customHeight="1">
      <c r="A638" s="2">
        <v>370.65</v>
      </c>
      <c r="B638" s="2">
        <v>2059.8000000000002</v>
      </c>
    </row>
    <row r="639" spans="1:2" ht="14.25" customHeight="1">
      <c r="A639" s="2">
        <v>365.45</v>
      </c>
      <c r="B639" s="2">
        <v>2056.6999999999998</v>
      </c>
    </row>
    <row r="640" spans="1:2" ht="14.25" customHeight="1">
      <c r="A640" s="2">
        <v>362.6</v>
      </c>
      <c r="B640" s="2">
        <v>2066.5500000000002</v>
      </c>
    </row>
    <row r="641" spans="1:2" ht="14.25" customHeight="1">
      <c r="A641" s="2">
        <v>364.05</v>
      </c>
      <c r="B641" s="2">
        <v>2079.75</v>
      </c>
    </row>
    <row r="642" spans="1:2" ht="14.25" customHeight="1">
      <c r="A642" s="2">
        <v>363.45</v>
      </c>
      <c r="B642" s="2">
        <v>2072.1</v>
      </c>
    </row>
    <row r="643" spans="1:2" ht="14.25" customHeight="1">
      <c r="A643" s="2">
        <v>354.7</v>
      </c>
      <c r="B643" s="2">
        <v>2073.85</v>
      </c>
    </row>
    <row r="644" spans="1:2" ht="14.25" customHeight="1">
      <c r="A644" s="2">
        <v>350.85</v>
      </c>
      <c r="B644" s="2">
        <v>2110.85</v>
      </c>
    </row>
    <row r="645" spans="1:2" ht="14.25" customHeight="1">
      <c r="A645" s="2">
        <v>337.7</v>
      </c>
      <c r="B645" s="2">
        <v>2150.0500000000002</v>
      </c>
    </row>
    <row r="646" spans="1:2" ht="14.25" customHeight="1">
      <c r="A646" s="2">
        <v>320.10000000000002</v>
      </c>
      <c r="B646" s="2">
        <v>2150.75</v>
      </c>
    </row>
    <row r="647" spans="1:2" ht="14.25" customHeight="1">
      <c r="A647" s="2">
        <v>311.39999999999998</v>
      </c>
      <c r="B647" s="2">
        <v>2130.6</v>
      </c>
    </row>
    <row r="648" spans="1:2" ht="14.25" customHeight="1">
      <c r="A648" s="2">
        <v>316.10000000000002</v>
      </c>
      <c r="B648" s="2">
        <v>2124.4</v>
      </c>
    </row>
    <row r="649" spans="1:2" ht="14.25" customHeight="1">
      <c r="A649" s="2">
        <v>318.5</v>
      </c>
      <c r="B649" s="2">
        <v>2109.9499999999998</v>
      </c>
    </row>
    <row r="650" spans="1:2" ht="14.25" customHeight="1">
      <c r="A650" s="2">
        <v>323.25</v>
      </c>
      <c r="B650" s="2">
        <v>2104.35</v>
      </c>
    </row>
    <row r="651" spans="1:2" ht="14.25" customHeight="1">
      <c r="A651" s="2">
        <v>325.45</v>
      </c>
      <c r="B651" s="2">
        <v>2123.9499999999998</v>
      </c>
    </row>
    <row r="652" spans="1:2" ht="14.25" customHeight="1">
      <c r="A652" s="2">
        <v>319</v>
      </c>
      <c r="B652" s="2">
        <v>2111</v>
      </c>
    </row>
    <row r="653" spans="1:2" ht="14.25" customHeight="1">
      <c r="A653" s="2">
        <v>317.8</v>
      </c>
      <c r="B653" s="2">
        <v>2086.15</v>
      </c>
    </row>
    <row r="654" spans="1:2" ht="14.25" customHeight="1">
      <c r="A654" s="2">
        <v>310.3</v>
      </c>
      <c r="B654" s="2">
        <v>2100.1999999999998</v>
      </c>
    </row>
    <row r="655" spans="1:2" ht="14.25" customHeight="1">
      <c r="A655" s="2">
        <v>309.85000000000002</v>
      </c>
      <c r="B655" s="2">
        <v>2087.85</v>
      </c>
    </row>
    <row r="656" spans="1:2" ht="14.25" customHeight="1">
      <c r="A656" s="2">
        <v>300.7</v>
      </c>
      <c r="B656" s="2">
        <v>2105.3000000000002</v>
      </c>
    </row>
    <row r="657" spans="1:2" ht="14.25" customHeight="1">
      <c r="A657" s="2">
        <v>287.39999999999998</v>
      </c>
      <c r="B657" s="2">
        <v>2109.0500000000002</v>
      </c>
    </row>
    <row r="658" spans="1:2" ht="14.25" customHeight="1">
      <c r="A658" s="2">
        <v>289.89999999999998</v>
      </c>
      <c r="B658" s="2">
        <v>2100.15</v>
      </c>
    </row>
    <row r="659" spans="1:2" ht="14.25" customHeight="1">
      <c r="A659" s="2">
        <v>291.7</v>
      </c>
      <c r="B659" s="2">
        <v>2100.25</v>
      </c>
    </row>
    <row r="660" spans="1:2" ht="14.25" customHeight="1">
      <c r="A660" s="2">
        <v>291.05</v>
      </c>
      <c r="B660" s="2">
        <v>2094.85</v>
      </c>
    </row>
    <row r="661" spans="1:2" ht="14.25" customHeight="1">
      <c r="A661" s="2">
        <v>283.05</v>
      </c>
      <c r="B661" s="2">
        <v>2089</v>
      </c>
    </row>
    <row r="662" spans="1:2" ht="14.25" customHeight="1">
      <c r="A662" s="2">
        <v>277.05</v>
      </c>
      <c r="B662" s="2">
        <v>2085.0500000000002</v>
      </c>
    </row>
    <row r="663" spans="1:2" ht="14.25" customHeight="1">
      <c r="A663" s="2">
        <v>278.05</v>
      </c>
      <c r="B663" s="2">
        <v>2089.1</v>
      </c>
    </row>
    <row r="664" spans="1:2" ht="14.25" customHeight="1">
      <c r="A664" s="2">
        <v>279.75</v>
      </c>
      <c r="B664" s="2">
        <v>2115.1</v>
      </c>
    </row>
    <row r="665" spans="1:2" ht="14.25" customHeight="1">
      <c r="A665" s="2">
        <v>270.45</v>
      </c>
      <c r="B665" s="2">
        <v>2093.75</v>
      </c>
    </row>
    <row r="666" spans="1:2" ht="14.25" customHeight="1">
      <c r="A666" s="2">
        <v>273.14999999999998</v>
      </c>
      <c r="B666" s="2">
        <v>2089.0500000000002</v>
      </c>
    </row>
    <row r="667" spans="1:2" ht="14.25" customHeight="1">
      <c r="A667" s="2">
        <v>278.05</v>
      </c>
      <c r="B667" s="2">
        <v>2085.65</v>
      </c>
    </row>
    <row r="668" spans="1:2" ht="14.25" customHeight="1">
      <c r="A668" s="2">
        <v>281.55</v>
      </c>
      <c r="B668" s="2">
        <v>2096.25</v>
      </c>
    </row>
    <row r="669" spans="1:2" ht="14.25" customHeight="1">
      <c r="A669" s="2">
        <v>277.35000000000002</v>
      </c>
      <c r="B669" s="2">
        <v>2093.1999999999998</v>
      </c>
    </row>
    <row r="670" spans="1:2" ht="14.25" customHeight="1">
      <c r="A670" s="2">
        <v>275.85000000000002</v>
      </c>
      <c r="B670" s="2">
        <v>2099.9499999999998</v>
      </c>
    </row>
    <row r="671" spans="1:2" ht="14.25" customHeight="1">
      <c r="A671" s="2">
        <v>278.75</v>
      </c>
      <c r="B671" s="2">
        <v>2099.1</v>
      </c>
    </row>
    <row r="672" spans="1:2" ht="14.25" customHeight="1">
      <c r="A672" s="2">
        <v>283.64999999999998</v>
      </c>
      <c r="B672" s="2">
        <v>2100.4</v>
      </c>
    </row>
    <row r="673" spans="1:2" ht="14.25" customHeight="1">
      <c r="A673" s="2">
        <v>284.95</v>
      </c>
      <c r="B673" s="2">
        <v>2100.3000000000002</v>
      </c>
    </row>
    <row r="674" spans="1:2" ht="14.25" customHeight="1">
      <c r="A674" s="2">
        <v>278.75</v>
      </c>
      <c r="B674" s="2">
        <v>2100</v>
      </c>
    </row>
    <row r="675" spans="1:2" ht="14.25" customHeight="1">
      <c r="A675" s="2">
        <v>280.10000000000002</v>
      </c>
      <c r="B675" s="2">
        <v>2099.85</v>
      </c>
    </row>
    <row r="676" spans="1:2" ht="14.25" customHeight="1">
      <c r="A676" s="2">
        <v>279.35000000000002</v>
      </c>
      <c r="B676" s="2">
        <v>2115.25</v>
      </c>
    </row>
    <row r="677" spans="1:2" ht="14.25" customHeight="1">
      <c r="A677" s="2">
        <v>278.85000000000002</v>
      </c>
      <c r="B677" s="2">
        <v>2190.75</v>
      </c>
    </row>
    <row r="678" spans="1:2" ht="14.25" customHeight="1">
      <c r="A678" s="2">
        <v>275.60000000000002</v>
      </c>
      <c r="B678" s="2">
        <v>2224</v>
      </c>
    </row>
    <row r="679" spans="1:2" ht="14.25" customHeight="1">
      <c r="A679" s="2">
        <v>274</v>
      </c>
      <c r="B679" s="2">
        <v>2175.1</v>
      </c>
    </row>
    <row r="680" spans="1:2" ht="14.25" customHeight="1">
      <c r="A680" s="2">
        <v>271.75</v>
      </c>
      <c r="B680" s="2">
        <v>2120.0500000000002</v>
      </c>
    </row>
    <row r="681" spans="1:2" ht="14.25" customHeight="1">
      <c r="A681" s="2">
        <v>278.3</v>
      </c>
      <c r="B681" s="2">
        <v>2091.4</v>
      </c>
    </row>
    <row r="682" spans="1:2" ht="14.25" customHeight="1">
      <c r="A682" s="2">
        <v>311.55</v>
      </c>
      <c r="B682" s="2">
        <v>2006.05</v>
      </c>
    </row>
    <row r="683" spans="1:2" ht="14.25" customHeight="1">
      <c r="A683" s="2">
        <v>316.55</v>
      </c>
      <c r="B683" s="2">
        <v>1999.35</v>
      </c>
    </row>
    <row r="684" spans="1:2" ht="14.25" customHeight="1">
      <c r="A684" s="2">
        <v>305.8</v>
      </c>
      <c r="B684" s="2">
        <v>1985.6</v>
      </c>
    </row>
    <row r="685" spans="1:2" ht="14.25" customHeight="1">
      <c r="A685" s="2">
        <v>313.10000000000002</v>
      </c>
      <c r="B685" s="2">
        <v>1972.95</v>
      </c>
    </row>
    <row r="686" spans="1:2" ht="14.25" customHeight="1">
      <c r="A686" s="2">
        <v>314.3</v>
      </c>
      <c r="B686" s="2">
        <v>1980.35</v>
      </c>
    </row>
    <row r="687" spans="1:2" ht="14.25" customHeight="1">
      <c r="A687" s="2">
        <v>313.75</v>
      </c>
      <c r="B687" s="2">
        <v>1987.2</v>
      </c>
    </row>
    <row r="688" spans="1:2" ht="14.25" customHeight="1">
      <c r="A688" s="2">
        <v>310.5</v>
      </c>
      <c r="B688" s="2">
        <v>1998.55</v>
      </c>
    </row>
    <row r="689" spans="1:2" ht="14.25" customHeight="1">
      <c r="A689" s="2">
        <v>305</v>
      </c>
      <c r="B689" s="2">
        <v>1958.05</v>
      </c>
    </row>
    <row r="690" spans="1:2" ht="14.25" customHeight="1">
      <c r="A690" s="2">
        <v>308.3</v>
      </c>
      <c r="B690" s="2">
        <v>1981.05</v>
      </c>
    </row>
    <row r="691" spans="1:2" ht="14.25" customHeight="1">
      <c r="A691" s="2">
        <v>310.55</v>
      </c>
      <c r="B691" s="2">
        <v>2003.15</v>
      </c>
    </row>
    <row r="692" spans="1:2" ht="14.25" customHeight="1">
      <c r="A692" s="2">
        <v>330.1</v>
      </c>
      <c r="B692" s="2">
        <v>1980.3</v>
      </c>
    </row>
    <row r="693" spans="1:2" ht="14.25" customHeight="1">
      <c r="A693" s="2">
        <v>331.05</v>
      </c>
      <c r="B693" s="2">
        <v>1952.1</v>
      </c>
    </row>
    <row r="694" spans="1:2" ht="14.25" customHeight="1">
      <c r="A694" s="2">
        <v>329.85</v>
      </c>
      <c r="B694" s="2">
        <v>1943.05</v>
      </c>
    </row>
    <row r="695" spans="1:2" ht="14.25" customHeight="1">
      <c r="A695" s="2">
        <v>323.25</v>
      </c>
      <c r="B695" s="2">
        <v>1936.65</v>
      </c>
    </row>
    <row r="696" spans="1:2" ht="14.25" customHeight="1">
      <c r="A696" s="2">
        <v>322.2</v>
      </c>
      <c r="B696" s="2">
        <v>1951.1</v>
      </c>
    </row>
    <row r="697" spans="1:2" ht="14.25" customHeight="1">
      <c r="A697" s="2">
        <v>315.45</v>
      </c>
      <c r="B697" s="2">
        <v>1962.4</v>
      </c>
    </row>
    <row r="698" spans="1:2" ht="14.25" customHeight="1">
      <c r="A698" s="2">
        <v>318.60000000000002</v>
      </c>
      <c r="B698" s="2">
        <v>1968.95</v>
      </c>
    </row>
    <row r="699" spans="1:2" ht="14.25" customHeight="1">
      <c r="A699" s="2">
        <v>318.35000000000002</v>
      </c>
      <c r="B699" s="2">
        <v>1969.7</v>
      </c>
    </row>
    <row r="700" spans="1:2" ht="14.25" customHeight="1">
      <c r="A700" s="2">
        <v>315</v>
      </c>
      <c r="B700" s="2">
        <v>1977.6</v>
      </c>
    </row>
    <row r="701" spans="1:2" ht="14.25" customHeight="1">
      <c r="A701" s="2">
        <v>309.85000000000002</v>
      </c>
      <c r="B701" s="2">
        <v>1991.9</v>
      </c>
    </row>
    <row r="702" spans="1:2" ht="14.25" customHeight="1">
      <c r="A702" s="2">
        <v>308.60000000000002</v>
      </c>
      <c r="B702" s="2">
        <v>1994.7</v>
      </c>
    </row>
    <row r="703" spans="1:2" ht="14.25" customHeight="1">
      <c r="A703" s="2">
        <v>314.14999999999998</v>
      </c>
      <c r="B703" s="2">
        <v>1991.5</v>
      </c>
    </row>
    <row r="704" spans="1:2" ht="14.25" customHeight="1">
      <c r="A704" s="2">
        <v>309.10000000000002</v>
      </c>
      <c r="B704" s="2">
        <v>1996.45</v>
      </c>
    </row>
    <row r="705" spans="1:2" ht="14.25" customHeight="1">
      <c r="A705" s="2">
        <v>303.7</v>
      </c>
      <c r="B705" s="2">
        <v>2000</v>
      </c>
    </row>
    <row r="706" spans="1:2" ht="14.25" customHeight="1">
      <c r="A706" s="2">
        <v>308.89999999999998</v>
      </c>
      <c r="B706" s="2">
        <v>1995.85</v>
      </c>
    </row>
    <row r="707" spans="1:2" ht="14.25" customHeight="1">
      <c r="A707" s="2">
        <v>310.05</v>
      </c>
      <c r="B707" s="2">
        <v>2003.8</v>
      </c>
    </row>
    <row r="708" spans="1:2" ht="14.25" customHeight="1">
      <c r="A708" s="2">
        <v>303.89999999999998</v>
      </c>
      <c r="B708" s="2">
        <v>1999.85</v>
      </c>
    </row>
    <row r="709" spans="1:2" ht="14.25" customHeight="1">
      <c r="A709" s="2">
        <v>301.2</v>
      </c>
      <c r="B709" s="2">
        <v>2004.4</v>
      </c>
    </row>
    <row r="710" spans="1:2" ht="14.25" customHeight="1">
      <c r="A710" s="2">
        <v>293.8</v>
      </c>
      <c r="B710" s="2">
        <v>2005</v>
      </c>
    </row>
    <row r="711" spans="1:2" ht="14.25" customHeight="1">
      <c r="A711" s="2">
        <v>289.25</v>
      </c>
      <c r="B711" s="2">
        <v>2005</v>
      </c>
    </row>
    <row r="712" spans="1:2" ht="14.25" customHeight="1">
      <c r="A712" s="2">
        <v>293.14999999999998</v>
      </c>
      <c r="B712" s="2">
        <v>2005.05</v>
      </c>
    </row>
    <row r="713" spans="1:2" ht="14.25" customHeight="1">
      <c r="A713" s="2">
        <v>295.39999999999998</v>
      </c>
      <c r="B713" s="2">
        <v>1998.2</v>
      </c>
    </row>
    <row r="714" spans="1:2" ht="14.25" customHeight="1">
      <c r="A714" s="2">
        <v>292.8</v>
      </c>
      <c r="B714" s="2">
        <v>1998.95</v>
      </c>
    </row>
    <row r="715" spans="1:2" ht="14.25" customHeight="1">
      <c r="A715" s="2">
        <v>292.05</v>
      </c>
      <c r="B715" s="2">
        <v>2001.45</v>
      </c>
    </row>
    <row r="716" spans="1:2" ht="14.25" customHeight="1">
      <c r="A716" s="2">
        <v>292.05</v>
      </c>
      <c r="B716" s="2">
        <v>2000</v>
      </c>
    </row>
    <row r="717" spans="1:2" ht="14.25" customHeight="1">
      <c r="A717" s="2">
        <v>291.75</v>
      </c>
      <c r="B717" s="2">
        <v>2004.65</v>
      </c>
    </row>
    <row r="718" spans="1:2" ht="14.25" customHeight="1">
      <c r="A718" s="2">
        <v>288.2</v>
      </c>
      <c r="B718" s="2">
        <v>2005.5</v>
      </c>
    </row>
    <row r="719" spans="1:2" ht="14.25" customHeight="1">
      <c r="A719" s="2">
        <v>277.39999999999998</v>
      </c>
      <c r="B719" s="2">
        <v>2010.9</v>
      </c>
    </row>
    <row r="720" spans="1:2" ht="14.25" customHeight="1">
      <c r="A720" s="2">
        <v>282.85000000000002</v>
      </c>
      <c r="B720" s="2">
        <v>1999.05</v>
      </c>
    </row>
    <row r="721" spans="1:2" ht="14.25" customHeight="1">
      <c r="A721" s="2">
        <v>278.5</v>
      </c>
      <c r="B721" s="2">
        <v>1985.15</v>
      </c>
    </row>
    <row r="722" spans="1:2" ht="14.25" customHeight="1">
      <c r="A722" s="2">
        <v>276.10000000000002</v>
      </c>
      <c r="B722" s="2">
        <v>1997.2</v>
      </c>
    </row>
    <row r="723" spans="1:2" ht="14.25" customHeight="1">
      <c r="A723" s="2">
        <v>274.85000000000002</v>
      </c>
      <c r="B723" s="2">
        <v>1996.2</v>
      </c>
    </row>
    <row r="724" spans="1:2" ht="14.25" customHeight="1">
      <c r="A724" s="2">
        <v>271.95</v>
      </c>
      <c r="B724" s="2">
        <v>1999.55</v>
      </c>
    </row>
    <row r="725" spans="1:2" ht="14.25" customHeight="1">
      <c r="A725" s="2">
        <v>271.45</v>
      </c>
      <c r="B725" s="2">
        <v>2000.6</v>
      </c>
    </row>
    <row r="726" spans="1:2" ht="14.25" customHeight="1">
      <c r="A726" s="2">
        <v>272.8</v>
      </c>
      <c r="B726" s="2">
        <v>2016.2</v>
      </c>
    </row>
    <row r="727" spans="1:2" ht="14.25" customHeight="1">
      <c r="A727" s="2">
        <v>272</v>
      </c>
      <c r="B727" s="2">
        <v>2002.25</v>
      </c>
    </row>
    <row r="728" spans="1:2" ht="14.25" customHeight="1">
      <c r="A728" s="2">
        <v>272.35000000000002</v>
      </c>
      <c r="B728" s="2">
        <v>2049.8000000000002</v>
      </c>
    </row>
    <row r="729" spans="1:2" ht="14.25" customHeight="1">
      <c r="A729" s="2">
        <v>272.7</v>
      </c>
      <c r="B729" s="2">
        <v>2050.1999999999998</v>
      </c>
    </row>
    <row r="730" spans="1:2" ht="14.25" customHeight="1">
      <c r="A730" s="2">
        <v>276.05</v>
      </c>
      <c r="B730" s="2">
        <v>2055.9499999999998</v>
      </c>
    </row>
    <row r="731" spans="1:2" ht="14.25" customHeight="1">
      <c r="A731" s="2">
        <v>283.7</v>
      </c>
      <c r="B731" s="2">
        <v>2050.1</v>
      </c>
    </row>
    <row r="732" spans="1:2" ht="14.25" customHeight="1">
      <c r="A732" s="2">
        <v>288.25</v>
      </c>
      <c r="B732" s="2">
        <v>2021.9</v>
      </c>
    </row>
    <row r="733" spans="1:2" ht="14.25" customHeight="1">
      <c r="A733" s="2">
        <v>291.60000000000002</v>
      </c>
      <c r="B733" s="2">
        <v>2041.35</v>
      </c>
    </row>
    <row r="734" spans="1:2" ht="14.25" customHeight="1">
      <c r="A734" s="2">
        <v>308</v>
      </c>
      <c r="B734" s="2">
        <v>2050.9499999999998</v>
      </c>
    </row>
    <row r="735" spans="1:2" ht="14.25" customHeight="1">
      <c r="A735" s="2">
        <v>311.2</v>
      </c>
      <c r="B735" s="2">
        <v>2050.9499999999998</v>
      </c>
    </row>
    <row r="736" spans="1:2" ht="14.25" customHeight="1">
      <c r="A736" s="2">
        <v>306.64999999999998</v>
      </c>
      <c r="B736" s="2">
        <v>2050.0500000000002</v>
      </c>
    </row>
    <row r="737" spans="1:2" ht="14.25" customHeight="1">
      <c r="A737" s="2">
        <v>305.5</v>
      </c>
      <c r="B737" s="2">
        <v>2050.15</v>
      </c>
    </row>
    <row r="738" spans="1:2" ht="14.25" customHeight="1">
      <c r="A738" s="2">
        <v>298.60000000000002</v>
      </c>
      <c r="B738" s="2">
        <v>2050.35</v>
      </c>
    </row>
    <row r="739" spans="1:2" ht="14.25" customHeight="1">
      <c r="A739" s="2">
        <v>295.14999999999998</v>
      </c>
      <c r="B739" s="2">
        <v>2050.15</v>
      </c>
    </row>
    <row r="740" spans="1:2" ht="14.25" customHeight="1">
      <c r="A740" s="2">
        <v>291.2</v>
      </c>
      <c r="B740" s="2">
        <v>2074.5500000000002</v>
      </c>
    </row>
    <row r="741" spans="1:2" ht="14.25" customHeight="1">
      <c r="A741" s="2">
        <v>288.75</v>
      </c>
      <c r="B741" s="2">
        <v>2065.6</v>
      </c>
    </row>
    <row r="742" spans="1:2" ht="14.25" customHeight="1">
      <c r="A742" s="2">
        <v>285.14999999999998</v>
      </c>
      <c r="B742" s="2">
        <v>2069.8000000000002</v>
      </c>
    </row>
    <row r="743" spans="1:2" ht="14.25" customHeight="1">
      <c r="A743" s="2">
        <v>282.85000000000002</v>
      </c>
      <c r="B743" s="2">
        <v>2069.9499999999998</v>
      </c>
    </row>
    <row r="744" spans="1:2" ht="14.25" customHeight="1">
      <c r="A744" s="2">
        <v>284.89999999999998</v>
      </c>
      <c r="B744" s="2">
        <v>2070.25</v>
      </c>
    </row>
    <row r="745" spans="1:2" ht="14.25" customHeight="1">
      <c r="A745" s="2">
        <v>281.10000000000002</v>
      </c>
      <c r="B745" s="2">
        <v>2087.6</v>
      </c>
    </row>
    <row r="746" spans="1:2" ht="14.25" customHeight="1">
      <c r="A746" s="2">
        <v>279.75</v>
      </c>
      <c r="B746" s="2">
        <v>2078.4</v>
      </c>
    </row>
    <row r="747" spans="1:2" ht="14.25" customHeight="1">
      <c r="A747" s="2">
        <v>279.5</v>
      </c>
      <c r="B747" s="2">
        <v>2082.25</v>
      </c>
    </row>
    <row r="748" spans="1:2" ht="14.25" customHeight="1">
      <c r="A748" s="2">
        <v>279.85000000000002</v>
      </c>
      <c r="B748" s="2">
        <v>2085.6999999999998</v>
      </c>
    </row>
    <row r="749" spans="1:2" ht="14.25" customHeight="1">
      <c r="A749" s="2">
        <v>279.39999999999998</v>
      </c>
      <c r="B749" s="2">
        <v>2113.25</v>
      </c>
    </row>
    <row r="750" spans="1:2" ht="14.25" customHeight="1">
      <c r="A750" s="2">
        <v>279.2</v>
      </c>
      <c r="B750" s="2">
        <v>2119.25</v>
      </c>
    </row>
    <row r="751" spans="1:2" ht="14.25" customHeight="1">
      <c r="A751" s="2">
        <v>279.3</v>
      </c>
      <c r="B751" s="2">
        <v>2168.0500000000002</v>
      </c>
    </row>
    <row r="752" spans="1:2" ht="14.25" customHeight="1">
      <c r="A752" s="2">
        <v>284</v>
      </c>
      <c r="B752" s="2">
        <v>2145.6999999999998</v>
      </c>
    </row>
    <row r="753" spans="1:2" ht="14.25" customHeight="1">
      <c r="A753" s="2">
        <v>286.25</v>
      </c>
      <c r="B753" s="2">
        <v>2140.15</v>
      </c>
    </row>
    <row r="754" spans="1:2" ht="14.25" customHeight="1">
      <c r="A754" s="2">
        <v>285</v>
      </c>
      <c r="B754" s="2">
        <v>2144.0500000000002</v>
      </c>
    </row>
    <row r="755" spans="1:2" ht="14.25" customHeight="1">
      <c r="A755" s="2">
        <v>283.75</v>
      </c>
      <c r="B755" s="2">
        <v>2160.0500000000002</v>
      </c>
    </row>
    <row r="756" spans="1:2" ht="14.25" customHeight="1">
      <c r="A756" s="2">
        <v>284.14999999999998</v>
      </c>
      <c r="B756" s="2">
        <v>2181.6</v>
      </c>
    </row>
    <row r="757" spans="1:2" ht="14.25" customHeight="1">
      <c r="A757" s="2">
        <v>284.05</v>
      </c>
      <c r="B757" s="2">
        <v>2186.6</v>
      </c>
    </row>
    <row r="758" spans="1:2" ht="14.25" customHeight="1">
      <c r="A758" s="2">
        <v>281.8</v>
      </c>
      <c r="B758" s="2">
        <v>2190.0500000000002</v>
      </c>
    </row>
    <row r="759" spans="1:2" ht="14.25" customHeight="1">
      <c r="A759" s="2">
        <v>278.55</v>
      </c>
      <c r="B759" s="2">
        <v>2190.25</v>
      </c>
    </row>
    <row r="760" spans="1:2" ht="14.25" customHeight="1">
      <c r="A760" s="2">
        <v>275.2</v>
      </c>
      <c r="B760" s="2">
        <v>2190.4499999999998</v>
      </c>
    </row>
    <row r="761" spans="1:2" ht="14.25" customHeight="1">
      <c r="A761" s="2">
        <v>277.3</v>
      </c>
      <c r="B761" s="2">
        <v>2188.9499999999998</v>
      </c>
    </row>
    <row r="762" spans="1:2" ht="14.25" customHeight="1">
      <c r="A762" s="2">
        <v>277.5</v>
      </c>
      <c r="B762" s="2">
        <v>2200.9</v>
      </c>
    </row>
    <row r="763" spans="1:2" ht="14.25" customHeight="1">
      <c r="A763" s="2">
        <v>276.39999999999998</v>
      </c>
      <c r="B763" s="2">
        <v>2198.5</v>
      </c>
    </row>
    <row r="764" spans="1:2" ht="14.25" customHeight="1">
      <c r="A764" s="2">
        <v>275.85000000000002</v>
      </c>
      <c r="B764" s="2">
        <v>2203.0500000000002</v>
      </c>
    </row>
    <row r="765" spans="1:2" ht="14.25" customHeight="1">
      <c r="A765" s="2">
        <v>277.14999999999998</v>
      </c>
      <c r="B765" s="2">
        <v>2187.6999999999998</v>
      </c>
    </row>
    <row r="766" spans="1:2" ht="14.25" customHeight="1">
      <c r="A766" s="2">
        <v>278.3</v>
      </c>
      <c r="B766" s="2">
        <v>2173.9499999999998</v>
      </c>
    </row>
    <row r="767" spans="1:2" ht="14.25" customHeight="1">
      <c r="A767" s="2">
        <v>276.10000000000002</v>
      </c>
      <c r="B767" s="2">
        <v>2148.8000000000002</v>
      </c>
    </row>
    <row r="768" spans="1:2" ht="14.25" customHeight="1">
      <c r="A768" s="2">
        <v>272.55</v>
      </c>
      <c r="B768" s="2">
        <v>2102.25</v>
      </c>
    </row>
    <row r="769" spans="1:2" ht="14.25" customHeight="1">
      <c r="A769" s="2">
        <v>267.25</v>
      </c>
      <c r="B769" s="2">
        <v>2055.8000000000002</v>
      </c>
    </row>
    <row r="770" spans="1:2" ht="14.25" customHeight="1">
      <c r="A770" s="2">
        <v>265.8</v>
      </c>
      <c r="B770" s="2">
        <v>2054.1</v>
      </c>
    </row>
    <row r="771" spans="1:2" ht="14.25" customHeight="1">
      <c r="A771" s="2">
        <v>269.10000000000002</v>
      </c>
      <c r="B771" s="2">
        <v>2043.1</v>
      </c>
    </row>
    <row r="772" spans="1:2" ht="14.25" customHeight="1">
      <c r="A772" s="2">
        <v>266.7</v>
      </c>
      <c r="B772" s="2">
        <v>2051.65</v>
      </c>
    </row>
    <row r="773" spans="1:2" ht="14.25" customHeight="1">
      <c r="A773" s="2">
        <v>265.89999999999998</v>
      </c>
      <c r="B773" s="2">
        <v>2052.9</v>
      </c>
    </row>
    <row r="774" spans="1:2" ht="14.25" customHeight="1">
      <c r="A774" s="2">
        <v>265.45</v>
      </c>
      <c r="B774" s="2">
        <v>2048.8000000000002</v>
      </c>
    </row>
    <row r="775" spans="1:2" ht="14.25" customHeight="1">
      <c r="A775" s="2">
        <v>265.39999999999998</v>
      </c>
      <c r="B775" s="2">
        <v>2043.5</v>
      </c>
    </row>
    <row r="776" spans="1:2" ht="14.25" customHeight="1">
      <c r="A776" s="2">
        <v>261.75</v>
      </c>
      <c r="B776" s="2">
        <v>2037</v>
      </c>
    </row>
    <row r="777" spans="1:2" ht="14.25" customHeight="1">
      <c r="A777" s="2">
        <v>259.45</v>
      </c>
      <c r="B777" s="2">
        <v>2079.1999999999998</v>
      </c>
    </row>
    <row r="778" spans="1:2" ht="14.25" customHeight="1">
      <c r="A778" s="2">
        <v>259.8</v>
      </c>
      <c r="B778" s="2">
        <v>2070.1999999999998</v>
      </c>
    </row>
    <row r="779" spans="1:2" ht="14.25" customHeight="1">
      <c r="A779" s="2">
        <v>263.10000000000002</v>
      </c>
      <c r="B779" s="2">
        <v>2079.1</v>
      </c>
    </row>
    <row r="780" spans="1:2" ht="14.25" customHeight="1">
      <c r="A780" s="2">
        <v>261.45</v>
      </c>
      <c r="B780" s="2">
        <v>2098.9</v>
      </c>
    </row>
    <row r="781" spans="1:2" ht="14.25" customHeight="1">
      <c r="A781" s="2">
        <v>253.7</v>
      </c>
      <c r="B781" s="2">
        <v>2077.35</v>
      </c>
    </row>
    <row r="782" spans="1:2" ht="14.25" customHeight="1">
      <c r="A782" s="2">
        <v>250.65</v>
      </c>
      <c r="B782" s="2">
        <v>2094.1999999999998</v>
      </c>
    </row>
    <row r="783" spans="1:2" ht="14.25" customHeight="1">
      <c r="A783" s="2">
        <v>250.55</v>
      </c>
      <c r="B783" s="2">
        <v>2098.3000000000002</v>
      </c>
    </row>
    <row r="784" spans="1:2" ht="14.25" customHeight="1">
      <c r="A784" s="2">
        <v>245.25</v>
      </c>
      <c r="B784" s="2">
        <v>2096.6999999999998</v>
      </c>
    </row>
    <row r="785" spans="1:2" ht="14.25" customHeight="1">
      <c r="A785" s="2">
        <v>240.6</v>
      </c>
      <c r="B785" s="2">
        <v>2096.9499999999998</v>
      </c>
    </row>
    <row r="786" spans="1:2" ht="14.25" customHeight="1">
      <c r="A786" s="2">
        <v>243.5</v>
      </c>
      <c r="B786" s="2">
        <v>2097.1</v>
      </c>
    </row>
    <row r="787" spans="1:2" ht="14.25" customHeight="1">
      <c r="A787" s="2">
        <v>243</v>
      </c>
      <c r="B787" s="2">
        <v>2106.6</v>
      </c>
    </row>
    <row r="788" spans="1:2" ht="14.25" customHeight="1">
      <c r="A788" s="2">
        <v>243.75</v>
      </c>
      <c r="B788" s="2">
        <v>2119.0500000000002</v>
      </c>
    </row>
    <row r="789" spans="1:2" ht="14.25" customHeight="1">
      <c r="A789" s="2">
        <v>243.05</v>
      </c>
      <c r="B789" s="2">
        <v>2099.6</v>
      </c>
    </row>
    <row r="790" spans="1:2" ht="14.25" customHeight="1">
      <c r="A790" s="2">
        <v>250.65</v>
      </c>
      <c r="B790" s="2">
        <v>2099.65</v>
      </c>
    </row>
    <row r="791" spans="1:2" ht="14.25" customHeight="1">
      <c r="A791" s="2">
        <v>248.9</v>
      </c>
      <c r="B791" s="2">
        <v>2101.75</v>
      </c>
    </row>
    <row r="792" spans="1:2" ht="14.25" customHeight="1">
      <c r="A792" s="2">
        <v>241.4</v>
      </c>
      <c r="B792" s="2">
        <v>2097.9499999999998</v>
      </c>
    </row>
    <row r="793" spans="1:2" ht="14.25" customHeight="1">
      <c r="A793" s="2">
        <v>235.65</v>
      </c>
      <c r="B793" s="2">
        <v>2097.85</v>
      </c>
    </row>
    <row r="794" spans="1:2" ht="14.25" customHeight="1">
      <c r="A794" s="2">
        <v>224.45</v>
      </c>
      <c r="B794" s="2">
        <v>2110.9499999999998</v>
      </c>
    </row>
    <row r="795" spans="1:2" ht="14.25" customHeight="1">
      <c r="A795" s="2">
        <v>218.05</v>
      </c>
      <c r="B795" s="2">
        <v>2098.9</v>
      </c>
    </row>
    <row r="796" spans="1:2" ht="14.25" customHeight="1">
      <c r="A796" s="2">
        <v>211</v>
      </c>
      <c r="B796" s="2">
        <v>2099.6</v>
      </c>
    </row>
    <row r="797" spans="1:2" ht="14.25" customHeight="1">
      <c r="A797" s="2">
        <v>210.15</v>
      </c>
      <c r="B797" s="2">
        <v>2111.1999999999998</v>
      </c>
    </row>
    <row r="798" spans="1:2" ht="14.25" customHeight="1">
      <c r="A798" s="2">
        <v>209.15</v>
      </c>
      <c r="B798" s="2">
        <v>2111</v>
      </c>
    </row>
    <row r="799" spans="1:2" ht="14.25" customHeight="1">
      <c r="A799" s="2">
        <v>206.85</v>
      </c>
      <c r="B799" s="2">
        <v>2110.0500000000002</v>
      </c>
    </row>
    <row r="800" spans="1:2" ht="14.25" customHeight="1">
      <c r="A800" s="2">
        <v>208.1</v>
      </c>
      <c r="B800" s="2">
        <v>2116</v>
      </c>
    </row>
    <row r="801" spans="1:2" ht="14.25" customHeight="1">
      <c r="A801" s="2">
        <v>206.15</v>
      </c>
      <c r="B801" s="2">
        <v>2126.4499999999998</v>
      </c>
    </row>
    <row r="802" spans="1:2" ht="14.25" customHeight="1">
      <c r="A802" s="2">
        <v>203.45</v>
      </c>
      <c r="B802" s="2">
        <v>2134.4</v>
      </c>
    </row>
    <row r="803" spans="1:2" ht="14.25" customHeight="1">
      <c r="A803" s="2">
        <v>197.5</v>
      </c>
      <c r="B803" s="2">
        <v>2133.25</v>
      </c>
    </row>
    <row r="804" spans="1:2" ht="14.25" customHeight="1">
      <c r="A804" s="2">
        <v>193</v>
      </c>
      <c r="B804" s="2">
        <v>2117.5500000000002</v>
      </c>
    </row>
    <row r="805" spans="1:2" ht="14.25" customHeight="1">
      <c r="A805" s="2">
        <v>186.6</v>
      </c>
      <c r="B805" s="2">
        <v>2119.75</v>
      </c>
    </row>
    <row r="806" spans="1:2" ht="14.25" customHeight="1">
      <c r="A806" s="2">
        <v>179.7</v>
      </c>
      <c r="B806" s="2">
        <v>2160.4</v>
      </c>
    </row>
    <row r="807" spans="1:2" ht="14.25" customHeight="1">
      <c r="A807" s="2">
        <v>172.55</v>
      </c>
      <c r="B807" s="2">
        <v>2150.8000000000002</v>
      </c>
    </row>
    <row r="808" spans="1:2" ht="14.25" customHeight="1">
      <c r="A808" s="2">
        <v>162.4</v>
      </c>
      <c r="B808" s="2">
        <v>2151.35</v>
      </c>
    </row>
    <row r="809" spans="1:2" ht="14.25" customHeight="1">
      <c r="A809" s="2">
        <v>152.9</v>
      </c>
      <c r="B809" s="2">
        <v>2160.6</v>
      </c>
    </row>
    <row r="810" spans="1:2" ht="14.25" customHeight="1">
      <c r="A810" s="2">
        <v>148.5</v>
      </c>
      <c r="B810" s="2">
        <v>2169.15</v>
      </c>
    </row>
    <row r="811" spans="1:2" ht="14.25" customHeight="1">
      <c r="A811" s="2">
        <v>142.25</v>
      </c>
      <c r="B811" s="2">
        <v>2168.6</v>
      </c>
    </row>
    <row r="812" spans="1:2" ht="14.25" customHeight="1">
      <c r="A812" s="2">
        <v>140.4</v>
      </c>
      <c r="B812" s="2">
        <v>2189.85</v>
      </c>
    </row>
    <row r="813" spans="1:2" ht="14.25" customHeight="1">
      <c r="A813" s="2">
        <v>146.94999999999999</v>
      </c>
      <c r="B813" s="2">
        <v>2205.25</v>
      </c>
    </row>
    <row r="814" spans="1:2" ht="14.25" customHeight="1">
      <c r="A814" s="2">
        <v>153.1</v>
      </c>
      <c r="B814" s="2">
        <v>2222</v>
      </c>
    </row>
    <row r="815" spans="1:2" ht="14.25" customHeight="1">
      <c r="A815" s="2">
        <v>165.7</v>
      </c>
      <c r="B815" s="2">
        <v>2229.9</v>
      </c>
    </row>
    <row r="816" spans="1:2" ht="14.25" customHeight="1">
      <c r="A816" s="2">
        <v>171.3</v>
      </c>
      <c r="B816" s="2">
        <v>2268.5500000000002</v>
      </c>
    </row>
    <row r="817" spans="1:2" ht="14.25" customHeight="1">
      <c r="A817" s="2">
        <v>170.4</v>
      </c>
      <c r="B817" s="2">
        <v>2200.9499999999998</v>
      </c>
    </row>
    <row r="818" spans="1:2" ht="14.25" customHeight="1">
      <c r="A818" s="2">
        <v>172.8</v>
      </c>
      <c r="B818" s="2">
        <v>2201.65</v>
      </c>
    </row>
    <row r="819" spans="1:2" ht="14.25" customHeight="1">
      <c r="A819" s="2">
        <v>163.65</v>
      </c>
      <c r="B819" s="2">
        <v>2200.1</v>
      </c>
    </row>
    <row r="820" spans="1:2" ht="14.25" customHeight="1">
      <c r="A820" s="2">
        <v>156.94999999999999</v>
      </c>
      <c r="B820" s="2">
        <v>2200.5</v>
      </c>
    </row>
    <row r="821" spans="1:2" ht="14.25" customHeight="1">
      <c r="A821" s="2">
        <v>161</v>
      </c>
      <c r="B821" s="2">
        <v>2217.5500000000002</v>
      </c>
    </row>
    <row r="822" spans="1:2" ht="14.25" customHeight="1">
      <c r="A822" s="2">
        <v>161.9</v>
      </c>
      <c r="B822" s="2">
        <v>2204.4</v>
      </c>
    </row>
    <row r="823" spans="1:2" ht="14.25" customHeight="1">
      <c r="A823" s="2">
        <v>160.4</v>
      </c>
      <c r="B823" s="2">
        <v>2201.6</v>
      </c>
    </row>
    <row r="824" spans="1:2" ht="14.25" customHeight="1">
      <c r="A824" s="2">
        <v>159.44999999999999</v>
      </c>
      <c r="B824" s="2">
        <v>2204.8000000000002</v>
      </c>
    </row>
    <row r="825" spans="1:2" ht="14.25" customHeight="1">
      <c r="A825" s="2">
        <v>164.35</v>
      </c>
      <c r="B825" s="2">
        <v>2200.1</v>
      </c>
    </row>
    <row r="826" spans="1:2" ht="14.25" customHeight="1">
      <c r="A826" s="2">
        <v>163.65</v>
      </c>
      <c r="B826" s="2">
        <v>2225.15</v>
      </c>
    </row>
    <row r="827" spans="1:2" ht="14.25" customHeight="1">
      <c r="A827" s="2">
        <v>163.75</v>
      </c>
      <c r="B827" s="2">
        <v>2204.9</v>
      </c>
    </row>
    <row r="828" spans="1:2" ht="14.25" customHeight="1">
      <c r="A828" s="2">
        <v>164.95</v>
      </c>
      <c r="B828" s="2">
        <v>2207.0500000000002</v>
      </c>
    </row>
    <row r="829" spans="1:2" ht="14.25" customHeight="1">
      <c r="A829" s="2">
        <v>167.3</v>
      </c>
      <c r="B829" s="2">
        <v>2204.15</v>
      </c>
    </row>
    <row r="830" spans="1:2" ht="14.25" customHeight="1">
      <c r="A830" s="2">
        <v>168.45</v>
      </c>
      <c r="B830" s="2">
        <v>2203.35</v>
      </c>
    </row>
    <row r="831" spans="1:2" ht="14.25" customHeight="1">
      <c r="A831" s="2">
        <v>164.5</v>
      </c>
      <c r="B831" s="2">
        <v>2204.0500000000002</v>
      </c>
    </row>
    <row r="832" spans="1:2" ht="14.25" customHeight="1">
      <c r="A832" s="2">
        <v>163.69999999999999</v>
      </c>
      <c r="B832" s="2">
        <v>2216.65</v>
      </c>
    </row>
    <row r="833" spans="1:2" ht="14.25" customHeight="1">
      <c r="A833" s="2">
        <v>160.65</v>
      </c>
      <c r="B833" s="2">
        <v>2262.3000000000002</v>
      </c>
    </row>
    <row r="834" spans="1:2" ht="14.25" customHeight="1">
      <c r="A834" s="2">
        <v>160.94999999999999</v>
      </c>
      <c r="B834" s="2">
        <v>2269.75</v>
      </c>
    </row>
    <row r="835" spans="1:2" ht="14.25" customHeight="1">
      <c r="A835" s="2">
        <v>159.75</v>
      </c>
      <c r="B835" s="2">
        <v>2278.9</v>
      </c>
    </row>
    <row r="836" spans="1:2" ht="14.25" customHeight="1">
      <c r="A836" s="2">
        <v>167.45</v>
      </c>
      <c r="B836" s="2">
        <v>2309.65</v>
      </c>
    </row>
    <row r="837" spans="1:2" ht="14.25" customHeight="1">
      <c r="A837" s="2">
        <v>173.3</v>
      </c>
      <c r="B837" s="2">
        <v>2398.0500000000002</v>
      </c>
    </row>
    <row r="838" spans="1:2" ht="14.25" customHeight="1">
      <c r="A838" s="2">
        <v>175.25</v>
      </c>
      <c r="B838" s="2">
        <v>2344.6999999999998</v>
      </c>
    </row>
    <row r="839" spans="1:2" ht="14.25" customHeight="1">
      <c r="A839" s="2">
        <v>168.95</v>
      </c>
      <c r="B839" s="2">
        <v>2310.15</v>
      </c>
    </row>
    <row r="840" spans="1:2" ht="14.25" customHeight="1">
      <c r="A840" s="2">
        <v>170.35</v>
      </c>
      <c r="B840" s="2">
        <v>2323.35</v>
      </c>
    </row>
    <row r="841" spans="1:2" ht="14.25" customHeight="1">
      <c r="A841" s="2">
        <v>172</v>
      </c>
      <c r="B841" s="2">
        <v>2303.3000000000002</v>
      </c>
    </row>
    <row r="842" spans="1:2" ht="14.25" customHeight="1">
      <c r="A842" s="2">
        <v>167.1</v>
      </c>
      <c r="B842" s="2">
        <v>2322.4</v>
      </c>
    </row>
    <row r="843" spans="1:2" ht="14.25" customHeight="1">
      <c r="A843" s="2">
        <v>166.35</v>
      </c>
      <c r="B843" s="2">
        <v>2328.6999999999998</v>
      </c>
    </row>
    <row r="844" spans="1:2" ht="14.25" customHeight="1">
      <c r="A844" s="2">
        <v>167.95</v>
      </c>
      <c r="B844" s="2">
        <v>2303.9499999999998</v>
      </c>
    </row>
    <row r="845" spans="1:2" ht="14.25" customHeight="1">
      <c r="A845" s="2">
        <v>171.05</v>
      </c>
      <c r="B845" s="2">
        <v>2271.1</v>
      </c>
    </row>
    <row r="846" spans="1:2" ht="14.25" customHeight="1">
      <c r="A846" s="2">
        <v>186.4</v>
      </c>
      <c r="B846" s="2">
        <v>2317.4499999999998</v>
      </c>
    </row>
    <row r="847" spans="1:2" ht="14.25" customHeight="1">
      <c r="A847" s="2">
        <v>185.55</v>
      </c>
      <c r="B847" s="2">
        <v>2282.5500000000002</v>
      </c>
    </row>
    <row r="848" spans="1:2" ht="14.25" customHeight="1">
      <c r="A848" s="2">
        <v>182.65</v>
      </c>
      <c r="B848" s="2">
        <v>2278.6999999999998</v>
      </c>
    </row>
    <row r="849" spans="1:2" ht="14.25" customHeight="1">
      <c r="A849" s="2">
        <v>177.65</v>
      </c>
      <c r="B849" s="2">
        <v>2287.85</v>
      </c>
    </row>
    <row r="850" spans="1:2" ht="14.25" customHeight="1">
      <c r="A850" s="2">
        <v>165.4</v>
      </c>
      <c r="B850" s="2">
        <v>2282.35</v>
      </c>
    </row>
    <row r="851" spans="1:2" ht="14.25" customHeight="1">
      <c r="A851" s="2">
        <v>165.3</v>
      </c>
      <c r="B851" s="2">
        <v>2273.5</v>
      </c>
    </row>
    <row r="852" spans="1:2" ht="14.25" customHeight="1">
      <c r="A852" s="2">
        <v>166.3</v>
      </c>
      <c r="B852" s="2">
        <v>2272.1</v>
      </c>
    </row>
    <row r="853" spans="1:2" ht="14.25" customHeight="1">
      <c r="A853" s="2">
        <v>167.45</v>
      </c>
      <c r="B853" s="2">
        <v>2266.0500000000002</v>
      </c>
    </row>
    <row r="854" spans="1:2" ht="14.25" customHeight="1">
      <c r="A854" s="2">
        <v>167.95</v>
      </c>
      <c r="B854" s="2">
        <v>2272.75</v>
      </c>
    </row>
    <row r="855" spans="1:2" ht="14.25" customHeight="1">
      <c r="A855" s="2">
        <v>183.3</v>
      </c>
      <c r="B855" s="2">
        <v>2293</v>
      </c>
    </row>
    <row r="856" spans="1:2" ht="14.25" customHeight="1">
      <c r="A856" s="2">
        <v>175.5</v>
      </c>
      <c r="B856" s="2">
        <v>2498.0500000000002</v>
      </c>
    </row>
    <row r="857" spans="1:2" ht="14.25" customHeight="1">
      <c r="A857" s="2">
        <v>173.05</v>
      </c>
      <c r="B857" s="2">
        <v>2666.15</v>
      </c>
    </row>
    <row r="858" spans="1:2" ht="14.25" customHeight="1">
      <c r="A858" s="2">
        <v>172.25</v>
      </c>
      <c r="B858" s="2">
        <v>2757.9</v>
      </c>
    </row>
    <row r="859" spans="1:2" ht="14.25" customHeight="1">
      <c r="A859" s="2">
        <v>171.9</v>
      </c>
      <c r="B859" s="2">
        <v>2683.45</v>
      </c>
    </row>
    <row r="860" spans="1:2" ht="14.25" customHeight="1">
      <c r="A860" s="2">
        <v>170.15</v>
      </c>
      <c r="B860" s="2">
        <v>2706.15</v>
      </c>
    </row>
    <row r="861" spans="1:2" ht="14.25" customHeight="1">
      <c r="A861" s="2">
        <v>169.95</v>
      </c>
      <c r="B861" s="2">
        <v>2637.75</v>
      </c>
    </row>
    <row r="862" spans="1:2" ht="14.25" customHeight="1">
      <c r="A862" s="2">
        <v>165.65</v>
      </c>
      <c r="B862" s="2">
        <v>2514.4499999999998</v>
      </c>
    </row>
    <row r="863" spans="1:2" ht="14.25" customHeight="1">
      <c r="A863" s="2">
        <v>163.44999999999999</v>
      </c>
      <c r="B863" s="2">
        <v>2424.65</v>
      </c>
    </row>
    <row r="864" spans="1:2" ht="14.25" customHeight="1">
      <c r="A864" s="2">
        <v>157.75</v>
      </c>
      <c r="B864" s="2">
        <v>2506.4</v>
      </c>
    </row>
    <row r="865" spans="1:2" ht="14.25" customHeight="1">
      <c r="A865" s="2">
        <v>153.25</v>
      </c>
      <c r="B865" s="2">
        <v>2470.5</v>
      </c>
    </row>
    <row r="866" spans="1:2" ht="14.25" customHeight="1">
      <c r="A866" s="2">
        <v>159.05000000000001</v>
      </c>
      <c r="B866" s="2">
        <v>2434.25</v>
      </c>
    </row>
    <row r="867" spans="1:2" ht="14.25" customHeight="1">
      <c r="A867" s="2">
        <v>157.65</v>
      </c>
      <c r="B867" s="2">
        <v>2449.65</v>
      </c>
    </row>
    <row r="868" spans="1:2" ht="14.25" customHeight="1">
      <c r="A868" s="2">
        <v>163.80000000000001</v>
      </c>
      <c r="B868" s="2">
        <v>2439.85</v>
      </c>
    </row>
    <row r="869" spans="1:2" ht="14.25" customHeight="1">
      <c r="A869" s="2">
        <v>166.2</v>
      </c>
      <c r="B869" s="2">
        <v>2467.9</v>
      </c>
    </row>
    <row r="870" spans="1:2" ht="14.25" customHeight="1">
      <c r="A870" s="2">
        <v>157.05000000000001</v>
      </c>
      <c r="B870" s="2">
        <v>2505.75</v>
      </c>
    </row>
    <row r="871" spans="1:2" ht="14.25" customHeight="1">
      <c r="A871" s="2">
        <v>152.4</v>
      </c>
      <c r="B871" s="2">
        <v>2484.75</v>
      </c>
    </row>
    <row r="872" spans="1:2" ht="14.25" customHeight="1">
      <c r="A872" s="2">
        <v>151.1</v>
      </c>
      <c r="B872" s="2">
        <v>2424.9</v>
      </c>
    </row>
    <row r="873" spans="1:2" ht="14.25" customHeight="1">
      <c r="A873" s="2">
        <v>151.94999999999999</v>
      </c>
      <c r="B873" s="2">
        <v>2396.4</v>
      </c>
    </row>
    <row r="874" spans="1:2" ht="14.25" customHeight="1">
      <c r="A874" s="2">
        <v>149.6</v>
      </c>
      <c r="B874" s="2">
        <v>2330.8000000000002</v>
      </c>
    </row>
    <row r="875" spans="1:2" ht="14.25" customHeight="1">
      <c r="A875" s="2">
        <v>149.85</v>
      </c>
      <c r="B875" s="2">
        <v>2329.6999999999998</v>
      </c>
    </row>
    <row r="876" spans="1:2" ht="14.25" customHeight="1">
      <c r="A876" s="2">
        <v>155.15</v>
      </c>
      <c r="B876" s="2">
        <v>2334.4</v>
      </c>
    </row>
    <row r="877" spans="1:2" ht="14.25" customHeight="1">
      <c r="A877" s="2">
        <v>163.19999999999999</v>
      </c>
      <c r="B877" s="2">
        <v>2476.9</v>
      </c>
    </row>
    <row r="878" spans="1:2" ht="14.25" customHeight="1">
      <c r="A878" s="2">
        <v>159.69999999999999</v>
      </c>
      <c r="B878" s="2">
        <v>2479.1999999999998</v>
      </c>
    </row>
    <row r="879" spans="1:2" ht="14.25" customHeight="1">
      <c r="A879" s="2">
        <v>162.65</v>
      </c>
      <c r="B879" s="2">
        <v>2618.8000000000002</v>
      </c>
    </row>
    <row r="880" spans="1:2" ht="14.25" customHeight="1">
      <c r="A880" s="2">
        <v>163.05000000000001</v>
      </c>
      <c r="B880" s="2">
        <v>2619.9499999999998</v>
      </c>
    </row>
    <row r="881" spans="1:2" ht="14.25" customHeight="1">
      <c r="A881" s="2">
        <v>161.30000000000001</v>
      </c>
      <c r="B881" s="2">
        <v>2551.6999999999998</v>
      </c>
    </row>
    <row r="882" spans="1:2" ht="14.25" customHeight="1">
      <c r="A882" s="2">
        <v>161.94999999999999</v>
      </c>
      <c r="B882" s="2">
        <v>2530.1</v>
      </c>
    </row>
    <row r="883" spans="1:2" ht="14.25" customHeight="1">
      <c r="A883" s="2">
        <v>165.1</v>
      </c>
      <c r="B883" s="2">
        <v>2513.75</v>
      </c>
    </row>
    <row r="884" spans="1:2" ht="14.25" customHeight="1">
      <c r="A884" s="2">
        <v>161.6</v>
      </c>
      <c r="B884" s="2">
        <v>2494.8000000000002</v>
      </c>
    </row>
    <row r="885" spans="1:2" ht="14.25" customHeight="1">
      <c r="A885" s="2">
        <v>164.45</v>
      </c>
      <c r="B885" s="2">
        <v>2480.1999999999998</v>
      </c>
    </row>
    <row r="886" spans="1:2" ht="14.25" customHeight="1">
      <c r="A886" s="2">
        <v>163.4</v>
      </c>
      <c r="B886" s="2">
        <v>2553.5500000000002</v>
      </c>
    </row>
    <row r="887" spans="1:2" ht="14.25" customHeight="1">
      <c r="A887" s="2">
        <v>166.6</v>
      </c>
      <c r="B887" s="2">
        <v>2579.8000000000002</v>
      </c>
    </row>
    <row r="888" spans="1:2" ht="14.25" customHeight="1">
      <c r="A888" s="2">
        <v>163.6</v>
      </c>
      <c r="B888" s="2">
        <v>2601</v>
      </c>
    </row>
    <row r="889" spans="1:2" ht="14.25" customHeight="1">
      <c r="A889" s="2">
        <v>169.2</v>
      </c>
      <c r="B889" s="2">
        <v>2575.65</v>
      </c>
    </row>
    <row r="890" spans="1:2" ht="14.25" customHeight="1">
      <c r="A890" s="2">
        <v>172.85</v>
      </c>
      <c r="B890" s="2">
        <v>2544.75</v>
      </c>
    </row>
    <row r="891" spans="1:2" ht="14.25" customHeight="1">
      <c r="A891" s="2">
        <v>175.65</v>
      </c>
      <c r="B891" s="2">
        <v>2527.1</v>
      </c>
    </row>
    <row r="892" spans="1:2" ht="14.25" customHeight="1">
      <c r="A892" s="2">
        <v>170.6</v>
      </c>
      <c r="B892" s="2">
        <v>2494.5</v>
      </c>
    </row>
    <row r="893" spans="1:2" ht="14.25" customHeight="1">
      <c r="A893" s="2">
        <v>170.75</v>
      </c>
      <c r="B893" s="2">
        <v>2482.3000000000002</v>
      </c>
    </row>
    <row r="894" spans="1:2" ht="14.25" customHeight="1">
      <c r="A894" s="2">
        <v>166.5</v>
      </c>
      <c r="B894" s="2">
        <v>2449.9499999999998</v>
      </c>
    </row>
    <row r="895" spans="1:2" ht="14.25" customHeight="1">
      <c r="A895" s="2">
        <v>164.9</v>
      </c>
      <c r="B895" s="2">
        <v>2436.25</v>
      </c>
    </row>
    <row r="896" spans="1:2" ht="14.25" customHeight="1">
      <c r="A896" s="2">
        <v>158.25</v>
      </c>
      <c r="B896" s="2">
        <v>2453.85</v>
      </c>
    </row>
    <row r="897" spans="1:2" ht="14.25" customHeight="1">
      <c r="A897" s="2">
        <v>153.55000000000001</v>
      </c>
      <c r="B897" s="2">
        <v>2449.65</v>
      </c>
    </row>
    <row r="898" spans="1:2" ht="14.25" customHeight="1">
      <c r="A898" s="2">
        <v>148.15</v>
      </c>
      <c r="B898" s="2">
        <v>2374.8000000000002</v>
      </c>
    </row>
    <row r="899" spans="1:2" ht="14.25" customHeight="1">
      <c r="A899" s="2">
        <v>143.44999999999999</v>
      </c>
      <c r="B899" s="2">
        <v>2368.15</v>
      </c>
    </row>
    <row r="900" spans="1:2" ht="14.25" customHeight="1">
      <c r="A900" s="2">
        <v>141.65</v>
      </c>
      <c r="B900" s="2">
        <v>2348.5500000000002</v>
      </c>
    </row>
    <row r="901" spans="1:2" ht="14.25" customHeight="1">
      <c r="A901" s="2">
        <v>134.80000000000001</v>
      </c>
      <c r="B901" s="2">
        <v>2282.85</v>
      </c>
    </row>
    <row r="902" spans="1:2" ht="14.25" customHeight="1">
      <c r="A902" s="2">
        <v>135.35</v>
      </c>
      <c r="B902" s="2">
        <v>2261.5</v>
      </c>
    </row>
    <row r="903" spans="1:2" ht="14.25" customHeight="1">
      <c r="A903" s="2">
        <v>130.4</v>
      </c>
      <c r="B903" s="2">
        <v>2320.4499999999998</v>
      </c>
    </row>
    <row r="904" spans="1:2" ht="14.25" customHeight="1">
      <c r="A904" s="2">
        <v>132.4</v>
      </c>
      <c r="B904" s="2">
        <v>2402.25</v>
      </c>
    </row>
    <row r="905" spans="1:2" ht="14.25" customHeight="1">
      <c r="A905" s="2">
        <v>143.1</v>
      </c>
      <c r="B905" s="2">
        <v>2331.85</v>
      </c>
    </row>
    <row r="906" spans="1:2" ht="14.25" customHeight="1">
      <c r="A906" s="2">
        <v>144.75</v>
      </c>
      <c r="B906" s="2">
        <v>2285.15</v>
      </c>
    </row>
    <row r="907" spans="1:2" ht="14.25" customHeight="1">
      <c r="A907" s="2">
        <v>145.44999999999999</v>
      </c>
      <c r="B907" s="2">
        <v>2277.8000000000002</v>
      </c>
    </row>
    <row r="908" spans="1:2" ht="14.25" customHeight="1">
      <c r="A908" s="2">
        <v>141.85</v>
      </c>
      <c r="B908" s="2">
        <v>2291.75</v>
      </c>
    </row>
    <row r="909" spans="1:2" ht="14.25" customHeight="1">
      <c r="A909" s="2">
        <v>136.05000000000001</v>
      </c>
      <c r="B909" s="2">
        <v>2265</v>
      </c>
    </row>
    <row r="910" spans="1:2" ht="14.25" customHeight="1">
      <c r="A910" s="2">
        <v>129.15</v>
      </c>
      <c r="B910" s="2">
        <v>2249.0500000000002</v>
      </c>
    </row>
    <row r="911" spans="1:2" ht="14.25" customHeight="1">
      <c r="A911" s="2">
        <v>129.80000000000001</v>
      </c>
      <c r="B911" s="2">
        <v>2237.65</v>
      </c>
    </row>
    <row r="912" spans="1:2" ht="14.25" customHeight="1">
      <c r="A912" s="2">
        <v>129.19999999999999</v>
      </c>
      <c r="B912" s="2">
        <v>2246.65</v>
      </c>
    </row>
    <row r="913" spans="1:2" ht="14.25" customHeight="1">
      <c r="A913" s="2">
        <v>131.65</v>
      </c>
      <c r="B913" s="2">
        <v>2274.8000000000002</v>
      </c>
    </row>
    <row r="914" spans="1:2" ht="14.25" customHeight="1">
      <c r="A914" s="2">
        <v>147.05000000000001</v>
      </c>
      <c r="B914" s="2">
        <v>2289.1999999999998</v>
      </c>
    </row>
    <row r="915" spans="1:2" ht="14.25" customHeight="1">
      <c r="A915" s="2">
        <v>147.6</v>
      </c>
      <c r="B915" s="2">
        <v>2311.5</v>
      </c>
    </row>
    <row r="916" spans="1:2" ht="14.25" customHeight="1">
      <c r="A916" s="2">
        <v>139.6</v>
      </c>
      <c r="B916" s="2">
        <v>2256.65</v>
      </c>
    </row>
    <row r="917" spans="1:2" ht="14.25" customHeight="1">
      <c r="A917" s="2">
        <v>136</v>
      </c>
      <c r="B917" s="2">
        <v>2263.25</v>
      </c>
    </row>
    <row r="918" spans="1:2" ht="14.25" customHeight="1">
      <c r="A918" s="2">
        <v>140.5</v>
      </c>
      <c r="B918" s="2">
        <v>2293.4499999999998</v>
      </c>
    </row>
    <row r="919" spans="1:2" ht="14.25" customHeight="1">
      <c r="A919" s="2">
        <v>139.55000000000001</v>
      </c>
      <c r="B919" s="2">
        <v>2350.9</v>
      </c>
    </row>
    <row r="920" spans="1:2" ht="14.25" customHeight="1">
      <c r="A920" s="2">
        <v>141.44999999999999</v>
      </c>
      <c r="B920" s="2">
        <v>2349.85</v>
      </c>
    </row>
    <row r="921" spans="1:2" ht="14.25" customHeight="1">
      <c r="A921" s="2">
        <v>143.55000000000001</v>
      </c>
      <c r="B921" s="2">
        <v>2290.4</v>
      </c>
    </row>
    <row r="922" spans="1:2" ht="14.25" customHeight="1">
      <c r="A922" s="2">
        <v>147.44999999999999</v>
      </c>
      <c r="B922" s="2">
        <v>2268.8000000000002</v>
      </c>
    </row>
    <row r="923" spans="1:2" ht="14.25" customHeight="1">
      <c r="A923" s="2">
        <v>150.05000000000001</v>
      </c>
      <c r="B923" s="2">
        <v>2253.85</v>
      </c>
    </row>
    <row r="924" spans="1:2" ht="14.25" customHeight="1">
      <c r="A924" s="2">
        <v>147</v>
      </c>
      <c r="B924" s="2">
        <v>2258.8000000000002</v>
      </c>
    </row>
    <row r="925" spans="1:2" ht="14.25" customHeight="1">
      <c r="A925" s="2">
        <v>148.94999999999999</v>
      </c>
      <c r="B925" s="2">
        <v>2322.5</v>
      </c>
    </row>
    <row r="926" spans="1:2" ht="14.25" customHeight="1">
      <c r="A926" s="2">
        <v>150.69999999999999</v>
      </c>
      <c r="B926" s="2">
        <v>2415.1</v>
      </c>
    </row>
    <row r="927" spans="1:2" ht="14.25" customHeight="1">
      <c r="A927" s="2">
        <v>153.15</v>
      </c>
      <c r="B927" s="2">
        <v>2402.4</v>
      </c>
    </row>
    <row r="928" spans="1:2" ht="14.25" customHeight="1">
      <c r="A928" s="2">
        <v>152.80000000000001</v>
      </c>
      <c r="B928" s="2">
        <v>2358.8000000000002</v>
      </c>
    </row>
    <row r="929" spans="1:2" ht="14.25" customHeight="1">
      <c r="A929" s="2">
        <v>149.9</v>
      </c>
      <c r="B929" s="2">
        <v>2352.9</v>
      </c>
    </row>
    <row r="930" spans="1:2" ht="14.25" customHeight="1">
      <c r="A930" s="2">
        <v>146.6</v>
      </c>
      <c r="B930" s="2">
        <v>2350.15</v>
      </c>
    </row>
    <row r="931" spans="1:2" ht="14.25" customHeight="1">
      <c r="A931" s="2">
        <v>149.15</v>
      </c>
      <c r="B931" s="2">
        <v>2349.4499999999998</v>
      </c>
    </row>
    <row r="932" spans="1:2" ht="14.25" customHeight="1">
      <c r="A932" s="2">
        <v>154.69999999999999</v>
      </c>
      <c r="B932" s="2">
        <v>2350.15</v>
      </c>
    </row>
    <row r="933" spans="1:2" ht="14.25" customHeight="1">
      <c r="A933" s="2">
        <v>144.15</v>
      </c>
      <c r="B933" s="2">
        <v>2465.6</v>
      </c>
    </row>
    <row r="934" spans="1:2" ht="14.25" customHeight="1">
      <c r="A934" s="2">
        <v>144</v>
      </c>
      <c r="B934" s="2">
        <v>2393.35</v>
      </c>
    </row>
    <row r="935" spans="1:2" ht="14.25" customHeight="1">
      <c r="A935" s="2">
        <v>143.80000000000001</v>
      </c>
      <c r="B935" s="2">
        <v>2402.3000000000002</v>
      </c>
    </row>
    <row r="936" spans="1:2" ht="14.25" customHeight="1">
      <c r="A936" s="2">
        <v>144.85</v>
      </c>
      <c r="B936" s="2">
        <v>2430.0500000000002</v>
      </c>
    </row>
    <row r="937" spans="1:2" ht="14.25" customHeight="1">
      <c r="A937" s="2">
        <v>145.85</v>
      </c>
      <c r="B937" s="2">
        <v>2432.1999999999998</v>
      </c>
    </row>
    <row r="938" spans="1:2" ht="14.25" customHeight="1">
      <c r="A938" s="2">
        <v>143.19999999999999</v>
      </c>
      <c r="B938" s="2">
        <v>2438</v>
      </c>
    </row>
    <row r="939" spans="1:2" ht="14.25" customHeight="1">
      <c r="A939" s="2">
        <v>140.15</v>
      </c>
      <c r="B939" s="2">
        <v>2468.0500000000002</v>
      </c>
    </row>
    <row r="940" spans="1:2" ht="14.25" customHeight="1">
      <c r="A940" s="2">
        <v>141.19999999999999</v>
      </c>
      <c r="B940" s="2">
        <v>2475.1</v>
      </c>
    </row>
    <row r="941" spans="1:2" ht="14.25" customHeight="1">
      <c r="A941" s="2">
        <v>151.4</v>
      </c>
      <c r="B941" s="2">
        <v>2473.3000000000002</v>
      </c>
    </row>
    <row r="942" spans="1:2" ht="14.25" customHeight="1">
      <c r="A942" s="2">
        <v>176.55</v>
      </c>
      <c r="B942" s="2">
        <v>2475</v>
      </c>
    </row>
    <row r="943" spans="1:2" ht="14.25" customHeight="1">
      <c r="A943" s="2">
        <v>173</v>
      </c>
      <c r="B943" s="2">
        <v>2493.9499999999998</v>
      </c>
    </row>
    <row r="944" spans="1:2" ht="14.25" customHeight="1">
      <c r="A944" s="2">
        <v>167.4</v>
      </c>
      <c r="B944" s="2">
        <v>2480.75</v>
      </c>
    </row>
    <row r="945" spans="1:2" ht="14.25" customHeight="1">
      <c r="A945" s="2">
        <v>169.65</v>
      </c>
      <c r="B945" s="2">
        <v>2486.25</v>
      </c>
    </row>
    <row r="946" spans="1:2" ht="14.25" customHeight="1">
      <c r="A946" s="2">
        <v>173.1</v>
      </c>
      <c r="B946" s="2">
        <v>2489.85</v>
      </c>
    </row>
    <row r="947" spans="1:2" ht="14.25" customHeight="1">
      <c r="A947" s="2">
        <v>170.7</v>
      </c>
      <c r="B947" s="2">
        <v>2480.1999999999998</v>
      </c>
    </row>
    <row r="948" spans="1:2" ht="14.25" customHeight="1">
      <c r="A948" s="2">
        <v>168.55</v>
      </c>
      <c r="B948" s="2">
        <v>2479.4499999999998</v>
      </c>
    </row>
    <row r="949" spans="1:2" ht="14.25" customHeight="1">
      <c r="A949" s="2">
        <v>168.85</v>
      </c>
      <c r="B949" s="2">
        <v>2478.9499999999998</v>
      </c>
    </row>
    <row r="950" spans="1:2" ht="14.25" customHeight="1">
      <c r="A950" s="2">
        <v>167.05</v>
      </c>
      <c r="B950" s="2">
        <v>2481</v>
      </c>
    </row>
    <row r="951" spans="1:2" ht="14.25" customHeight="1">
      <c r="A951" s="2">
        <v>169.4</v>
      </c>
      <c r="B951" s="2">
        <v>2479.4</v>
      </c>
    </row>
    <row r="952" spans="1:2" ht="14.25" customHeight="1">
      <c r="A952" s="2">
        <v>172</v>
      </c>
      <c r="B952" s="2">
        <v>2479.65</v>
      </c>
    </row>
    <row r="953" spans="1:2" ht="14.25" customHeight="1">
      <c r="A953" s="2">
        <v>177.75</v>
      </c>
      <c r="B953" s="2">
        <v>2480.0500000000002</v>
      </c>
    </row>
    <row r="954" spans="1:2" ht="14.25" customHeight="1">
      <c r="A954" s="2">
        <v>174.9</v>
      </c>
      <c r="B954" s="2">
        <v>2479.9</v>
      </c>
    </row>
    <row r="955" spans="1:2" ht="14.25" customHeight="1">
      <c r="A955" s="2">
        <v>174.2</v>
      </c>
      <c r="B955" s="2">
        <v>2419.25</v>
      </c>
    </row>
    <row r="956" spans="1:2" ht="14.25" customHeight="1">
      <c r="A956" s="2">
        <v>171.6</v>
      </c>
      <c r="B956" s="2">
        <v>2419.65</v>
      </c>
    </row>
    <row r="957" spans="1:2" ht="14.25" customHeight="1">
      <c r="A957" s="2">
        <v>169.55</v>
      </c>
      <c r="B957" s="2">
        <v>2419.4499999999998</v>
      </c>
    </row>
    <row r="958" spans="1:2" ht="14.25" customHeight="1">
      <c r="A958" s="2">
        <v>171.4</v>
      </c>
      <c r="B958" s="2">
        <v>2434.85</v>
      </c>
    </row>
    <row r="959" spans="1:2" ht="14.25" customHeight="1">
      <c r="A959" s="2">
        <v>186.9</v>
      </c>
      <c r="B959" s="2">
        <v>2435.15</v>
      </c>
    </row>
    <row r="960" spans="1:2" ht="14.25" customHeight="1">
      <c r="A960" s="2">
        <v>187.65</v>
      </c>
      <c r="B960" s="2">
        <v>2431.35</v>
      </c>
    </row>
    <row r="961" spans="1:2" ht="14.25" customHeight="1">
      <c r="A961" s="2">
        <v>187.35</v>
      </c>
      <c r="B961" s="2">
        <v>2481.4499999999998</v>
      </c>
    </row>
    <row r="962" spans="1:2" ht="14.25" customHeight="1">
      <c r="A962" s="2">
        <v>189.3</v>
      </c>
      <c r="B962" s="2">
        <v>2461.5500000000002</v>
      </c>
    </row>
    <row r="963" spans="1:2" ht="14.25" customHeight="1">
      <c r="A963" s="2">
        <v>195.5</v>
      </c>
      <c r="B963" s="2">
        <v>2482.4</v>
      </c>
    </row>
    <row r="964" spans="1:2" ht="14.25" customHeight="1">
      <c r="A964" s="2">
        <v>195.35</v>
      </c>
      <c r="B964" s="2">
        <v>2501.1</v>
      </c>
    </row>
    <row r="965" spans="1:2" ht="14.25" customHeight="1">
      <c r="A965" s="2">
        <v>189.15</v>
      </c>
      <c r="B965" s="2">
        <v>2489.9</v>
      </c>
    </row>
    <row r="966" spans="1:2" ht="14.25" customHeight="1">
      <c r="A966" s="2">
        <v>183.25</v>
      </c>
      <c r="B966" s="2">
        <v>2487.8000000000002</v>
      </c>
    </row>
    <row r="967" spans="1:2" ht="14.25" customHeight="1">
      <c r="A967" s="2">
        <v>177.25</v>
      </c>
      <c r="B967" s="2">
        <v>2474.3000000000002</v>
      </c>
    </row>
    <row r="968" spans="1:2" ht="14.25" customHeight="1">
      <c r="A968" s="2">
        <v>180.05</v>
      </c>
      <c r="B968" s="2">
        <v>2470.0500000000002</v>
      </c>
    </row>
    <row r="969" spans="1:2" ht="14.25" customHeight="1">
      <c r="A969" s="2">
        <v>181.2</v>
      </c>
      <c r="B969" s="2">
        <v>2410.1999999999998</v>
      </c>
    </row>
    <row r="970" spans="1:2" ht="14.25" customHeight="1">
      <c r="A970" s="2">
        <v>183.65</v>
      </c>
      <c r="B970" s="2">
        <v>2410.3000000000002</v>
      </c>
    </row>
    <row r="971" spans="1:2" ht="14.25" customHeight="1">
      <c r="A971" s="2">
        <v>184.75</v>
      </c>
      <c r="B971" s="2">
        <v>2416.1999999999998</v>
      </c>
    </row>
    <row r="972" spans="1:2" ht="14.25" customHeight="1">
      <c r="A972" s="2">
        <v>185.55</v>
      </c>
      <c r="B972" s="2">
        <v>2420.0500000000002</v>
      </c>
    </row>
    <row r="973" spans="1:2" ht="14.25" customHeight="1">
      <c r="A973" s="2">
        <v>182.55</v>
      </c>
      <c r="B973" s="2">
        <v>2414</v>
      </c>
    </row>
    <row r="974" spans="1:2" ht="14.25" customHeight="1">
      <c r="A974" s="2">
        <v>180.9</v>
      </c>
      <c r="B974" s="2">
        <v>2405.8000000000002</v>
      </c>
    </row>
    <row r="975" spans="1:2" ht="14.25" customHeight="1">
      <c r="A975" s="2">
        <v>179.75</v>
      </c>
      <c r="B975" s="2">
        <v>2405.9499999999998</v>
      </c>
    </row>
    <row r="976" spans="1:2" ht="14.25" customHeight="1">
      <c r="A976" s="2">
        <v>182.45</v>
      </c>
      <c r="B976" s="2">
        <v>2405.5</v>
      </c>
    </row>
    <row r="977" spans="1:2" ht="14.25" customHeight="1">
      <c r="A977" s="2">
        <v>180.8</v>
      </c>
      <c r="B977" s="2">
        <v>2396.35</v>
      </c>
    </row>
    <row r="978" spans="1:2" ht="14.25" customHeight="1">
      <c r="A978" s="2">
        <v>179.95</v>
      </c>
      <c r="B978" s="2">
        <v>2390.0500000000002</v>
      </c>
    </row>
    <row r="979" spans="1:2" ht="14.25" customHeight="1">
      <c r="A979" s="2">
        <v>182.45</v>
      </c>
      <c r="B979" s="2">
        <v>2389.9499999999998</v>
      </c>
    </row>
    <row r="980" spans="1:2" ht="14.25" customHeight="1">
      <c r="A980" s="2">
        <v>182.95</v>
      </c>
      <c r="B980" s="2">
        <v>2495.6999999999998</v>
      </c>
    </row>
    <row r="981" spans="1:2" ht="14.25" customHeight="1">
      <c r="A981" s="2">
        <v>195.75</v>
      </c>
      <c r="B981" s="2">
        <v>2523.25</v>
      </c>
    </row>
    <row r="982" spans="1:2" ht="14.25" customHeight="1">
      <c r="A982" s="2">
        <v>194.4</v>
      </c>
      <c r="B982" s="2">
        <v>2594.35</v>
      </c>
    </row>
    <row r="983" spans="1:2" ht="14.25" customHeight="1">
      <c r="A983" s="2">
        <v>189.9</v>
      </c>
      <c r="B983" s="2">
        <v>2572.4</v>
      </c>
    </row>
    <row r="984" spans="1:2" ht="14.25" customHeight="1">
      <c r="A984" s="2">
        <v>196.3</v>
      </c>
      <c r="B984" s="2">
        <v>2557.75</v>
      </c>
    </row>
    <row r="985" spans="1:2" ht="14.25" customHeight="1">
      <c r="A985" s="2">
        <v>208.35</v>
      </c>
      <c r="B985" s="2">
        <v>2522.6</v>
      </c>
    </row>
    <row r="986" spans="1:2" ht="14.25" customHeight="1">
      <c r="A986" s="2">
        <v>215.3</v>
      </c>
      <c r="B986" s="2">
        <v>2510.8000000000002</v>
      </c>
    </row>
    <row r="987" spans="1:2" ht="14.25" customHeight="1">
      <c r="A987" s="2">
        <v>209.1</v>
      </c>
      <c r="B987" s="2">
        <v>2489.1999999999998</v>
      </c>
    </row>
    <row r="988" spans="1:2" ht="14.25" customHeight="1">
      <c r="A988" s="2">
        <v>212.3</v>
      </c>
      <c r="B988" s="2">
        <v>2469.65</v>
      </c>
    </row>
    <row r="989" spans="1:2" ht="14.25" customHeight="1">
      <c r="A989" s="2">
        <v>207.35</v>
      </c>
      <c r="B989" s="2">
        <v>2432.15</v>
      </c>
    </row>
    <row r="990" spans="1:2" ht="14.25" customHeight="1">
      <c r="A990" s="2">
        <v>197.7</v>
      </c>
      <c r="B990" s="2">
        <v>2460.15</v>
      </c>
    </row>
    <row r="991" spans="1:2" ht="14.25" customHeight="1">
      <c r="A991" s="2">
        <v>204.2</v>
      </c>
      <c r="B991" s="2">
        <v>2925.6</v>
      </c>
    </row>
    <row r="992" spans="1:2" ht="14.25" customHeight="1">
      <c r="A992" s="2">
        <v>206.4</v>
      </c>
      <c r="B992" s="2">
        <v>2949.55</v>
      </c>
    </row>
    <row r="993" spans="1:2" ht="14.25" customHeight="1">
      <c r="A993" s="2">
        <v>203.7</v>
      </c>
      <c r="B993" s="2">
        <v>2943.15</v>
      </c>
    </row>
    <row r="994" spans="1:2" ht="14.25" customHeight="1">
      <c r="A994" s="2">
        <v>205.85</v>
      </c>
      <c r="B994" s="2">
        <v>2937.25</v>
      </c>
    </row>
    <row r="995" spans="1:2" ht="14.25" customHeight="1">
      <c r="A995" s="2">
        <v>210.05</v>
      </c>
      <c r="B995" s="2">
        <v>2930.75</v>
      </c>
    </row>
    <row r="996" spans="1:2" ht="14.25" customHeight="1">
      <c r="A996" s="2">
        <v>234.8</v>
      </c>
      <c r="B996" s="2">
        <v>2936.6</v>
      </c>
    </row>
    <row r="997" spans="1:2" ht="14.25" customHeight="1">
      <c r="A997" s="2">
        <v>240.85</v>
      </c>
      <c r="B997" s="2">
        <v>2951.95</v>
      </c>
    </row>
    <row r="998" spans="1:2" ht="14.25" customHeight="1">
      <c r="A998" s="2">
        <v>244.1</v>
      </c>
      <c r="B998" s="2">
        <v>2954.6</v>
      </c>
    </row>
    <row r="999" spans="1:2" ht="14.25" customHeight="1">
      <c r="A999" s="2">
        <v>239.4</v>
      </c>
      <c r="B999" s="2">
        <v>2958.1</v>
      </c>
    </row>
    <row r="1000" spans="1:2" ht="14.25" customHeight="1">
      <c r="A1000" s="2">
        <v>241.95</v>
      </c>
      <c r="B1000" s="2">
        <v>2975.25</v>
      </c>
    </row>
    <row r="1001" spans="1:2" ht="14.25" customHeight="1">
      <c r="A1001" s="2">
        <v>236.05</v>
      </c>
      <c r="B1001" s="2">
        <v>2998.3</v>
      </c>
    </row>
    <row r="1002" spans="1:2" ht="14.25" customHeight="1">
      <c r="A1002" s="2">
        <v>237.05</v>
      </c>
      <c r="B1002" s="2">
        <v>2990.45</v>
      </c>
    </row>
    <row r="1003" spans="1:2" ht="14.25" customHeight="1">
      <c r="A1003" s="2">
        <v>227.1</v>
      </c>
      <c r="B1003" s="2">
        <v>2986.05</v>
      </c>
    </row>
    <row r="1004" spans="1:2" ht="14.25" customHeight="1">
      <c r="A1004" s="2">
        <v>220.2</v>
      </c>
      <c r="B1004" s="2">
        <v>2986.15</v>
      </c>
    </row>
    <row r="1005" spans="1:2" ht="14.25" customHeight="1">
      <c r="A1005" s="2">
        <v>221.45</v>
      </c>
      <c r="B1005" s="2">
        <v>2985.05</v>
      </c>
    </row>
    <row r="1006" spans="1:2" ht="14.25" customHeight="1">
      <c r="A1006" s="2">
        <v>223.2</v>
      </c>
      <c r="B1006" s="2">
        <v>2979.05</v>
      </c>
    </row>
    <row r="1007" spans="1:2" ht="14.25" customHeight="1">
      <c r="A1007" s="2">
        <v>212.85</v>
      </c>
      <c r="B1007" s="2">
        <v>2974.2</v>
      </c>
    </row>
    <row r="1008" spans="1:2" ht="14.25" customHeight="1">
      <c r="A1008" s="2">
        <v>208.55</v>
      </c>
      <c r="B1008" s="2">
        <v>2961.85</v>
      </c>
    </row>
    <row r="1009" spans="1:2" ht="14.25" customHeight="1">
      <c r="A1009" s="2">
        <v>203.5</v>
      </c>
      <c r="B1009" s="2">
        <v>2965.15</v>
      </c>
    </row>
    <row r="1010" spans="1:2" ht="14.25" customHeight="1">
      <c r="A1010" s="2">
        <v>206.8</v>
      </c>
      <c r="B1010" s="2">
        <v>2984.7</v>
      </c>
    </row>
    <row r="1011" spans="1:2" ht="14.25" customHeight="1">
      <c r="A1011" s="2">
        <v>210.05</v>
      </c>
      <c r="B1011" s="2">
        <v>2978.15</v>
      </c>
    </row>
    <row r="1012" spans="1:2" ht="14.25" customHeight="1">
      <c r="A1012" s="2">
        <v>216.25</v>
      </c>
      <c r="B1012" s="2">
        <v>2978.05</v>
      </c>
    </row>
    <row r="1013" spans="1:2" ht="14.25" customHeight="1">
      <c r="A1013" s="2">
        <v>215.65</v>
      </c>
      <c r="B1013" s="2">
        <v>2971.3</v>
      </c>
    </row>
    <row r="1014" spans="1:2" ht="14.25" customHeight="1">
      <c r="A1014" s="2">
        <v>207.5</v>
      </c>
      <c r="B1014" s="2">
        <v>2977.25</v>
      </c>
    </row>
    <row r="1015" spans="1:2" ht="14.25" customHeight="1">
      <c r="A1015" s="2">
        <v>209.15</v>
      </c>
      <c r="B1015" s="2">
        <v>2977.9</v>
      </c>
    </row>
    <row r="1016" spans="1:2" ht="14.25" customHeight="1">
      <c r="A1016" s="2">
        <v>209.5</v>
      </c>
      <c r="B1016" s="2">
        <v>2977.85</v>
      </c>
    </row>
    <row r="1017" spans="1:2" ht="14.25" customHeight="1">
      <c r="A1017" s="2">
        <v>208</v>
      </c>
      <c r="B1017" s="2">
        <v>2974.7</v>
      </c>
    </row>
    <row r="1018" spans="1:2" ht="14.25" customHeight="1">
      <c r="A1018" s="2">
        <v>207.55</v>
      </c>
      <c r="B1018" s="2">
        <v>2978.3</v>
      </c>
    </row>
    <row r="1019" spans="1:2" ht="14.25" customHeight="1">
      <c r="A1019" s="2">
        <v>206.3</v>
      </c>
      <c r="B1019" s="2">
        <v>2983.05</v>
      </c>
    </row>
    <row r="1020" spans="1:2" ht="14.25" customHeight="1">
      <c r="A1020" s="2">
        <v>194.3</v>
      </c>
      <c r="B1020" s="2">
        <v>2977.4</v>
      </c>
    </row>
    <row r="1021" spans="1:2" ht="14.25" customHeight="1">
      <c r="A1021" s="2">
        <v>194.85</v>
      </c>
      <c r="B1021" s="2">
        <v>2978.7</v>
      </c>
    </row>
    <row r="1022" spans="1:2" ht="14.25" customHeight="1">
      <c r="A1022" s="2">
        <v>197.95</v>
      </c>
      <c r="B1022" s="2">
        <v>2973.65</v>
      </c>
    </row>
    <row r="1023" spans="1:2" ht="14.25" customHeight="1">
      <c r="A1023" s="2">
        <v>186.7</v>
      </c>
      <c r="B1023" s="2">
        <v>2978.35</v>
      </c>
    </row>
    <row r="1024" spans="1:2" ht="14.25" customHeight="1">
      <c r="A1024" s="2">
        <v>189.45</v>
      </c>
      <c r="B1024" s="2">
        <v>2984.1</v>
      </c>
    </row>
    <row r="1025" spans="1:2" ht="14.25" customHeight="1">
      <c r="A1025" s="2">
        <v>183.3</v>
      </c>
      <c r="B1025" s="2">
        <v>2986.35</v>
      </c>
    </row>
    <row r="1026" spans="1:2" ht="14.25" customHeight="1">
      <c r="A1026" s="2">
        <v>205.25</v>
      </c>
      <c r="B1026" s="2">
        <v>2984.85</v>
      </c>
    </row>
    <row r="1027" spans="1:2" ht="14.25" customHeight="1">
      <c r="A1027" s="2">
        <v>198.5</v>
      </c>
      <c r="B1027" s="2">
        <v>2982.6</v>
      </c>
    </row>
    <row r="1028" spans="1:2" ht="14.25" customHeight="1">
      <c r="A1028" s="2">
        <v>195.95</v>
      </c>
      <c r="B1028" s="2">
        <v>2969.9</v>
      </c>
    </row>
    <row r="1029" spans="1:2" ht="14.25" customHeight="1">
      <c r="A1029" s="2">
        <v>195.4</v>
      </c>
      <c r="B1029" s="2">
        <v>2972</v>
      </c>
    </row>
    <row r="1030" spans="1:2" ht="14.25" customHeight="1">
      <c r="A1030" s="2">
        <v>198.2</v>
      </c>
      <c r="B1030" s="2">
        <v>2981.9</v>
      </c>
    </row>
    <row r="1031" spans="1:2" ht="14.25" customHeight="1">
      <c r="A1031" s="2">
        <v>198</v>
      </c>
      <c r="B1031" s="2">
        <v>2982.85</v>
      </c>
    </row>
    <row r="1032" spans="1:2" ht="14.25" customHeight="1">
      <c r="A1032" s="2">
        <v>198.7</v>
      </c>
      <c r="B1032" s="2">
        <v>2983</v>
      </c>
    </row>
    <row r="1033" spans="1:2" ht="14.25" customHeight="1">
      <c r="A1033" s="2">
        <v>194.45</v>
      </c>
      <c r="B1033" s="2">
        <v>3003.7</v>
      </c>
    </row>
    <row r="1034" spans="1:2" ht="14.25" customHeight="1">
      <c r="A1034" s="2">
        <v>196.7</v>
      </c>
      <c r="B1034" s="2">
        <v>3008.65</v>
      </c>
    </row>
    <row r="1035" spans="1:2" ht="14.25" customHeight="1">
      <c r="A1035" s="2">
        <v>197.3</v>
      </c>
      <c r="B1035" s="2">
        <v>3013.4</v>
      </c>
    </row>
    <row r="1036" spans="1:2" ht="14.25" customHeight="1">
      <c r="A1036" s="2">
        <v>198.9</v>
      </c>
      <c r="B1036" s="2">
        <v>3017.6</v>
      </c>
    </row>
    <row r="1037" spans="1:2" ht="14.25" customHeight="1">
      <c r="A1037" s="2">
        <v>197.2</v>
      </c>
      <c r="B1037" s="2">
        <v>3009.25</v>
      </c>
    </row>
    <row r="1038" spans="1:2" ht="14.25" customHeight="1">
      <c r="A1038" s="2">
        <v>198.2</v>
      </c>
      <c r="B1038" s="2">
        <v>3017.45</v>
      </c>
    </row>
    <row r="1039" spans="1:2" ht="14.25" customHeight="1">
      <c r="A1039" s="2">
        <v>203.65</v>
      </c>
      <c r="B1039" s="2">
        <v>3028.05</v>
      </c>
    </row>
    <row r="1040" spans="1:2" ht="14.25" customHeight="1">
      <c r="A1040" s="2">
        <v>208.2</v>
      </c>
      <c r="B1040" s="2">
        <v>3030.9</v>
      </c>
    </row>
    <row r="1041" spans="1:2" ht="14.25" customHeight="1">
      <c r="A1041" s="2">
        <v>205.5</v>
      </c>
      <c r="B1041" s="2">
        <v>3036.5</v>
      </c>
    </row>
    <row r="1042" spans="1:2" ht="14.25" customHeight="1">
      <c r="A1042" s="2">
        <v>208.7</v>
      </c>
      <c r="B1042" s="2">
        <v>3045.75</v>
      </c>
    </row>
    <row r="1043" spans="1:2" ht="14.25" customHeight="1">
      <c r="A1043" s="2">
        <v>206.95</v>
      </c>
      <c r="B1043" s="2">
        <v>3045.15</v>
      </c>
    </row>
    <row r="1044" spans="1:2" ht="14.25" customHeight="1">
      <c r="A1044" s="2">
        <v>208.85</v>
      </c>
      <c r="B1044" s="2">
        <v>3053.05</v>
      </c>
    </row>
    <row r="1045" spans="1:2" ht="14.25" customHeight="1">
      <c r="A1045" s="2">
        <v>208.75</v>
      </c>
      <c r="B1045" s="2">
        <v>2966.45</v>
      </c>
    </row>
    <row r="1046" spans="1:2" ht="14.25" customHeight="1">
      <c r="A1046" s="2">
        <v>208.6</v>
      </c>
      <c r="B1046" s="2">
        <v>2744.8</v>
      </c>
    </row>
    <row r="1047" spans="1:2" ht="14.25" customHeight="1">
      <c r="A1047" s="2">
        <v>216.25</v>
      </c>
      <c r="B1047" s="2">
        <v>2676.45</v>
      </c>
    </row>
    <row r="1048" spans="1:2" ht="14.25" customHeight="1">
      <c r="A1048" s="2">
        <v>228.55</v>
      </c>
      <c r="B1048" s="2">
        <v>2648.35</v>
      </c>
    </row>
    <row r="1049" spans="1:2" ht="14.25" customHeight="1">
      <c r="A1049" s="2">
        <v>239.4</v>
      </c>
      <c r="B1049" s="2">
        <v>2508.8000000000002</v>
      </c>
    </row>
    <row r="1050" spans="1:2" ht="14.25" customHeight="1">
      <c r="A1050" s="2">
        <v>237.1</v>
      </c>
      <c r="B1050" s="2">
        <v>2441.9</v>
      </c>
    </row>
    <row r="1051" spans="1:2" ht="14.25" customHeight="1">
      <c r="A1051" s="2">
        <v>245.6</v>
      </c>
      <c r="B1051" s="2">
        <v>2477.75</v>
      </c>
    </row>
    <row r="1052" spans="1:2" ht="14.25" customHeight="1">
      <c r="A1052" s="2">
        <v>262.39999999999998</v>
      </c>
      <c r="B1052" s="2">
        <v>2533.75</v>
      </c>
    </row>
    <row r="1053" spans="1:2" ht="14.25" customHeight="1">
      <c r="A1053" s="2">
        <v>260.55</v>
      </c>
      <c r="B1053" s="2">
        <v>2605.75</v>
      </c>
    </row>
    <row r="1054" spans="1:2" ht="14.25" customHeight="1">
      <c r="A1054" s="2">
        <v>266.7</v>
      </c>
      <c r="B1054" s="2">
        <v>2651.9</v>
      </c>
    </row>
    <row r="1055" spans="1:2" ht="14.25" customHeight="1">
      <c r="A1055" s="2">
        <v>273.5</v>
      </c>
      <c r="B1055" s="2">
        <v>2650.5</v>
      </c>
    </row>
    <row r="1056" spans="1:2" ht="14.25" customHeight="1">
      <c r="A1056" s="2">
        <v>272.7</v>
      </c>
      <c r="B1056" s="2">
        <v>2637.5</v>
      </c>
    </row>
    <row r="1057" spans="1:2" ht="14.25" customHeight="1">
      <c r="A1057" s="2">
        <v>269.5</v>
      </c>
      <c r="B1057" s="2">
        <v>2568.9</v>
      </c>
    </row>
    <row r="1058" spans="1:2" ht="14.25" customHeight="1">
      <c r="A1058" s="2">
        <v>267.10000000000002</v>
      </c>
      <c r="B1058" s="2">
        <v>2596.4</v>
      </c>
    </row>
    <row r="1059" spans="1:2" ht="14.25" customHeight="1">
      <c r="A1059" s="2">
        <v>290.05</v>
      </c>
      <c r="B1059" s="2">
        <v>2552.9</v>
      </c>
    </row>
    <row r="1060" spans="1:2" ht="14.25" customHeight="1">
      <c r="A1060" s="2">
        <v>287.89999999999998</v>
      </c>
      <c r="B1060" s="2">
        <v>2550.15</v>
      </c>
    </row>
    <row r="1061" spans="1:2" ht="14.25" customHeight="1">
      <c r="A1061" s="2">
        <v>288.75</v>
      </c>
      <c r="B1061" s="2">
        <v>2550.15</v>
      </c>
    </row>
    <row r="1062" spans="1:2" ht="14.25" customHeight="1">
      <c r="A1062" s="2">
        <v>292.14999999999998</v>
      </c>
      <c r="B1062" s="2">
        <v>2573</v>
      </c>
    </row>
    <row r="1063" spans="1:2" ht="14.25" customHeight="1">
      <c r="A1063" s="2">
        <v>289.25</v>
      </c>
      <c r="B1063" s="2">
        <v>2588.75</v>
      </c>
    </row>
    <row r="1064" spans="1:2" ht="14.25" customHeight="1">
      <c r="A1064" s="2">
        <v>292.14999999999998</v>
      </c>
      <c r="B1064" s="2">
        <v>2573.1999999999998</v>
      </c>
    </row>
    <row r="1065" spans="1:2" ht="14.25" customHeight="1">
      <c r="A1065" s="2">
        <v>288.39999999999998</v>
      </c>
      <c r="B1065" s="2">
        <v>2580.9</v>
      </c>
    </row>
    <row r="1066" spans="1:2" ht="14.25" customHeight="1">
      <c r="A1066" s="2">
        <v>300.2</v>
      </c>
      <c r="B1066" s="2">
        <v>2589.9499999999998</v>
      </c>
    </row>
    <row r="1067" spans="1:2" ht="14.25" customHeight="1">
      <c r="A1067" s="2">
        <v>304.64999999999998</v>
      </c>
      <c r="B1067" s="2">
        <v>2571.1</v>
      </c>
    </row>
    <row r="1068" spans="1:2" ht="14.25" customHeight="1">
      <c r="A1068" s="2">
        <v>334.15</v>
      </c>
      <c r="B1068" s="2">
        <v>2562.85</v>
      </c>
    </row>
    <row r="1069" spans="1:2" ht="14.25" customHeight="1">
      <c r="A1069" s="2">
        <v>325.85000000000002</v>
      </c>
      <c r="B1069" s="2">
        <v>2548.5500000000002</v>
      </c>
    </row>
    <row r="1070" spans="1:2" ht="14.25" customHeight="1">
      <c r="A1070" s="2">
        <v>338.75</v>
      </c>
      <c r="B1070" s="2">
        <v>2545.25</v>
      </c>
    </row>
    <row r="1071" spans="1:2" ht="14.25" customHeight="1">
      <c r="A1071" s="2">
        <v>398.95</v>
      </c>
      <c r="B1071" s="2">
        <v>2534.9499999999998</v>
      </c>
    </row>
    <row r="1072" spans="1:2" ht="14.25" customHeight="1">
      <c r="A1072" s="2">
        <v>430.15</v>
      </c>
      <c r="B1072" s="2">
        <v>2536.4</v>
      </c>
    </row>
    <row r="1073" spans="1:2" ht="14.25" customHeight="1">
      <c r="A1073" s="2">
        <v>399.7</v>
      </c>
      <c r="B1073" s="2">
        <v>2500.9499999999998</v>
      </c>
    </row>
    <row r="1074" spans="1:2" ht="14.25" customHeight="1">
      <c r="A1074" s="2">
        <v>399.85</v>
      </c>
      <c r="B1074" s="2">
        <v>2503.85</v>
      </c>
    </row>
    <row r="1075" spans="1:2" ht="14.25" customHeight="1">
      <c r="A1075" s="2">
        <v>395.95</v>
      </c>
      <c r="B1075" s="2">
        <v>2491.5500000000002</v>
      </c>
    </row>
    <row r="1076" spans="1:2" ht="14.25" customHeight="1">
      <c r="A1076" s="2">
        <v>398.15</v>
      </c>
      <c r="B1076" s="2">
        <v>2489.25</v>
      </c>
    </row>
    <row r="1077" spans="1:2" ht="14.25" customHeight="1">
      <c r="A1077" s="2">
        <v>404.5</v>
      </c>
      <c r="B1077" s="2">
        <v>2482.35</v>
      </c>
    </row>
    <row r="1078" spans="1:2" ht="14.25" customHeight="1">
      <c r="A1078" s="2">
        <v>410.45</v>
      </c>
      <c r="B1078" s="2">
        <v>2457.1</v>
      </c>
    </row>
    <row r="1079" spans="1:2" ht="14.25" customHeight="1">
      <c r="A1079" s="2">
        <v>399.95</v>
      </c>
      <c r="B1079" s="2">
        <v>2442</v>
      </c>
    </row>
    <row r="1080" spans="1:2" ht="14.25" customHeight="1">
      <c r="A1080" s="2">
        <v>391.4</v>
      </c>
      <c r="B1080" s="2">
        <v>2419</v>
      </c>
    </row>
    <row r="1081" spans="1:2" ht="14.25" customHeight="1">
      <c r="A1081" s="2">
        <v>394.2</v>
      </c>
      <c r="B1081" s="2">
        <v>2430.4499999999998</v>
      </c>
    </row>
    <row r="1082" spans="1:2" ht="14.25" customHeight="1">
      <c r="A1082" s="2">
        <v>387.5</v>
      </c>
      <c r="B1082" s="2">
        <v>2466.3000000000002</v>
      </c>
    </row>
    <row r="1083" spans="1:2" ht="14.25" customHeight="1">
      <c r="A1083" s="2">
        <v>398.6</v>
      </c>
      <c r="B1083" s="2">
        <v>2449.4</v>
      </c>
    </row>
    <row r="1084" spans="1:2" ht="14.25" customHeight="1">
      <c r="A1084" s="2">
        <v>393.65</v>
      </c>
      <c r="B1084" s="2">
        <v>2420.65</v>
      </c>
    </row>
    <row r="1085" spans="1:2" ht="14.25" customHeight="1">
      <c r="A1085" s="2">
        <v>398.65</v>
      </c>
      <c r="B1085" s="2">
        <v>2380.5500000000002</v>
      </c>
    </row>
    <row r="1086" spans="1:2" ht="14.25" customHeight="1">
      <c r="A1086" s="2">
        <v>396.3</v>
      </c>
      <c r="B1086" s="2">
        <v>2376.4499999999998</v>
      </c>
    </row>
    <row r="1087" spans="1:2" ht="14.25" customHeight="1">
      <c r="A1087" s="2">
        <v>392.15</v>
      </c>
      <c r="B1087" s="2">
        <v>2402.9499999999998</v>
      </c>
    </row>
    <row r="1088" spans="1:2" ht="14.25" customHeight="1">
      <c r="A1088" s="2">
        <v>416.2</v>
      </c>
      <c r="B1088" s="2">
        <v>2386.9499999999998</v>
      </c>
    </row>
    <row r="1089" spans="1:2" ht="14.25" customHeight="1">
      <c r="A1089" s="2">
        <v>410.3</v>
      </c>
      <c r="B1089" s="2">
        <v>2383.1999999999998</v>
      </c>
    </row>
    <row r="1090" spans="1:2" ht="14.25" customHeight="1">
      <c r="A1090" s="2">
        <v>446.25</v>
      </c>
      <c r="B1090" s="2">
        <v>2435.5500000000002</v>
      </c>
    </row>
    <row r="1091" spans="1:2" ht="14.25" customHeight="1">
      <c r="A1091" s="2">
        <v>456.6</v>
      </c>
      <c r="B1091" s="2">
        <v>2437.75</v>
      </c>
    </row>
    <row r="1092" spans="1:2" ht="14.25" customHeight="1">
      <c r="A1092" s="2">
        <v>448.75</v>
      </c>
      <c r="B1092" s="2">
        <v>2459.4499999999998</v>
      </c>
    </row>
    <row r="1093" spans="1:2" ht="14.25" customHeight="1">
      <c r="A1093" s="2">
        <v>466.9</v>
      </c>
      <c r="B1093" s="2">
        <v>2501.25</v>
      </c>
    </row>
    <row r="1094" spans="1:2" ht="14.25" customHeight="1">
      <c r="A1094" s="2">
        <v>559.5</v>
      </c>
      <c r="B1094" s="2">
        <v>2504.0500000000002</v>
      </c>
    </row>
    <row r="1095" spans="1:2" ht="14.25" customHeight="1">
      <c r="A1095" s="2">
        <v>568.95000000000005</v>
      </c>
      <c r="B1095" s="2">
        <v>2525</v>
      </c>
    </row>
    <row r="1096" spans="1:2" ht="14.25" customHeight="1">
      <c r="A1096" s="2">
        <v>588.85</v>
      </c>
      <c r="B1096" s="2">
        <v>2549.5500000000002</v>
      </c>
    </row>
    <row r="1097" spans="1:2" ht="14.25" customHeight="1">
      <c r="A1097" s="2">
        <v>604.79999999999995</v>
      </c>
      <c r="B1097" s="2">
        <v>2556.1999999999998</v>
      </c>
    </row>
    <row r="1098" spans="1:2" ht="14.25" customHeight="1">
      <c r="A1098" s="2">
        <v>594.15</v>
      </c>
      <c r="B1098" s="2">
        <v>2516.1</v>
      </c>
    </row>
    <row r="1099" spans="1:2" ht="14.25" customHeight="1">
      <c r="A1099" s="2">
        <v>610.4</v>
      </c>
      <c r="B1099" s="2">
        <v>2484.4499999999998</v>
      </c>
    </row>
    <row r="1100" spans="1:2" ht="14.25" customHeight="1">
      <c r="A1100" s="2">
        <v>583.25</v>
      </c>
      <c r="B1100" s="2">
        <v>2453</v>
      </c>
    </row>
    <row r="1101" spans="1:2" ht="14.25" customHeight="1">
      <c r="A1101" s="2">
        <v>605</v>
      </c>
      <c r="B1101" s="2">
        <v>2428.6</v>
      </c>
    </row>
    <row r="1102" spans="1:2" ht="14.25" customHeight="1">
      <c r="A1102" s="2">
        <v>612.5</v>
      </c>
      <c r="B1102" s="2">
        <v>2453.25</v>
      </c>
    </row>
    <row r="1103" spans="1:2" ht="14.25" customHeight="1">
      <c r="A1103" s="2">
        <v>652.85</v>
      </c>
      <c r="B1103" s="2">
        <v>2434.75</v>
      </c>
    </row>
    <row r="1104" spans="1:2" ht="14.25" customHeight="1">
      <c r="A1104" s="2">
        <v>671.05</v>
      </c>
      <c r="B1104" s="2">
        <v>2461.65</v>
      </c>
    </row>
    <row r="1105" spans="1:2" ht="14.25" customHeight="1">
      <c r="A1105" s="2">
        <v>670.2</v>
      </c>
      <c r="B1105" s="2">
        <v>2449.4</v>
      </c>
    </row>
    <row r="1106" spans="1:2" ht="14.25" customHeight="1">
      <c r="A1106" s="2">
        <v>660.7</v>
      </c>
      <c r="B1106" s="2">
        <v>2446.25</v>
      </c>
    </row>
    <row r="1107" spans="1:2" ht="14.25" customHeight="1">
      <c r="A1107" s="2">
        <v>688.05</v>
      </c>
      <c r="B1107" s="2">
        <v>2456.3000000000002</v>
      </c>
    </row>
    <row r="1108" spans="1:2" ht="14.25" customHeight="1">
      <c r="A1108" s="2">
        <v>738.5</v>
      </c>
      <c r="B1108" s="2">
        <v>2490.8000000000002</v>
      </c>
    </row>
    <row r="1109" spans="1:2" ht="14.25" customHeight="1">
      <c r="A1109" s="2">
        <v>778.35</v>
      </c>
      <c r="B1109" s="2">
        <v>2475.35</v>
      </c>
    </row>
    <row r="1110" spans="1:2" ht="14.25" customHeight="1">
      <c r="A1110" s="2">
        <v>813.95</v>
      </c>
      <c r="B1110" s="2">
        <v>2494.85</v>
      </c>
    </row>
    <row r="1111" spans="1:2" ht="14.25" customHeight="1">
      <c r="A1111" s="2">
        <v>796.05</v>
      </c>
      <c r="B1111" s="2">
        <v>2481.35</v>
      </c>
    </row>
    <row r="1112" spans="1:2" ht="14.25" customHeight="1">
      <c r="A1112" s="2">
        <v>778.1</v>
      </c>
      <c r="B1112" s="2">
        <v>2514.6999999999998</v>
      </c>
    </row>
    <row r="1113" spans="1:2" ht="14.25" customHeight="1">
      <c r="A1113" s="2">
        <v>751.05</v>
      </c>
      <c r="B1113" s="2">
        <v>2488.25</v>
      </c>
    </row>
    <row r="1114" spans="1:2" ht="14.25" customHeight="1">
      <c r="A1114" s="2">
        <v>763.35</v>
      </c>
      <c r="B1114" s="2">
        <v>2478.5500000000002</v>
      </c>
    </row>
    <row r="1115" spans="1:2" ht="14.25" customHeight="1">
      <c r="A1115" s="2">
        <v>773.8</v>
      </c>
      <c r="B1115" s="2">
        <v>2477.85</v>
      </c>
    </row>
    <row r="1116" spans="1:2" ht="14.25" customHeight="1">
      <c r="A1116" s="2">
        <v>795.45</v>
      </c>
      <c r="B1116" s="2">
        <v>2477.0500000000002</v>
      </c>
    </row>
    <row r="1117" spans="1:2" ht="14.25" customHeight="1">
      <c r="A1117" s="2">
        <v>810.25</v>
      </c>
      <c r="B1117" s="2">
        <v>2462.5500000000002</v>
      </c>
    </row>
    <row r="1118" spans="1:2" ht="14.25" customHeight="1">
      <c r="A1118" s="2">
        <v>780.15</v>
      </c>
      <c r="B1118" s="2">
        <v>2477.9</v>
      </c>
    </row>
    <row r="1119" spans="1:2" ht="14.25" customHeight="1">
      <c r="A1119" s="2">
        <v>803.9</v>
      </c>
      <c r="B1119" s="2">
        <v>2485.3000000000002</v>
      </c>
    </row>
    <row r="1120" spans="1:2" ht="14.25" customHeight="1">
      <c r="A1120" s="2">
        <v>850.05</v>
      </c>
      <c r="B1120" s="2">
        <v>2486.75</v>
      </c>
    </row>
    <row r="1121" spans="1:2" ht="14.25" customHeight="1">
      <c r="A1121" s="2">
        <v>866.75</v>
      </c>
      <c r="B1121" s="2">
        <v>2473.75</v>
      </c>
    </row>
    <row r="1122" spans="1:2" ht="14.25" customHeight="1">
      <c r="A1122" s="2">
        <v>824.1</v>
      </c>
      <c r="B1122" s="2">
        <v>2463.9</v>
      </c>
    </row>
    <row r="1123" spans="1:2" ht="14.25" customHeight="1">
      <c r="A1123" s="2">
        <v>807.2</v>
      </c>
      <c r="B1123" s="2">
        <v>2490.6999999999998</v>
      </c>
    </row>
    <row r="1124" spans="1:2" ht="14.25" customHeight="1">
      <c r="A1124" s="2">
        <v>796.3</v>
      </c>
      <c r="B1124" s="2">
        <v>2501.6</v>
      </c>
    </row>
    <row r="1125" spans="1:2" ht="14.25" customHeight="1">
      <c r="A1125" s="2">
        <v>782</v>
      </c>
      <c r="B1125" s="2">
        <v>2499.6999999999998</v>
      </c>
    </row>
    <row r="1126" spans="1:2" ht="14.25" customHeight="1">
      <c r="A1126" s="2">
        <v>789.25</v>
      </c>
      <c r="B1126" s="2">
        <v>2533.4499999999998</v>
      </c>
    </row>
    <row r="1127" spans="1:2" ht="14.25" customHeight="1">
      <c r="A1127" s="2">
        <v>778.4</v>
      </c>
      <c r="B1127" s="2">
        <v>2551.9499999999998</v>
      </c>
    </row>
    <row r="1128" spans="1:2" ht="14.25" customHeight="1">
      <c r="A1128" s="2">
        <v>776.9</v>
      </c>
      <c r="B1128" s="2">
        <v>2549.1</v>
      </c>
    </row>
    <row r="1129" spans="1:2" ht="14.25" customHeight="1">
      <c r="A1129" s="2">
        <v>815.7</v>
      </c>
      <c r="B1129" s="2">
        <v>2551.4499999999998</v>
      </c>
    </row>
    <row r="1130" spans="1:2" ht="14.25" customHeight="1">
      <c r="A1130" s="2">
        <v>774.95</v>
      </c>
      <c r="B1130" s="2">
        <v>2508.5500000000002</v>
      </c>
    </row>
    <row r="1131" spans="1:2" ht="14.25" customHeight="1">
      <c r="A1131" s="2">
        <v>736.25</v>
      </c>
      <c r="B1131" s="2">
        <v>2508.5</v>
      </c>
    </row>
    <row r="1132" spans="1:2" ht="14.25" customHeight="1">
      <c r="A1132" s="2">
        <v>710.85</v>
      </c>
      <c r="B1132" s="2">
        <v>2481.5</v>
      </c>
    </row>
    <row r="1133" spans="1:2" ht="14.25" customHeight="1">
      <c r="A1133" s="2">
        <v>675.35</v>
      </c>
      <c r="B1133" s="2">
        <v>2500.4</v>
      </c>
    </row>
    <row r="1134" spans="1:2" ht="14.25" customHeight="1">
      <c r="A1134" s="2">
        <v>641.6</v>
      </c>
      <c r="B1134" s="2">
        <v>2488.1999999999998</v>
      </c>
    </row>
    <row r="1135" spans="1:2" ht="14.25" customHeight="1">
      <c r="A1135" s="2">
        <v>662.5</v>
      </c>
      <c r="B1135" s="2">
        <v>2506.6999999999998</v>
      </c>
    </row>
    <row r="1136" spans="1:2" ht="14.25" customHeight="1">
      <c r="A1136" s="2">
        <v>651.5</v>
      </c>
      <c r="B1136" s="2">
        <v>2499.9499999999998</v>
      </c>
    </row>
    <row r="1137" spans="1:2" ht="14.25" customHeight="1">
      <c r="A1137" s="2">
        <v>684.05</v>
      </c>
      <c r="B1137" s="2">
        <v>2505.25</v>
      </c>
    </row>
    <row r="1138" spans="1:2" ht="14.25" customHeight="1">
      <c r="A1138" s="2">
        <v>698.65</v>
      </c>
      <c r="B1138" s="2">
        <v>2491.25</v>
      </c>
    </row>
    <row r="1139" spans="1:2" ht="14.25" customHeight="1">
      <c r="A1139" s="2">
        <v>707.5</v>
      </c>
      <c r="B1139" s="2">
        <v>2487.65</v>
      </c>
    </row>
    <row r="1140" spans="1:2" ht="14.25" customHeight="1">
      <c r="A1140" s="2">
        <v>690.45</v>
      </c>
      <c r="B1140" s="2">
        <v>2472.75</v>
      </c>
    </row>
    <row r="1141" spans="1:2" ht="14.25" customHeight="1">
      <c r="A1141" s="2">
        <v>659.85</v>
      </c>
      <c r="B1141" s="2">
        <v>2487.1999999999998</v>
      </c>
    </row>
    <row r="1142" spans="1:2" ht="14.25" customHeight="1">
      <c r="A1142" s="2">
        <v>649</v>
      </c>
      <c r="B1142" s="2">
        <v>2482.25</v>
      </c>
    </row>
    <row r="1143" spans="1:2" ht="14.25" customHeight="1">
      <c r="A1143" s="2">
        <v>633.6</v>
      </c>
      <c r="B1143" s="2">
        <v>2482.3000000000002</v>
      </c>
    </row>
    <row r="1144" spans="1:2" ht="14.25" customHeight="1">
      <c r="A1144" s="2">
        <v>609.79999999999995</v>
      </c>
      <c r="B1144" s="2">
        <v>2491.4499999999998</v>
      </c>
    </row>
    <row r="1145" spans="1:2" ht="14.25" customHeight="1">
      <c r="A1145" s="2">
        <v>618.6</v>
      </c>
      <c r="B1145" s="2">
        <v>2492.75</v>
      </c>
    </row>
    <row r="1146" spans="1:2" ht="14.25" customHeight="1">
      <c r="A1146" s="2">
        <v>630.5</v>
      </c>
      <c r="B1146" s="2">
        <v>2495.5500000000002</v>
      </c>
    </row>
    <row r="1147" spans="1:2" ht="14.25" customHeight="1">
      <c r="A1147" s="2">
        <v>611.25</v>
      </c>
      <c r="B1147" s="2">
        <v>2482.6999999999998</v>
      </c>
    </row>
    <row r="1148" spans="1:2" ht="14.25" customHeight="1">
      <c r="A1148" s="2">
        <v>640.04999999999995</v>
      </c>
      <c r="B1148" s="2">
        <v>2480.9</v>
      </c>
    </row>
    <row r="1149" spans="1:2" ht="14.25" customHeight="1">
      <c r="A1149" s="2">
        <v>669.3</v>
      </c>
      <c r="B1149" s="2">
        <v>2488.9499999999998</v>
      </c>
    </row>
    <row r="1150" spans="1:2" ht="14.25" customHeight="1">
      <c r="A1150" s="2">
        <v>684.95</v>
      </c>
      <c r="B1150" s="2">
        <v>2491.85</v>
      </c>
    </row>
    <row r="1151" spans="1:2" ht="14.25" customHeight="1">
      <c r="A1151" s="2">
        <v>671.3</v>
      </c>
      <c r="B1151" s="2">
        <v>2506.1</v>
      </c>
    </row>
    <row r="1152" spans="1:2" ht="14.25" customHeight="1">
      <c r="A1152" s="2">
        <v>644.6</v>
      </c>
      <c r="B1152" s="2">
        <v>2500.6</v>
      </c>
    </row>
    <row r="1153" spans="1:2" ht="14.25" customHeight="1">
      <c r="A1153" s="2">
        <v>619.25</v>
      </c>
      <c r="B1153" s="2">
        <v>2497.4</v>
      </c>
    </row>
    <row r="1154" spans="1:2" ht="14.25" customHeight="1">
      <c r="A1154" s="2">
        <v>618.25</v>
      </c>
      <c r="B1154" s="2">
        <v>2518.6999999999998</v>
      </c>
    </row>
    <row r="1155" spans="1:2" ht="14.25" customHeight="1">
      <c r="A1155" s="2">
        <v>587.35</v>
      </c>
      <c r="B1155" s="2">
        <v>2494.25</v>
      </c>
    </row>
    <row r="1156" spans="1:2" ht="14.25" customHeight="1">
      <c r="A1156" s="2">
        <v>558.4</v>
      </c>
      <c r="B1156" s="2">
        <v>2491.75</v>
      </c>
    </row>
    <row r="1157" spans="1:2" ht="14.25" customHeight="1">
      <c r="A1157" s="2">
        <v>583.6</v>
      </c>
      <c r="B1157" s="2">
        <v>2489.3000000000002</v>
      </c>
    </row>
    <row r="1158" spans="1:2" ht="14.25" customHeight="1">
      <c r="A1158" s="2">
        <v>569.35</v>
      </c>
      <c r="B1158" s="2">
        <v>2492.0500000000002</v>
      </c>
    </row>
    <row r="1159" spans="1:2" ht="14.25" customHeight="1">
      <c r="A1159" s="2">
        <v>561.70000000000005</v>
      </c>
      <c r="B1159" s="2">
        <v>2505.15</v>
      </c>
    </row>
    <row r="1160" spans="1:2" ht="14.25" customHeight="1">
      <c r="A1160" s="2">
        <v>552.54999999999995</v>
      </c>
      <c r="B1160" s="2">
        <v>2501.6999999999998</v>
      </c>
    </row>
    <row r="1161" spans="1:2" ht="14.25" customHeight="1">
      <c r="A1161" s="2">
        <v>545.25</v>
      </c>
      <c r="B1161" s="2">
        <v>2488.65</v>
      </c>
    </row>
    <row r="1162" spans="1:2" ht="14.25" customHeight="1">
      <c r="A1162" s="2">
        <v>542.6</v>
      </c>
      <c r="B1162" s="2">
        <v>2479.9499999999998</v>
      </c>
    </row>
    <row r="1163" spans="1:2" ht="14.25" customHeight="1">
      <c r="A1163" s="2">
        <v>515.5</v>
      </c>
      <c r="B1163" s="2">
        <v>2481</v>
      </c>
    </row>
    <row r="1164" spans="1:2" ht="14.25" customHeight="1">
      <c r="A1164" s="2">
        <v>541.25</v>
      </c>
      <c r="B1164" s="2">
        <v>2497.4</v>
      </c>
    </row>
    <row r="1165" spans="1:2" ht="14.25" customHeight="1">
      <c r="A1165" s="2">
        <v>568.29999999999995</v>
      </c>
      <c r="B1165" s="2">
        <v>2488.65</v>
      </c>
    </row>
    <row r="1166" spans="1:2" ht="14.25" customHeight="1">
      <c r="A1166" s="2">
        <v>596.70000000000005</v>
      </c>
      <c r="B1166" s="2">
        <v>2493.9499999999998</v>
      </c>
    </row>
    <row r="1167" spans="1:2" ht="14.25" customHeight="1">
      <c r="A1167" s="2">
        <v>626.5</v>
      </c>
      <c r="B1167" s="2">
        <v>2499.9499999999998</v>
      </c>
    </row>
    <row r="1168" spans="1:2" ht="14.25" customHeight="1">
      <c r="A1168" s="2">
        <v>638.20000000000005</v>
      </c>
      <c r="B1168" s="2">
        <v>2494.1999999999998</v>
      </c>
    </row>
    <row r="1169" spans="1:2" ht="14.25" customHeight="1">
      <c r="A1169" s="2">
        <v>612.45000000000005</v>
      </c>
      <c r="B1169" s="2">
        <v>2488.65</v>
      </c>
    </row>
    <row r="1170" spans="1:2" ht="14.25" customHeight="1">
      <c r="A1170" s="2">
        <v>654.70000000000005</v>
      </c>
      <c r="B1170" s="2">
        <v>2503.1999999999998</v>
      </c>
    </row>
    <row r="1171" spans="1:2" ht="14.25" customHeight="1">
      <c r="A1171" s="2">
        <v>662.5</v>
      </c>
      <c r="B1171" s="2">
        <v>2537.65</v>
      </c>
    </row>
    <row r="1172" spans="1:2" ht="14.25" customHeight="1">
      <c r="A1172" s="2">
        <v>648.29999999999995</v>
      </c>
      <c r="B1172" s="2">
        <v>2521.8000000000002</v>
      </c>
    </row>
    <row r="1173" spans="1:2" ht="14.25" customHeight="1">
      <c r="A1173" s="2">
        <v>620.15</v>
      </c>
      <c r="B1173" s="2">
        <v>2509</v>
      </c>
    </row>
    <row r="1174" spans="1:2" ht="14.25" customHeight="1">
      <c r="A1174" s="2">
        <v>682.15</v>
      </c>
      <c r="B1174" s="2">
        <v>2512.25</v>
      </c>
    </row>
    <row r="1175" spans="1:2" ht="14.25" customHeight="1">
      <c r="A1175" s="2">
        <v>699.8</v>
      </c>
      <c r="B1175" s="2">
        <v>2504.6</v>
      </c>
    </row>
    <row r="1176" spans="1:2" ht="14.25" customHeight="1">
      <c r="A1176" s="2">
        <v>687.55</v>
      </c>
      <c r="B1176" s="2">
        <v>2524.65</v>
      </c>
    </row>
    <row r="1177" spans="1:2" ht="14.25" customHeight="1">
      <c r="A1177" s="2">
        <v>652.15</v>
      </c>
      <c r="B1177" s="2">
        <v>2497.1</v>
      </c>
    </row>
    <row r="1178" spans="1:2" ht="14.25" customHeight="1">
      <c r="A1178" s="2">
        <v>663.3</v>
      </c>
      <c r="B1178" s="2">
        <v>2504.1</v>
      </c>
    </row>
    <row r="1179" spans="1:2" ht="14.25" customHeight="1">
      <c r="A1179" s="2">
        <v>675.95</v>
      </c>
      <c r="B1179" s="2">
        <v>2510.3000000000002</v>
      </c>
    </row>
    <row r="1180" spans="1:2" ht="14.25" customHeight="1">
      <c r="A1180" s="2">
        <v>658.95</v>
      </c>
      <c r="B1180" s="2">
        <v>2500.85</v>
      </c>
    </row>
    <row r="1181" spans="1:2" ht="14.25" customHeight="1">
      <c r="A1181" s="2">
        <v>667.05</v>
      </c>
      <c r="B1181" s="2">
        <v>2510.75</v>
      </c>
    </row>
    <row r="1182" spans="1:2" ht="14.25" customHeight="1">
      <c r="A1182" s="2">
        <v>647.25</v>
      </c>
      <c r="B1182" s="2">
        <v>2539.9</v>
      </c>
    </row>
    <row r="1183" spans="1:2" ht="14.25" customHeight="1">
      <c r="A1183" s="2">
        <v>628</v>
      </c>
      <c r="B1183" s="2">
        <v>2665.1</v>
      </c>
    </row>
    <row r="1184" spans="1:2" ht="14.25" customHeight="1">
      <c r="A1184" s="2">
        <v>580.79999999999995</v>
      </c>
      <c r="B1184" s="2">
        <v>2685.5</v>
      </c>
    </row>
    <row r="1185" spans="1:2" ht="14.25" customHeight="1">
      <c r="A1185" s="2">
        <v>593.95000000000005</v>
      </c>
      <c r="B1185" s="2">
        <v>2705.3</v>
      </c>
    </row>
    <row r="1186" spans="1:2" ht="14.25" customHeight="1">
      <c r="A1186" s="2">
        <v>611.25</v>
      </c>
      <c r="B1186" s="2">
        <v>2764.05</v>
      </c>
    </row>
    <row r="1187" spans="1:2" ht="14.25" customHeight="1">
      <c r="A1187" s="2">
        <v>614.95000000000005</v>
      </c>
      <c r="B1187" s="2">
        <v>2826.75</v>
      </c>
    </row>
    <row r="1188" spans="1:2" ht="14.25" customHeight="1">
      <c r="A1188" s="2">
        <v>609.54999999999995</v>
      </c>
      <c r="B1188" s="2">
        <v>2803.1</v>
      </c>
    </row>
    <row r="1189" spans="1:2" ht="14.25" customHeight="1">
      <c r="A1189" s="2">
        <v>576.9</v>
      </c>
      <c r="B1189" s="2">
        <v>2886.9</v>
      </c>
    </row>
    <row r="1190" spans="1:2" ht="14.25" customHeight="1">
      <c r="A1190" s="2">
        <v>582</v>
      </c>
      <c r="B1190" s="2">
        <v>2807.6</v>
      </c>
    </row>
    <row r="1191" spans="1:2" ht="14.25" customHeight="1">
      <c r="A1191" s="2">
        <v>596.29999999999995</v>
      </c>
      <c r="B1191" s="2">
        <v>2775.85</v>
      </c>
    </row>
    <row r="1192" spans="1:2" ht="14.25" customHeight="1">
      <c r="A1192" s="2">
        <v>585.75</v>
      </c>
      <c r="B1192" s="2">
        <v>2718.8</v>
      </c>
    </row>
    <row r="1193" spans="1:2" ht="14.25" customHeight="1">
      <c r="A1193" s="2">
        <v>582.15</v>
      </c>
      <c r="B1193" s="2">
        <v>2739.9</v>
      </c>
    </row>
    <row r="1194" spans="1:2" ht="14.25" customHeight="1">
      <c r="A1194" s="2">
        <v>577.6</v>
      </c>
      <c r="B1194" s="2">
        <v>2744.3</v>
      </c>
    </row>
    <row r="1195" spans="1:2" ht="14.25" customHeight="1">
      <c r="A1195" s="2">
        <v>549.9</v>
      </c>
      <c r="B1195" s="2">
        <v>2687.85</v>
      </c>
    </row>
    <row r="1196" spans="1:2" ht="14.25" customHeight="1">
      <c r="A1196" s="2">
        <v>550.85</v>
      </c>
      <c r="B1196" s="2">
        <v>2702.25</v>
      </c>
    </row>
    <row r="1197" spans="1:2" ht="14.25" customHeight="1">
      <c r="A1197" s="2">
        <v>557.9</v>
      </c>
      <c r="B1197" s="2">
        <v>2707.2</v>
      </c>
    </row>
    <row r="1198" spans="1:2" ht="14.25" customHeight="1">
      <c r="A1198" s="2">
        <v>653.70000000000005</v>
      </c>
      <c r="B1198" s="2">
        <v>2716.45</v>
      </c>
    </row>
    <row r="1199" spans="1:2" ht="14.25" customHeight="1">
      <c r="A1199" s="2">
        <v>654.45000000000005</v>
      </c>
      <c r="B1199" s="2">
        <v>2709.55</v>
      </c>
    </row>
    <row r="1200" spans="1:2" ht="14.25" customHeight="1">
      <c r="A1200" s="2">
        <v>648.1</v>
      </c>
      <c r="B1200" s="2">
        <v>2704.1</v>
      </c>
    </row>
    <row r="1201" spans="1:2" ht="14.25" customHeight="1">
      <c r="A1201" s="2">
        <v>682.35</v>
      </c>
      <c r="B1201" s="2">
        <v>2700.15</v>
      </c>
    </row>
    <row r="1202" spans="1:2" ht="14.25" customHeight="1">
      <c r="A1202" s="2">
        <v>662</v>
      </c>
      <c r="B1202" s="2">
        <v>2701.45</v>
      </c>
    </row>
    <row r="1203" spans="1:2" ht="14.25" customHeight="1">
      <c r="A1203" s="2">
        <v>661.75</v>
      </c>
      <c r="B1203" s="2">
        <v>2679.5</v>
      </c>
    </row>
    <row r="1204" spans="1:2" ht="14.25" customHeight="1">
      <c r="A1204" s="2">
        <v>672.15</v>
      </c>
      <c r="B1204" s="2">
        <v>2705.8</v>
      </c>
    </row>
    <row r="1205" spans="1:2" ht="14.25" customHeight="1">
      <c r="A1205" s="2">
        <v>677.45</v>
      </c>
      <c r="B1205" s="2">
        <v>2720</v>
      </c>
    </row>
    <row r="1206" spans="1:2" ht="14.25" customHeight="1">
      <c r="A1206" s="2">
        <v>679.2</v>
      </c>
      <c r="B1206" s="2">
        <v>2732.8</v>
      </c>
    </row>
    <row r="1207" spans="1:2" ht="14.25" customHeight="1">
      <c r="A1207" s="2">
        <v>672</v>
      </c>
      <c r="B1207" s="2">
        <v>2760.25</v>
      </c>
    </row>
    <row r="1208" spans="1:2" ht="14.25" customHeight="1">
      <c r="A1208" s="2">
        <v>681.85</v>
      </c>
      <c r="B1208" s="2">
        <v>2790.85</v>
      </c>
    </row>
    <row r="1209" spans="1:2" ht="14.25" customHeight="1">
      <c r="A1209" s="2">
        <v>731.05</v>
      </c>
      <c r="B1209" s="2">
        <v>2799.55</v>
      </c>
    </row>
    <row r="1210" spans="1:2" ht="14.25" customHeight="1">
      <c r="A1210" s="2">
        <v>740.45</v>
      </c>
      <c r="B1210" s="2">
        <v>2766.05</v>
      </c>
    </row>
    <row r="1211" spans="1:2" ht="14.25" customHeight="1">
      <c r="A1211" s="2">
        <v>727.7</v>
      </c>
      <c r="B1211" s="2">
        <v>2843.5</v>
      </c>
    </row>
    <row r="1212" spans="1:2" ht="14.25" customHeight="1">
      <c r="A1212" s="2">
        <v>712.25</v>
      </c>
      <c r="B1212" s="2">
        <v>2840.35</v>
      </c>
    </row>
    <row r="1213" spans="1:2" ht="14.25" customHeight="1">
      <c r="A1213" s="2">
        <v>728</v>
      </c>
      <c r="B1213" s="2">
        <v>2849.25</v>
      </c>
    </row>
    <row r="1214" spans="1:2" ht="14.25" customHeight="1">
      <c r="A1214" s="2">
        <v>702.35</v>
      </c>
      <c r="B1214" s="2">
        <v>2853.1</v>
      </c>
    </row>
    <row r="1215" spans="1:2" ht="14.25" customHeight="1">
      <c r="A1215" s="2">
        <v>710.65</v>
      </c>
      <c r="B1215" s="2">
        <v>2849.75</v>
      </c>
    </row>
    <row r="1216" spans="1:2" ht="14.25" customHeight="1">
      <c r="A1216" s="2">
        <v>714</v>
      </c>
      <c r="B1216" s="2">
        <v>2899.4</v>
      </c>
    </row>
    <row r="1217" spans="1:2" ht="14.25" customHeight="1">
      <c r="A1217" s="2">
        <v>706.8</v>
      </c>
      <c r="B1217" s="2">
        <v>2926.3</v>
      </c>
    </row>
    <row r="1218" spans="1:2" ht="14.25" customHeight="1">
      <c r="A1218" s="2">
        <v>706.95</v>
      </c>
      <c r="B1218" s="2">
        <v>2944.3</v>
      </c>
    </row>
    <row r="1219" spans="1:2" ht="14.25" customHeight="1">
      <c r="A1219" s="2">
        <v>717.85</v>
      </c>
      <c r="B1219" s="2">
        <v>2939.8</v>
      </c>
    </row>
    <row r="1220" spans="1:2" ht="14.25" customHeight="1">
      <c r="A1220" s="2">
        <v>693.2</v>
      </c>
      <c r="B1220" s="2">
        <v>2873.15</v>
      </c>
    </row>
    <row r="1221" spans="1:2" ht="14.25" customHeight="1">
      <c r="A1221" s="2">
        <v>700.2</v>
      </c>
      <c r="B1221" s="2">
        <v>2907.75</v>
      </c>
    </row>
    <row r="1222" spans="1:2" ht="14.25" customHeight="1">
      <c r="A1222" s="2">
        <v>699.1</v>
      </c>
      <c r="B1222" s="2">
        <v>2933.7</v>
      </c>
    </row>
    <row r="1223" spans="1:2" ht="14.25" customHeight="1">
      <c r="A1223" s="2">
        <v>710.3</v>
      </c>
      <c r="B1223" s="2">
        <v>2933.8</v>
      </c>
    </row>
    <row r="1224" spans="1:2" ht="14.25" customHeight="1">
      <c r="A1224" s="2">
        <v>701.5</v>
      </c>
      <c r="B1224" s="2">
        <v>2972.8</v>
      </c>
    </row>
    <row r="1225" spans="1:2" ht="14.25" customHeight="1">
      <c r="A1225" s="2">
        <v>743</v>
      </c>
      <c r="B1225" s="2">
        <v>3172.1</v>
      </c>
    </row>
    <row r="1226" spans="1:2" ht="14.25" customHeight="1">
      <c r="A1226" s="2">
        <v>790.85</v>
      </c>
      <c r="B1226" s="2">
        <v>3210.5</v>
      </c>
    </row>
    <row r="1227" spans="1:2" ht="14.25" customHeight="1">
      <c r="A1227" s="2">
        <v>830.6</v>
      </c>
      <c r="B1227" s="2">
        <v>3190.1</v>
      </c>
    </row>
    <row r="1228" spans="1:2" ht="14.25" customHeight="1">
      <c r="A1228" s="2">
        <v>810.7</v>
      </c>
      <c r="B1228" s="2">
        <v>3193.95</v>
      </c>
    </row>
    <row r="1229" spans="1:2" ht="14.25" customHeight="1">
      <c r="A1229" s="2">
        <v>775.7</v>
      </c>
      <c r="B1229" s="2">
        <v>3213.7</v>
      </c>
    </row>
    <row r="1230" spans="1:2" ht="14.25" customHeight="1">
      <c r="A1230" s="2">
        <v>781.9</v>
      </c>
      <c r="B1230" s="2">
        <v>3159.2</v>
      </c>
    </row>
    <row r="1231" spans="1:2" ht="14.25" customHeight="1">
      <c r="A1231" s="2">
        <v>800.1</v>
      </c>
      <c r="B1231" s="2">
        <v>3146</v>
      </c>
    </row>
    <row r="1232" spans="1:2" ht="14.25" customHeight="1">
      <c r="A1232" s="2">
        <v>762.15</v>
      </c>
      <c r="B1232" s="2">
        <v>3091.05</v>
      </c>
    </row>
    <row r="1233" spans="1:2" ht="14.25" customHeight="1">
      <c r="A1233" s="2">
        <v>749.35</v>
      </c>
      <c r="B1233" s="2">
        <v>3108.85</v>
      </c>
    </row>
    <row r="1234" spans="1:2" ht="14.25" customHeight="1">
      <c r="A1234" s="2">
        <v>728.2</v>
      </c>
      <c r="B1234" s="2">
        <v>3062.5</v>
      </c>
    </row>
    <row r="1235" spans="1:2" ht="14.25" customHeight="1">
      <c r="A1235" s="2">
        <v>672.9</v>
      </c>
      <c r="B1235" s="2">
        <v>2941.5</v>
      </c>
    </row>
    <row r="1236" spans="1:2" ht="14.25" customHeight="1">
      <c r="A1236" s="2">
        <v>685.05</v>
      </c>
      <c r="B1236" s="2">
        <v>2876.1</v>
      </c>
    </row>
    <row r="1237" spans="1:2" ht="14.25" customHeight="1">
      <c r="A1237" s="2">
        <v>710.7</v>
      </c>
      <c r="B1237" s="2">
        <v>2980.15</v>
      </c>
    </row>
    <row r="1238" spans="1:2" ht="14.25" customHeight="1">
      <c r="A1238" s="2">
        <v>687.85</v>
      </c>
      <c r="B1238" s="2">
        <v>2986.25</v>
      </c>
    </row>
    <row r="1239" spans="1:2" ht="14.25" customHeight="1">
      <c r="A1239" s="2">
        <v>693.7</v>
      </c>
      <c r="B1239" s="2">
        <v>2984.95</v>
      </c>
    </row>
    <row r="1240" spans="1:2" ht="14.25" customHeight="1">
      <c r="A1240" s="2">
        <v>680.45</v>
      </c>
      <c r="B1240" s="2">
        <v>3075.05</v>
      </c>
    </row>
    <row r="1241" spans="1:2" ht="14.25" customHeight="1">
      <c r="A1241" s="2">
        <v>689.35</v>
      </c>
      <c r="B1241" s="2">
        <v>3120.85</v>
      </c>
    </row>
    <row r="1242" spans="1:2" ht="14.25" customHeight="1">
      <c r="A1242" s="2">
        <v>698.35</v>
      </c>
      <c r="B1242" s="2">
        <v>3117.85</v>
      </c>
    </row>
    <row r="1243" spans="1:2" ht="14.25" customHeight="1">
      <c r="A1243" s="2">
        <v>700.25</v>
      </c>
      <c r="B1243" s="2">
        <v>3156.8</v>
      </c>
    </row>
    <row r="1244" spans="1:2" ht="14.25" customHeight="1">
      <c r="A1244" s="2">
        <v>750.95</v>
      </c>
      <c r="B1244" s="2">
        <v>3187.3</v>
      </c>
    </row>
    <row r="1245" spans="1:2" ht="14.25" customHeight="1">
      <c r="A1245" s="2">
        <v>793.8</v>
      </c>
      <c r="B1245" s="2">
        <v>3198.45</v>
      </c>
    </row>
    <row r="1246" spans="1:2" ht="14.25" customHeight="1">
      <c r="A1246" s="2">
        <v>789.7</v>
      </c>
      <c r="B1246" s="2">
        <v>3169.9</v>
      </c>
    </row>
    <row r="1247" spans="1:2" ht="14.25" customHeight="1">
      <c r="A1247" s="2">
        <v>785.55</v>
      </c>
      <c r="B1247" s="2">
        <v>3131.9</v>
      </c>
    </row>
    <row r="1248" spans="1:2" ht="14.25" customHeight="1">
      <c r="A1248" s="2">
        <v>774.55</v>
      </c>
      <c r="B1248" s="2">
        <v>3136.15</v>
      </c>
    </row>
    <row r="1249" spans="1:2" ht="14.25" customHeight="1">
      <c r="A1249" s="2">
        <v>758.35</v>
      </c>
      <c r="B1249" s="2">
        <v>3151.1</v>
      </c>
    </row>
    <row r="1250" spans="1:2" ht="14.25" customHeight="1">
      <c r="A1250" s="2">
        <v>792.35</v>
      </c>
      <c r="B1250" s="2">
        <v>3180.1</v>
      </c>
    </row>
    <row r="1251" spans="1:2" ht="14.25" customHeight="1">
      <c r="A1251" s="2">
        <v>790</v>
      </c>
      <c r="B1251" s="2">
        <v>3207.5</v>
      </c>
    </row>
    <row r="1252" spans="1:2" ht="14.25" customHeight="1">
      <c r="A1252" s="2">
        <v>793.45</v>
      </c>
      <c r="B1252" s="2">
        <v>3192.65</v>
      </c>
    </row>
    <row r="1253" spans="1:2" ht="14.25" customHeight="1">
      <c r="A1253" s="2">
        <v>873</v>
      </c>
      <c r="B1253" s="2">
        <v>3192.8</v>
      </c>
    </row>
    <row r="1254" spans="1:2" ht="14.25" customHeight="1">
      <c r="A1254" s="2">
        <v>871.65</v>
      </c>
      <c r="B1254" s="2">
        <v>3183.95</v>
      </c>
    </row>
    <row r="1255" spans="1:2" ht="14.25" customHeight="1">
      <c r="A1255" s="2">
        <v>887.7</v>
      </c>
      <c r="B1255" s="2">
        <v>3193.1</v>
      </c>
    </row>
    <row r="1256" spans="1:2" ht="14.25" customHeight="1">
      <c r="A1256" s="2">
        <v>887.85</v>
      </c>
      <c r="B1256" s="2">
        <v>3175.15</v>
      </c>
    </row>
    <row r="1257" spans="1:2" ht="14.25" customHeight="1">
      <c r="A1257" s="2">
        <v>919.35</v>
      </c>
      <c r="B1257" s="2">
        <v>3205.1</v>
      </c>
    </row>
    <row r="1258" spans="1:2" ht="14.25" customHeight="1">
      <c r="A1258" s="2">
        <v>926.4</v>
      </c>
      <c r="B1258" s="2">
        <v>3173.8</v>
      </c>
    </row>
    <row r="1259" spans="1:2" ht="14.25" customHeight="1">
      <c r="A1259" s="2">
        <v>910.2</v>
      </c>
      <c r="B1259" s="2">
        <v>3168.95</v>
      </c>
    </row>
    <row r="1260" spans="1:2" ht="14.25" customHeight="1">
      <c r="A1260" s="2">
        <v>915.65</v>
      </c>
      <c r="B1260" s="2">
        <v>3159.05</v>
      </c>
    </row>
    <row r="1261" spans="1:2" ht="14.25" customHeight="1">
      <c r="A1261" s="2">
        <v>913.45</v>
      </c>
      <c r="B1261" s="2">
        <v>3154</v>
      </c>
    </row>
    <row r="1262" spans="1:2" ht="14.25" customHeight="1">
      <c r="A1262" s="2">
        <v>912.25</v>
      </c>
      <c r="B1262" s="2">
        <v>3343.05</v>
      </c>
    </row>
    <row r="1263" spans="1:2" ht="14.25" customHeight="1">
      <c r="A1263" s="2">
        <v>924.35</v>
      </c>
      <c r="B1263" s="2">
        <v>3445.5</v>
      </c>
    </row>
    <row r="1264" spans="1:2" ht="14.25" customHeight="1">
      <c r="A1264" s="2">
        <v>913</v>
      </c>
      <c r="B1264" s="2">
        <v>3389.7</v>
      </c>
    </row>
    <row r="1265" spans="1:2" ht="14.25" customHeight="1">
      <c r="A1265" s="2">
        <v>908.55</v>
      </c>
      <c r="B1265" s="2">
        <v>3444.55</v>
      </c>
    </row>
    <row r="1266" spans="1:2" ht="14.25" customHeight="1">
      <c r="A1266" s="2">
        <v>905.05</v>
      </c>
      <c r="B1266" s="2">
        <v>3390.2</v>
      </c>
    </row>
    <row r="1267" spans="1:2" ht="14.25" customHeight="1">
      <c r="A1267" s="2">
        <v>925.65</v>
      </c>
      <c r="B1267" s="2">
        <v>3383.2</v>
      </c>
    </row>
    <row r="1268" spans="1:2" ht="14.25" customHeight="1">
      <c r="A1268" s="2">
        <v>937.25</v>
      </c>
      <c r="B1268" s="2">
        <v>3337.4</v>
      </c>
    </row>
    <row r="1269" spans="1:2" ht="14.25" customHeight="1">
      <c r="A1269" s="2">
        <v>913.8</v>
      </c>
      <c r="B1269" s="2">
        <v>3349.45</v>
      </c>
    </row>
    <row r="1270" spans="1:2" ht="14.25" customHeight="1">
      <c r="A1270" s="2">
        <v>912.35</v>
      </c>
      <c r="B1270" s="2">
        <v>3301.55</v>
      </c>
    </row>
    <row r="1271" spans="1:2" ht="14.25" customHeight="1">
      <c r="A1271" s="2">
        <v>902.35</v>
      </c>
      <c r="B1271" s="2">
        <v>3295.95</v>
      </c>
    </row>
    <row r="1272" spans="1:2" ht="14.25" customHeight="1">
      <c r="A1272" s="2">
        <v>855.4</v>
      </c>
      <c r="B1272" s="2">
        <v>3287.95</v>
      </c>
    </row>
    <row r="1273" spans="1:2" ht="14.25" customHeight="1">
      <c r="A1273" s="2">
        <v>866.35</v>
      </c>
      <c r="B1273" s="2">
        <v>3322.55</v>
      </c>
    </row>
    <row r="1274" spans="1:2" ht="14.25" customHeight="1">
      <c r="A1274" s="2">
        <v>959.4</v>
      </c>
      <c r="B1274" s="2">
        <v>3295.55</v>
      </c>
    </row>
    <row r="1275" spans="1:2" ht="14.25" customHeight="1">
      <c r="A1275" s="2">
        <v>933.1</v>
      </c>
      <c r="B1275" s="2">
        <v>3253.4</v>
      </c>
    </row>
    <row r="1276" spans="1:2" ht="14.25" customHeight="1">
      <c r="A1276" s="2">
        <v>922.85</v>
      </c>
      <c r="B1276" s="2">
        <v>3266.4</v>
      </c>
    </row>
    <row r="1277" spans="1:2" ht="14.25" customHeight="1">
      <c r="A1277" s="2">
        <v>955.9</v>
      </c>
      <c r="B1277" s="2">
        <v>3247.6</v>
      </c>
    </row>
    <row r="1278" spans="1:2" ht="14.25" customHeight="1">
      <c r="A1278" s="2">
        <v>990.85</v>
      </c>
      <c r="B1278" s="2">
        <v>3245.05</v>
      </c>
    </row>
    <row r="1279" spans="1:2" ht="14.25" customHeight="1">
      <c r="A1279" s="2">
        <v>989.35</v>
      </c>
      <c r="B1279" s="2">
        <v>3221.3</v>
      </c>
    </row>
    <row r="1280" spans="1:2" ht="14.25" customHeight="1">
      <c r="A1280" s="2">
        <v>980.05</v>
      </c>
      <c r="B1280" s="2">
        <v>3184.8</v>
      </c>
    </row>
    <row r="1281" spans="1:2" ht="14.25" customHeight="1">
      <c r="A1281" s="2">
        <v>989.6</v>
      </c>
      <c r="B1281" s="2">
        <v>3131.05</v>
      </c>
    </row>
    <row r="1282" spans="1:2" ht="14.25" customHeight="1">
      <c r="A1282" s="2">
        <v>986.45</v>
      </c>
      <c r="B1282" s="2">
        <v>3119.6</v>
      </c>
    </row>
    <row r="1283" spans="1:2" ht="14.25" customHeight="1">
      <c r="A1283" s="2">
        <v>981.7</v>
      </c>
      <c r="B1283" s="2">
        <v>3105.1</v>
      </c>
    </row>
    <row r="1284" spans="1:2" ht="14.25" customHeight="1">
      <c r="A1284" s="2">
        <v>962.95</v>
      </c>
      <c r="B1284" s="2">
        <v>3098.9</v>
      </c>
    </row>
    <row r="1285" spans="1:2" ht="14.25" customHeight="1">
      <c r="A1285" s="2">
        <v>979.85</v>
      </c>
      <c r="B1285" s="2">
        <v>3099.95</v>
      </c>
    </row>
    <row r="1286" spans="1:2" ht="14.25" customHeight="1">
      <c r="A1286" s="2">
        <v>976</v>
      </c>
      <c r="B1286" s="2">
        <v>3109.25</v>
      </c>
    </row>
    <row r="1287" spans="1:2" ht="14.25" customHeight="1">
      <c r="A1287" s="2">
        <v>977.15</v>
      </c>
      <c r="B1287" s="2">
        <v>3090.4</v>
      </c>
    </row>
    <row r="1288" spans="1:2" ht="14.25" customHeight="1">
      <c r="A1288" s="2">
        <v>980.35</v>
      </c>
      <c r="B1288" s="2">
        <v>3110.9</v>
      </c>
    </row>
    <row r="1289" spans="1:2" ht="14.25" customHeight="1">
      <c r="A1289" s="2">
        <v>1037</v>
      </c>
      <c r="B1289" s="2">
        <v>3139.6</v>
      </c>
    </row>
    <row r="1290" spans="1:2" ht="14.25" customHeight="1">
      <c r="A1290" s="2">
        <v>1040.3499999999999</v>
      </c>
      <c r="B1290" s="2">
        <v>3273.25</v>
      </c>
    </row>
    <row r="1291" spans="1:2" ht="14.25" customHeight="1">
      <c r="A1291" s="2">
        <v>1006.3</v>
      </c>
      <c r="B1291" s="2">
        <v>3314.9</v>
      </c>
    </row>
    <row r="1292" spans="1:2" ht="14.25" customHeight="1">
      <c r="A1292" s="2">
        <v>1019.4</v>
      </c>
      <c r="B1292" s="2">
        <v>3343.9</v>
      </c>
    </row>
    <row r="1293" spans="1:2" ht="14.25" customHeight="1">
      <c r="A1293" s="2">
        <v>1013.35</v>
      </c>
      <c r="B1293" s="2">
        <v>3359.35</v>
      </c>
    </row>
    <row r="1294" spans="1:2" ht="14.25" customHeight="1">
      <c r="A1294" s="2">
        <v>1015.8</v>
      </c>
      <c r="B1294" s="2">
        <v>3302.05</v>
      </c>
    </row>
    <row r="1295" spans="1:2" ht="14.25" customHeight="1">
      <c r="A1295" s="2">
        <v>1022.6</v>
      </c>
      <c r="B1295" s="2">
        <v>3304.75</v>
      </c>
    </row>
    <row r="1296" spans="1:2" ht="14.25" customHeight="1">
      <c r="A1296" s="2">
        <v>1021.4</v>
      </c>
      <c r="B1296" s="2">
        <v>3286.4</v>
      </c>
    </row>
    <row r="1297" spans="1:2" ht="14.25" customHeight="1">
      <c r="A1297" s="2">
        <v>1100.8</v>
      </c>
      <c r="B1297" s="2">
        <v>3261.6</v>
      </c>
    </row>
    <row r="1298" spans="1:2" ht="14.25" customHeight="1">
      <c r="A1298" s="2">
        <v>1107.55</v>
      </c>
      <c r="B1298" s="2">
        <v>3278.1</v>
      </c>
    </row>
    <row r="1299" spans="1:2" ht="14.25" customHeight="1">
      <c r="A1299" s="2">
        <v>1094.5</v>
      </c>
      <c r="B1299" s="2">
        <v>3264.15</v>
      </c>
    </row>
    <row r="1300" spans="1:2" ht="14.25" customHeight="1">
      <c r="A1300" s="2">
        <v>1056.1500000000001</v>
      </c>
      <c r="B1300" s="2">
        <v>3255.05</v>
      </c>
    </row>
    <row r="1301" spans="1:2" ht="14.25" customHeight="1">
      <c r="A1301" s="2">
        <v>1041.4000000000001</v>
      </c>
      <c r="B1301" s="2">
        <v>3283.15</v>
      </c>
    </row>
    <row r="1302" spans="1:2" ht="14.25" customHeight="1">
      <c r="A1302" s="2">
        <v>1058.2</v>
      </c>
      <c r="B1302" s="2">
        <v>3252.75</v>
      </c>
    </row>
    <row r="1303" spans="1:2" ht="14.25" customHeight="1">
      <c r="A1303" s="2">
        <v>1025.25</v>
      </c>
      <c r="B1303" s="2">
        <v>3283.85</v>
      </c>
    </row>
    <row r="1304" spans="1:2" ht="14.25" customHeight="1">
      <c r="A1304" s="2">
        <v>1020.3</v>
      </c>
      <c r="B1304" s="2">
        <v>3262.75</v>
      </c>
    </row>
    <row r="1305" spans="1:2" ht="14.25" customHeight="1">
      <c r="A1305" s="2">
        <v>1009</v>
      </c>
      <c r="B1305" s="2">
        <v>3274.15</v>
      </c>
    </row>
    <row r="1306" spans="1:2" ht="14.25" customHeight="1">
      <c r="A1306" s="2">
        <v>1066.5999999999999</v>
      </c>
      <c r="B1306" s="2">
        <v>3285.2</v>
      </c>
    </row>
    <row r="1307" spans="1:2" ht="14.25" customHeight="1">
      <c r="A1307" s="2">
        <v>1097</v>
      </c>
      <c r="B1307" s="2">
        <v>3425.65</v>
      </c>
    </row>
    <row r="1308" spans="1:2" ht="14.25" customHeight="1">
      <c r="A1308" s="2">
        <v>1139.2</v>
      </c>
      <c r="B1308" s="2">
        <v>3353.25</v>
      </c>
    </row>
    <row r="1309" spans="1:2" ht="14.25" customHeight="1">
      <c r="A1309" s="2">
        <v>1161.3499999999999</v>
      </c>
      <c r="B1309" s="2">
        <v>3360.1</v>
      </c>
    </row>
    <row r="1310" spans="1:2" ht="14.25" customHeight="1">
      <c r="A1310" s="2">
        <v>1163.3</v>
      </c>
      <c r="B1310" s="2">
        <v>3358.9</v>
      </c>
    </row>
    <row r="1311" spans="1:2" ht="14.25" customHeight="1">
      <c r="A1311" s="2">
        <v>1159.05</v>
      </c>
      <c r="B1311" s="2">
        <v>3359.5</v>
      </c>
    </row>
    <row r="1312" spans="1:2" ht="14.25" customHeight="1">
      <c r="A1312" s="2">
        <v>1168.8</v>
      </c>
      <c r="B1312" s="2">
        <v>3340.85</v>
      </c>
    </row>
    <row r="1313" spans="1:2" ht="14.25" customHeight="1">
      <c r="A1313" s="2">
        <v>1158.45</v>
      </c>
      <c r="B1313" s="2">
        <v>3314.3</v>
      </c>
    </row>
    <row r="1314" spans="1:2" ht="14.25" customHeight="1">
      <c r="A1314" s="2">
        <v>1135.95</v>
      </c>
      <c r="B1314" s="2">
        <v>3349.75</v>
      </c>
    </row>
    <row r="1315" spans="1:2" ht="14.25" customHeight="1">
      <c r="A1315" s="2">
        <v>1098.05</v>
      </c>
      <c r="B1315" s="2">
        <v>3342.95</v>
      </c>
    </row>
    <row r="1316" spans="1:2" ht="14.25" customHeight="1">
      <c r="A1316" s="2">
        <v>1065.0999999999999</v>
      </c>
      <c r="B1316" s="2">
        <v>3312.75</v>
      </c>
    </row>
    <row r="1317" spans="1:2" ht="14.25" customHeight="1">
      <c r="A1317" s="2">
        <v>1091.5999999999999</v>
      </c>
      <c r="B1317" s="2">
        <v>3273.45</v>
      </c>
    </row>
    <row r="1318" spans="1:2" ht="14.25" customHeight="1">
      <c r="A1318" s="2">
        <v>1067.2</v>
      </c>
      <c r="B1318" s="2">
        <v>3198.4</v>
      </c>
    </row>
    <row r="1319" spans="1:2" ht="14.25" customHeight="1">
      <c r="A1319" s="2">
        <v>1062.6500000000001</v>
      </c>
      <c r="B1319" s="2">
        <v>3190.5</v>
      </c>
    </row>
    <row r="1320" spans="1:2" ht="14.25" customHeight="1">
      <c r="A1320" s="2">
        <v>1022</v>
      </c>
      <c r="B1320" s="2">
        <v>3199.85</v>
      </c>
    </row>
    <row r="1321" spans="1:2" ht="14.25" customHeight="1">
      <c r="A1321" s="2">
        <v>1025.25</v>
      </c>
      <c r="B1321" s="2">
        <v>3197.2</v>
      </c>
    </row>
    <row r="1322" spans="1:2" ht="14.25" customHeight="1">
      <c r="A1322" s="2">
        <v>994.45</v>
      </c>
      <c r="B1322" s="2">
        <v>3062.65</v>
      </c>
    </row>
    <row r="1323" spans="1:2" ht="14.25" customHeight="1">
      <c r="A1323" s="2">
        <v>929.7</v>
      </c>
      <c r="B1323" s="2">
        <v>2996.05</v>
      </c>
    </row>
    <row r="1324" spans="1:2" ht="14.25" customHeight="1">
      <c r="A1324" s="2">
        <v>931.2</v>
      </c>
      <c r="B1324" s="2">
        <v>3038.85</v>
      </c>
    </row>
    <row r="1325" spans="1:2" ht="14.25" customHeight="1">
      <c r="A1325" s="2">
        <v>966.3</v>
      </c>
      <c r="B1325" s="2">
        <v>3140.05</v>
      </c>
    </row>
    <row r="1326" spans="1:2" ht="14.25" customHeight="1">
      <c r="A1326" s="2">
        <v>980.5</v>
      </c>
      <c r="B1326" s="2">
        <v>3183.4</v>
      </c>
    </row>
    <row r="1327" spans="1:2" ht="14.25" customHeight="1">
      <c r="A1327" s="2">
        <v>1001.2</v>
      </c>
      <c r="B1327" s="2">
        <v>3175.25</v>
      </c>
    </row>
    <row r="1328" spans="1:2" ht="14.25" customHeight="1">
      <c r="A1328" s="2">
        <v>1026.5</v>
      </c>
      <c r="B1328" s="2">
        <v>3235.5</v>
      </c>
    </row>
    <row r="1329" spans="1:2" ht="14.25" customHeight="1">
      <c r="A1329" s="2">
        <v>949.1</v>
      </c>
      <c r="B1329" s="2">
        <v>3198.1</v>
      </c>
    </row>
    <row r="1330" spans="1:2" ht="14.25" customHeight="1">
      <c r="A1330" s="2">
        <v>869.2</v>
      </c>
      <c r="B1330" s="2">
        <v>3173.25</v>
      </c>
    </row>
    <row r="1331" spans="1:2" ht="14.25" customHeight="1">
      <c r="A1331" s="2">
        <v>881.65</v>
      </c>
      <c r="B1331" s="2">
        <v>3185.5</v>
      </c>
    </row>
    <row r="1332" spans="1:2" ht="14.25" customHeight="1">
      <c r="A1332" s="2">
        <v>907.2</v>
      </c>
      <c r="B1332" s="2">
        <v>3187.45</v>
      </c>
    </row>
    <row r="1333" spans="1:2" ht="14.25" customHeight="1">
      <c r="A1333" s="2">
        <v>878.9</v>
      </c>
      <c r="B1333" s="2">
        <v>3193</v>
      </c>
    </row>
    <row r="1334" spans="1:2" ht="14.25" customHeight="1">
      <c r="A1334" s="2">
        <v>914.25</v>
      </c>
      <c r="B1334" s="2">
        <v>3195.4</v>
      </c>
    </row>
    <row r="1335" spans="1:2" ht="14.25" customHeight="1">
      <c r="A1335" s="2">
        <v>920.9</v>
      </c>
      <c r="B1335" s="2">
        <v>3225.4</v>
      </c>
    </row>
    <row r="1336" spans="1:2" ht="14.25" customHeight="1">
      <c r="A1336" s="2">
        <v>924.55</v>
      </c>
      <c r="B1336" s="2">
        <v>3240.2</v>
      </c>
    </row>
    <row r="1337" spans="1:2" ht="14.25" customHeight="1">
      <c r="A1337" s="2">
        <v>940</v>
      </c>
      <c r="B1337" s="2">
        <v>3279.45</v>
      </c>
    </row>
    <row r="1338" spans="1:2" ht="14.25" customHeight="1">
      <c r="A1338" s="2">
        <v>943.3</v>
      </c>
      <c r="B1338" s="2">
        <v>3251.4</v>
      </c>
    </row>
    <row r="1339" spans="1:2" ht="14.25" customHeight="1">
      <c r="A1339" s="2">
        <v>946</v>
      </c>
      <c r="B1339" s="2">
        <v>3209.5</v>
      </c>
    </row>
    <row r="1340" spans="1:2" ht="14.25" customHeight="1">
      <c r="A1340" s="2">
        <v>934.65</v>
      </c>
      <c r="B1340" s="2">
        <v>3210.75</v>
      </c>
    </row>
    <row r="1341" spans="1:2" ht="14.25" customHeight="1">
      <c r="A1341" s="2">
        <v>945.4</v>
      </c>
      <c r="B1341" s="2">
        <v>3192.15</v>
      </c>
    </row>
    <row r="1342" spans="1:2" ht="14.25" customHeight="1">
      <c r="A1342" s="2">
        <v>939.9</v>
      </c>
      <c r="B1342" s="2">
        <v>3197.75</v>
      </c>
    </row>
    <row r="1343" spans="1:2" ht="14.25" customHeight="1">
      <c r="A1343" s="2">
        <v>947.8</v>
      </c>
      <c r="B1343" s="2">
        <v>3191.5</v>
      </c>
    </row>
    <row r="1344" spans="1:2" ht="14.25" customHeight="1">
      <c r="A1344" s="2">
        <v>944.9</v>
      </c>
      <c r="B1344" s="2">
        <v>3167.6</v>
      </c>
    </row>
    <row r="1345" spans="1:2" ht="14.25" customHeight="1">
      <c r="A1345" s="2">
        <v>977.25</v>
      </c>
      <c r="B1345" s="2">
        <v>3200.85</v>
      </c>
    </row>
    <row r="1346" spans="1:2" ht="14.25" customHeight="1">
      <c r="A1346" s="2">
        <v>1037.1500000000001</v>
      </c>
      <c r="B1346" s="2">
        <v>3228.1</v>
      </c>
    </row>
    <row r="1347" spans="1:2" ht="14.25" customHeight="1">
      <c r="A1347" s="2">
        <v>1059.05</v>
      </c>
      <c r="B1347" s="2">
        <v>3247.25</v>
      </c>
    </row>
    <row r="1348" spans="1:2" ht="14.25" customHeight="1">
      <c r="A1348" s="2">
        <v>1038.3</v>
      </c>
      <c r="B1348" s="2">
        <v>3297.75</v>
      </c>
    </row>
    <row r="1349" spans="1:2" ht="14.25" customHeight="1">
      <c r="A1349" s="2">
        <v>1061.3499999999999</v>
      </c>
      <c r="B1349" s="2">
        <v>3218.6</v>
      </c>
    </row>
    <row r="1350" spans="1:2" ht="14.25" customHeight="1">
      <c r="A1350" s="2">
        <v>1135.95</v>
      </c>
      <c r="B1350" s="2">
        <v>3183.9</v>
      </c>
    </row>
    <row r="1351" spans="1:2" ht="14.25" customHeight="1">
      <c r="A1351" s="2">
        <v>1186.0999999999999</v>
      </c>
      <c r="B1351" s="2">
        <v>3199.1</v>
      </c>
    </row>
    <row r="1352" spans="1:2" ht="14.25" customHeight="1">
      <c r="A1352" s="2">
        <v>1183.95</v>
      </c>
      <c r="B1352" s="2">
        <v>3180.4</v>
      </c>
    </row>
    <row r="1353" spans="1:2" ht="14.25" customHeight="1">
      <c r="A1353" s="2">
        <v>1215.95</v>
      </c>
      <c r="B1353" s="2">
        <v>3194.45</v>
      </c>
    </row>
    <row r="1354" spans="1:2" ht="14.25" customHeight="1">
      <c r="A1354" s="2">
        <v>1219.25</v>
      </c>
      <c r="B1354" s="2">
        <v>3224</v>
      </c>
    </row>
    <row r="1355" spans="1:2" ht="14.25" customHeight="1">
      <c r="A1355" s="2">
        <v>1227.7</v>
      </c>
      <c r="B1355" s="2">
        <v>3209</v>
      </c>
    </row>
    <row r="1356" spans="1:2" ht="14.25" customHeight="1">
      <c r="A1356" s="2">
        <v>1241.95</v>
      </c>
      <c r="B1356" s="2">
        <v>3233.35</v>
      </c>
    </row>
    <row r="1357" spans="1:2" ht="14.25" customHeight="1">
      <c r="A1357" s="2">
        <v>1223</v>
      </c>
      <c r="B1357" s="2">
        <v>3258.6</v>
      </c>
    </row>
    <row r="1358" spans="1:2" ht="14.25" customHeight="1">
      <c r="A1358" s="2">
        <v>1238.1500000000001</v>
      </c>
      <c r="B1358" s="2">
        <v>3279.25</v>
      </c>
    </row>
    <row r="1359" spans="1:2" ht="14.25" customHeight="1">
      <c r="A1359" s="2">
        <v>1255.25</v>
      </c>
      <c r="B1359" s="2">
        <v>3325.4</v>
      </c>
    </row>
    <row r="1360" spans="1:2" ht="14.25" customHeight="1">
      <c r="A1360" s="2">
        <v>1251.05</v>
      </c>
      <c r="B1360" s="2">
        <v>3313.55</v>
      </c>
    </row>
    <row r="1361" spans="1:2" ht="14.25" customHeight="1">
      <c r="A1361" s="2">
        <v>1245.6500000000001</v>
      </c>
      <c r="B1361" s="2">
        <v>3296.9</v>
      </c>
    </row>
    <row r="1362" spans="1:2" ht="14.25" customHeight="1">
      <c r="A1362" s="2">
        <v>1259.8</v>
      </c>
      <c r="B1362" s="2">
        <v>3277.3</v>
      </c>
    </row>
    <row r="1363" spans="1:2" ht="14.25" customHeight="1">
      <c r="A1363" s="2">
        <v>1263.55</v>
      </c>
      <c r="B1363" s="2">
        <v>3269.55</v>
      </c>
    </row>
    <row r="1364" spans="1:2" ht="14.25" customHeight="1">
      <c r="A1364" s="2">
        <v>1240.4000000000001</v>
      </c>
      <c r="B1364" s="2">
        <v>3261.15</v>
      </c>
    </row>
    <row r="1365" spans="1:2" ht="14.25" customHeight="1">
      <c r="A1365" s="2">
        <v>1208.0999999999999</v>
      </c>
      <c r="B1365" s="2">
        <v>3263.4</v>
      </c>
    </row>
    <row r="1366" spans="1:2" ht="14.25" customHeight="1">
      <c r="A1366" s="2">
        <v>1216.75</v>
      </c>
      <c r="B1366" s="2">
        <v>3287.6</v>
      </c>
    </row>
    <row r="1367" spans="1:2" ht="14.25" customHeight="1">
      <c r="A1367" s="2">
        <v>1196.5</v>
      </c>
      <c r="B1367" s="2">
        <v>3287.1</v>
      </c>
    </row>
    <row r="1368" spans="1:2" ht="14.25" customHeight="1">
      <c r="A1368" s="2">
        <v>1211</v>
      </c>
      <c r="B1368" s="2">
        <v>3348.1</v>
      </c>
    </row>
    <row r="1369" spans="1:2" ht="14.25" customHeight="1">
      <c r="A1369" s="2">
        <v>1240.45</v>
      </c>
      <c r="B1369" s="2">
        <v>3323.45</v>
      </c>
    </row>
    <row r="1370" spans="1:2" ht="14.25" customHeight="1">
      <c r="A1370" s="2">
        <v>1300.95</v>
      </c>
      <c r="B1370" s="2">
        <v>3352</v>
      </c>
    </row>
    <row r="1371" spans="1:2" ht="14.25" customHeight="1">
      <c r="A1371" s="2">
        <v>1328.3</v>
      </c>
      <c r="B1371" s="2">
        <v>3347.4</v>
      </c>
    </row>
    <row r="1372" spans="1:2" ht="14.25" customHeight="1">
      <c r="A1372" s="2">
        <v>1323.3</v>
      </c>
      <c r="B1372" s="2">
        <v>3353.55</v>
      </c>
    </row>
    <row r="1373" spans="1:2" ht="14.25" customHeight="1">
      <c r="A1373" s="2">
        <v>1350.35</v>
      </c>
      <c r="B1373" s="2">
        <v>3406.35</v>
      </c>
    </row>
    <row r="1374" spans="1:2" ht="14.25" customHeight="1">
      <c r="A1374" s="2">
        <v>1312.2</v>
      </c>
      <c r="B1374" s="2">
        <v>3460.95</v>
      </c>
    </row>
    <row r="1375" spans="1:2" ht="14.25" customHeight="1">
      <c r="A1375" s="2">
        <v>1311.5</v>
      </c>
      <c r="B1375" s="2">
        <v>3417</v>
      </c>
    </row>
    <row r="1376" spans="1:2" ht="14.25" customHeight="1">
      <c r="A1376" s="2">
        <v>1326.4</v>
      </c>
      <c r="B1376" s="2">
        <v>3403.65</v>
      </c>
    </row>
    <row r="1377" spans="1:2" ht="14.25" customHeight="1">
      <c r="A1377" s="2">
        <v>1348.1</v>
      </c>
      <c r="B1377" s="2">
        <v>3410.25</v>
      </c>
    </row>
    <row r="1378" spans="1:2" ht="14.25" customHeight="1">
      <c r="A1378" s="2">
        <v>1347.35</v>
      </c>
      <c r="B1378" s="2">
        <v>3417.15</v>
      </c>
    </row>
    <row r="1379" spans="1:2" ht="14.25" customHeight="1">
      <c r="A1379" s="2">
        <v>1357</v>
      </c>
      <c r="B1379" s="2">
        <v>3423.95</v>
      </c>
    </row>
    <row r="1380" spans="1:2" ht="14.25" customHeight="1">
      <c r="A1380" s="2">
        <v>1424.7</v>
      </c>
      <c r="B1380" s="2">
        <v>3420.9</v>
      </c>
    </row>
    <row r="1381" spans="1:2" ht="14.25" customHeight="1">
      <c r="A1381" s="2">
        <v>1474.1</v>
      </c>
      <c r="B1381" s="2">
        <v>3418.7</v>
      </c>
    </row>
    <row r="1382" spans="1:2" ht="14.25" customHeight="1">
      <c r="A1382" s="2">
        <v>1497.05</v>
      </c>
      <c r="B1382" s="2">
        <v>3395.75</v>
      </c>
    </row>
    <row r="1383" spans="1:2" ht="14.25" customHeight="1">
      <c r="A1383" s="2">
        <v>1541.6</v>
      </c>
      <c r="B1383" s="2">
        <v>3378.9</v>
      </c>
    </row>
    <row r="1384" spans="1:2" ht="14.25" customHeight="1">
      <c r="A1384" s="2">
        <v>1502.95</v>
      </c>
      <c r="B1384" s="2">
        <v>3436.9</v>
      </c>
    </row>
    <row r="1385" spans="1:2" ht="14.25" customHeight="1">
      <c r="A1385" s="2">
        <v>1515.05</v>
      </c>
      <c r="B1385" s="2">
        <v>3403</v>
      </c>
    </row>
    <row r="1386" spans="1:2" ht="14.25" customHeight="1">
      <c r="A1386" s="2">
        <v>1481.9</v>
      </c>
      <c r="B1386" s="2">
        <v>3388.6</v>
      </c>
    </row>
    <row r="1387" spans="1:2" ht="14.25" customHeight="1">
      <c r="A1387" s="2">
        <v>1454.2</v>
      </c>
      <c r="B1387" s="2">
        <v>3382.3</v>
      </c>
    </row>
    <row r="1388" spans="1:2" ht="14.25" customHeight="1">
      <c r="A1388" s="2">
        <v>1486.95</v>
      </c>
      <c r="B1388" s="2">
        <v>3392.35</v>
      </c>
    </row>
    <row r="1389" spans="1:2" ht="14.25" customHeight="1">
      <c r="A1389" s="2">
        <v>1478.55</v>
      </c>
      <c r="B1389" s="2">
        <v>3445.05</v>
      </c>
    </row>
    <row r="1390" spans="1:2" ht="14.25" customHeight="1">
      <c r="A1390" s="2">
        <v>1507.75</v>
      </c>
      <c r="B1390" s="2">
        <v>3531.75</v>
      </c>
    </row>
    <row r="1391" spans="1:2" ht="14.25" customHeight="1">
      <c r="A1391" s="2">
        <v>1519.6</v>
      </c>
      <c r="B1391" s="2">
        <v>3522.3</v>
      </c>
    </row>
    <row r="1392" spans="1:2" ht="14.25" customHeight="1">
      <c r="A1392" s="2">
        <v>1549.9</v>
      </c>
      <c r="B1392" s="2">
        <v>3592.5</v>
      </c>
    </row>
    <row r="1393" spans="1:2" ht="14.25" customHeight="1">
      <c r="A1393" s="2">
        <v>1558.5</v>
      </c>
      <c r="B1393" s="2">
        <v>3694.9</v>
      </c>
    </row>
    <row r="1394" spans="1:2" ht="14.25" customHeight="1">
      <c r="A1394" s="2">
        <v>1546.8</v>
      </c>
      <c r="B1394" s="2">
        <v>3754.05</v>
      </c>
    </row>
    <row r="1395" spans="1:2" ht="14.25" customHeight="1">
      <c r="A1395" s="2">
        <v>1519.95</v>
      </c>
      <c r="B1395" s="2">
        <v>3730.55</v>
      </c>
    </row>
    <row r="1396" spans="1:2" ht="14.25" customHeight="1">
      <c r="A1396" s="2">
        <v>1487.55</v>
      </c>
      <c r="B1396" s="2">
        <v>3669.85</v>
      </c>
    </row>
    <row r="1397" spans="1:2" ht="14.25" customHeight="1">
      <c r="A1397" s="2">
        <v>1407.7</v>
      </c>
      <c r="B1397" s="2">
        <v>3616.9</v>
      </c>
    </row>
    <row r="1398" spans="1:2" ht="14.25" customHeight="1">
      <c r="A1398" s="2">
        <v>1415.1</v>
      </c>
      <c r="B1398" s="2">
        <v>3612.4</v>
      </c>
    </row>
    <row r="1399" spans="1:2" ht="14.25" customHeight="1">
      <c r="A1399" s="2">
        <v>1381.15</v>
      </c>
      <c r="B1399" s="2">
        <v>3626.9</v>
      </c>
    </row>
    <row r="1400" spans="1:2" ht="14.25" customHeight="1">
      <c r="A1400" s="2">
        <v>1377</v>
      </c>
      <c r="B1400" s="2">
        <v>3602.75</v>
      </c>
    </row>
    <row r="1401" spans="1:2" ht="14.25" customHeight="1">
      <c r="A1401" s="2">
        <v>1373.3</v>
      </c>
      <c r="B1401" s="2">
        <v>3679.7</v>
      </c>
    </row>
    <row r="1402" spans="1:2" ht="14.25" customHeight="1">
      <c r="A1402" s="2">
        <v>1354.1</v>
      </c>
      <c r="B1402" s="2">
        <v>3652.1</v>
      </c>
    </row>
    <row r="1403" spans="1:2" ht="14.25" customHeight="1">
      <c r="A1403" s="2">
        <v>1363.45</v>
      </c>
      <c r="B1403" s="2">
        <v>3664.6</v>
      </c>
    </row>
    <row r="1404" spans="1:2" ht="14.25" customHeight="1">
      <c r="A1404" s="2">
        <v>1338.45</v>
      </c>
      <c r="B1404" s="2">
        <v>3620.15</v>
      </c>
    </row>
    <row r="1405" spans="1:2" ht="14.25" customHeight="1">
      <c r="A1405" s="2">
        <v>1320.65</v>
      </c>
      <c r="B1405" s="2">
        <v>3604.15</v>
      </c>
    </row>
    <row r="1406" spans="1:2" ht="14.25" customHeight="1">
      <c r="A1406" s="2">
        <v>1310.95</v>
      </c>
      <c r="B1406" s="2">
        <v>3587.95</v>
      </c>
    </row>
    <row r="1407" spans="1:2" ht="14.25" customHeight="1">
      <c r="A1407" s="2">
        <v>1206.9000000000001</v>
      </c>
      <c r="B1407" s="2">
        <v>3409.1</v>
      </c>
    </row>
    <row r="1408" spans="1:2" ht="14.25" customHeight="1">
      <c r="A1408" s="2">
        <v>1256.0999999999999</v>
      </c>
      <c r="B1408" s="2">
        <v>3382.25</v>
      </c>
    </row>
    <row r="1409" spans="1:2" ht="14.25" customHeight="1">
      <c r="A1409" s="2">
        <v>1266.8</v>
      </c>
      <c r="B1409" s="2">
        <v>3377.5</v>
      </c>
    </row>
    <row r="1410" spans="1:2" ht="14.25" customHeight="1">
      <c r="A1410" s="2">
        <v>1291.2</v>
      </c>
      <c r="B1410" s="2">
        <v>3370.8</v>
      </c>
    </row>
    <row r="1411" spans="1:2" ht="14.25" customHeight="1">
      <c r="A1411" s="2">
        <v>1263.75</v>
      </c>
      <c r="B1411" s="2">
        <v>3393.45</v>
      </c>
    </row>
    <row r="1412" spans="1:2" ht="14.25" customHeight="1">
      <c r="A1412" s="2">
        <v>1296.9000000000001</v>
      </c>
      <c r="B1412" s="2">
        <v>3397.25</v>
      </c>
    </row>
    <row r="1413" spans="1:2" ht="14.25" customHeight="1">
      <c r="A1413" s="2">
        <v>1233.3499999999999</v>
      </c>
      <c r="B1413" s="2">
        <v>3379.5</v>
      </c>
    </row>
    <row r="1414" spans="1:2" ht="14.25" customHeight="1">
      <c r="A1414" s="2">
        <v>1217.9000000000001</v>
      </c>
      <c r="B1414" s="2">
        <v>3366.25</v>
      </c>
    </row>
    <row r="1415" spans="1:2" ht="14.25" customHeight="1">
      <c r="A1415" s="2">
        <v>1235.5</v>
      </c>
      <c r="B1415" s="2">
        <v>3389.2</v>
      </c>
    </row>
    <row r="1416" spans="1:2" ht="14.25" customHeight="1">
      <c r="A1416" s="2">
        <v>1214.75</v>
      </c>
      <c r="B1416" s="2">
        <v>3368.6</v>
      </c>
    </row>
    <row r="1417" spans="1:2" ht="14.25" customHeight="1">
      <c r="A1417" s="2">
        <v>1187.05</v>
      </c>
      <c r="B1417" s="2">
        <v>3345.05</v>
      </c>
    </row>
    <row r="1418" spans="1:2" ht="14.25" customHeight="1">
      <c r="A1418" s="2">
        <v>1190.4000000000001</v>
      </c>
      <c r="B1418" s="2">
        <v>3323.1</v>
      </c>
    </row>
    <row r="1419" spans="1:2" ht="14.25" customHeight="1">
      <c r="A1419" s="2">
        <v>1222.1500000000001</v>
      </c>
      <c r="B1419" s="2">
        <v>3319.85</v>
      </c>
    </row>
    <row r="1420" spans="1:2" ht="14.25" customHeight="1">
      <c r="A1420" s="2">
        <v>1200.6500000000001</v>
      </c>
      <c r="B1420" s="2">
        <v>3350.9</v>
      </c>
    </row>
    <row r="1421" spans="1:2" ht="14.25" customHeight="1">
      <c r="A1421" s="2">
        <v>1189.6500000000001</v>
      </c>
      <c r="B1421" s="2">
        <v>3333.75</v>
      </c>
    </row>
    <row r="1422" spans="1:2" ht="14.25" customHeight="1">
      <c r="A1422" s="2">
        <v>1181.45</v>
      </c>
      <c r="B1422" s="2">
        <v>3327</v>
      </c>
    </row>
    <row r="1423" spans="1:2" ht="14.25" customHeight="1">
      <c r="A1423" s="2">
        <v>1150.5</v>
      </c>
      <c r="B1423" s="2">
        <v>3325.5</v>
      </c>
    </row>
    <row r="1424" spans="1:2" ht="14.25" customHeight="1">
      <c r="A1424" s="2">
        <v>1147.05</v>
      </c>
      <c r="B1424" s="2">
        <v>3321.55</v>
      </c>
    </row>
    <row r="1425" spans="1:2" ht="14.25" customHeight="1">
      <c r="A1425" s="2">
        <v>1171.3499999999999</v>
      </c>
      <c r="B1425" s="2">
        <v>3349.3</v>
      </c>
    </row>
    <row r="1426" spans="1:2" ht="14.25" customHeight="1">
      <c r="A1426" s="2">
        <v>1223.95</v>
      </c>
      <c r="B1426" s="2">
        <v>3348.5</v>
      </c>
    </row>
    <row r="1427" spans="1:2" ht="14.25" customHeight="1">
      <c r="A1427" s="2">
        <v>1235.8</v>
      </c>
      <c r="B1427" s="2">
        <v>3347.65</v>
      </c>
    </row>
    <row r="1428" spans="1:2" ht="14.25" customHeight="1">
      <c r="A1428" s="2">
        <v>1246.8</v>
      </c>
      <c r="B1428" s="2">
        <v>3346.8</v>
      </c>
    </row>
    <row r="1429" spans="1:2" ht="14.25" customHeight="1">
      <c r="A1429" s="2">
        <v>1261.8499999999999</v>
      </c>
      <c r="B1429" s="2">
        <v>3371.55</v>
      </c>
    </row>
    <row r="1430" spans="1:2" ht="14.25" customHeight="1">
      <c r="A1430" s="2">
        <v>1243.4000000000001</v>
      </c>
      <c r="B1430" s="2">
        <v>3317.4</v>
      </c>
    </row>
    <row r="1431" spans="1:2" ht="14.25" customHeight="1">
      <c r="A1431" s="2">
        <v>1211.7</v>
      </c>
      <c r="B1431" s="2">
        <v>3325.75</v>
      </c>
    </row>
    <row r="1432" spans="1:2" ht="14.25" customHeight="1">
      <c r="A1432" s="2">
        <v>1242.5999999999999</v>
      </c>
      <c r="B1432" s="2">
        <v>3359.55</v>
      </c>
    </row>
    <row r="1433" spans="1:2" ht="14.25" customHeight="1">
      <c r="A1433" s="2">
        <v>1243.8</v>
      </c>
      <c r="B1433" s="2">
        <v>3363.95</v>
      </c>
    </row>
    <row r="1434" spans="1:2" ht="14.25" customHeight="1">
      <c r="A1434" s="2">
        <v>1250.0999999999999</v>
      </c>
      <c r="B1434" s="2">
        <v>3354.9</v>
      </c>
    </row>
    <row r="1435" spans="1:2" ht="14.25" customHeight="1">
      <c r="A1435" s="2">
        <v>1280.75</v>
      </c>
      <c r="B1435" s="2">
        <v>3373.55</v>
      </c>
    </row>
    <row r="1436" spans="1:2" ht="14.25" customHeight="1">
      <c r="A1436" s="2">
        <v>1268.1500000000001</v>
      </c>
      <c r="B1436" s="2">
        <v>3387.9</v>
      </c>
    </row>
    <row r="1437" spans="1:2" ht="14.25" customHeight="1">
      <c r="A1437" s="2">
        <v>1260.4000000000001</v>
      </c>
      <c r="B1437" s="2">
        <v>3365.75</v>
      </c>
    </row>
    <row r="1438" spans="1:2" ht="14.25" customHeight="1">
      <c r="A1438" s="2">
        <v>1245.8</v>
      </c>
      <c r="B1438" s="2">
        <v>3319.3</v>
      </c>
    </row>
    <row r="1439" spans="1:2" ht="14.25" customHeight="1">
      <c r="A1439" s="2">
        <v>1220.8499999999999</v>
      </c>
      <c r="B1439" s="2">
        <v>3318.45</v>
      </c>
    </row>
    <row r="1440" spans="1:2" ht="14.25" customHeight="1">
      <c r="A1440" s="2">
        <v>1218.8499999999999</v>
      </c>
      <c r="B1440" s="2">
        <v>3307.75</v>
      </c>
    </row>
    <row r="1441" spans="1:2" ht="14.25" customHeight="1">
      <c r="A1441" s="2">
        <v>1239.1500000000001</v>
      </c>
      <c r="B1441" s="2">
        <v>3300.15</v>
      </c>
    </row>
    <row r="1442" spans="1:2" ht="14.25" customHeight="1">
      <c r="A1442" s="2">
        <v>1225.3</v>
      </c>
      <c r="B1442" s="2">
        <v>3304.65</v>
      </c>
    </row>
    <row r="1443" spans="1:2" ht="14.25" customHeight="1">
      <c r="A1443" s="2">
        <v>1224.7</v>
      </c>
      <c r="B1443" s="2">
        <v>3323.55</v>
      </c>
    </row>
    <row r="1444" spans="1:2" ht="14.25" customHeight="1">
      <c r="A1444" s="2">
        <v>1220.1500000000001</v>
      </c>
      <c r="B1444" s="2">
        <v>3315.75</v>
      </c>
    </row>
    <row r="1445" spans="1:2" ht="14.25" customHeight="1">
      <c r="A1445" s="2">
        <v>1241.3499999999999</v>
      </c>
      <c r="B1445" s="2">
        <v>3300.1</v>
      </c>
    </row>
    <row r="1446" spans="1:2" ht="14.25" customHeight="1">
      <c r="A1446" s="2">
        <v>1246.8</v>
      </c>
      <c r="B1446" s="2">
        <v>3303.5</v>
      </c>
    </row>
    <row r="1447" spans="1:2" ht="14.25" customHeight="1">
      <c r="A1447" s="2">
        <v>1237.6500000000001</v>
      </c>
      <c r="B1447" s="2">
        <v>3321</v>
      </c>
    </row>
    <row r="1448" spans="1:2" ht="14.25" customHeight="1">
      <c r="A1448" s="2">
        <v>1213.9000000000001</v>
      </c>
      <c r="B1448" s="2">
        <v>3298.5</v>
      </c>
    </row>
    <row r="1449" spans="1:2" ht="14.25" customHeight="1">
      <c r="A1449" s="2">
        <v>1201.3499999999999</v>
      </c>
      <c r="B1449" s="2">
        <v>3282.65</v>
      </c>
    </row>
    <row r="1450" spans="1:2" ht="14.25" customHeight="1">
      <c r="A1450" s="2">
        <v>1206.9000000000001</v>
      </c>
      <c r="B1450" s="2">
        <v>3282.2</v>
      </c>
    </row>
    <row r="1451" spans="1:2" ht="14.25" customHeight="1">
      <c r="A1451" s="2">
        <v>1174.95</v>
      </c>
      <c r="B1451" s="2">
        <v>3276.75</v>
      </c>
    </row>
    <row r="1452" spans="1:2" ht="14.25" customHeight="1">
      <c r="A1452" s="2">
        <v>1165.55</v>
      </c>
      <c r="B1452" s="2">
        <v>3310.15</v>
      </c>
    </row>
    <row r="1453" spans="1:2" ht="14.25" customHeight="1">
      <c r="A1453" s="2">
        <v>1129.4000000000001</v>
      </c>
      <c r="B1453" s="2">
        <v>3240</v>
      </c>
    </row>
    <row r="1454" spans="1:2" ht="14.25" customHeight="1">
      <c r="A1454" s="2">
        <v>1109.0999999999999</v>
      </c>
      <c r="B1454" s="2">
        <v>3245.8</v>
      </c>
    </row>
    <row r="1455" spans="1:2" ht="14.25" customHeight="1">
      <c r="A1455" s="2">
        <v>1100.0999999999999</v>
      </c>
      <c r="B1455" s="2">
        <v>3231.75</v>
      </c>
    </row>
    <row r="1456" spans="1:2" ht="14.25" customHeight="1">
      <c r="A1456" s="2">
        <v>1098.05</v>
      </c>
      <c r="B1456" s="2">
        <v>3209.25</v>
      </c>
    </row>
    <row r="1457" spans="1:2" ht="14.25" customHeight="1">
      <c r="A1457" s="2">
        <v>1108.6500000000001</v>
      </c>
      <c r="B1457" s="2">
        <v>3212.45</v>
      </c>
    </row>
    <row r="1458" spans="1:2" ht="14.25" customHeight="1">
      <c r="A1458" s="2">
        <v>1127.55</v>
      </c>
      <c r="B1458" s="2">
        <v>3231.35</v>
      </c>
    </row>
    <row r="1459" spans="1:2" ht="14.25" customHeight="1">
      <c r="A1459" s="2">
        <v>1110.6500000000001</v>
      </c>
      <c r="B1459" s="2">
        <v>3140.2</v>
      </c>
    </row>
    <row r="1460" spans="1:2" ht="14.25" customHeight="1">
      <c r="A1460" s="2">
        <v>1115.2</v>
      </c>
      <c r="B1460" s="2">
        <v>3171.75</v>
      </c>
    </row>
    <row r="1461" spans="1:2" ht="14.25" customHeight="1">
      <c r="A1461" s="2">
        <v>1093.3</v>
      </c>
      <c r="B1461" s="2">
        <v>3154.25</v>
      </c>
    </row>
    <row r="1462" spans="1:2" ht="14.25" customHeight="1">
      <c r="A1462" s="2">
        <v>1101.7</v>
      </c>
      <c r="B1462" s="2">
        <v>3129.15</v>
      </c>
    </row>
    <row r="1463" spans="1:2" ht="14.25" customHeight="1">
      <c r="A1463" s="2">
        <v>1090.0999999999999</v>
      </c>
      <c r="B1463" s="2">
        <v>3129.1</v>
      </c>
    </row>
    <row r="1464" spans="1:2" ht="14.25" customHeight="1">
      <c r="A1464" s="2">
        <v>1047.7</v>
      </c>
      <c r="B1464" s="2">
        <v>3124.65</v>
      </c>
    </row>
    <row r="1465" spans="1:2" ht="14.25" customHeight="1">
      <c r="A1465" s="2">
        <v>1041.8</v>
      </c>
      <c r="B1465" s="2">
        <v>3151.85</v>
      </c>
    </row>
    <row r="1466" spans="1:2" ht="14.25" customHeight="1">
      <c r="A1466" s="2">
        <v>1068.8499999999999</v>
      </c>
      <c r="B1466" s="2">
        <v>3198.75</v>
      </c>
    </row>
    <row r="1467" spans="1:2" ht="14.25" customHeight="1">
      <c r="A1467" s="2">
        <v>1054.1500000000001</v>
      </c>
      <c r="B1467" s="2">
        <v>3232.4</v>
      </c>
    </row>
    <row r="1468" spans="1:2" ht="14.25" customHeight="1">
      <c r="A1468" s="2">
        <v>1056.8</v>
      </c>
      <c r="B1468" s="2">
        <v>3255.15</v>
      </c>
    </row>
    <row r="1469" spans="1:2" ht="14.25" customHeight="1">
      <c r="A1469" s="2">
        <v>1068.05</v>
      </c>
      <c r="B1469" s="2">
        <v>3284.65</v>
      </c>
    </row>
    <row r="1470" spans="1:2" ht="14.25" customHeight="1">
      <c r="A1470" s="2">
        <v>1125.5</v>
      </c>
      <c r="B1470" s="2">
        <v>3278.2</v>
      </c>
    </row>
    <row r="1471" spans="1:2" ht="14.25" customHeight="1">
      <c r="A1471" s="2">
        <v>1132.6500000000001</v>
      </c>
      <c r="B1471" s="2">
        <v>3296.25</v>
      </c>
    </row>
    <row r="1472" spans="1:2" ht="14.25" customHeight="1">
      <c r="A1472" s="2">
        <v>1127.7</v>
      </c>
      <c r="B1472" s="2">
        <v>3293.5</v>
      </c>
    </row>
    <row r="1473" spans="1:2" ht="14.25" customHeight="1">
      <c r="A1473" s="2">
        <v>1099.5999999999999</v>
      </c>
      <c r="B1473" s="2">
        <v>3305.7</v>
      </c>
    </row>
    <row r="1474" spans="1:2" ht="14.25" customHeight="1">
      <c r="A1474" s="2">
        <v>1077.6500000000001</v>
      </c>
      <c r="B1474" s="2">
        <v>3269.85</v>
      </c>
    </row>
    <row r="1475" spans="1:2" ht="14.25" customHeight="1">
      <c r="A1475" s="2">
        <v>1107.8</v>
      </c>
      <c r="B1475" s="2">
        <v>3284.8</v>
      </c>
    </row>
    <row r="1476" spans="1:2" ht="14.25" customHeight="1">
      <c r="A1476" s="2">
        <v>1100.25</v>
      </c>
      <c r="B1476" s="2">
        <v>3276.8</v>
      </c>
    </row>
    <row r="1477" spans="1:2" ht="14.25" customHeight="1">
      <c r="A1477" s="2">
        <v>1077.5999999999999</v>
      </c>
      <c r="B1477" s="2">
        <v>3281.6</v>
      </c>
    </row>
    <row r="1478" spans="1:2" ht="14.25" customHeight="1">
      <c r="A1478" s="2">
        <v>1051.7</v>
      </c>
      <c r="B1478" s="2">
        <v>3270.25</v>
      </c>
    </row>
    <row r="1479" spans="1:2" ht="14.25" customHeight="1">
      <c r="A1479" s="2">
        <v>1066.4000000000001</v>
      </c>
      <c r="B1479" s="2">
        <v>3250.45</v>
      </c>
    </row>
    <row r="1480" spans="1:2" ht="14.25" customHeight="1">
      <c r="A1480" s="2">
        <v>1069.55</v>
      </c>
      <c r="B1480" s="2">
        <v>3244.8</v>
      </c>
    </row>
    <row r="1481" spans="1:2" ht="14.25" customHeight="1">
      <c r="A1481" s="2">
        <v>1076.4000000000001</v>
      </c>
      <c r="B1481" s="2">
        <v>3304.1</v>
      </c>
    </row>
    <row r="1482" spans="1:2" ht="14.25" customHeight="1">
      <c r="A1482" s="2">
        <v>1090.7</v>
      </c>
      <c r="B1482" s="2">
        <v>3314.1</v>
      </c>
    </row>
    <row r="1483" spans="1:2" ht="14.25" customHeight="1">
      <c r="A1483" s="2">
        <v>1123.0999999999999</v>
      </c>
      <c r="B1483" s="2">
        <v>3299.4</v>
      </c>
    </row>
    <row r="1484" spans="1:2" ht="14.25" customHeight="1">
      <c r="A1484" s="2">
        <v>1216.9000000000001</v>
      </c>
      <c r="B1484" s="2">
        <v>3297.3</v>
      </c>
    </row>
    <row r="1485" spans="1:2" ht="14.25" customHeight="1">
      <c r="A1485" s="2">
        <v>1263</v>
      </c>
      <c r="B1485" s="2">
        <v>3275.35</v>
      </c>
    </row>
    <row r="1486" spans="1:2" ht="14.25" customHeight="1">
      <c r="A1486" s="2">
        <v>1249.8499999999999</v>
      </c>
      <c r="B1486" s="2">
        <v>3278.15</v>
      </c>
    </row>
    <row r="1487" spans="1:2" ht="14.25" customHeight="1">
      <c r="A1487" s="2">
        <v>1263.1500000000001</v>
      </c>
      <c r="B1487" s="2">
        <v>3269.95</v>
      </c>
    </row>
    <row r="1488" spans="1:2" ht="14.25" customHeight="1">
      <c r="A1488" s="2">
        <v>1262.0999999999999</v>
      </c>
      <c r="B1488" s="2">
        <v>3297.2</v>
      </c>
    </row>
    <row r="1489" spans="1:2" ht="14.25" customHeight="1">
      <c r="A1489" s="2">
        <v>1285.9000000000001</v>
      </c>
      <c r="B1489" s="2">
        <v>3295.45</v>
      </c>
    </row>
    <row r="1490" spans="1:2" ht="14.25" customHeight="1">
      <c r="A1490" s="2">
        <v>1287.6500000000001</v>
      </c>
      <c r="B1490" s="2">
        <v>3279.2</v>
      </c>
    </row>
    <row r="1491" spans="1:2" ht="14.25" customHeight="1">
      <c r="A1491" s="2">
        <v>1295.3499999999999</v>
      </c>
      <c r="B1491" s="2">
        <v>3297.05</v>
      </c>
    </row>
    <row r="1492" spans="1:2" ht="14.25" customHeight="1">
      <c r="A1492" s="2">
        <v>1280.8</v>
      </c>
      <c r="B1492" s="2">
        <v>3324.2</v>
      </c>
    </row>
    <row r="1493" spans="1:2" ht="14.25" customHeight="1">
      <c r="A1493" s="2">
        <v>1281.0999999999999</v>
      </c>
      <c r="B1493" s="2">
        <v>3314.05</v>
      </c>
    </row>
    <row r="1494" spans="1:2" ht="14.25" customHeight="1">
      <c r="A1494" s="2">
        <v>1300.7</v>
      </c>
      <c r="B1494" s="2">
        <v>3294.85</v>
      </c>
    </row>
    <row r="1495" spans="1:2" ht="14.25" customHeight="1">
      <c r="A1495" s="2">
        <v>1276</v>
      </c>
      <c r="B1495" s="2">
        <v>3258.2</v>
      </c>
    </row>
    <row r="1496" spans="1:2" ht="14.25" customHeight="1">
      <c r="A1496" s="2">
        <v>1271.9000000000001</v>
      </c>
      <c r="B1496" s="2">
        <v>3277.8</v>
      </c>
    </row>
    <row r="1497" spans="1:2" ht="14.25" customHeight="1">
      <c r="A1497" s="2">
        <v>1256.4000000000001</v>
      </c>
      <c r="B1497" s="2">
        <v>3277.05</v>
      </c>
    </row>
    <row r="1498" spans="1:2" ht="14.25" customHeight="1">
      <c r="A1498" s="2">
        <v>1209.4000000000001</v>
      </c>
      <c r="B1498" s="2">
        <v>3233.3</v>
      </c>
    </row>
    <row r="1499" spans="1:2" ht="14.25" customHeight="1">
      <c r="A1499" s="2">
        <v>1214.75</v>
      </c>
      <c r="B1499" s="2">
        <v>3295.5</v>
      </c>
    </row>
    <row r="1500" spans="1:2" ht="14.25" customHeight="1">
      <c r="A1500" s="2">
        <v>1224.5</v>
      </c>
      <c r="B1500" s="2">
        <v>3230.6</v>
      </c>
    </row>
    <row r="1501" spans="1:2" ht="14.25" customHeight="1">
      <c r="A1501" s="2">
        <v>1228.55</v>
      </c>
      <c r="B1501" s="2">
        <v>3270.05</v>
      </c>
    </row>
    <row r="1502" spans="1:2" ht="14.25" customHeight="1">
      <c r="A1502" s="2">
        <v>1215.45</v>
      </c>
      <c r="B1502" s="2">
        <v>3294.1</v>
      </c>
    </row>
    <row r="1503" spans="1:2" ht="14.25" customHeight="1">
      <c r="A1503" s="2">
        <v>1200.55</v>
      </c>
      <c r="B1503" s="2">
        <v>3233.1</v>
      </c>
    </row>
    <row r="1504" spans="1:2" ht="14.25" customHeight="1">
      <c r="A1504" s="2">
        <v>1162.8</v>
      </c>
      <c r="B1504" s="2">
        <v>3207.45</v>
      </c>
    </row>
    <row r="1505" spans="1:2" ht="14.25" customHeight="1">
      <c r="A1505" s="2">
        <v>1117.1500000000001</v>
      </c>
      <c r="B1505" s="2">
        <v>3162.25</v>
      </c>
    </row>
    <row r="1506" spans="1:2" ht="14.25" customHeight="1">
      <c r="A1506" s="2">
        <v>1114.0999999999999</v>
      </c>
      <c r="B1506" s="2">
        <v>3204.4</v>
      </c>
    </row>
    <row r="1507" spans="1:2" ht="14.25" customHeight="1">
      <c r="A1507" s="2">
        <v>1096.5</v>
      </c>
      <c r="B1507" s="2">
        <v>3142.85</v>
      </c>
    </row>
    <row r="1508" spans="1:2" ht="14.25" customHeight="1">
      <c r="A1508" s="2">
        <v>1073.05</v>
      </c>
      <c r="B1508" s="2">
        <v>3068.75</v>
      </c>
    </row>
    <row r="1509" spans="1:2" ht="14.25" customHeight="1">
      <c r="A1509" s="2">
        <v>1098.9000000000001</v>
      </c>
      <c r="B1509" s="2">
        <v>3159.65</v>
      </c>
    </row>
    <row r="1510" spans="1:2" ht="14.25" customHeight="1">
      <c r="A1510" s="2">
        <v>1101.75</v>
      </c>
      <c r="B1510" s="2">
        <v>3184.1</v>
      </c>
    </row>
    <row r="1511" spans="1:2" ht="14.25" customHeight="1">
      <c r="A1511" s="2">
        <v>1084.3499999999999</v>
      </c>
      <c r="B1511" s="2">
        <v>3230.65</v>
      </c>
    </row>
    <row r="1512" spans="1:2" ht="14.25" customHeight="1">
      <c r="A1512" s="2">
        <v>1063.3499999999999</v>
      </c>
      <c r="B1512" s="2">
        <v>3229.6</v>
      </c>
    </row>
    <row r="1513" spans="1:2" ht="14.25" customHeight="1">
      <c r="A1513" s="2">
        <v>1049.4000000000001</v>
      </c>
      <c r="B1513" s="2">
        <v>3236.4</v>
      </c>
    </row>
    <row r="1514" spans="1:2" ht="14.25" customHeight="1">
      <c r="A1514" s="2">
        <v>1048</v>
      </c>
      <c r="B1514" s="2">
        <v>3297.2</v>
      </c>
    </row>
    <row r="1515" spans="1:2" ht="14.25" customHeight="1">
      <c r="A1515" s="2">
        <v>1041.6500000000001</v>
      </c>
      <c r="B1515" s="2">
        <v>3262.2</v>
      </c>
    </row>
    <row r="1516" spans="1:2" ht="14.25" customHeight="1">
      <c r="A1516" s="2">
        <v>1003.2</v>
      </c>
      <c r="B1516" s="2">
        <v>3208.1</v>
      </c>
    </row>
    <row r="1517" spans="1:2" ht="14.25" customHeight="1">
      <c r="A1517" s="2">
        <v>996.1</v>
      </c>
      <c r="B1517" s="2">
        <v>3226.8</v>
      </c>
    </row>
    <row r="1518" spans="1:2" ht="14.25" customHeight="1">
      <c r="A1518" s="2">
        <v>1028.95</v>
      </c>
      <c r="B1518" s="2">
        <v>3306.3</v>
      </c>
    </row>
    <row r="1519" spans="1:2" ht="14.25" customHeight="1">
      <c r="A1519" s="2">
        <v>1037.2</v>
      </c>
      <c r="B1519" s="2">
        <v>3296.6</v>
      </c>
    </row>
    <row r="1520" spans="1:2" ht="14.25" customHeight="1">
      <c r="A1520" s="2">
        <v>1011</v>
      </c>
      <c r="B1520" s="2">
        <v>3243.7</v>
      </c>
    </row>
    <row r="1521" spans="1:2" ht="14.25" customHeight="1">
      <c r="A1521" s="2">
        <v>1000.9</v>
      </c>
      <c r="B1521" s="2">
        <v>3244.7</v>
      </c>
    </row>
    <row r="1522" spans="1:2" ht="14.25" customHeight="1">
      <c r="A1522" s="2">
        <v>969.15</v>
      </c>
      <c r="B1522" s="2">
        <v>3202.2</v>
      </c>
    </row>
    <row r="1523" spans="1:2" ht="14.25" customHeight="1">
      <c r="A1523" s="2">
        <v>937.95</v>
      </c>
      <c r="B1523" s="2">
        <v>3222.25</v>
      </c>
    </row>
    <row r="1524" spans="1:2" ht="14.25" customHeight="1">
      <c r="A1524" s="2">
        <v>983.15</v>
      </c>
      <c r="B1524" s="2">
        <v>3215.6</v>
      </c>
    </row>
    <row r="1525" spans="1:2" ht="14.25" customHeight="1">
      <c r="A1525" s="2">
        <v>959.25</v>
      </c>
      <c r="B1525" s="2">
        <v>3179.8</v>
      </c>
    </row>
    <row r="1526" spans="1:2" ht="14.25" customHeight="1">
      <c r="A1526" s="2">
        <v>954.55</v>
      </c>
      <c r="B1526" s="2">
        <v>3217.15</v>
      </c>
    </row>
    <row r="1527" spans="1:2" ht="14.25" customHeight="1">
      <c r="A1527" s="2">
        <v>940.65</v>
      </c>
      <c r="B1527" s="2">
        <v>3205.2</v>
      </c>
    </row>
    <row r="1528" spans="1:2" ht="14.25" customHeight="1">
      <c r="A1528" s="2">
        <v>971.55</v>
      </c>
      <c r="B1528" s="2">
        <v>3223.05</v>
      </c>
    </row>
    <row r="1529" spans="1:2" ht="14.25" customHeight="1">
      <c r="A1529" s="2">
        <v>1040.55</v>
      </c>
      <c r="B1529" s="2">
        <v>3228.3</v>
      </c>
    </row>
    <row r="1530" spans="1:2" ht="14.25" customHeight="1">
      <c r="A1530" s="2">
        <v>1014.55</v>
      </c>
      <c r="B1530" s="2">
        <v>3227.3</v>
      </c>
    </row>
    <row r="1531" spans="1:2" ht="14.25" customHeight="1">
      <c r="A1531" s="2">
        <v>1017.4</v>
      </c>
      <c r="B1531" s="2">
        <v>3213.8</v>
      </c>
    </row>
    <row r="1532" spans="1:2" ht="14.25" customHeight="1">
      <c r="A1532" s="2">
        <v>977.95</v>
      </c>
      <c r="B1532" s="2">
        <v>3147.8</v>
      </c>
    </row>
    <row r="1533" spans="1:2" ht="14.25" customHeight="1">
      <c r="A1533" s="2">
        <v>952.75</v>
      </c>
      <c r="B1533" s="2">
        <v>3146.1</v>
      </c>
    </row>
    <row r="1534" spans="1:2" ht="14.25" customHeight="1">
      <c r="A1534" s="2">
        <v>945.45</v>
      </c>
      <c r="B1534" s="2">
        <v>3157.4</v>
      </c>
    </row>
    <row r="1535" spans="1:2" ht="14.25" customHeight="1">
      <c r="A1535" s="2">
        <v>990.2</v>
      </c>
      <c r="B1535" s="2">
        <v>3196</v>
      </c>
    </row>
    <row r="1536" spans="1:2" ht="14.25" customHeight="1">
      <c r="A1536" s="2">
        <v>1029.5</v>
      </c>
      <c r="B1536" s="2">
        <v>3249</v>
      </c>
    </row>
    <row r="1537" spans="1:2" ht="14.25" customHeight="1">
      <c r="A1537" s="2">
        <v>1044.75</v>
      </c>
      <c r="B1537" s="2">
        <v>3198.5</v>
      </c>
    </row>
    <row r="1538" spans="1:2" ht="14.25" customHeight="1">
      <c r="A1538" s="2">
        <v>1053.25</v>
      </c>
      <c r="B1538" s="2">
        <v>3251.35</v>
      </c>
    </row>
    <row r="1539" spans="1:2" ht="14.25" customHeight="1">
      <c r="A1539" s="2">
        <v>1058.55</v>
      </c>
      <c r="B1539" s="2">
        <v>3204</v>
      </c>
    </row>
    <row r="1540" spans="1:2" ht="14.25" customHeight="1">
      <c r="A1540" s="2">
        <v>1056.0999999999999</v>
      </c>
      <c r="B1540" s="2">
        <v>3249.35</v>
      </c>
    </row>
    <row r="1541" spans="1:2" ht="14.25" customHeight="1">
      <c r="A1541" s="2">
        <v>1038</v>
      </c>
      <c r="B1541" s="2">
        <v>3230.95</v>
      </c>
    </row>
    <row r="1542" spans="1:2" ht="14.25" customHeight="1">
      <c r="A1542" s="2">
        <v>1035.5</v>
      </c>
      <c r="B1542" s="2">
        <v>3244.85</v>
      </c>
    </row>
    <row r="1543" spans="1:2" ht="14.25" customHeight="1">
      <c r="A1543" s="2">
        <v>1034.6500000000001</v>
      </c>
      <c r="B1543" s="2">
        <v>3259.9</v>
      </c>
    </row>
    <row r="1544" spans="1:2" ht="14.25" customHeight="1">
      <c r="A1544" s="2">
        <v>1030.25</v>
      </c>
      <c r="B1544" s="2">
        <v>3277.5</v>
      </c>
    </row>
    <row r="1545" spans="1:2" ht="14.25" customHeight="1">
      <c r="A1545" s="2">
        <v>1030.8499999999999</v>
      </c>
      <c r="B1545" s="2">
        <v>3325.05</v>
      </c>
    </row>
    <row r="1546" spans="1:2" ht="14.25" customHeight="1">
      <c r="A1546" s="2">
        <v>1024.7</v>
      </c>
      <c r="B1546" s="2">
        <v>3366.4</v>
      </c>
    </row>
    <row r="1547" spans="1:2" ht="14.25" customHeight="1">
      <c r="A1547" s="2">
        <v>1017.9</v>
      </c>
      <c r="B1547" s="2">
        <v>3399.6</v>
      </c>
    </row>
    <row r="1548" spans="1:2" ht="14.25" customHeight="1">
      <c r="A1548" s="2">
        <v>1068.75</v>
      </c>
      <c r="B1548" s="2">
        <v>3457.5</v>
      </c>
    </row>
    <row r="1549" spans="1:2" ht="14.25" customHeight="1">
      <c r="A1549" s="2">
        <v>1091.5</v>
      </c>
      <c r="B1549" s="2">
        <v>3539</v>
      </c>
    </row>
    <row r="1550" spans="1:2" ht="14.25" customHeight="1">
      <c r="A1550" s="2">
        <v>1090.9000000000001</v>
      </c>
      <c r="B1550" s="2">
        <v>3695.7</v>
      </c>
    </row>
    <row r="1551" spans="1:2" ht="14.25" customHeight="1">
      <c r="A1551" s="2">
        <v>1054.75</v>
      </c>
      <c r="B1551" s="2">
        <v>3698.05</v>
      </c>
    </row>
    <row r="1552" spans="1:2" ht="14.25" customHeight="1">
      <c r="A1552" s="2">
        <v>1035.55</v>
      </c>
      <c r="B1552" s="2">
        <v>3676.1</v>
      </c>
    </row>
    <row r="1553" spans="1:2" ht="14.25" customHeight="1">
      <c r="A1553" s="2">
        <v>1032.95</v>
      </c>
      <c r="B1553" s="2">
        <v>3772.95</v>
      </c>
    </row>
    <row r="1554" spans="1:2" ht="14.25" customHeight="1">
      <c r="A1554" s="2">
        <v>1044.0999999999999</v>
      </c>
      <c r="B1554" s="2">
        <v>3814.75</v>
      </c>
    </row>
    <row r="1555" spans="1:2" ht="14.25" customHeight="1">
      <c r="A1555" s="2">
        <v>1028.45</v>
      </c>
      <c r="B1555" s="2">
        <v>3811.1</v>
      </c>
    </row>
    <row r="1556" spans="1:2" ht="14.25" customHeight="1">
      <c r="A1556" s="2">
        <v>1016.6</v>
      </c>
      <c r="B1556" s="2">
        <v>3758.05</v>
      </c>
    </row>
    <row r="1557" spans="1:2" ht="14.25" customHeight="1">
      <c r="A1557" s="2">
        <v>975.15</v>
      </c>
      <c r="B1557" s="2">
        <v>3705.6</v>
      </c>
    </row>
    <row r="1558" spans="1:2" ht="14.25" customHeight="1">
      <c r="A1558" s="2">
        <v>941.9</v>
      </c>
      <c r="B1558" s="2">
        <v>3720.45</v>
      </c>
    </row>
    <row r="1559" spans="1:2" ht="14.25" customHeight="1">
      <c r="A1559" s="2">
        <v>918.7</v>
      </c>
      <c r="B1559" s="2">
        <v>3675.3</v>
      </c>
    </row>
    <row r="1560" spans="1:2" ht="14.25" customHeight="1">
      <c r="A1560" s="2">
        <v>888.2</v>
      </c>
      <c r="B1560" s="2">
        <v>3683.2</v>
      </c>
    </row>
    <row r="1561" spans="1:2" ht="14.25" customHeight="1">
      <c r="A1561" s="2">
        <v>882.4</v>
      </c>
      <c r="B1561" s="2">
        <v>3677.65</v>
      </c>
    </row>
    <row r="1562" spans="1:2" ht="14.25" customHeight="1">
      <c r="A1562" s="2">
        <v>904.85</v>
      </c>
      <c r="B1562" s="2">
        <v>3675.85</v>
      </c>
    </row>
    <row r="1563" spans="1:2" ht="14.25" customHeight="1">
      <c r="A1563" s="2">
        <v>941.55</v>
      </c>
      <c r="B1563" s="2">
        <v>3737.45</v>
      </c>
    </row>
    <row r="1564" spans="1:2" ht="14.25" customHeight="1">
      <c r="A1564" s="2">
        <v>952.55</v>
      </c>
      <c r="B1564" s="2">
        <v>3713.45</v>
      </c>
    </row>
    <row r="1565" spans="1:2" ht="14.25" customHeight="1">
      <c r="A1565" s="2">
        <v>947.2</v>
      </c>
      <c r="B1565" s="2">
        <v>3710.5</v>
      </c>
    </row>
    <row r="1566" spans="1:2" ht="14.25" customHeight="1">
      <c r="A1566" s="2">
        <v>932.8</v>
      </c>
      <c r="B1566" s="2">
        <v>3703.1</v>
      </c>
    </row>
    <row r="1567" spans="1:2" ht="14.25" customHeight="1">
      <c r="A1567" s="2">
        <v>939.35</v>
      </c>
      <c r="B1567" s="2">
        <v>3666.55</v>
      </c>
    </row>
    <row r="1568" spans="1:2" ht="14.25" customHeight="1">
      <c r="A1568" s="2">
        <v>918.1</v>
      </c>
      <c r="B1568" s="2">
        <v>3664.05</v>
      </c>
    </row>
    <row r="1569" spans="1:2" ht="14.25" customHeight="1">
      <c r="A1569" s="2">
        <v>931.45</v>
      </c>
      <c r="B1569" s="2">
        <v>3745</v>
      </c>
    </row>
    <row r="1570" spans="1:2" ht="14.25" customHeight="1">
      <c r="A1570" s="2">
        <v>939.15</v>
      </c>
      <c r="B1570" s="2">
        <v>3768.9</v>
      </c>
    </row>
    <row r="1571" spans="1:2" ht="14.25" customHeight="1">
      <c r="A1571" s="2">
        <v>918.95</v>
      </c>
      <c r="B1571" s="2">
        <v>3746.7</v>
      </c>
    </row>
    <row r="1572" spans="1:2" ht="14.25" customHeight="1">
      <c r="A1572" s="2">
        <v>920.95</v>
      </c>
      <c r="B1572" s="2">
        <v>3731.4</v>
      </c>
    </row>
    <row r="1573" spans="1:2" ht="14.25" customHeight="1">
      <c r="A1573" s="2">
        <v>918.5</v>
      </c>
      <c r="B1573" s="2">
        <v>3672.55</v>
      </c>
    </row>
    <row r="1574" spans="1:2" ht="14.25" customHeight="1">
      <c r="A1574" s="2">
        <v>916.15</v>
      </c>
      <c r="B1574" s="2">
        <v>3626.2</v>
      </c>
    </row>
    <row r="1575" spans="1:2" ht="14.25" customHeight="1">
      <c r="A1575" s="2">
        <v>897.75</v>
      </c>
      <c r="B1575" s="2">
        <v>3627.7</v>
      </c>
    </row>
    <row r="1576" spans="1:2" ht="14.25" customHeight="1">
      <c r="A1576" s="2">
        <v>892.9</v>
      </c>
      <c r="B1576" s="2">
        <v>3609.4</v>
      </c>
    </row>
    <row r="1577" spans="1:2" ht="14.25" customHeight="1">
      <c r="A1577" s="2">
        <v>873</v>
      </c>
      <c r="B1577" s="2">
        <v>3582.25</v>
      </c>
    </row>
    <row r="1578" spans="1:2" ht="14.25" customHeight="1">
      <c r="A1578" s="2">
        <v>908.05</v>
      </c>
      <c r="B1578" s="2">
        <v>3592.1</v>
      </c>
    </row>
    <row r="1579" spans="1:2" ht="14.25" customHeight="1">
      <c r="A1579" s="2">
        <v>916.75</v>
      </c>
      <c r="B1579" s="2">
        <v>3533.85</v>
      </c>
    </row>
    <row r="1580" spans="1:2" ht="14.25" customHeight="1">
      <c r="A1580" s="2">
        <v>912.95</v>
      </c>
      <c r="B1580" s="2">
        <v>3536.75</v>
      </c>
    </row>
    <row r="1581" spans="1:2" ht="14.25" customHeight="1">
      <c r="A1581" s="2">
        <v>916.95</v>
      </c>
      <c r="B1581" s="2">
        <v>3467.65</v>
      </c>
    </row>
    <row r="1582" spans="1:2" ht="14.25" customHeight="1">
      <c r="A1582" s="2">
        <v>899.65</v>
      </c>
      <c r="B1582" s="2">
        <v>3415.1</v>
      </c>
    </row>
    <row r="1583" spans="1:2" ht="14.25" customHeight="1">
      <c r="A1583" s="2">
        <v>901</v>
      </c>
      <c r="B1583" s="2">
        <v>3435.4</v>
      </c>
    </row>
    <row r="1584" spans="1:2" ht="14.25" customHeight="1">
      <c r="A1584" s="2">
        <v>902.6</v>
      </c>
      <c r="B1584" s="2">
        <v>3417.6</v>
      </c>
    </row>
    <row r="1585" spans="1:2" ht="14.25" customHeight="1">
      <c r="A1585" s="2">
        <v>898.9</v>
      </c>
      <c r="B1585" s="2">
        <v>3388.7</v>
      </c>
    </row>
    <row r="1586" spans="1:2" ht="14.25" customHeight="1">
      <c r="A1586" s="2">
        <v>874.85</v>
      </c>
      <c r="B1586" s="2">
        <v>3345.2</v>
      </c>
    </row>
    <row r="1587" spans="1:2" ht="14.25" customHeight="1">
      <c r="A1587" s="2">
        <v>862.4</v>
      </c>
      <c r="B1587" s="2">
        <v>3390.9</v>
      </c>
    </row>
    <row r="1588" spans="1:2" ht="14.25" customHeight="1">
      <c r="A1588" s="2">
        <v>849.5</v>
      </c>
      <c r="B1588" s="2">
        <v>3378.3</v>
      </c>
    </row>
    <row r="1589" spans="1:2" ht="14.25" customHeight="1">
      <c r="A1589" s="2">
        <v>819.35</v>
      </c>
      <c r="B1589" s="2">
        <v>3403.55</v>
      </c>
    </row>
    <row r="1590" spans="1:2" ht="14.25" customHeight="1">
      <c r="A1590" s="2">
        <v>817.45</v>
      </c>
      <c r="B1590" s="2">
        <v>3436</v>
      </c>
    </row>
    <row r="1591" spans="1:2" ht="14.25" customHeight="1">
      <c r="A1591" s="2">
        <v>826.7</v>
      </c>
      <c r="B1591" s="2">
        <v>3505.7</v>
      </c>
    </row>
    <row r="1592" spans="1:2" ht="14.25" customHeight="1">
      <c r="A1592" s="2">
        <v>854.25</v>
      </c>
      <c r="B1592" s="2">
        <v>3528.35</v>
      </c>
    </row>
    <row r="1593" spans="1:2" ht="14.25" customHeight="1">
      <c r="A1593" s="2">
        <v>884.5</v>
      </c>
      <c r="B1593" s="2">
        <v>3572.25</v>
      </c>
    </row>
    <row r="1594" spans="1:2" ht="14.25" customHeight="1">
      <c r="A1594" s="2">
        <v>870.35</v>
      </c>
      <c r="B1594" s="2">
        <v>3554.45</v>
      </c>
    </row>
    <row r="1595" spans="1:2" ht="14.25" customHeight="1">
      <c r="A1595" s="2">
        <v>846.15</v>
      </c>
      <c r="B1595" s="2">
        <v>3532.3</v>
      </c>
    </row>
    <row r="1596" spans="1:2" ht="14.25" customHeight="1">
      <c r="A1596" s="2">
        <v>841.4</v>
      </c>
      <c r="B1596" s="2">
        <v>3533.9</v>
      </c>
    </row>
    <row r="1597" spans="1:2" ht="14.25" customHeight="1">
      <c r="A1597" s="2">
        <v>827.95</v>
      </c>
      <c r="B1597" s="2">
        <v>3538.6</v>
      </c>
    </row>
    <row r="1598" spans="1:2" ht="14.25" customHeight="1">
      <c r="A1598" s="2">
        <v>833.5</v>
      </c>
      <c r="B1598" s="2">
        <v>3516.75</v>
      </c>
    </row>
    <row r="1599" spans="1:2" ht="14.25" customHeight="1">
      <c r="A1599" s="2">
        <v>835.45</v>
      </c>
      <c r="B1599" s="2">
        <v>3524.8</v>
      </c>
    </row>
    <row r="1600" spans="1:2" ht="14.25" customHeight="1">
      <c r="A1600" s="2">
        <v>869.25</v>
      </c>
      <c r="B1600" s="2">
        <v>3519.6</v>
      </c>
    </row>
    <row r="1601" spans="1:2" ht="14.25" customHeight="1">
      <c r="A1601" s="2">
        <v>869</v>
      </c>
      <c r="B1601" s="2">
        <v>3504.6</v>
      </c>
    </row>
    <row r="1602" spans="1:2" ht="14.25" customHeight="1">
      <c r="A1602" s="2">
        <v>863.6</v>
      </c>
      <c r="B1602" s="2">
        <v>3496.95</v>
      </c>
    </row>
    <row r="1603" spans="1:2" ht="14.25" customHeight="1">
      <c r="A1603" s="2">
        <v>851.45</v>
      </c>
      <c r="B1603" s="2">
        <v>3498.55</v>
      </c>
    </row>
    <row r="1604" spans="1:2" ht="14.25" customHeight="1">
      <c r="A1604" s="2">
        <v>850.3</v>
      </c>
      <c r="B1604" s="2">
        <v>3491.15</v>
      </c>
    </row>
    <row r="1605" spans="1:2" ht="14.25" customHeight="1">
      <c r="A1605" s="2">
        <v>848.5</v>
      </c>
      <c r="B1605" s="2">
        <v>3519.3</v>
      </c>
    </row>
    <row r="1606" spans="1:2" ht="14.25" customHeight="1">
      <c r="A1606" s="2">
        <v>839</v>
      </c>
      <c r="B1606" s="2">
        <v>3483.8</v>
      </c>
    </row>
    <row r="1607" spans="1:2" ht="14.25" customHeight="1">
      <c r="A1607" s="2">
        <v>835.75</v>
      </c>
      <c r="B1607" s="2">
        <v>3527.45</v>
      </c>
    </row>
    <row r="1608" spans="1:2" ht="14.25" customHeight="1">
      <c r="A1608" s="2">
        <v>867.6</v>
      </c>
      <c r="B1608" s="2">
        <v>3498.85</v>
      </c>
    </row>
    <row r="1609" spans="1:2" ht="14.25" customHeight="1">
      <c r="A1609" s="2">
        <v>858.5</v>
      </c>
      <c r="B1609" s="2">
        <v>3514.3</v>
      </c>
    </row>
    <row r="1610" spans="1:2" ht="14.25" customHeight="1">
      <c r="A1610" s="2">
        <v>846.7</v>
      </c>
      <c r="B1610" s="2">
        <v>3457.55</v>
      </c>
    </row>
    <row r="1611" spans="1:2" ht="14.25" customHeight="1">
      <c r="A1611" s="2">
        <v>843.1</v>
      </c>
      <c r="B1611" s="2">
        <v>3416.2</v>
      </c>
    </row>
    <row r="1612" spans="1:2" ht="14.25" customHeight="1">
      <c r="A1612" s="2">
        <v>830.5</v>
      </c>
      <c r="B1612" s="2">
        <v>3475.25</v>
      </c>
    </row>
    <row r="1613" spans="1:2" ht="14.25" customHeight="1">
      <c r="A1613" s="2">
        <v>840.8</v>
      </c>
      <c r="B1613" s="2">
        <v>3490.15</v>
      </c>
    </row>
    <row r="1614" spans="1:2" ht="14.25" customHeight="1">
      <c r="A1614" s="2">
        <v>840</v>
      </c>
      <c r="B1614" s="2">
        <v>3503.85</v>
      </c>
    </row>
    <row r="1615" spans="1:2" ht="14.25" customHeight="1">
      <c r="A1615" s="2">
        <v>852.75</v>
      </c>
      <c r="B1615" s="2">
        <v>3499.75</v>
      </c>
    </row>
    <row r="1616" spans="1:2" ht="14.25" customHeight="1">
      <c r="A1616" s="2">
        <v>854.1</v>
      </c>
      <c r="B1616" s="2">
        <v>3487.4</v>
      </c>
    </row>
    <row r="1617" spans="1:2" ht="14.25" customHeight="1">
      <c r="A1617" s="2">
        <v>876.4</v>
      </c>
      <c r="B1617" s="2">
        <v>3468.9</v>
      </c>
    </row>
    <row r="1618" spans="1:2" ht="14.25" customHeight="1">
      <c r="A1618" s="2">
        <v>898.2</v>
      </c>
      <c r="B1618" s="2">
        <v>3503.1</v>
      </c>
    </row>
    <row r="1619" spans="1:2" ht="14.25" customHeight="1">
      <c r="A1619" s="2">
        <v>906.2</v>
      </c>
      <c r="B1619" s="2">
        <v>3495.15</v>
      </c>
    </row>
    <row r="1620" spans="1:2" ht="14.25" customHeight="1">
      <c r="A1620" s="2">
        <v>893.35</v>
      </c>
      <c r="B1620" s="2">
        <v>3519.3</v>
      </c>
    </row>
    <row r="1621" spans="1:2" ht="14.25" customHeight="1">
      <c r="A1621" s="2">
        <v>885.85</v>
      </c>
      <c r="B1621" s="2">
        <v>3487.8</v>
      </c>
    </row>
    <row r="1622" spans="1:2" ht="14.25" customHeight="1">
      <c r="A1622" s="2">
        <v>892.35</v>
      </c>
      <c r="B1622" s="2">
        <v>3519.6</v>
      </c>
    </row>
    <row r="1623" spans="1:2" ht="14.25" customHeight="1">
      <c r="A1623" s="2">
        <v>885.4</v>
      </c>
      <c r="B1623" s="2">
        <v>3512.6</v>
      </c>
    </row>
    <row r="1624" spans="1:2" ht="14.25" customHeight="1">
      <c r="A1624" s="2">
        <v>880.9</v>
      </c>
      <c r="B1624" s="2">
        <v>3505.4</v>
      </c>
    </row>
    <row r="1625" spans="1:2" ht="14.25" customHeight="1">
      <c r="A1625" s="2">
        <v>938.7</v>
      </c>
      <c r="B1625" s="2">
        <v>3522.05</v>
      </c>
    </row>
    <row r="1626" spans="1:2" ht="14.25" customHeight="1">
      <c r="A1626" s="2">
        <v>942.15</v>
      </c>
      <c r="B1626" s="2">
        <v>3458.95</v>
      </c>
    </row>
    <row r="1627" spans="1:2" ht="14.25" customHeight="1">
      <c r="A1627" s="2">
        <v>937.3</v>
      </c>
      <c r="B1627" s="2">
        <v>3412.4</v>
      </c>
    </row>
    <row r="1628" spans="1:2" ht="14.25" customHeight="1">
      <c r="A1628" s="2">
        <v>937.95</v>
      </c>
      <c r="B1628" s="2">
        <v>3428.45</v>
      </c>
    </row>
    <row r="1629" spans="1:2" ht="14.25" customHeight="1">
      <c r="A1629" s="2">
        <v>960.2</v>
      </c>
      <c r="B1629" s="2">
        <v>3401.1</v>
      </c>
    </row>
    <row r="1630" spans="1:2" ht="14.25" customHeight="1">
      <c r="A1630" s="2">
        <v>957.7</v>
      </c>
      <c r="B1630" s="2">
        <v>3396.85</v>
      </c>
    </row>
    <row r="1631" spans="1:2" ht="14.25" customHeight="1">
      <c r="A1631" s="2">
        <v>982.45</v>
      </c>
      <c r="B1631" s="2">
        <v>3399.1</v>
      </c>
    </row>
    <row r="1632" spans="1:2" ht="14.25" customHeight="1">
      <c r="A1632" s="2">
        <v>983.9</v>
      </c>
      <c r="B1632" s="2">
        <v>3410.1</v>
      </c>
    </row>
    <row r="1633" spans="1:2" ht="14.25" customHeight="1">
      <c r="A1633" s="2">
        <v>975.45</v>
      </c>
      <c r="B1633" s="2">
        <v>3390.85</v>
      </c>
    </row>
    <row r="1634" spans="1:2" ht="14.25" customHeight="1">
      <c r="A1634" s="2">
        <v>992.15</v>
      </c>
      <c r="B1634" s="2">
        <v>3366.4</v>
      </c>
    </row>
    <row r="1635" spans="1:2" ht="14.25" customHeight="1">
      <c r="A1635" s="2">
        <v>1004.05</v>
      </c>
      <c r="B1635" s="2">
        <v>3346.5</v>
      </c>
    </row>
    <row r="1636" spans="1:2" ht="14.25" customHeight="1">
      <c r="A1636" s="2">
        <v>1013.7</v>
      </c>
      <c r="B1636" s="2">
        <v>3314.95</v>
      </c>
    </row>
    <row r="1637" spans="1:2" ht="14.25" customHeight="1">
      <c r="A1637" s="2">
        <v>1017.35</v>
      </c>
      <c r="B1637" s="2">
        <v>3222.55</v>
      </c>
    </row>
    <row r="1638" spans="1:2" ht="14.25" customHeight="1">
      <c r="A1638" s="2">
        <v>1001.05</v>
      </c>
      <c r="B1638" s="2">
        <v>3198.5</v>
      </c>
    </row>
    <row r="1639" spans="1:2" ht="14.25" customHeight="1">
      <c r="A1639" s="2">
        <v>973.35</v>
      </c>
      <c r="B1639" s="2">
        <v>3142.65</v>
      </c>
    </row>
    <row r="1640" spans="1:2" ht="14.25" customHeight="1">
      <c r="A1640" s="2">
        <v>991.15</v>
      </c>
      <c r="B1640" s="2">
        <v>3094.25</v>
      </c>
    </row>
    <row r="1641" spans="1:2" ht="14.25" customHeight="1">
      <c r="A1641" s="2">
        <v>1037.75</v>
      </c>
      <c r="B1641" s="2">
        <v>3140.5</v>
      </c>
    </row>
    <row r="1642" spans="1:2" ht="14.25" customHeight="1">
      <c r="A1642" s="2">
        <v>1020.4</v>
      </c>
      <c r="B1642" s="2">
        <v>3121.1</v>
      </c>
    </row>
    <row r="1643" spans="1:2" ht="14.25" customHeight="1">
      <c r="A1643" s="2">
        <v>1002.3</v>
      </c>
      <c r="B1643" s="2">
        <v>3108.2</v>
      </c>
    </row>
    <row r="1644" spans="1:2" ht="14.25" customHeight="1">
      <c r="A1644" s="2">
        <v>1011.15</v>
      </c>
      <c r="B1644" s="2">
        <v>3063.5</v>
      </c>
    </row>
    <row r="1645" spans="1:2" ht="14.25" customHeight="1">
      <c r="A1645" s="2">
        <v>987.1</v>
      </c>
      <c r="B1645" s="2">
        <v>3119.8</v>
      </c>
    </row>
    <row r="1646" spans="1:2" ht="14.25" customHeight="1">
      <c r="A1646" s="2">
        <v>992.15</v>
      </c>
      <c r="B1646" s="2">
        <v>3118.85</v>
      </c>
    </row>
    <row r="1647" spans="1:2" ht="14.25" customHeight="1">
      <c r="A1647" s="2">
        <v>1009.05</v>
      </c>
      <c r="B1647" s="2">
        <v>3050.9</v>
      </c>
    </row>
    <row r="1648" spans="1:2" ht="14.25" customHeight="1">
      <c r="A1648" s="2">
        <v>1022.3</v>
      </c>
      <c r="B1648" s="2">
        <v>3168.45</v>
      </c>
    </row>
    <row r="1649" spans="1:2" ht="14.25" customHeight="1">
      <c r="A1649" s="2">
        <v>1027.25</v>
      </c>
      <c r="B1649" s="2">
        <v>3143.05</v>
      </c>
    </row>
    <row r="1650" spans="1:2" ht="14.25" customHeight="1">
      <c r="A1650" s="2">
        <v>1039.1500000000001</v>
      </c>
      <c r="B1650" s="2">
        <v>3121.6</v>
      </c>
    </row>
    <row r="1651" spans="1:2" ht="14.25" customHeight="1">
      <c r="A1651" s="2">
        <v>1020</v>
      </c>
      <c r="B1651" s="2">
        <v>3075.6</v>
      </c>
    </row>
    <row r="1652" spans="1:2" ht="14.25" customHeight="1">
      <c r="A1652" s="2">
        <v>1024.3499999999999</v>
      </c>
      <c r="B1652" s="2">
        <v>3081.95</v>
      </c>
    </row>
    <row r="1653" spans="1:2" ht="14.25" customHeight="1">
      <c r="A1653" s="2">
        <v>1033.0999999999999</v>
      </c>
      <c r="B1653" s="2">
        <v>3051.15</v>
      </c>
    </row>
    <row r="1654" spans="1:2" ht="14.25" customHeight="1">
      <c r="A1654" s="2">
        <v>1037.45</v>
      </c>
      <c r="B1654" s="2">
        <v>3012.65</v>
      </c>
    </row>
    <row r="1655" spans="1:2" ht="14.25" customHeight="1">
      <c r="A1655" s="2">
        <v>1056.3499999999999</v>
      </c>
      <c r="B1655" s="2">
        <v>2981.7</v>
      </c>
    </row>
    <row r="1656" spans="1:2" ht="14.25" customHeight="1">
      <c r="A1656" s="2">
        <v>1059.05</v>
      </c>
      <c r="B1656" s="2">
        <v>2979.25</v>
      </c>
    </row>
    <row r="1657" spans="1:2" ht="14.25" customHeight="1">
      <c r="A1657" s="2">
        <v>1066.2</v>
      </c>
      <c r="B1657" s="2">
        <v>3010.45</v>
      </c>
    </row>
    <row r="1658" spans="1:2" ht="14.25" customHeight="1">
      <c r="A1658" s="2">
        <v>1065.8499999999999</v>
      </c>
      <c r="B1658" s="2">
        <v>3033.95</v>
      </c>
    </row>
    <row r="1659" spans="1:2" ht="14.25" customHeight="1">
      <c r="A1659" s="2">
        <v>1066.2</v>
      </c>
      <c r="B1659" s="2">
        <v>2985.15</v>
      </c>
    </row>
    <row r="1660" spans="1:2" ht="14.25" customHeight="1">
      <c r="A1660" s="2">
        <v>1079.3499999999999</v>
      </c>
      <c r="B1660" s="2">
        <v>2974.05</v>
      </c>
    </row>
    <row r="1661" spans="1:2" ht="14.25" customHeight="1">
      <c r="A1661" s="2">
        <v>1066.45</v>
      </c>
      <c r="B1661" s="2">
        <v>3000.05</v>
      </c>
    </row>
    <row r="1662" spans="1:2" ht="14.25" customHeight="1">
      <c r="A1662" s="2">
        <v>1082.1500000000001</v>
      </c>
      <c r="B1662" s="2">
        <v>3010.6</v>
      </c>
    </row>
    <row r="1663" spans="1:2" ht="14.25" customHeight="1">
      <c r="A1663" s="2">
        <v>1082.8499999999999</v>
      </c>
      <c r="B1663" s="2">
        <v>3003.4</v>
      </c>
    </row>
    <row r="1664" spans="1:2" ht="14.25" customHeight="1">
      <c r="A1664" s="2">
        <v>1073.3</v>
      </c>
      <c r="B1664" s="2">
        <v>3001.05</v>
      </c>
    </row>
    <row r="1665" spans="1:2" ht="14.25" customHeight="1">
      <c r="A1665" s="2">
        <v>1046.8499999999999</v>
      </c>
      <c r="B1665" s="2">
        <v>2986.35</v>
      </c>
    </row>
    <row r="1666" spans="1:2" ht="14.25" customHeight="1">
      <c r="A1666" s="2">
        <v>1025.1500000000001</v>
      </c>
      <c r="B1666" s="2">
        <v>2957.25</v>
      </c>
    </row>
    <row r="1667" spans="1:2" ht="14.25" customHeight="1">
      <c r="A1667" s="2">
        <v>900.15</v>
      </c>
      <c r="B1667" s="2">
        <v>2968.25</v>
      </c>
    </row>
    <row r="1668" spans="1:2" ht="14.25" customHeight="1">
      <c r="A1668" s="2">
        <v>922.05</v>
      </c>
      <c r="B1668" s="2">
        <v>2826.45</v>
      </c>
    </row>
    <row r="1669" spans="1:2" ht="14.25" customHeight="1">
      <c r="A1669" s="2">
        <v>909.95</v>
      </c>
      <c r="B1669" s="2">
        <v>2841.5</v>
      </c>
    </row>
    <row r="1670" spans="1:2" ht="14.25" customHeight="1">
      <c r="A1670" s="2">
        <v>905</v>
      </c>
      <c r="B1670" s="2">
        <v>2828.8</v>
      </c>
    </row>
    <row r="1671" spans="1:2" ht="14.25" customHeight="1">
      <c r="A1671" s="2">
        <v>899.65</v>
      </c>
      <c r="B1671" s="2">
        <v>2810.55</v>
      </c>
    </row>
    <row r="1672" spans="1:2" ht="14.25" customHeight="1">
      <c r="A1672" s="2">
        <v>910.9</v>
      </c>
      <c r="B1672" s="2">
        <v>2794.85</v>
      </c>
    </row>
    <row r="1673" spans="1:2" ht="14.25" customHeight="1">
      <c r="A1673" s="2">
        <v>914.95</v>
      </c>
      <c r="B1673" s="2">
        <v>2805.25</v>
      </c>
    </row>
    <row r="1674" spans="1:2" ht="14.25" customHeight="1">
      <c r="A1674" s="2">
        <v>919</v>
      </c>
      <c r="B1674" s="2">
        <v>2798.35</v>
      </c>
    </row>
    <row r="1675" spans="1:2" ht="14.25" customHeight="1">
      <c r="A1675" s="2">
        <v>904.55</v>
      </c>
      <c r="B1675" s="2">
        <v>2822.9</v>
      </c>
    </row>
    <row r="1676" spans="1:2" ht="14.25" customHeight="1">
      <c r="A1676" s="2">
        <v>908.85</v>
      </c>
      <c r="B1676" s="2">
        <v>2839.75</v>
      </c>
    </row>
    <row r="1677" spans="1:2" ht="14.25" customHeight="1">
      <c r="A1677" s="2">
        <v>874.85</v>
      </c>
      <c r="B1677" s="2">
        <v>2807.25</v>
      </c>
    </row>
    <row r="1678" spans="1:2" ht="14.25" customHeight="1">
      <c r="A1678" s="2">
        <v>876.05</v>
      </c>
      <c r="B1678" s="2">
        <v>2780.95</v>
      </c>
    </row>
    <row r="1679" spans="1:2" ht="14.25" customHeight="1">
      <c r="A1679" s="2">
        <v>901.75</v>
      </c>
      <c r="B1679" s="2">
        <v>2820.1</v>
      </c>
    </row>
    <row r="1680" spans="1:2" ht="14.25" customHeight="1">
      <c r="A1680" s="2">
        <v>910.15</v>
      </c>
      <c r="B1680" s="2">
        <v>2868.35</v>
      </c>
    </row>
    <row r="1681" spans="1:2" ht="14.25" customHeight="1">
      <c r="A1681" s="2">
        <v>903.35</v>
      </c>
      <c r="B1681" s="2">
        <v>2874.6</v>
      </c>
    </row>
    <row r="1682" spans="1:2" ht="14.25" customHeight="1">
      <c r="A1682" s="2">
        <v>912.25</v>
      </c>
      <c r="B1682" s="2">
        <v>2918.9</v>
      </c>
    </row>
    <row r="1683" spans="1:2" ht="14.25" customHeight="1">
      <c r="A1683" s="2">
        <v>908.25</v>
      </c>
      <c r="B1683" s="2">
        <v>2919.6</v>
      </c>
    </row>
    <row r="1684" spans="1:2" ht="14.25" customHeight="1">
      <c r="A1684" s="2">
        <v>906.55</v>
      </c>
      <c r="B1684" s="2">
        <v>2927.3</v>
      </c>
    </row>
    <row r="1685" spans="1:2" ht="14.25" customHeight="1">
      <c r="A1685" s="2">
        <v>912.3</v>
      </c>
      <c r="B1685" s="2">
        <v>2937.65</v>
      </c>
    </row>
    <row r="1686" spans="1:2" ht="14.25" customHeight="1">
      <c r="A1686" s="2">
        <v>945.5</v>
      </c>
      <c r="B1686" s="2">
        <v>2956.25</v>
      </c>
    </row>
    <row r="1687" spans="1:2" ht="14.25" customHeight="1">
      <c r="A1687" s="2">
        <v>927.2</v>
      </c>
      <c r="B1687" s="2">
        <v>2975.4</v>
      </c>
    </row>
    <row r="1688" spans="1:2" ht="14.25" customHeight="1">
      <c r="A1688" s="2">
        <v>933.65</v>
      </c>
      <c r="B1688" s="2">
        <v>2971.1</v>
      </c>
    </row>
    <row r="1689" spans="1:2" ht="14.25" customHeight="1">
      <c r="A1689" s="2">
        <v>932.1</v>
      </c>
      <c r="B1689" s="2">
        <v>2977.25</v>
      </c>
    </row>
    <row r="1690" spans="1:2" ht="14.25" customHeight="1">
      <c r="A1690" s="2">
        <v>940.55</v>
      </c>
      <c r="B1690" s="2">
        <v>2980.4</v>
      </c>
    </row>
    <row r="1691" spans="1:2" ht="14.25" customHeight="1">
      <c r="A1691" s="2">
        <v>927.85</v>
      </c>
      <c r="B1691" s="2">
        <v>2966.35</v>
      </c>
    </row>
    <row r="1692" spans="1:2" ht="14.25" customHeight="1">
      <c r="A1692" s="2">
        <v>928</v>
      </c>
      <c r="B1692" s="2">
        <v>2961.8</v>
      </c>
    </row>
    <row r="1693" spans="1:2" ht="14.25" customHeight="1">
      <c r="A1693" s="2">
        <v>935.1</v>
      </c>
      <c r="B1693" s="2">
        <v>2952.25</v>
      </c>
    </row>
    <row r="1694" spans="1:2" ht="14.25" customHeight="1">
      <c r="A1694" s="2">
        <v>914.9</v>
      </c>
      <c r="B1694" s="2">
        <v>2924.95</v>
      </c>
    </row>
    <row r="1695" spans="1:2" ht="14.25" customHeight="1">
      <c r="A1695" s="2">
        <v>920.65</v>
      </c>
      <c r="B1695" s="2">
        <v>2924.85</v>
      </c>
    </row>
    <row r="1696" spans="1:2" ht="14.25" customHeight="1">
      <c r="A1696" s="2">
        <v>941.05</v>
      </c>
      <c r="B1696" s="2">
        <v>2910.1</v>
      </c>
    </row>
    <row r="1697" spans="1:2" ht="14.25" customHeight="1">
      <c r="A1697" s="2">
        <v>939.4</v>
      </c>
      <c r="B1697" s="2">
        <v>2943.65</v>
      </c>
    </row>
    <row r="1698" spans="1:2" ht="14.25" customHeight="1">
      <c r="A1698" s="2">
        <v>924.9</v>
      </c>
      <c r="B1698" s="2">
        <v>2856.2</v>
      </c>
    </row>
    <row r="1699" spans="1:2" ht="14.25" customHeight="1">
      <c r="A1699" s="2">
        <v>914.9</v>
      </c>
      <c r="B1699" s="2">
        <v>2820.8</v>
      </c>
    </row>
    <row r="1700" spans="1:2" ht="14.25" customHeight="1">
      <c r="A1700" s="2">
        <v>891.55</v>
      </c>
      <c r="B1700" s="2">
        <v>2818.3</v>
      </c>
    </row>
    <row r="1701" spans="1:2" ht="14.25" customHeight="1">
      <c r="A1701" s="2">
        <v>877.45</v>
      </c>
      <c r="B1701" s="2">
        <v>2800.75</v>
      </c>
    </row>
    <row r="1702" spans="1:2" ht="14.25" customHeight="1">
      <c r="A1702" s="2">
        <v>887.45</v>
      </c>
      <c r="B1702" s="2">
        <v>2786.7</v>
      </c>
    </row>
    <row r="1703" spans="1:2" ht="14.25" customHeight="1">
      <c r="A1703" s="2">
        <v>909.65</v>
      </c>
      <c r="B1703" s="2">
        <v>2722.05</v>
      </c>
    </row>
    <row r="1704" spans="1:2" ht="14.25" customHeight="1">
      <c r="A1704" s="2">
        <v>869.95</v>
      </c>
      <c r="B1704" s="2">
        <v>2654.55</v>
      </c>
    </row>
    <row r="1705" spans="1:2" ht="14.25" customHeight="1">
      <c r="A1705" s="2">
        <v>909.05</v>
      </c>
      <c r="B1705" s="2">
        <v>2611.6999999999998</v>
      </c>
    </row>
    <row r="1706" spans="1:2" ht="14.25" customHeight="1">
      <c r="A1706" s="2">
        <v>887.7</v>
      </c>
      <c r="B1706" s="2">
        <v>2643.9</v>
      </c>
    </row>
    <row r="1707" spans="1:2" ht="14.25" customHeight="1">
      <c r="A1707" s="2">
        <v>863.15</v>
      </c>
      <c r="B1707" s="2">
        <v>2658.3</v>
      </c>
    </row>
    <row r="1708" spans="1:2" ht="14.25" customHeight="1">
      <c r="A1708" s="2">
        <v>863.45</v>
      </c>
      <c r="B1708" s="2">
        <v>2669.45</v>
      </c>
    </row>
    <row r="1709" spans="1:2" ht="14.25" customHeight="1">
      <c r="A1709" s="2">
        <v>821.65</v>
      </c>
      <c r="B1709" s="2">
        <v>2695.5</v>
      </c>
    </row>
    <row r="1710" spans="1:2" ht="14.25" customHeight="1">
      <c r="A1710" s="2">
        <v>821.8</v>
      </c>
      <c r="B1710" s="2">
        <v>2711.6</v>
      </c>
    </row>
    <row r="1711" spans="1:2" ht="14.25" customHeight="1">
      <c r="A1711" s="2">
        <v>807.85</v>
      </c>
      <c r="B1711" s="2">
        <v>2689.5</v>
      </c>
    </row>
    <row r="1712" spans="1:2" ht="14.25" customHeight="1">
      <c r="A1712" s="2">
        <v>785.05</v>
      </c>
      <c r="B1712" s="2">
        <v>2610.1</v>
      </c>
    </row>
    <row r="1713" spans="1:2" ht="14.25" customHeight="1">
      <c r="A1713" s="2">
        <v>786.05</v>
      </c>
      <c r="B1713" s="2">
        <v>2656.3</v>
      </c>
    </row>
    <row r="1714" spans="1:2" ht="14.25" customHeight="1">
      <c r="A1714" s="2">
        <v>786.3</v>
      </c>
      <c r="B1714" s="2">
        <v>2665</v>
      </c>
    </row>
    <row r="1715" spans="1:2" ht="14.25" customHeight="1">
      <c r="A1715" s="2">
        <v>805.05</v>
      </c>
      <c r="B1715" s="2">
        <v>2678.5</v>
      </c>
    </row>
    <row r="1716" spans="1:2" ht="14.25" customHeight="1">
      <c r="A1716" s="2">
        <v>825.6</v>
      </c>
      <c r="B1716" s="2">
        <v>2725.75</v>
      </c>
    </row>
    <row r="1717" spans="1:2" ht="14.25" customHeight="1">
      <c r="A1717" s="2">
        <v>837.5</v>
      </c>
      <c r="B1717" s="2">
        <v>2684.3</v>
      </c>
    </row>
    <row r="1718" spans="1:2" ht="14.25" customHeight="1">
      <c r="A1718" s="2">
        <v>843.05</v>
      </c>
      <c r="B1718" s="2">
        <v>2714.2</v>
      </c>
    </row>
    <row r="1719" spans="1:2" ht="14.25" customHeight="1">
      <c r="A1719" s="2">
        <v>830.65</v>
      </c>
      <c r="B1719" s="2">
        <v>2683.7</v>
      </c>
    </row>
    <row r="1720" spans="1:2" ht="14.25" customHeight="1">
      <c r="A1720" s="2">
        <v>827.95</v>
      </c>
      <c r="B1720" s="2">
        <v>2721.55</v>
      </c>
    </row>
    <row r="1721" spans="1:2" ht="14.25" customHeight="1">
      <c r="A1721" s="2">
        <v>839.5</v>
      </c>
      <c r="B1721" s="2">
        <v>2773.5</v>
      </c>
    </row>
    <row r="1722" spans="1:2" ht="14.25" customHeight="1">
      <c r="A1722" s="2">
        <v>873</v>
      </c>
      <c r="B1722" s="2">
        <v>2770.2</v>
      </c>
    </row>
    <row r="1723" spans="1:2" ht="14.25" customHeight="1">
      <c r="A1723" s="2">
        <v>863.55</v>
      </c>
      <c r="B1723" s="2">
        <v>2734.65</v>
      </c>
    </row>
    <row r="1724" spans="1:2" ht="14.25" customHeight="1">
      <c r="A1724" s="2">
        <v>915.4</v>
      </c>
      <c r="B1724" s="2">
        <v>2739.45</v>
      </c>
    </row>
    <row r="1725" spans="1:2" ht="14.25" customHeight="1">
      <c r="A1725" s="2">
        <v>927.4</v>
      </c>
      <c r="B1725" s="2">
        <v>2738.05</v>
      </c>
    </row>
    <row r="1726" spans="1:2" ht="14.25" customHeight="1">
      <c r="A1726" s="2">
        <v>906.05</v>
      </c>
      <c r="B1726" s="2">
        <v>2735.75</v>
      </c>
    </row>
    <row r="1727" spans="1:2" ht="14.25" customHeight="1">
      <c r="A1727" s="2">
        <v>912.3</v>
      </c>
      <c r="B1727" s="2">
        <v>2735.85</v>
      </c>
    </row>
    <row r="1728" spans="1:2" ht="14.25" customHeight="1">
      <c r="A1728" s="2">
        <v>897.35</v>
      </c>
      <c r="B1728" s="2">
        <v>2739.5</v>
      </c>
    </row>
    <row r="1729" spans="1:2" ht="14.25" customHeight="1">
      <c r="A1729" s="2">
        <v>926.65</v>
      </c>
      <c r="B1729" s="2">
        <v>2741.25</v>
      </c>
    </row>
    <row r="1730" spans="1:2" ht="14.25" customHeight="1">
      <c r="A1730" s="2">
        <v>916.55</v>
      </c>
      <c r="B1730" s="2">
        <v>2712.3</v>
      </c>
    </row>
    <row r="1731" spans="1:2" ht="14.25" customHeight="1">
      <c r="A1731" s="2">
        <v>914.6</v>
      </c>
      <c r="B1731" s="2">
        <v>2712.95</v>
      </c>
    </row>
    <row r="1732" spans="1:2" ht="14.25" customHeight="1">
      <c r="A1732" s="2">
        <v>906.2</v>
      </c>
      <c r="B1732" s="2">
        <v>2709.95</v>
      </c>
    </row>
    <row r="1733" spans="1:2" ht="14.25" customHeight="1">
      <c r="A1733" s="2">
        <v>924.7</v>
      </c>
      <c r="B1733" s="2">
        <v>2724.35</v>
      </c>
    </row>
    <row r="1734" spans="1:2" ht="14.25" customHeight="1">
      <c r="A1734" s="2">
        <v>963.7</v>
      </c>
      <c r="B1734" s="2">
        <v>2713.5</v>
      </c>
    </row>
    <row r="1735" spans="1:2" ht="14.25" customHeight="1">
      <c r="A1735" s="2">
        <v>971.55</v>
      </c>
      <c r="B1735" s="2">
        <v>2727</v>
      </c>
    </row>
    <row r="1736" spans="1:2" ht="14.25" customHeight="1">
      <c r="A1736" s="2">
        <v>950.25</v>
      </c>
      <c r="B1736" s="2">
        <v>2723.5</v>
      </c>
    </row>
    <row r="1737" spans="1:2" ht="14.25" customHeight="1">
      <c r="A1737" s="2">
        <v>975.7</v>
      </c>
      <c r="B1737" s="2">
        <v>2701.75</v>
      </c>
    </row>
    <row r="1738" spans="1:2" ht="14.25" customHeight="1">
      <c r="A1738" s="2">
        <v>974.4</v>
      </c>
      <c r="B1738" s="2">
        <v>2702.15</v>
      </c>
    </row>
    <row r="1739" spans="1:2" ht="14.25" customHeight="1">
      <c r="A1739" s="2">
        <v>986.05</v>
      </c>
      <c r="B1739" s="2">
        <v>2727.9</v>
      </c>
    </row>
    <row r="1740" spans="1:2" ht="14.25" customHeight="1">
      <c r="A1740" s="2">
        <v>1000.6</v>
      </c>
      <c r="B1740" s="2">
        <v>2729.8</v>
      </c>
    </row>
    <row r="1741" spans="1:2" ht="14.25" customHeight="1"/>
    <row r="1742" spans="1:2" ht="14.25" customHeight="1">
      <c r="A1742" s="2">
        <f t="shared" ref="A1742:B1742" si="0">STDEV(A2:A1740)</f>
        <v>357.42986982246822</v>
      </c>
      <c r="B1742" s="2">
        <f t="shared" si="0"/>
        <v>540.72412530876386</v>
      </c>
    </row>
    <row r="1743" spans="1:2" ht="14.25" customHeight="1"/>
    <row r="1744" spans="1:2" ht="14.25" customHeight="1">
      <c r="A1744" s="2">
        <f t="shared" ref="A1744:B1744" si="1">VAR(A2:A1740)</f>
        <v>127756.11184130659</v>
      </c>
      <c r="B1744" s="2">
        <f t="shared" si="1"/>
        <v>292382.57969092776</v>
      </c>
    </row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000"/>
  <sheetViews>
    <sheetView workbookViewId="0"/>
  </sheetViews>
  <sheetFormatPr defaultColWidth="14.44140625" defaultRowHeight="15" customHeight="1"/>
  <cols>
    <col min="1" max="9" width="8.6640625" customWidth="1"/>
    <col min="10" max="10" width="16" customWidth="1"/>
    <col min="11" max="12" width="15" customWidth="1"/>
    <col min="13" max="13" width="8.6640625" customWidth="1"/>
    <col min="14" max="14" width="15" customWidth="1"/>
    <col min="15" max="21" width="8.6640625" customWidth="1"/>
    <col min="22" max="22" width="13.6640625" customWidth="1"/>
    <col min="23" max="23" width="21" customWidth="1"/>
    <col min="24" max="36" width="8.6640625" customWidth="1"/>
  </cols>
  <sheetData>
    <row r="1" spans="1:22" ht="14.25" customHeight="1"/>
    <row r="2" spans="1:22" ht="14.25" customHeight="1"/>
    <row r="3" spans="1:22" ht="14.25" customHeight="1">
      <c r="A3" s="2" t="s">
        <v>172</v>
      </c>
      <c r="C3" s="2" t="s">
        <v>173</v>
      </c>
      <c r="D3" s="2" t="s">
        <v>174</v>
      </c>
    </row>
    <row r="4" spans="1:22" ht="14.25" customHeight="1">
      <c r="C4" s="2">
        <v>0.5</v>
      </c>
      <c r="D4" s="2">
        <v>0.5</v>
      </c>
    </row>
    <row r="5" spans="1:22" ht="14.25" customHeight="1">
      <c r="A5" s="2" t="s">
        <v>175</v>
      </c>
    </row>
    <row r="6" spans="1:22" ht="14.25" customHeight="1"/>
    <row r="7" spans="1:22" ht="14.25" customHeight="1">
      <c r="A7" s="2">
        <v>0</v>
      </c>
      <c r="B7" s="2">
        <f t="shared" ref="B7:B17" si="0">_xlfn.BINOM.DIST(A7,10,0.5,FALSE)</f>
        <v>9.765625E-4</v>
      </c>
      <c r="C7" s="2">
        <f t="shared" ref="C7:C18" si="1">B7*100</f>
        <v>9.765625E-2</v>
      </c>
    </row>
    <row r="8" spans="1:22" ht="14.25" customHeight="1">
      <c r="A8" s="2">
        <v>1</v>
      </c>
      <c r="B8" s="2">
        <f t="shared" si="0"/>
        <v>9.7656250000000017E-3</v>
      </c>
      <c r="C8" s="2">
        <f t="shared" si="1"/>
        <v>0.97656250000000022</v>
      </c>
    </row>
    <row r="9" spans="1:22" ht="14.25" customHeight="1">
      <c r="A9" s="2">
        <v>2</v>
      </c>
      <c r="B9" s="2">
        <f t="shared" si="0"/>
        <v>4.3945312499999972E-2</v>
      </c>
      <c r="C9" s="2">
        <f t="shared" si="1"/>
        <v>4.3945312499999973</v>
      </c>
      <c r="E9" s="2" t="s">
        <v>176</v>
      </c>
    </row>
    <row r="10" spans="1:22" ht="14.25" customHeight="1">
      <c r="A10" s="2">
        <v>3</v>
      </c>
      <c r="B10" s="2">
        <f t="shared" si="0"/>
        <v>0.11718750000000003</v>
      </c>
      <c r="C10" s="2">
        <f t="shared" si="1"/>
        <v>11.718750000000004</v>
      </c>
    </row>
    <row r="11" spans="1:22" ht="14.25" customHeight="1">
      <c r="A11" s="2">
        <v>4</v>
      </c>
      <c r="B11" s="2">
        <f t="shared" si="0"/>
        <v>0.20507812500000006</v>
      </c>
      <c r="C11" s="2">
        <f t="shared" si="1"/>
        <v>20.507812500000007</v>
      </c>
      <c r="J11" s="2" t="s">
        <v>177</v>
      </c>
      <c r="K11" s="2">
        <f>_xlfn.BINOM.DIST(5,10,0.5,TRUE)</f>
        <v>0.623046875</v>
      </c>
    </row>
    <row r="12" spans="1:22" ht="14.25" customHeight="1">
      <c r="A12" s="2">
        <v>5</v>
      </c>
      <c r="B12" s="2">
        <f t="shared" si="0"/>
        <v>0.24609375000000008</v>
      </c>
      <c r="C12" s="2">
        <f t="shared" si="1"/>
        <v>24.609375000000007</v>
      </c>
      <c r="D12" s="2" t="s">
        <v>178</v>
      </c>
      <c r="H12" s="2">
        <f>1 - _xlfn.BINOM.DIST(3,10,0.5,TRUE)</f>
        <v>0.828125</v>
      </c>
    </row>
    <row r="13" spans="1:22" ht="14.25" customHeight="1">
      <c r="A13" s="2">
        <v>6</v>
      </c>
      <c r="B13" s="2">
        <f t="shared" si="0"/>
        <v>0.20507812500000006</v>
      </c>
      <c r="C13" s="2">
        <f t="shared" si="1"/>
        <v>20.507812500000007</v>
      </c>
      <c r="J13" s="2" t="s">
        <v>179</v>
      </c>
      <c r="K13" s="2">
        <f>1 - _xlfn.BINOM.DIST(3,10,0.5,TRUE)</f>
        <v>0.828125</v>
      </c>
    </row>
    <row r="14" spans="1:22" ht="14.25" customHeight="1">
      <c r="A14" s="2">
        <v>7</v>
      </c>
      <c r="B14" s="2">
        <f t="shared" si="0"/>
        <v>0.11718750000000003</v>
      </c>
      <c r="C14" s="2">
        <f t="shared" si="1"/>
        <v>11.718750000000004</v>
      </c>
      <c r="O14" s="23"/>
      <c r="P14" s="24"/>
      <c r="Q14" s="97" t="s">
        <v>180</v>
      </c>
      <c r="R14" s="98"/>
      <c r="S14" s="98"/>
      <c r="T14" s="98"/>
      <c r="U14" s="98"/>
      <c r="V14" s="99"/>
    </row>
    <row r="15" spans="1:22" ht="14.25" customHeight="1">
      <c r="A15" s="2">
        <v>8</v>
      </c>
      <c r="B15" s="2">
        <f t="shared" si="0"/>
        <v>4.3945312499999986E-2</v>
      </c>
      <c r="C15" s="2">
        <f t="shared" si="1"/>
        <v>4.3945312499999982</v>
      </c>
      <c r="J15" s="2" t="s">
        <v>181</v>
      </c>
      <c r="K15" s="2">
        <f>_xlfn.BINOM.DIST(3,10,0.5,TRUE)</f>
        <v>0.17187500000000006</v>
      </c>
      <c r="O15" s="25"/>
      <c r="P15" s="26"/>
      <c r="Q15" s="27">
        <v>1</v>
      </c>
      <c r="R15" s="27">
        <v>2</v>
      </c>
      <c r="S15" s="27">
        <v>3</v>
      </c>
      <c r="T15" s="27">
        <v>4</v>
      </c>
      <c r="U15" s="27">
        <v>5</v>
      </c>
      <c r="V15" s="26">
        <v>6</v>
      </c>
    </row>
    <row r="16" spans="1:22" ht="14.25" customHeight="1">
      <c r="A16" s="2">
        <v>9</v>
      </c>
      <c r="B16" s="2">
        <f t="shared" si="0"/>
        <v>9.7656250000000017E-3</v>
      </c>
      <c r="C16" s="2">
        <f t="shared" si="1"/>
        <v>0.97656250000000022</v>
      </c>
      <c r="O16" s="100" t="s">
        <v>182</v>
      </c>
      <c r="P16" s="28">
        <v>1</v>
      </c>
      <c r="Q16" s="18">
        <v>2</v>
      </c>
      <c r="R16" s="18">
        <v>3</v>
      </c>
      <c r="S16" s="18">
        <v>4</v>
      </c>
      <c r="T16" s="18">
        <v>5</v>
      </c>
      <c r="U16" s="18">
        <v>6</v>
      </c>
      <c r="V16" s="28">
        <v>7</v>
      </c>
    </row>
    <row r="17" spans="1:29" ht="14.25" customHeight="1">
      <c r="A17" s="2">
        <v>10</v>
      </c>
      <c r="B17" s="2">
        <f t="shared" si="0"/>
        <v>9.765625E-4</v>
      </c>
      <c r="C17" s="2">
        <f t="shared" si="1"/>
        <v>9.765625E-2</v>
      </c>
      <c r="J17" s="2" t="s">
        <v>183</v>
      </c>
      <c r="K17" s="2">
        <f>_xlfn.BINOM.DIST(5,10,0.5,TRUE)</f>
        <v>0.623046875</v>
      </c>
      <c r="O17" s="101"/>
      <c r="P17" s="28">
        <v>2</v>
      </c>
      <c r="Q17" s="18">
        <v>3</v>
      </c>
      <c r="R17" s="18">
        <v>4</v>
      </c>
      <c r="S17" s="18">
        <v>5</v>
      </c>
      <c r="T17" s="18">
        <v>6</v>
      </c>
      <c r="U17" s="18">
        <v>7</v>
      </c>
      <c r="V17" s="28">
        <v>8</v>
      </c>
    </row>
    <row r="18" spans="1:29" ht="14.25" customHeight="1">
      <c r="B18" s="2">
        <f>SUM(B7:B17)</f>
        <v>1.0000000000000002</v>
      </c>
      <c r="C18" s="2">
        <f t="shared" si="1"/>
        <v>100.00000000000003</v>
      </c>
      <c r="O18" s="101"/>
      <c r="P18" s="28">
        <v>3</v>
      </c>
      <c r="Q18" s="18">
        <v>4</v>
      </c>
      <c r="R18" s="18">
        <v>5</v>
      </c>
      <c r="S18" s="18">
        <v>6</v>
      </c>
      <c r="T18" s="18">
        <v>7</v>
      </c>
      <c r="U18" s="18">
        <v>8</v>
      </c>
      <c r="V18" s="28">
        <v>9</v>
      </c>
    </row>
    <row r="19" spans="1:29" ht="14.25" customHeight="1">
      <c r="J19" s="2" t="s">
        <v>184</v>
      </c>
      <c r="K19" s="2">
        <f>1-_xlfn.BINOM.DIST(4,10,0.5,TRUE)</f>
        <v>0.623046875</v>
      </c>
      <c r="O19" s="101"/>
      <c r="P19" s="28">
        <v>4</v>
      </c>
      <c r="Q19" s="18">
        <v>5</v>
      </c>
      <c r="R19" s="18">
        <v>6</v>
      </c>
      <c r="S19" s="18">
        <v>7</v>
      </c>
      <c r="T19" s="18">
        <v>8</v>
      </c>
      <c r="U19" s="18">
        <v>9</v>
      </c>
      <c r="V19" s="28">
        <v>10</v>
      </c>
    </row>
    <row r="20" spans="1:29" ht="14.25" customHeight="1">
      <c r="O20" s="101"/>
      <c r="P20" s="28">
        <v>5</v>
      </c>
      <c r="Q20" s="18">
        <v>6</v>
      </c>
      <c r="R20" s="18">
        <v>7</v>
      </c>
      <c r="S20" s="18">
        <v>8</v>
      </c>
      <c r="T20" s="18">
        <v>9</v>
      </c>
      <c r="U20" s="18">
        <v>10</v>
      </c>
      <c r="V20" s="28">
        <v>11</v>
      </c>
    </row>
    <row r="21" spans="1:29" ht="14.25" customHeight="1">
      <c r="B21" s="22" t="s">
        <v>185</v>
      </c>
      <c r="C21" s="22" t="s">
        <v>186</v>
      </c>
      <c r="D21" s="29" t="s">
        <v>187</v>
      </c>
      <c r="E21" s="29" t="s">
        <v>188</v>
      </c>
      <c r="J21" s="2" t="s">
        <v>189</v>
      </c>
      <c r="K21" s="2">
        <f>_xlfn.BINOM.DIST(5,10,0.5,TRUE) - _xlfn.BINOM.DIST(1,10,0.5,TRUE)</f>
        <v>0.6123046875</v>
      </c>
      <c r="O21" s="102"/>
      <c r="P21" s="30">
        <v>6</v>
      </c>
      <c r="Q21" s="31">
        <v>7</v>
      </c>
      <c r="R21" s="31">
        <v>8</v>
      </c>
      <c r="S21" s="31">
        <v>9</v>
      </c>
      <c r="T21" s="31">
        <v>10</v>
      </c>
      <c r="U21" s="31">
        <v>11</v>
      </c>
      <c r="V21" s="30">
        <v>12</v>
      </c>
    </row>
    <row r="22" spans="1:29" ht="14.25" customHeight="1">
      <c r="B22" s="18" t="s">
        <v>190</v>
      </c>
      <c r="C22" s="18" t="s">
        <v>191</v>
      </c>
      <c r="D22" s="32" t="s">
        <v>192</v>
      </c>
      <c r="E22" s="32" t="s">
        <v>193</v>
      </c>
    </row>
    <row r="23" spans="1:29" ht="14.25" customHeight="1">
      <c r="B23" s="18"/>
      <c r="C23" s="18"/>
      <c r="D23" s="32"/>
      <c r="E23" s="32"/>
      <c r="J23" s="2" t="s">
        <v>194</v>
      </c>
      <c r="O23" s="23"/>
      <c r="P23" s="33"/>
      <c r="Q23" s="97" t="s">
        <v>180</v>
      </c>
      <c r="R23" s="98"/>
      <c r="S23" s="98"/>
      <c r="T23" s="98"/>
      <c r="U23" s="98"/>
      <c r="V23" s="99"/>
    </row>
    <row r="24" spans="1:29" ht="14.25" customHeight="1">
      <c r="B24" s="18" t="s">
        <v>195</v>
      </c>
      <c r="C24" s="18" t="s">
        <v>195</v>
      </c>
      <c r="D24" s="32" t="s">
        <v>195</v>
      </c>
      <c r="E24" s="32" t="s">
        <v>195</v>
      </c>
      <c r="O24" s="25"/>
      <c r="P24" s="34"/>
      <c r="Q24" s="27">
        <v>1</v>
      </c>
      <c r="R24" s="27">
        <v>2</v>
      </c>
      <c r="S24" s="27">
        <v>3</v>
      </c>
      <c r="T24" s="27">
        <v>4</v>
      </c>
      <c r="U24" s="27">
        <v>5</v>
      </c>
      <c r="V24" s="26">
        <v>6</v>
      </c>
    </row>
    <row r="25" spans="1:29" ht="14.25" customHeight="1">
      <c r="B25" s="18">
        <v>2</v>
      </c>
      <c r="C25" s="18">
        <v>2</v>
      </c>
      <c r="D25" s="32">
        <v>2</v>
      </c>
      <c r="E25" s="32">
        <v>2</v>
      </c>
      <c r="J25" s="2" t="s">
        <v>196</v>
      </c>
      <c r="O25" s="100" t="s">
        <v>182</v>
      </c>
      <c r="P25" s="25">
        <v>1</v>
      </c>
      <c r="Q25" s="18">
        <f t="shared" ref="Q25:V25" si="2">$P25*Q$24</f>
        <v>1</v>
      </c>
      <c r="R25" s="18">
        <f t="shared" si="2"/>
        <v>2</v>
      </c>
      <c r="S25" s="18">
        <f t="shared" si="2"/>
        <v>3</v>
      </c>
      <c r="T25" s="18">
        <f t="shared" si="2"/>
        <v>4</v>
      </c>
      <c r="U25" s="18">
        <f t="shared" si="2"/>
        <v>5</v>
      </c>
      <c r="V25" s="28">
        <f t="shared" si="2"/>
        <v>6</v>
      </c>
    </row>
    <row r="26" spans="1:29" ht="14.25" customHeight="1">
      <c r="B26" s="18">
        <v>3</v>
      </c>
      <c r="C26" s="18">
        <v>3</v>
      </c>
      <c r="D26" s="32">
        <v>3</v>
      </c>
      <c r="E26" s="32">
        <v>3</v>
      </c>
      <c r="O26" s="101"/>
      <c r="P26" s="25">
        <v>2</v>
      </c>
      <c r="Q26" s="18">
        <f t="shared" ref="Q26:V26" si="3">$P26*Q$24</f>
        <v>2</v>
      </c>
      <c r="R26" s="18">
        <f t="shared" si="3"/>
        <v>4</v>
      </c>
      <c r="S26" s="18">
        <f t="shared" si="3"/>
        <v>6</v>
      </c>
      <c r="T26" s="18">
        <f t="shared" si="3"/>
        <v>8</v>
      </c>
      <c r="U26" s="18">
        <f t="shared" si="3"/>
        <v>10</v>
      </c>
      <c r="V26" s="28">
        <f t="shared" si="3"/>
        <v>12</v>
      </c>
    </row>
    <row r="27" spans="1:29" ht="14.25" customHeight="1">
      <c r="B27" s="18">
        <v>4</v>
      </c>
      <c r="C27" s="18">
        <v>4</v>
      </c>
      <c r="D27" s="32">
        <v>4</v>
      </c>
      <c r="E27" s="32">
        <v>4</v>
      </c>
      <c r="O27" s="101"/>
      <c r="P27" s="25">
        <v>3</v>
      </c>
      <c r="Q27" s="18">
        <f t="shared" ref="Q27:V27" si="4">$P27*Q$24</f>
        <v>3</v>
      </c>
      <c r="R27" s="18">
        <f t="shared" si="4"/>
        <v>6</v>
      </c>
      <c r="S27" s="18">
        <f t="shared" si="4"/>
        <v>9</v>
      </c>
      <c r="T27" s="18">
        <f t="shared" si="4"/>
        <v>12</v>
      </c>
      <c r="U27" s="18">
        <f t="shared" si="4"/>
        <v>15</v>
      </c>
      <c r="V27" s="28">
        <f t="shared" si="4"/>
        <v>18</v>
      </c>
    </row>
    <row r="28" spans="1:29" ht="14.25" customHeight="1">
      <c r="B28" s="18">
        <v>5</v>
      </c>
      <c r="C28" s="18">
        <v>5</v>
      </c>
      <c r="D28" s="32">
        <v>5</v>
      </c>
      <c r="E28" s="32">
        <v>5</v>
      </c>
      <c r="O28" s="101"/>
      <c r="P28" s="25">
        <v>4</v>
      </c>
      <c r="Q28" s="18">
        <f t="shared" ref="Q28:V28" si="5">$P28*Q$24</f>
        <v>4</v>
      </c>
      <c r="R28" s="18">
        <f t="shared" si="5"/>
        <v>8</v>
      </c>
      <c r="S28" s="18">
        <f t="shared" si="5"/>
        <v>12</v>
      </c>
      <c r="T28" s="18">
        <f t="shared" si="5"/>
        <v>16</v>
      </c>
      <c r="U28" s="18">
        <f t="shared" si="5"/>
        <v>20</v>
      </c>
      <c r="V28" s="28">
        <f t="shared" si="5"/>
        <v>24</v>
      </c>
    </row>
    <row r="29" spans="1:29" ht="14.25" customHeight="1">
      <c r="B29" s="18">
        <v>6</v>
      </c>
      <c r="C29" s="18">
        <v>6</v>
      </c>
      <c r="D29" s="32">
        <v>6</v>
      </c>
      <c r="E29" s="32">
        <v>6</v>
      </c>
      <c r="O29" s="101"/>
      <c r="P29" s="25">
        <v>5</v>
      </c>
      <c r="Q29" s="18">
        <f t="shared" ref="Q29:V29" si="6">$P29*Q$24</f>
        <v>5</v>
      </c>
      <c r="R29" s="18">
        <f t="shared" si="6"/>
        <v>10</v>
      </c>
      <c r="S29" s="18">
        <f t="shared" si="6"/>
        <v>15</v>
      </c>
      <c r="T29" s="18">
        <f t="shared" si="6"/>
        <v>20</v>
      </c>
      <c r="U29" s="18">
        <f t="shared" si="6"/>
        <v>25</v>
      </c>
      <c r="V29" s="28">
        <f t="shared" si="6"/>
        <v>30</v>
      </c>
      <c r="AB29" s="35"/>
      <c r="AC29" s="35"/>
    </row>
    <row r="30" spans="1:29" ht="14.25" customHeight="1">
      <c r="B30" s="18">
        <v>7</v>
      </c>
      <c r="C30" s="18">
        <v>7</v>
      </c>
      <c r="D30" s="32">
        <v>7</v>
      </c>
      <c r="E30" s="32">
        <v>7</v>
      </c>
      <c r="O30" s="102"/>
      <c r="P30" s="36">
        <v>6</v>
      </c>
      <c r="Q30" s="31">
        <f t="shared" ref="Q30:V30" si="7">$P30*Q$24</f>
        <v>6</v>
      </c>
      <c r="R30" s="31">
        <f t="shared" si="7"/>
        <v>12</v>
      </c>
      <c r="S30" s="31">
        <f t="shared" si="7"/>
        <v>18</v>
      </c>
      <c r="T30" s="31">
        <f t="shared" si="7"/>
        <v>24</v>
      </c>
      <c r="U30" s="31">
        <f t="shared" si="7"/>
        <v>30</v>
      </c>
      <c r="V30" s="30">
        <f t="shared" si="7"/>
        <v>36</v>
      </c>
    </row>
    <row r="31" spans="1:29" ht="14.25" customHeight="1">
      <c r="B31" s="18">
        <v>8</v>
      </c>
      <c r="C31" s="18">
        <v>8</v>
      </c>
      <c r="D31" s="32">
        <v>8</v>
      </c>
      <c r="E31" s="32">
        <v>8</v>
      </c>
    </row>
    <row r="32" spans="1:29" ht="14.25" customHeight="1">
      <c r="B32" s="18">
        <v>9</v>
      </c>
      <c r="C32" s="18">
        <v>9</v>
      </c>
      <c r="D32" s="32">
        <v>9</v>
      </c>
      <c r="E32" s="32">
        <v>9</v>
      </c>
    </row>
    <row r="33" spans="2:36" ht="14.25" customHeight="1">
      <c r="B33" s="18">
        <v>10</v>
      </c>
      <c r="C33" s="18">
        <v>10</v>
      </c>
      <c r="D33" s="32">
        <v>10</v>
      </c>
      <c r="E33" s="32">
        <v>10</v>
      </c>
    </row>
    <row r="34" spans="2:36" ht="14.25" customHeight="1">
      <c r="B34" s="18" t="s">
        <v>197</v>
      </c>
      <c r="C34" s="18" t="s">
        <v>197</v>
      </c>
      <c r="D34" s="32" t="s">
        <v>197</v>
      </c>
      <c r="E34" s="32" t="s">
        <v>197</v>
      </c>
    </row>
    <row r="35" spans="2:36" ht="14.25" customHeight="1">
      <c r="B35" s="18" t="s">
        <v>198</v>
      </c>
      <c r="C35" s="18" t="s">
        <v>198</v>
      </c>
      <c r="D35" s="32" t="s">
        <v>198</v>
      </c>
      <c r="E35" s="32" t="s">
        <v>198</v>
      </c>
    </row>
    <row r="36" spans="2:36" ht="14.25" customHeight="1">
      <c r="B36" s="18" t="s">
        <v>199</v>
      </c>
      <c r="C36" s="18" t="s">
        <v>199</v>
      </c>
      <c r="D36" s="32" t="s">
        <v>199</v>
      </c>
      <c r="E36" s="32" t="s">
        <v>199</v>
      </c>
    </row>
    <row r="37" spans="2:36" ht="14.25" customHeight="1"/>
    <row r="38" spans="2:36" ht="14.25" customHeight="1">
      <c r="B38" s="18" t="s">
        <v>200</v>
      </c>
      <c r="J38" s="95"/>
      <c r="K38" s="96"/>
      <c r="L38" s="96"/>
      <c r="M38" s="96"/>
      <c r="N38" s="96"/>
      <c r="O38" s="96"/>
      <c r="P38" s="96"/>
      <c r="Q38" s="96"/>
      <c r="R38" s="15"/>
      <c r="S38" s="15"/>
      <c r="T38" s="15"/>
      <c r="U38" s="15"/>
      <c r="V38" s="15"/>
      <c r="W38" s="15"/>
      <c r="X38" s="15"/>
      <c r="Y38" s="15"/>
      <c r="Z38" s="15"/>
      <c r="AA38" s="15"/>
      <c r="AD38" s="15"/>
      <c r="AE38" s="15"/>
      <c r="AF38" s="15"/>
    </row>
    <row r="39" spans="2:36" ht="14.25" customHeight="1"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D39" s="15"/>
      <c r="AE39" s="15"/>
      <c r="AF39" s="15"/>
      <c r="AI39" s="35"/>
      <c r="AJ39" s="35"/>
    </row>
    <row r="40" spans="2:36" ht="14.25" customHeight="1"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D40" s="15"/>
      <c r="AE40" s="15"/>
      <c r="AF40" s="15"/>
    </row>
    <row r="41" spans="2:36" ht="14.25" customHeight="1"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D41" s="15"/>
      <c r="AE41" s="15"/>
      <c r="AF41" s="15"/>
    </row>
    <row r="42" spans="2:36" ht="14.25" customHeight="1"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2:36" ht="14.25" customHeight="1"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2:36" ht="14.25" customHeight="1"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2:36" ht="14.25" customHeight="1"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37"/>
      <c r="Z45" s="15"/>
      <c r="AA45" s="15"/>
      <c r="AB45" s="15"/>
      <c r="AC45" s="15"/>
      <c r="AD45" s="15"/>
      <c r="AE45" s="15"/>
      <c r="AF45" s="15"/>
    </row>
    <row r="46" spans="2:36" ht="14.25" customHeight="1"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37"/>
      <c r="Z46" s="15"/>
      <c r="AA46" s="15"/>
      <c r="AB46" s="15"/>
      <c r="AC46" s="15"/>
      <c r="AD46" s="15"/>
      <c r="AE46" s="15"/>
      <c r="AF46" s="15"/>
    </row>
    <row r="47" spans="2:36" ht="14.25" customHeight="1"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2:36" ht="14.25" customHeight="1"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9:32" ht="14.25" customHeight="1"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9:32" ht="14.25" customHeight="1"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Z50" s="15"/>
      <c r="AA50" s="15"/>
      <c r="AB50" s="15"/>
      <c r="AC50" s="15"/>
      <c r="AD50" s="15"/>
      <c r="AE50" s="15"/>
      <c r="AF50" s="15"/>
    </row>
    <row r="51" spans="9:32" ht="14.25" customHeight="1"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9:32" ht="14.25" customHeight="1"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9:32" ht="14.25" customHeight="1"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9:32" ht="14.25" customHeight="1"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9:32" ht="14.25" customHeight="1"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9:32" ht="14.25" customHeight="1"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9:32" ht="14.25" customHeight="1"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9:32" ht="14.25" customHeight="1"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9:32" ht="14.25" customHeight="1"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9:32" ht="14.25" customHeight="1"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9:32" ht="14.25" customHeight="1">
      <c r="I61" s="38"/>
      <c r="J61" s="39"/>
      <c r="K61" s="38"/>
      <c r="L61" s="38"/>
      <c r="M61" s="38"/>
      <c r="N61" s="38"/>
      <c r="O61" s="38"/>
      <c r="P61" s="38"/>
      <c r="Q61" s="38"/>
      <c r="R61" s="38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9:32" ht="14.25" customHeight="1">
      <c r="I62" s="38"/>
      <c r="J62" s="39"/>
      <c r="K62" s="38"/>
      <c r="L62" s="38"/>
      <c r="M62" s="38"/>
      <c r="N62" s="38"/>
      <c r="O62" s="38"/>
      <c r="P62" s="38"/>
      <c r="Q62" s="38"/>
      <c r="R62" s="38"/>
    </row>
    <row r="63" spans="9:32" ht="14.25" customHeight="1"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9:32" ht="14.25" customHeight="1"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9:18" ht="14.25" customHeight="1"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9:18" ht="14.25" customHeight="1">
      <c r="I66" s="38"/>
      <c r="J66" s="39"/>
      <c r="K66" s="39"/>
      <c r="L66" s="39"/>
      <c r="M66" s="39"/>
      <c r="N66" s="39"/>
      <c r="O66" s="38"/>
      <c r="P66" s="38"/>
      <c r="Q66" s="38"/>
      <c r="R66" s="38"/>
    </row>
    <row r="67" spans="9:18" ht="14.25" customHeight="1"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9:18" ht="14.25" customHeight="1"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9:18" ht="14.25" customHeight="1"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9:18" ht="14.25" customHeight="1">
      <c r="I70" s="38"/>
      <c r="J70" s="39"/>
      <c r="K70" s="39"/>
      <c r="L70" s="39"/>
      <c r="M70" s="39"/>
      <c r="N70" s="39"/>
      <c r="O70" s="38"/>
      <c r="P70" s="38"/>
      <c r="Q70" s="38"/>
      <c r="R70" s="38"/>
    </row>
    <row r="71" spans="9:18" ht="14.25" customHeight="1">
      <c r="J71" s="40"/>
    </row>
    <row r="72" spans="9:18" ht="14.25" customHeight="1">
      <c r="I72" s="38"/>
      <c r="J72" s="38"/>
      <c r="K72" s="38"/>
      <c r="L72" s="38"/>
      <c r="M72" s="38"/>
      <c r="N72" s="38"/>
    </row>
    <row r="73" spans="9:18" ht="14.25" customHeight="1">
      <c r="I73" s="38"/>
      <c r="J73" s="38"/>
      <c r="K73" s="38"/>
      <c r="L73" s="38"/>
      <c r="M73" s="38"/>
      <c r="N73" s="38"/>
    </row>
    <row r="74" spans="9:18" ht="14.25" customHeight="1">
      <c r="J74" s="39"/>
      <c r="K74" s="41"/>
      <c r="L74" s="41"/>
      <c r="M74" s="41"/>
      <c r="N74" s="41"/>
    </row>
    <row r="75" spans="9:18" ht="14.25" customHeight="1">
      <c r="J75" s="40"/>
    </row>
    <row r="76" spans="9:18" ht="14.25" customHeight="1">
      <c r="J76" s="40"/>
    </row>
    <row r="77" spans="9:18" ht="14.25" customHeight="1">
      <c r="J77" s="40"/>
    </row>
    <row r="78" spans="9:18" ht="14.25" customHeight="1">
      <c r="J78" s="40"/>
    </row>
    <row r="79" spans="9:18" ht="14.25" customHeight="1">
      <c r="J79" s="40"/>
    </row>
    <row r="80" spans="9:18" ht="14.25" customHeight="1">
      <c r="J80" s="40"/>
    </row>
    <row r="81" spans="10:10" ht="14.25" customHeight="1">
      <c r="J81" s="40"/>
    </row>
    <row r="82" spans="10:10" ht="14.25" customHeight="1">
      <c r="J82" s="40"/>
    </row>
    <row r="83" spans="10:10" ht="14.25" customHeight="1">
      <c r="J83" s="40"/>
    </row>
    <row r="84" spans="10:10" ht="14.25" customHeight="1"/>
    <row r="85" spans="10:10" ht="14.25" customHeight="1"/>
    <row r="86" spans="10:10" ht="14.25" customHeight="1"/>
    <row r="87" spans="10:10" ht="14.25" customHeight="1"/>
    <row r="88" spans="10:10" ht="14.25" customHeight="1"/>
    <row r="89" spans="10:10" ht="14.25" customHeight="1"/>
    <row r="90" spans="10:10" ht="14.25" customHeight="1"/>
    <row r="91" spans="10:10" ht="14.25" customHeight="1"/>
    <row r="92" spans="10:10" ht="14.25" customHeight="1"/>
    <row r="93" spans="10:10" ht="14.25" customHeight="1"/>
    <row r="94" spans="10:10" ht="14.25" customHeight="1"/>
    <row r="95" spans="10:10" ht="14.25" customHeight="1"/>
    <row r="96" spans="10:10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Q14:V14"/>
    <mergeCell ref="O16:O21"/>
    <mergeCell ref="Q23:V23"/>
    <mergeCell ref="O25:O30"/>
    <mergeCell ref="J38:Q38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/>
  </sheetViews>
  <sheetFormatPr defaultColWidth="14.44140625" defaultRowHeight="15" customHeight="1"/>
  <cols>
    <col min="1" max="4" width="13.6640625" customWidth="1"/>
    <col min="5" max="5" width="41" customWidth="1"/>
    <col min="6" max="6" width="18.88671875" customWidth="1"/>
    <col min="7" max="7" width="17" customWidth="1"/>
    <col min="8" max="8" width="54.33203125" customWidth="1"/>
    <col min="9" max="15" width="13.6640625" customWidth="1"/>
    <col min="16" max="26" width="8.6640625" customWidth="1"/>
  </cols>
  <sheetData>
    <row r="1" spans="1:15" ht="14.25" customHeight="1">
      <c r="A1" s="2" t="s">
        <v>201</v>
      </c>
    </row>
    <row r="2" spans="1:15" ht="14.25" customHeight="1">
      <c r="A2" s="2" t="s">
        <v>202</v>
      </c>
    </row>
    <row r="3" spans="1:15" ht="14.25" customHeight="1">
      <c r="A3" s="2" t="s">
        <v>203</v>
      </c>
    </row>
    <row r="4" spans="1:15" ht="14.25" customHeight="1">
      <c r="A4" s="2">
        <v>1</v>
      </c>
      <c r="B4" s="2">
        <f t="shared" ref="B4:B9" si="0">1/6</f>
        <v>0.16666666666666666</v>
      </c>
    </row>
    <row r="5" spans="1:15" ht="14.25" customHeight="1">
      <c r="A5" s="2">
        <v>2</v>
      </c>
      <c r="B5" s="2">
        <f t="shared" si="0"/>
        <v>0.16666666666666666</v>
      </c>
      <c r="D5" s="2" t="s">
        <v>204</v>
      </c>
    </row>
    <row r="6" spans="1:15" ht="14.25" customHeight="1">
      <c r="A6" s="2">
        <v>3</v>
      </c>
      <c r="B6" s="2">
        <f t="shared" si="0"/>
        <v>0.16666666666666666</v>
      </c>
    </row>
    <row r="7" spans="1:15" ht="14.25" customHeight="1">
      <c r="A7" s="2">
        <v>4</v>
      </c>
      <c r="B7" s="2">
        <f t="shared" si="0"/>
        <v>0.16666666666666666</v>
      </c>
    </row>
    <row r="8" spans="1:15" ht="14.25" customHeight="1">
      <c r="A8" s="2">
        <v>5</v>
      </c>
      <c r="B8" s="2">
        <f t="shared" si="0"/>
        <v>0.16666666666666666</v>
      </c>
      <c r="D8" s="2" t="s">
        <v>205</v>
      </c>
      <c r="E8" s="2">
        <f>3/6</f>
        <v>0.5</v>
      </c>
      <c r="G8" s="2" t="s">
        <v>206</v>
      </c>
    </row>
    <row r="9" spans="1:15" ht="14.25" customHeight="1">
      <c r="A9" s="2">
        <v>6</v>
      </c>
      <c r="B9" s="2">
        <f t="shared" si="0"/>
        <v>0.16666666666666666</v>
      </c>
      <c r="G9" s="2" t="s">
        <v>207</v>
      </c>
    </row>
    <row r="10" spans="1:15" ht="14.25" customHeight="1">
      <c r="B10" s="2">
        <f>SUM(B4:B9)</f>
        <v>0.99999999999999989</v>
      </c>
      <c r="D10" s="2" t="s">
        <v>208</v>
      </c>
      <c r="E10" s="2">
        <f>3/6</f>
        <v>0.5</v>
      </c>
    </row>
    <row r="11" spans="1:15" ht="14.25" customHeight="1">
      <c r="D11" s="2" t="s">
        <v>209</v>
      </c>
      <c r="E11" s="2">
        <f>5/6</f>
        <v>0.83333333333333337</v>
      </c>
    </row>
    <row r="12" spans="1:15" ht="14.25" customHeight="1">
      <c r="K12" s="2">
        <v>0</v>
      </c>
      <c r="L12" s="2">
        <v>0.25</v>
      </c>
      <c r="M12" s="2">
        <v>0.5</v>
      </c>
      <c r="N12" s="2">
        <v>0.75</v>
      </c>
      <c r="O12" s="2">
        <v>1</v>
      </c>
    </row>
    <row r="13" spans="1:15" ht="14.25" customHeight="1">
      <c r="B13" s="2" t="s">
        <v>210</v>
      </c>
      <c r="D13" s="2" t="s">
        <v>211</v>
      </c>
      <c r="F13" s="2" t="s">
        <v>212</v>
      </c>
      <c r="G13" s="2" t="s">
        <v>213</v>
      </c>
      <c r="K13" s="2" t="s">
        <v>214</v>
      </c>
      <c r="M13" s="2" t="s">
        <v>215</v>
      </c>
      <c r="O13" s="2" t="s">
        <v>216</v>
      </c>
    </row>
    <row r="14" spans="1:15" ht="14.25" customHeight="1">
      <c r="D14" s="2" t="s">
        <v>217</v>
      </c>
      <c r="K14" s="2" t="s">
        <v>218</v>
      </c>
      <c r="O14" s="2" t="s">
        <v>219</v>
      </c>
    </row>
    <row r="15" spans="1:15" ht="14.25" customHeight="1">
      <c r="A15" s="2" t="s">
        <v>220</v>
      </c>
      <c r="B15" s="2">
        <v>0</v>
      </c>
      <c r="C15" s="2">
        <f t="shared" ref="C15:C25" si="1">_xlfn.BINOM.DIST(B15,10,0.5,FALSE)</f>
        <v>9.765625E-4</v>
      </c>
      <c r="D15" s="2">
        <f>C15</f>
        <v>9.765625E-4</v>
      </c>
    </row>
    <row r="16" spans="1:15" ht="14.25" customHeight="1">
      <c r="B16" s="2">
        <v>1</v>
      </c>
      <c r="C16" s="2">
        <f t="shared" si="1"/>
        <v>9.7656250000000017E-3</v>
      </c>
      <c r="D16" s="2">
        <f t="shared" ref="D16:D25" si="2">D15+C16</f>
        <v>1.0742187500000002E-2</v>
      </c>
      <c r="F16" s="2" t="s">
        <v>221</v>
      </c>
      <c r="H16" s="2">
        <f>_xlfn.BINOM.DIST(4, 10, 0.5, TRUE)</f>
        <v>0.376953125</v>
      </c>
      <c r="I16" s="2" t="s">
        <v>222</v>
      </c>
      <c r="J16" s="2" t="s">
        <v>223</v>
      </c>
    </row>
    <row r="17" spans="2:12" ht="14.25" customHeight="1">
      <c r="B17" s="2">
        <v>2</v>
      </c>
      <c r="C17" s="2">
        <f t="shared" si="1"/>
        <v>4.3945312499999972E-2</v>
      </c>
      <c r="D17" s="2">
        <f t="shared" si="2"/>
        <v>5.4687499999999972E-2</v>
      </c>
      <c r="F17" s="2" t="s">
        <v>224</v>
      </c>
      <c r="H17" s="2">
        <f>_xlfn.BINOM.DIST(6,10,0.5,TRUE)</f>
        <v>0.828125</v>
      </c>
      <c r="I17" s="2" t="s">
        <v>225</v>
      </c>
      <c r="J17" s="2" t="s">
        <v>226</v>
      </c>
    </row>
    <row r="18" spans="2:12" ht="14.25" customHeight="1">
      <c r="B18" s="2">
        <v>3</v>
      </c>
      <c r="C18" s="2">
        <f t="shared" si="1"/>
        <v>0.11718750000000003</v>
      </c>
      <c r="D18" s="2">
        <f t="shared" si="2"/>
        <v>0.171875</v>
      </c>
      <c r="J18" s="2" t="s">
        <v>227</v>
      </c>
    </row>
    <row r="19" spans="2:12" ht="14.25" customHeight="1">
      <c r="B19" s="2">
        <v>4</v>
      </c>
      <c r="C19" s="2">
        <f t="shared" si="1"/>
        <v>0.20507812500000006</v>
      </c>
      <c r="D19" s="2">
        <f t="shared" si="2"/>
        <v>0.37695312500000006</v>
      </c>
      <c r="F19" s="2" t="s">
        <v>228</v>
      </c>
      <c r="H19" s="2">
        <f>1 - _xlfn.BINOM.DIST(6,10,0.5,TRUE)</f>
        <v>0.171875</v>
      </c>
      <c r="I19" s="2" t="s">
        <v>229</v>
      </c>
    </row>
    <row r="20" spans="2:12" ht="14.25" customHeight="1">
      <c r="B20" s="2">
        <v>5</v>
      </c>
      <c r="C20" s="2">
        <f t="shared" si="1"/>
        <v>0.24609375000000008</v>
      </c>
      <c r="D20" s="2">
        <f t="shared" si="2"/>
        <v>0.62304687500000011</v>
      </c>
    </row>
    <row r="21" spans="2:12" ht="14.25" customHeight="1">
      <c r="B21" s="2">
        <v>6</v>
      </c>
      <c r="C21" s="2">
        <f t="shared" si="1"/>
        <v>0.20507812500000006</v>
      </c>
      <c r="D21" s="2">
        <f t="shared" si="2"/>
        <v>0.82812500000000022</v>
      </c>
      <c r="J21" s="2" t="s">
        <v>230</v>
      </c>
      <c r="K21" s="2" t="s">
        <v>231</v>
      </c>
    </row>
    <row r="22" spans="2:12" ht="14.25" customHeight="1">
      <c r="B22" s="2">
        <v>7</v>
      </c>
      <c r="C22" s="2">
        <f t="shared" si="1"/>
        <v>0.11718750000000003</v>
      </c>
      <c r="D22" s="2">
        <f t="shared" si="2"/>
        <v>0.94531250000000022</v>
      </c>
      <c r="J22" s="2">
        <v>4</v>
      </c>
      <c r="K22" s="2">
        <v>1</v>
      </c>
      <c r="L22" s="2">
        <v>5</v>
      </c>
    </row>
    <row r="23" spans="2:12" ht="14.25" customHeight="1">
      <c r="B23" s="2">
        <v>8</v>
      </c>
      <c r="C23" s="2">
        <f t="shared" si="1"/>
        <v>4.3945312499999986E-2</v>
      </c>
      <c r="D23" s="2">
        <f t="shared" si="2"/>
        <v>0.98925781250000022</v>
      </c>
      <c r="F23" s="2" t="s">
        <v>232</v>
      </c>
      <c r="G23" s="2">
        <v>78</v>
      </c>
      <c r="H23" s="2">
        <v>0.78</v>
      </c>
      <c r="J23" s="2">
        <v>1</v>
      </c>
      <c r="K23" s="2">
        <v>4</v>
      </c>
      <c r="L23" s="2">
        <v>5</v>
      </c>
    </row>
    <row r="24" spans="2:12" ht="14.25" customHeight="1">
      <c r="B24" s="2">
        <v>9</v>
      </c>
      <c r="C24" s="2">
        <f t="shared" si="1"/>
        <v>9.7656250000000017E-3</v>
      </c>
      <c r="D24" s="2">
        <f t="shared" si="2"/>
        <v>0.99902343750000022</v>
      </c>
      <c r="F24" s="2" t="s">
        <v>233</v>
      </c>
      <c r="G24" s="2">
        <v>22</v>
      </c>
      <c r="H24" s="2">
        <v>0.22</v>
      </c>
    </row>
    <row r="25" spans="2:12" ht="14.25" customHeight="1">
      <c r="B25" s="2">
        <v>10</v>
      </c>
      <c r="C25" s="2">
        <f t="shared" si="1"/>
        <v>9.765625E-4</v>
      </c>
      <c r="D25" s="2">
        <f t="shared" si="2"/>
        <v>1.0000000000000002</v>
      </c>
    </row>
    <row r="26" spans="2:12" ht="14.25" customHeight="1">
      <c r="C26" s="2">
        <f>SUM(C15:C25)</f>
        <v>1.0000000000000002</v>
      </c>
    </row>
    <row r="27" spans="2:12" ht="14.25" customHeight="1"/>
    <row r="28" spans="2:12" ht="14.25" customHeight="1">
      <c r="B28" s="2" t="s">
        <v>232</v>
      </c>
      <c r="C28" s="2">
        <v>0.7</v>
      </c>
      <c r="E28" s="2" t="s">
        <v>233</v>
      </c>
      <c r="F28" s="2">
        <v>0.3</v>
      </c>
    </row>
    <row r="29" spans="2:12" ht="14.25" customHeight="1"/>
    <row r="30" spans="2:12" ht="14.25" customHeight="1">
      <c r="C30" s="2">
        <v>0</v>
      </c>
      <c r="D30" s="2">
        <f t="shared" ref="D30:D35" si="3">_xlfn.BINOM.DIST(C30,5,0.3,FALSE)</f>
        <v>0.16806999999999997</v>
      </c>
    </row>
    <row r="31" spans="2:12" ht="14.25" customHeight="1">
      <c r="C31" s="2">
        <v>1</v>
      </c>
      <c r="D31" s="2">
        <f t="shared" si="3"/>
        <v>0.36014999999999997</v>
      </c>
    </row>
    <row r="32" spans="2:12" ht="14.25" customHeight="1">
      <c r="C32" s="2">
        <v>2</v>
      </c>
      <c r="D32" s="2">
        <f t="shared" si="3"/>
        <v>0.30869999999999997</v>
      </c>
    </row>
    <row r="33" spans="2:14" ht="14.25" customHeight="1">
      <c r="C33" s="2">
        <v>3</v>
      </c>
      <c r="D33" s="2">
        <f t="shared" si="3"/>
        <v>0.13230000000000006</v>
      </c>
    </row>
    <row r="34" spans="2:14" ht="14.25" customHeight="1">
      <c r="C34" s="2">
        <v>4</v>
      </c>
      <c r="D34" s="2">
        <f t="shared" si="3"/>
        <v>2.8350000000000011E-2</v>
      </c>
    </row>
    <row r="35" spans="2:14" ht="14.25" customHeight="1">
      <c r="C35" s="2">
        <v>5</v>
      </c>
      <c r="D35" s="2">
        <f t="shared" si="3"/>
        <v>2.429999999999999E-3</v>
      </c>
    </row>
    <row r="36" spans="2:14" ht="14.25" customHeight="1">
      <c r="D36" s="2">
        <f>SUM(D30:D35)</f>
        <v>1</v>
      </c>
    </row>
    <row r="37" spans="2:14" ht="14.25" customHeight="1"/>
    <row r="38" spans="2:14" ht="14.25" customHeight="1"/>
    <row r="39" spans="2:14" ht="14.25" customHeight="1">
      <c r="B39" s="2" t="s">
        <v>234</v>
      </c>
      <c r="C39" s="2" t="s">
        <v>235</v>
      </c>
      <c r="D39" s="2" t="s">
        <v>236</v>
      </c>
      <c r="F39" s="2" t="s">
        <v>237</v>
      </c>
      <c r="G39" s="2" t="s">
        <v>238</v>
      </c>
    </row>
    <row r="40" spans="2:14" ht="14.25" customHeight="1">
      <c r="B40" s="2">
        <v>0</v>
      </c>
      <c r="C40" s="2">
        <f t="shared" ref="C40:C50" si="4">10-B40</f>
        <v>10</v>
      </c>
      <c r="D40" s="2">
        <f t="shared" ref="D40:D50" si="5">_xlfn.BINOM.DIST(B40,10,0.5,FALSE)</f>
        <v>9.765625E-4</v>
      </c>
      <c r="F40" s="2">
        <f>_xlfn.BINOM.DIST(0,5,0.7,FALSE)</f>
        <v>2.4300000000000012E-3</v>
      </c>
      <c r="G40" s="2">
        <f>_xlfn.BINOM.DIST(0,5,0.3,FALSE)</f>
        <v>0.16806999999999997</v>
      </c>
    </row>
    <row r="41" spans="2:14" ht="14.25" customHeight="1">
      <c r="B41" s="2">
        <v>1</v>
      </c>
      <c r="C41" s="2">
        <f t="shared" si="4"/>
        <v>9</v>
      </c>
      <c r="D41" s="2">
        <f t="shared" si="5"/>
        <v>9.7656250000000017E-3</v>
      </c>
    </row>
    <row r="42" spans="2:14" ht="14.25" customHeight="1">
      <c r="B42" s="2">
        <v>2</v>
      </c>
      <c r="C42" s="2">
        <f t="shared" si="4"/>
        <v>8</v>
      </c>
      <c r="D42" s="2">
        <f t="shared" si="5"/>
        <v>4.3945312499999972E-2</v>
      </c>
    </row>
    <row r="43" spans="2:14" ht="14.25" customHeight="1">
      <c r="B43" s="2">
        <v>3</v>
      </c>
      <c r="C43" s="2">
        <f t="shared" si="4"/>
        <v>7</v>
      </c>
      <c r="D43" s="2">
        <f t="shared" si="5"/>
        <v>0.11718750000000003</v>
      </c>
      <c r="M43" s="2">
        <f>_xlfn.BINOM.DIST(5,15,0.5,TRUE)</f>
        <v>0.15087890625000006</v>
      </c>
      <c r="N43" s="2" t="s">
        <v>239</v>
      </c>
    </row>
    <row r="44" spans="2:14" ht="14.25" customHeight="1">
      <c r="B44" s="2">
        <v>4</v>
      </c>
      <c r="C44" s="2">
        <f t="shared" si="4"/>
        <v>6</v>
      </c>
      <c r="D44" s="2">
        <f t="shared" si="5"/>
        <v>0.20507812500000006</v>
      </c>
      <c r="F44" s="2" t="s">
        <v>240</v>
      </c>
      <c r="G44" s="2">
        <f>_xlfn.BINOM.DIST(4, 10, 0.5, TRUE)</f>
        <v>0.376953125</v>
      </c>
    </row>
    <row r="45" spans="2:14" ht="14.25" customHeight="1">
      <c r="B45" s="2">
        <v>5</v>
      </c>
      <c r="C45" s="2">
        <f t="shared" si="4"/>
        <v>5</v>
      </c>
      <c r="D45" s="2">
        <f t="shared" si="5"/>
        <v>0.24609375000000008</v>
      </c>
      <c r="F45" s="2" t="s">
        <v>241</v>
      </c>
      <c r="G45" s="2">
        <f>1 - _xlfn.BINOM.DIST(5,10,0.5,TRUE)</f>
        <v>0.376953125</v>
      </c>
      <c r="M45" s="2">
        <f>_xlfn.BINOM.DIST(4,15,0.5,TRUE)</f>
        <v>5.9234619140625007E-2</v>
      </c>
      <c r="N45" s="2" t="s">
        <v>242</v>
      </c>
    </row>
    <row r="46" spans="2:14" ht="14.25" customHeight="1">
      <c r="B46" s="2">
        <v>6</v>
      </c>
      <c r="C46" s="2">
        <f t="shared" si="4"/>
        <v>4</v>
      </c>
      <c r="D46" s="2">
        <f t="shared" si="5"/>
        <v>0.20507812500000006</v>
      </c>
      <c r="F46" s="2" t="s">
        <v>243</v>
      </c>
      <c r="G46" s="2">
        <f>1  - _xlfn.BINOM.DIST(2,10,0.5,TRUE)</f>
        <v>0.9453125</v>
      </c>
    </row>
    <row r="47" spans="2:14" ht="14.25" customHeight="1">
      <c r="B47" s="2">
        <v>7</v>
      </c>
      <c r="C47" s="2">
        <f t="shared" si="4"/>
        <v>3</v>
      </c>
      <c r="D47" s="2">
        <f t="shared" si="5"/>
        <v>0.11718750000000003</v>
      </c>
    </row>
    <row r="48" spans="2:14" ht="14.25" customHeight="1">
      <c r="B48" s="2">
        <v>8</v>
      </c>
      <c r="C48" s="2">
        <f t="shared" si="4"/>
        <v>2</v>
      </c>
      <c r="D48" s="2">
        <f t="shared" si="5"/>
        <v>4.3945312499999986E-2</v>
      </c>
    </row>
    <row r="49" spans="1:14" ht="14.25" customHeight="1">
      <c r="B49" s="2">
        <v>9</v>
      </c>
      <c r="C49" s="2">
        <f t="shared" si="4"/>
        <v>1</v>
      </c>
      <c r="D49" s="2">
        <f t="shared" si="5"/>
        <v>9.7656250000000017E-3</v>
      </c>
    </row>
    <row r="50" spans="1:14" ht="14.25" customHeight="1">
      <c r="B50" s="2">
        <v>10</v>
      </c>
      <c r="C50" s="2">
        <f t="shared" si="4"/>
        <v>0</v>
      </c>
      <c r="D50" s="2">
        <f t="shared" si="5"/>
        <v>9.765625E-4</v>
      </c>
    </row>
    <row r="51" spans="1:14" ht="14.25" customHeight="1">
      <c r="D51" s="2">
        <f>SUM(D40:D50)</f>
        <v>1.0000000000000002</v>
      </c>
    </row>
    <row r="52" spans="1:14" ht="14.25" customHeight="1"/>
    <row r="53" spans="1:14" ht="14.25" customHeight="1"/>
    <row r="54" spans="1:14" ht="14.25" customHeight="1"/>
    <row r="55" spans="1:14" ht="14.25" customHeight="1">
      <c r="H55" s="2" t="s">
        <v>196</v>
      </c>
    </row>
    <row r="56" spans="1:14" ht="14.25" customHeight="1">
      <c r="C56" s="2" t="s">
        <v>230</v>
      </c>
    </row>
    <row r="57" spans="1:14" ht="14.25" customHeight="1">
      <c r="C57" s="2">
        <v>1</v>
      </c>
      <c r="D57" s="2">
        <v>2</v>
      </c>
      <c r="E57" s="2">
        <v>3</v>
      </c>
      <c r="F57" s="2">
        <v>4</v>
      </c>
      <c r="G57" s="2">
        <v>5</v>
      </c>
      <c r="H57" s="2">
        <v>6</v>
      </c>
    </row>
    <row r="58" spans="1:14" ht="14.25" customHeight="1">
      <c r="A58" s="2" t="s">
        <v>231</v>
      </c>
      <c r="B58" s="2">
        <v>1</v>
      </c>
      <c r="C58" s="2">
        <f t="shared" ref="C58:H58" si="6">$B58+C$57</f>
        <v>2</v>
      </c>
      <c r="D58" s="2">
        <f t="shared" si="6"/>
        <v>3</v>
      </c>
      <c r="E58" s="2">
        <f t="shared" si="6"/>
        <v>4</v>
      </c>
      <c r="F58" s="2">
        <f t="shared" si="6"/>
        <v>5</v>
      </c>
      <c r="G58" s="2">
        <f t="shared" si="6"/>
        <v>6</v>
      </c>
      <c r="H58" s="2">
        <f t="shared" si="6"/>
        <v>7</v>
      </c>
      <c r="K58" s="2" t="s">
        <v>244</v>
      </c>
      <c r="L58" s="2" t="s">
        <v>245</v>
      </c>
      <c r="M58" s="2" t="s">
        <v>246</v>
      </c>
      <c r="N58" s="2" t="s">
        <v>22</v>
      </c>
    </row>
    <row r="59" spans="1:14" ht="14.25" customHeight="1">
      <c r="B59" s="2">
        <v>2</v>
      </c>
      <c r="C59" s="2">
        <f t="shared" ref="C59:H59" si="7">$B59+C$57</f>
        <v>3</v>
      </c>
      <c r="D59" s="2">
        <f t="shared" si="7"/>
        <v>4</v>
      </c>
      <c r="E59" s="2">
        <f t="shared" si="7"/>
        <v>5</v>
      </c>
      <c r="F59" s="2">
        <f t="shared" si="7"/>
        <v>6</v>
      </c>
      <c r="G59" s="2">
        <f t="shared" si="7"/>
        <v>7</v>
      </c>
      <c r="H59" s="2">
        <f t="shared" si="7"/>
        <v>8</v>
      </c>
      <c r="K59" s="2">
        <v>1</v>
      </c>
      <c r="L59" s="2">
        <v>1</v>
      </c>
      <c r="M59" s="2">
        <v>1</v>
      </c>
      <c r="N59" s="2">
        <f t="shared" ref="N59:N72" si="8">SUM(K59:M59)</f>
        <v>3</v>
      </c>
    </row>
    <row r="60" spans="1:14" ht="14.25" customHeight="1">
      <c r="B60" s="2">
        <v>3</v>
      </c>
      <c r="C60" s="2">
        <f t="shared" ref="C60:H60" si="9">$B60+C$57</f>
        <v>4</v>
      </c>
      <c r="D60" s="2">
        <f t="shared" si="9"/>
        <v>5</v>
      </c>
      <c r="E60" s="2">
        <f t="shared" si="9"/>
        <v>6</v>
      </c>
      <c r="F60" s="2">
        <f t="shared" si="9"/>
        <v>7</v>
      </c>
      <c r="G60" s="2">
        <f t="shared" si="9"/>
        <v>8</v>
      </c>
      <c r="H60" s="2">
        <f t="shared" si="9"/>
        <v>9</v>
      </c>
      <c r="K60" s="2">
        <v>1</v>
      </c>
      <c r="L60" s="2">
        <v>1</v>
      </c>
      <c r="M60" s="2">
        <v>2</v>
      </c>
      <c r="N60" s="2">
        <f t="shared" si="8"/>
        <v>4</v>
      </c>
    </row>
    <row r="61" spans="1:14" ht="14.25" customHeight="1">
      <c r="B61" s="2">
        <v>4</v>
      </c>
      <c r="C61" s="2">
        <f t="shared" ref="C61:H61" si="10">$B61+C$57</f>
        <v>5</v>
      </c>
      <c r="D61" s="2">
        <f t="shared" si="10"/>
        <v>6</v>
      </c>
      <c r="E61" s="2">
        <f t="shared" si="10"/>
        <v>7</v>
      </c>
      <c r="F61" s="2">
        <f t="shared" si="10"/>
        <v>8</v>
      </c>
      <c r="G61" s="2">
        <f t="shared" si="10"/>
        <v>9</v>
      </c>
      <c r="H61" s="2">
        <f t="shared" si="10"/>
        <v>10</v>
      </c>
      <c r="K61" s="2">
        <v>1</v>
      </c>
      <c r="L61" s="2">
        <v>1</v>
      </c>
      <c r="M61" s="2">
        <v>3</v>
      </c>
      <c r="N61" s="2">
        <f t="shared" si="8"/>
        <v>5</v>
      </c>
    </row>
    <row r="62" spans="1:14" ht="14.25" customHeight="1">
      <c r="B62" s="2">
        <v>5</v>
      </c>
      <c r="C62" s="2">
        <f t="shared" ref="C62:H62" si="11">$B62+C$57</f>
        <v>6</v>
      </c>
      <c r="D62" s="2">
        <f t="shared" si="11"/>
        <v>7</v>
      </c>
      <c r="E62" s="2">
        <f t="shared" si="11"/>
        <v>8</v>
      </c>
      <c r="F62" s="2">
        <f t="shared" si="11"/>
        <v>9</v>
      </c>
      <c r="G62" s="2">
        <f t="shared" si="11"/>
        <v>10</v>
      </c>
      <c r="H62" s="2">
        <f t="shared" si="11"/>
        <v>11</v>
      </c>
      <c r="J62" s="2">
        <f>(COUNTIF(C58:H63,"&gt;=6"))/COUNT(C58:H63)</f>
        <v>0.72222222222222221</v>
      </c>
      <c r="K62" s="2">
        <v>1</v>
      </c>
      <c r="L62" s="2">
        <v>1</v>
      </c>
      <c r="M62" s="2">
        <v>4</v>
      </c>
      <c r="N62" s="2">
        <f t="shared" si="8"/>
        <v>6</v>
      </c>
    </row>
    <row r="63" spans="1:14" ht="14.25" customHeight="1">
      <c r="B63" s="2">
        <v>6</v>
      </c>
      <c r="C63" s="2">
        <f t="shared" ref="C63:H63" si="12">$B63+C$57</f>
        <v>7</v>
      </c>
      <c r="D63" s="2">
        <f t="shared" si="12"/>
        <v>8</v>
      </c>
      <c r="E63" s="2">
        <f t="shared" si="12"/>
        <v>9</v>
      </c>
      <c r="F63" s="2">
        <f t="shared" si="12"/>
        <v>10</v>
      </c>
      <c r="G63" s="2">
        <f t="shared" si="12"/>
        <v>11</v>
      </c>
      <c r="H63" s="2">
        <f t="shared" si="12"/>
        <v>12</v>
      </c>
      <c r="J63" s="2" t="s">
        <v>247</v>
      </c>
      <c r="K63" s="2">
        <v>1</v>
      </c>
      <c r="L63" s="2">
        <v>1</v>
      </c>
      <c r="M63" s="2">
        <v>5</v>
      </c>
      <c r="N63" s="2">
        <f t="shared" si="8"/>
        <v>7</v>
      </c>
    </row>
    <row r="64" spans="1:14" ht="14.25" customHeight="1">
      <c r="K64" s="2">
        <v>1</v>
      </c>
      <c r="L64" s="2">
        <v>1</v>
      </c>
      <c r="M64" s="2">
        <v>6</v>
      </c>
      <c r="N64" s="2">
        <f t="shared" si="8"/>
        <v>8</v>
      </c>
    </row>
    <row r="65" spans="1:14" ht="14.25" customHeight="1">
      <c r="K65" s="2">
        <v>1</v>
      </c>
      <c r="L65" s="2">
        <v>2</v>
      </c>
      <c r="M65" s="2">
        <v>1</v>
      </c>
      <c r="N65" s="2">
        <f t="shared" si="8"/>
        <v>4</v>
      </c>
    </row>
    <row r="66" spans="1:14" ht="14.25" customHeight="1">
      <c r="C66" s="2" t="s">
        <v>230</v>
      </c>
      <c r="K66" s="2">
        <v>1</v>
      </c>
      <c r="L66" s="2">
        <v>2</v>
      </c>
      <c r="M66" s="2">
        <v>2</v>
      </c>
      <c r="N66" s="2">
        <f t="shared" si="8"/>
        <v>5</v>
      </c>
    </row>
    <row r="67" spans="1:14" ht="14.25" customHeight="1">
      <c r="C67" s="2">
        <v>1</v>
      </c>
      <c r="D67" s="2">
        <v>2</v>
      </c>
      <c r="E67" s="2">
        <v>3</v>
      </c>
      <c r="F67" s="2">
        <v>4</v>
      </c>
      <c r="G67" s="2">
        <v>5</v>
      </c>
      <c r="H67" s="2">
        <v>6</v>
      </c>
      <c r="K67" s="2">
        <v>1</v>
      </c>
      <c r="L67" s="2">
        <v>2</v>
      </c>
      <c r="M67" s="2">
        <v>3</v>
      </c>
      <c r="N67" s="2">
        <f t="shared" si="8"/>
        <v>6</v>
      </c>
    </row>
    <row r="68" spans="1:14" ht="14.25" customHeight="1">
      <c r="A68" s="2" t="s">
        <v>231</v>
      </c>
      <c r="B68" s="2">
        <v>1</v>
      </c>
      <c r="C68" s="2">
        <f t="shared" ref="C68:H68" si="13">$B68*C$67</f>
        <v>1</v>
      </c>
      <c r="D68" s="2">
        <f t="shared" si="13"/>
        <v>2</v>
      </c>
      <c r="E68" s="2">
        <f t="shared" si="13"/>
        <v>3</v>
      </c>
      <c r="F68" s="2">
        <f t="shared" si="13"/>
        <v>4</v>
      </c>
      <c r="G68" s="2">
        <f t="shared" si="13"/>
        <v>5</v>
      </c>
      <c r="H68" s="2">
        <f t="shared" si="13"/>
        <v>6</v>
      </c>
      <c r="K68" s="2">
        <v>1</v>
      </c>
      <c r="L68" s="2">
        <v>2</v>
      </c>
      <c r="M68" s="2">
        <v>4</v>
      </c>
      <c r="N68" s="2">
        <f t="shared" si="8"/>
        <v>7</v>
      </c>
    </row>
    <row r="69" spans="1:14" ht="14.25" customHeight="1">
      <c r="B69" s="2">
        <v>2</v>
      </c>
      <c r="C69" s="2">
        <f t="shared" ref="C69:H69" si="14">$B69*C$67</f>
        <v>2</v>
      </c>
      <c r="D69" s="2">
        <f t="shared" si="14"/>
        <v>4</v>
      </c>
      <c r="E69" s="2">
        <f t="shared" si="14"/>
        <v>6</v>
      </c>
      <c r="F69" s="2">
        <f t="shared" si="14"/>
        <v>8</v>
      </c>
      <c r="G69" s="2">
        <f t="shared" si="14"/>
        <v>10</v>
      </c>
      <c r="H69" s="2">
        <f t="shared" si="14"/>
        <v>12</v>
      </c>
      <c r="K69" s="2">
        <v>1</v>
      </c>
      <c r="L69" s="2">
        <v>2</v>
      </c>
      <c r="M69" s="2">
        <v>5</v>
      </c>
      <c r="N69" s="2">
        <f t="shared" si="8"/>
        <v>8</v>
      </c>
    </row>
    <row r="70" spans="1:14" ht="14.25" customHeight="1">
      <c r="B70" s="2">
        <v>3</v>
      </c>
      <c r="C70" s="2">
        <f t="shared" ref="C70:H70" si="15">$B70*C$67</f>
        <v>3</v>
      </c>
      <c r="D70" s="2">
        <f t="shared" si="15"/>
        <v>6</v>
      </c>
      <c r="E70" s="2">
        <f t="shared" si="15"/>
        <v>9</v>
      </c>
      <c r="F70" s="2">
        <f t="shared" si="15"/>
        <v>12</v>
      </c>
      <c r="G70" s="2">
        <f t="shared" si="15"/>
        <v>15</v>
      </c>
      <c r="H70" s="2">
        <f t="shared" si="15"/>
        <v>18</v>
      </c>
      <c r="J70" s="2">
        <f>(COUNTIF(C68:H73,"&gt;=20"))/COUNT(C68:H73)</f>
        <v>0.22222222222222221</v>
      </c>
      <c r="K70" s="2">
        <v>1</v>
      </c>
      <c r="L70" s="2">
        <v>2</v>
      </c>
      <c r="M70" s="2">
        <v>6</v>
      </c>
      <c r="N70" s="2">
        <f t="shared" si="8"/>
        <v>9</v>
      </c>
    </row>
    <row r="71" spans="1:14" ht="14.25" customHeight="1">
      <c r="B71" s="2">
        <v>4</v>
      </c>
      <c r="C71" s="2">
        <f t="shared" ref="C71:H71" si="16">$B71*C$67</f>
        <v>4</v>
      </c>
      <c r="D71" s="2">
        <f t="shared" si="16"/>
        <v>8</v>
      </c>
      <c r="E71" s="2">
        <f t="shared" si="16"/>
        <v>12</v>
      </c>
      <c r="F71" s="2">
        <f t="shared" si="16"/>
        <v>16</v>
      </c>
      <c r="G71" s="2">
        <f t="shared" si="16"/>
        <v>20</v>
      </c>
      <c r="H71" s="2">
        <f t="shared" si="16"/>
        <v>24</v>
      </c>
      <c r="J71" s="2" t="s">
        <v>248</v>
      </c>
      <c r="K71" s="2">
        <v>1</v>
      </c>
      <c r="L71" s="2">
        <v>3</v>
      </c>
      <c r="M71" s="2">
        <v>1</v>
      </c>
      <c r="N71" s="2">
        <f t="shared" si="8"/>
        <v>5</v>
      </c>
    </row>
    <row r="72" spans="1:14" ht="14.25" customHeight="1">
      <c r="B72" s="2">
        <v>5</v>
      </c>
      <c r="C72" s="2">
        <f t="shared" ref="C72:H72" si="17">$B72*C$67</f>
        <v>5</v>
      </c>
      <c r="D72" s="2">
        <f t="shared" si="17"/>
        <v>10</v>
      </c>
      <c r="E72" s="2">
        <f t="shared" si="17"/>
        <v>15</v>
      </c>
      <c r="F72" s="2">
        <f t="shared" si="17"/>
        <v>20</v>
      </c>
      <c r="G72" s="2">
        <f t="shared" si="17"/>
        <v>25</v>
      </c>
      <c r="H72" s="2">
        <f t="shared" si="17"/>
        <v>30</v>
      </c>
      <c r="K72" s="2">
        <v>1</v>
      </c>
      <c r="L72" s="2">
        <v>3</v>
      </c>
      <c r="M72" s="2">
        <v>2</v>
      </c>
      <c r="N72" s="2">
        <f t="shared" si="8"/>
        <v>6</v>
      </c>
    </row>
    <row r="73" spans="1:14" ht="14.25" customHeight="1">
      <c r="B73" s="2">
        <v>6</v>
      </c>
      <c r="C73" s="2">
        <f t="shared" ref="C73:H73" si="18">$B73*C$67</f>
        <v>6</v>
      </c>
      <c r="D73" s="2">
        <f t="shared" si="18"/>
        <v>12</v>
      </c>
      <c r="E73" s="2">
        <f t="shared" si="18"/>
        <v>18</v>
      </c>
      <c r="F73" s="2">
        <f t="shared" si="18"/>
        <v>24</v>
      </c>
      <c r="G73" s="2">
        <f t="shared" si="18"/>
        <v>30</v>
      </c>
      <c r="H73" s="2">
        <f t="shared" si="18"/>
        <v>36</v>
      </c>
      <c r="K73" s="2">
        <v>1</v>
      </c>
      <c r="L73" s="2">
        <v>3</v>
      </c>
      <c r="M73" s="2">
        <v>3</v>
      </c>
    </row>
    <row r="74" spans="1:14" ht="14.25" customHeight="1">
      <c r="K74" s="2">
        <v>1</v>
      </c>
      <c r="L74" s="2">
        <v>3</v>
      </c>
      <c r="M74" s="2">
        <v>4</v>
      </c>
    </row>
    <row r="75" spans="1:14" ht="14.25" customHeight="1">
      <c r="L75" s="2">
        <v>3</v>
      </c>
      <c r="M75" s="2">
        <v>5</v>
      </c>
    </row>
    <row r="76" spans="1:14" ht="14.25" customHeight="1">
      <c r="E76" s="2" t="s">
        <v>249</v>
      </c>
      <c r="F76" s="2" t="s">
        <v>250</v>
      </c>
      <c r="G76" s="2">
        <f>_xlfn.BINOM.DIST(3,10,0.5,TRUE)</f>
        <v>0.17187500000000006</v>
      </c>
      <c r="H76" s="22" t="e">
        <f t="shared" ref="H76:H88" ca="1" si="19">_xludf.FORMULATEXT(G76)</f>
        <v>#NAME?</v>
      </c>
      <c r="L76" s="2">
        <v>3</v>
      </c>
      <c r="M76" s="2">
        <v>6</v>
      </c>
    </row>
    <row r="77" spans="1:14" ht="14.25" customHeight="1">
      <c r="E77" s="2" t="s">
        <v>251</v>
      </c>
      <c r="F77" s="2" t="s">
        <v>252</v>
      </c>
      <c r="G77" s="2">
        <f>_xlfn.BINOM.DIST(9,10,0.5,TRUE)</f>
        <v>0.9990234375</v>
      </c>
      <c r="H77" s="22" t="e">
        <f t="shared" ca="1" si="19"/>
        <v>#NAME?</v>
      </c>
    </row>
    <row r="78" spans="1:14" ht="14.25" customHeight="1">
      <c r="E78" s="2" t="s">
        <v>253</v>
      </c>
      <c r="F78" s="2" t="s">
        <v>254</v>
      </c>
      <c r="G78" s="2">
        <f>1 - _xlfn.BINOM.DIST(5,10,0.5,TRUE)</f>
        <v>0.376953125</v>
      </c>
      <c r="H78" s="22" t="e">
        <f t="shared" ca="1" si="19"/>
        <v>#NAME?</v>
      </c>
    </row>
    <row r="79" spans="1:14" ht="14.25" customHeight="1">
      <c r="E79" s="2" t="s">
        <v>255</v>
      </c>
      <c r="F79" s="2" t="s">
        <v>256</v>
      </c>
      <c r="G79" s="2">
        <f>_xlfn.BINOM.DIST(8,10,0.5,TRUE)</f>
        <v>0.9892578125</v>
      </c>
      <c r="H79" s="22" t="e">
        <f t="shared" ca="1" si="19"/>
        <v>#NAME?</v>
      </c>
    </row>
    <row r="80" spans="1:14" ht="14.25" customHeight="1">
      <c r="E80" s="2" t="s">
        <v>257</v>
      </c>
      <c r="F80" s="2" t="s">
        <v>258</v>
      </c>
      <c r="G80" s="2">
        <f>1 - _xlfn.BINOM.DIST(4,10,0.5,TRUE)</f>
        <v>0.623046875</v>
      </c>
      <c r="H80" s="22" t="e">
        <f t="shared" ca="1" si="19"/>
        <v>#NAME?</v>
      </c>
    </row>
    <row r="81" spans="2:9" ht="14.25" customHeight="1">
      <c r="E81" s="2" t="s">
        <v>259</v>
      </c>
      <c r="F81" s="2" t="s">
        <v>222</v>
      </c>
      <c r="G81" s="2">
        <f>_xlfn.BINOM.DIST(4, 10, 0.5, TRUE)</f>
        <v>0.376953125</v>
      </c>
      <c r="H81" s="22" t="e">
        <f t="shared" ca="1" si="19"/>
        <v>#NAME?</v>
      </c>
    </row>
    <row r="82" spans="2:9" ht="14.25" customHeight="1">
      <c r="E82" s="2" t="s">
        <v>260</v>
      </c>
      <c r="F82" s="2" t="s">
        <v>250</v>
      </c>
      <c r="G82" s="2">
        <f>_xlfn.BINOM.DIST(3,10,0.5,TRUE)</f>
        <v>0.17187500000000006</v>
      </c>
      <c r="H82" s="22" t="e">
        <f t="shared" ca="1" si="19"/>
        <v>#NAME?</v>
      </c>
    </row>
    <row r="83" spans="2:9" ht="14.25" customHeight="1">
      <c r="E83" s="2" t="s">
        <v>261</v>
      </c>
      <c r="F83" s="2" t="s">
        <v>254</v>
      </c>
      <c r="G83" s="2">
        <f>1 - _xlfn.BINOM.DIST(5,10,0.5,TRUE)</f>
        <v>0.376953125</v>
      </c>
      <c r="H83" s="22" t="e">
        <f t="shared" ca="1" si="19"/>
        <v>#NAME?</v>
      </c>
    </row>
    <row r="84" spans="2:9" ht="14.25" customHeight="1">
      <c r="E84" s="2" t="s">
        <v>262</v>
      </c>
      <c r="F84" s="2" t="s">
        <v>263</v>
      </c>
      <c r="G84" s="2">
        <f>_xlfn.BINOM.DIST(7,10,0.5,TRUE)</f>
        <v>0.9453125</v>
      </c>
      <c r="H84" s="22" t="e">
        <f t="shared" ca="1" si="19"/>
        <v>#NAME?</v>
      </c>
    </row>
    <row r="85" spans="2:9" ht="14.25" customHeight="1">
      <c r="E85" s="2" t="s">
        <v>264</v>
      </c>
      <c r="F85" s="2" t="s">
        <v>265</v>
      </c>
      <c r="G85" s="2">
        <f t="shared" ref="G85:G86" si="20">_xlfn.BINOM.DIST(2,10,0.5, TRUE)</f>
        <v>5.46875E-2</v>
      </c>
      <c r="H85" s="22" t="e">
        <f t="shared" ca="1" si="19"/>
        <v>#NAME?</v>
      </c>
    </row>
    <row r="86" spans="2:9" ht="14.25" customHeight="1">
      <c r="B86" s="2" t="s">
        <v>211</v>
      </c>
      <c r="E86" s="2" t="s">
        <v>266</v>
      </c>
      <c r="F86" s="2" t="s">
        <v>265</v>
      </c>
      <c r="G86" s="2">
        <f t="shared" si="20"/>
        <v>5.46875E-2</v>
      </c>
      <c r="H86" s="22" t="e">
        <f t="shared" ca="1" si="19"/>
        <v>#NAME?</v>
      </c>
    </row>
    <row r="87" spans="2:9" ht="14.25" customHeight="1">
      <c r="E87" s="2" t="s">
        <v>267</v>
      </c>
      <c r="F87" s="2" t="s">
        <v>268</v>
      </c>
      <c r="G87" s="2">
        <f>_xlfn.BINOM.DIST(6,10,0.5,TRUE) - _xlfn.BINOM.DIST(2,10,0.5,TRUE)</f>
        <v>0.7734375</v>
      </c>
      <c r="H87" s="22" t="e">
        <f t="shared" ca="1" si="19"/>
        <v>#NAME?</v>
      </c>
    </row>
    <row r="88" spans="2:9" ht="14.25" customHeight="1">
      <c r="B88" s="2">
        <v>0</v>
      </c>
      <c r="C88" s="2">
        <f t="shared" ref="C88:C98" si="21">_xlfn.BINOM.DIST(B88,10,0.5,0)</f>
        <v>9.765625E-4</v>
      </c>
      <c r="E88" s="2" t="s">
        <v>269</v>
      </c>
      <c r="F88" s="2" t="s">
        <v>270</v>
      </c>
      <c r="G88" s="2">
        <f>_xlfn.BINOM.DIST(8,10,0.5,TRUE) - _xlfn.BINOM.DIST(2,10,0.5,TRUE)</f>
        <v>0.9345703125</v>
      </c>
      <c r="H88" s="22" t="e">
        <f t="shared" ca="1" si="19"/>
        <v>#NAME?</v>
      </c>
    </row>
    <row r="89" spans="2:9" ht="14.25" customHeight="1">
      <c r="B89" s="2">
        <v>1</v>
      </c>
      <c r="C89" s="2">
        <f t="shared" si="21"/>
        <v>9.7656250000000017E-3</v>
      </c>
    </row>
    <row r="90" spans="2:9" ht="14.25" customHeight="1">
      <c r="B90" s="2">
        <v>2</v>
      </c>
      <c r="C90" s="2">
        <f t="shared" si="21"/>
        <v>4.3945312499999972E-2</v>
      </c>
    </row>
    <row r="91" spans="2:9" ht="14.25" customHeight="1">
      <c r="B91" s="2">
        <v>3</v>
      </c>
      <c r="C91" s="2">
        <f t="shared" si="21"/>
        <v>0.11718750000000003</v>
      </c>
    </row>
    <row r="92" spans="2:9" ht="14.25" customHeight="1">
      <c r="B92" s="2">
        <v>4</v>
      </c>
      <c r="C92" s="2">
        <f t="shared" si="21"/>
        <v>0.20507812500000006</v>
      </c>
    </row>
    <row r="93" spans="2:9" ht="14.25" customHeight="1">
      <c r="B93" s="2">
        <v>5</v>
      </c>
      <c r="C93" s="2">
        <f t="shared" si="21"/>
        <v>0.24609375000000008</v>
      </c>
      <c r="E93" s="2" t="s">
        <v>271</v>
      </c>
      <c r="G93" s="2">
        <f>_xlfn.BINOM.DIST(4,10,0.5,1)</f>
        <v>0.376953125</v>
      </c>
      <c r="I93" s="2" t="s">
        <v>272</v>
      </c>
    </row>
    <row r="94" spans="2:9" ht="14.25" customHeight="1">
      <c r="B94" s="2">
        <v>6</v>
      </c>
      <c r="C94" s="2">
        <f t="shared" si="21"/>
        <v>0.20507812500000006</v>
      </c>
      <c r="I94" s="2" t="s">
        <v>273</v>
      </c>
    </row>
    <row r="95" spans="2:9" ht="14.25" customHeight="1">
      <c r="B95" s="2">
        <v>7</v>
      </c>
      <c r="C95" s="2">
        <f t="shared" si="21"/>
        <v>0.11718750000000003</v>
      </c>
      <c r="E95" s="2" t="s">
        <v>274</v>
      </c>
      <c r="G95" s="2">
        <f>_xlfn.BINOM.DIST(6,10,0.5,1)</f>
        <v>0.828125</v>
      </c>
      <c r="I95" s="2" t="s">
        <v>275</v>
      </c>
    </row>
    <row r="96" spans="2:9" ht="14.25" customHeight="1">
      <c r="B96" s="2">
        <v>8</v>
      </c>
      <c r="C96" s="2">
        <f t="shared" si="21"/>
        <v>4.3945312499999986E-2</v>
      </c>
    </row>
    <row r="97" spans="2:7" ht="14.25" customHeight="1">
      <c r="B97" s="2">
        <v>9</v>
      </c>
      <c r="C97" s="2">
        <f t="shared" si="21"/>
        <v>9.7656250000000017E-3</v>
      </c>
      <c r="E97" s="2" t="s">
        <v>276</v>
      </c>
      <c r="G97" s="2">
        <f>1- _xlfn.BINOM.DIST(4,10,0.5,1)</f>
        <v>0.623046875</v>
      </c>
    </row>
    <row r="98" spans="2:7" ht="14.25" customHeight="1">
      <c r="B98" s="2">
        <v>10</v>
      </c>
      <c r="C98" s="2">
        <f t="shared" si="21"/>
        <v>9.765625E-4</v>
      </c>
    </row>
    <row r="99" spans="2:7" ht="14.25" customHeight="1">
      <c r="E99" s="2" t="s">
        <v>277</v>
      </c>
      <c r="G99" s="2">
        <f>1- _xlfn.BINOM.DIST(7,10,0.5,1)</f>
        <v>5.46875E-2</v>
      </c>
    </row>
    <row r="100" spans="2:7" ht="14.25" customHeight="1">
      <c r="C100" s="2">
        <f>SUM(C88:C98)</f>
        <v>1.0000000000000002</v>
      </c>
    </row>
    <row r="101" spans="2:7" ht="14.25" customHeight="1"/>
    <row r="102" spans="2:7" ht="14.25" customHeight="1"/>
    <row r="103" spans="2:7" ht="14.25" customHeight="1"/>
    <row r="104" spans="2:7" ht="14.25" customHeight="1"/>
    <row r="105" spans="2:7" ht="14.25" customHeight="1"/>
    <row r="106" spans="2:7" ht="14.25" customHeight="1"/>
    <row r="107" spans="2:7" ht="14.25" customHeight="1"/>
    <row r="108" spans="2:7" ht="14.25" customHeight="1"/>
    <row r="109" spans="2:7" ht="14.25" customHeight="1"/>
    <row r="110" spans="2:7" ht="14.25" customHeight="1"/>
    <row r="111" spans="2:7" ht="14.25" customHeight="1"/>
    <row r="112" spans="2:7" ht="14.25" customHeight="1"/>
    <row r="113" spans="2:12" ht="14.25" customHeight="1"/>
    <row r="114" spans="2:12" ht="14.25" customHeight="1">
      <c r="B114" s="2" t="s">
        <v>232</v>
      </c>
      <c r="C114" s="2" t="s">
        <v>233</v>
      </c>
      <c r="G114" s="2" t="s">
        <v>185</v>
      </c>
      <c r="H114" s="2" t="s">
        <v>186</v>
      </c>
      <c r="I114" s="2" t="s">
        <v>187</v>
      </c>
      <c r="J114" s="2" t="s">
        <v>188</v>
      </c>
    </row>
    <row r="115" spans="2:12" ht="14.25" customHeight="1">
      <c r="B115" s="2" t="s">
        <v>278</v>
      </c>
      <c r="G115" s="2" t="s">
        <v>190</v>
      </c>
      <c r="H115" s="2" t="s">
        <v>191</v>
      </c>
      <c r="I115" s="2" t="s">
        <v>192</v>
      </c>
      <c r="J115" s="2" t="s">
        <v>193</v>
      </c>
    </row>
    <row r="116" spans="2:12" ht="14.25" customHeight="1"/>
    <row r="117" spans="2:12" ht="14.25" customHeight="1">
      <c r="G117" s="2" t="s">
        <v>195</v>
      </c>
      <c r="H117" s="2" t="s">
        <v>195</v>
      </c>
      <c r="I117" s="2" t="s">
        <v>195</v>
      </c>
      <c r="J117" s="2" t="s">
        <v>195</v>
      </c>
    </row>
    <row r="118" spans="2:12" ht="14.25" customHeight="1">
      <c r="G118" s="2">
        <v>2</v>
      </c>
      <c r="H118" s="2">
        <v>2</v>
      </c>
      <c r="I118" s="2">
        <v>2</v>
      </c>
      <c r="J118" s="2">
        <v>2</v>
      </c>
    </row>
    <row r="119" spans="2:12" ht="14.25" customHeight="1">
      <c r="G119" s="2">
        <v>3</v>
      </c>
      <c r="H119" s="2">
        <v>3</v>
      </c>
      <c r="I119" s="2">
        <v>3</v>
      </c>
      <c r="J119" s="2">
        <v>3</v>
      </c>
    </row>
    <row r="120" spans="2:12" ht="14.25" customHeight="1">
      <c r="G120" s="2">
        <v>4</v>
      </c>
      <c r="H120" s="2">
        <v>4</v>
      </c>
      <c r="I120" s="2">
        <v>4</v>
      </c>
      <c r="J120" s="2">
        <v>4</v>
      </c>
    </row>
    <row r="121" spans="2:12" ht="14.25" customHeight="1">
      <c r="G121" s="2">
        <v>5</v>
      </c>
      <c r="H121" s="2">
        <v>5</v>
      </c>
      <c r="I121" s="2">
        <v>5</v>
      </c>
      <c r="J121" s="2">
        <v>5</v>
      </c>
    </row>
    <row r="122" spans="2:12" ht="14.25" customHeight="1">
      <c r="G122" s="2">
        <v>6</v>
      </c>
      <c r="H122" s="2">
        <v>6</v>
      </c>
      <c r="I122" s="2">
        <v>6</v>
      </c>
      <c r="J122" s="2">
        <v>6</v>
      </c>
    </row>
    <row r="123" spans="2:12" ht="14.25" customHeight="1">
      <c r="G123" s="2">
        <v>7</v>
      </c>
      <c r="H123" s="2">
        <v>7</v>
      </c>
      <c r="I123" s="2">
        <v>7</v>
      </c>
      <c r="J123" s="2">
        <v>7</v>
      </c>
    </row>
    <row r="124" spans="2:12" ht="14.25" customHeight="1">
      <c r="G124" s="2">
        <v>8</v>
      </c>
      <c r="H124" s="2">
        <v>8</v>
      </c>
      <c r="I124" s="2">
        <v>8</v>
      </c>
      <c r="J124" s="2">
        <v>8</v>
      </c>
    </row>
    <row r="125" spans="2:12" ht="14.25" customHeight="1">
      <c r="G125" s="2">
        <v>9</v>
      </c>
      <c r="H125" s="2">
        <v>9</v>
      </c>
      <c r="I125" s="2">
        <v>9</v>
      </c>
      <c r="J125" s="2">
        <v>9</v>
      </c>
    </row>
    <row r="126" spans="2:12" ht="14.25" customHeight="1">
      <c r="G126" s="2">
        <v>10</v>
      </c>
      <c r="H126" s="2">
        <v>10</v>
      </c>
      <c r="I126" s="2">
        <v>10</v>
      </c>
      <c r="J126" s="2">
        <v>10</v>
      </c>
    </row>
    <row r="127" spans="2:12" ht="14.25" customHeight="1">
      <c r="G127" s="2" t="s">
        <v>197</v>
      </c>
      <c r="H127" s="2" t="s">
        <v>197</v>
      </c>
      <c r="I127" s="2" t="s">
        <v>197</v>
      </c>
      <c r="J127" s="2" t="s">
        <v>197</v>
      </c>
      <c r="L127" s="2" t="s">
        <v>279</v>
      </c>
    </row>
    <row r="128" spans="2:12" ht="14.25" customHeight="1">
      <c r="G128" s="2" t="s">
        <v>198</v>
      </c>
      <c r="H128" s="2" t="s">
        <v>198</v>
      </c>
      <c r="I128" s="2" t="s">
        <v>198</v>
      </c>
      <c r="J128" s="2" t="s">
        <v>198</v>
      </c>
    </row>
    <row r="129" spans="1:11" ht="14.25" customHeight="1">
      <c r="G129" s="2" t="s">
        <v>199</v>
      </c>
      <c r="H129" s="2" t="s">
        <v>199</v>
      </c>
      <c r="I129" s="2" t="s">
        <v>199</v>
      </c>
      <c r="J129" s="2" t="s">
        <v>199</v>
      </c>
    </row>
    <row r="130" spans="1:11" ht="14.25" customHeight="1"/>
    <row r="131" spans="1:11" ht="14.25" customHeight="1"/>
    <row r="132" spans="1:11" ht="14.25" customHeight="1">
      <c r="A132" s="2" t="s">
        <v>280</v>
      </c>
      <c r="B132" s="2" t="s">
        <v>212</v>
      </c>
      <c r="C132" s="2" t="s">
        <v>213</v>
      </c>
    </row>
    <row r="133" spans="1:11" ht="14.25" customHeight="1">
      <c r="A133" s="2">
        <v>0</v>
      </c>
      <c r="B133" s="2">
        <f t="shared" ref="B133:B143" si="22">_xlfn.BINOM.DIST(A133,10,0.5,FALSE)</f>
        <v>9.765625E-4</v>
      </c>
      <c r="C133" s="2">
        <f>B133</f>
        <v>9.765625E-4</v>
      </c>
      <c r="E133" s="2" t="s">
        <v>281</v>
      </c>
      <c r="F133" s="2" t="s">
        <v>282</v>
      </c>
      <c r="G133" s="2">
        <f>_xlfn.BINOM.DIST(5,10,0.5,TRUE)</f>
        <v>0.623046875</v>
      </c>
    </row>
    <row r="134" spans="1:11" ht="14.25" customHeight="1">
      <c r="A134" s="2">
        <v>1</v>
      </c>
      <c r="B134" s="2">
        <f t="shared" si="22"/>
        <v>9.7656250000000017E-3</v>
      </c>
      <c r="C134" s="2">
        <f t="shared" ref="C134:C143" si="23">C133 + B134</f>
        <v>1.0742187500000002E-2</v>
      </c>
      <c r="E134" s="2" t="s">
        <v>283</v>
      </c>
      <c r="F134" s="2" t="s">
        <v>229</v>
      </c>
      <c r="G134" s="2">
        <f>1 - _xlfn.BINOM.DIST(6,10,0.5,TRUE)</f>
        <v>0.171875</v>
      </c>
    </row>
    <row r="135" spans="1:11" ht="14.25" customHeight="1">
      <c r="A135" s="2">
        <v>2</v>
      </c>
      <c r="B135" s="2">
        <f t="shared" si="22"/>
        <v>4.3945312499999972E-2</v>
      </c>
      <c r="C135" s="2">
        <f t="shared" si="23"/>
        <v>5.4687499999999972E-2</v>
      </c>
      <c r="E135" s="2" t="s">
        <v>284</v>
      </c>
      <c r="F135" s="2" t="s">
        <v>250</v>
      </c>
      <c r="G135" s="2">
        <f>_xlfn.BINOM.DIST(3,10,0.5,TRUE)</f>
        <v>0.17187500000000006</v>
      </c>
    </row>
    <row r="136" spans="1:11" ht="14.25" customHeight="1">
      <c r="A136" s="2">
        <v>3</v>
      </c>
      <c r="B136" s="2">
        <f t="shared" si="22"/>
        <v>0.11718750000000003</v>
      </c>
      <c r="C136" s="2">
        <f t="shared" si="23"/>
        <v>0.171875</v>
      </c>
      <c r="E136" s="2" t="s">
        <v>285</v>
      </c>
      <c r="F136" s="2" t="s">
        <v>286</v>
      </c>
      <c r="G136" s="2">
        <f>1 - _xlfn.BINOM.DIST(3,10,0.5,TRUE)</f>
        <v>0.828125</v>
      </c>
    </row>
    <row r="137" spans="1:11" ht="14.25" customHeight="1">
      <c r="A137" s="2">
        <v>4</v>
      </c>
      <c r="B137" s="2">
        <f t="shared" si="22"/>
        <v>0.20507812500000006</v>
      </c>
      <c r="C137" s="2">
        <f t="shared" si="23"/>
        <v>0.37695312500000006</v>
      </c>
      <c r="E137" s="2" t="s">
        <v>287</v>
      </c>
      <c r="F137" s="2" t="s">
        <v>256</v>
      </c>
      <c r="G137" s="2">
        <f>_xlfn.BINOM.DIST(8,10,0.5,TRUE)</f>
        <v>0.9892578125</v>
      </c>
    </row>
    <row r="138" spans="1:11" ht="14.25" customHeight="1">
      <c r="A138" s="2">
        <v>5</v>
      </c>
      <c r="B138" s="2">
        <f t="shared" si="22"/>
        <v>0.24609375000000008</v>
      </c>
      <c r="C138" s="2">
        <f t="shared" si="23"/>
        <v>0.62304687500000011</v>
      </c>
      <c r="E138" s="2" t="s">
        <v>288</v>
      </c>
      <c r="F138" s="2" t="s">
        <v>289</v>
      </c>
      <c r="G138" s="2">
        <f>1  - _xlfn.BINOM.DIST(2,10,0.5,TRUE)</f>
        <v>0.9453125</v>
      </c>
    </row>
    <row r="139" spans="1:11" ht="14.25" customHeight="1">
      <c r="A139" s="2">
        <v>6</v>
      </c>
      <c r="B139" s="2">
        <f t="shared" si="22"/>
        <v>0.20507812500000006</v>
      </c>
      <c r="C139" s="2">
        <f t="shared" si="23"/>
        <v>0.82812500000000022</v>
      </c>
      <c r="E139" s="2" t="s">
        <v>290</v>
      </c>
      <c r="F139" s="2">
        <v>9</v>
      </c>
      <c r="G139" s="2">
        <f>_xlfn.BINOM.DIST(9,10,0.5,FALSE)</f>
        <v>9.7656250000000017E-3</v>
      </c>
      <c r="H139" s="2" t="s">
        <v>176</v>
      </c>
    </row>
    <row r="140" spans="1:11" ht="14.25" customHeight="1">
      <c r="A140" s="2">
        <v>7</v>
      </c>
      <c r="B140" s="2">
        <f t="shared" si="22"/>
        <v>0.11718750000000003</v>
      </c>
      <c r="C140" s="2">
        <f t="shared" si="23"/>
        <v>0.94531250000000022</v>
      </c>
      <c r="E140" s="2" t="s">
        <v>291</v>
      </c>
      <c r="F140" s="2" t="s">
        <v>292</v>
      </c>
      <c r="G140" s="2">
        <f>_xlfn.BINOM.DIST(7,10,0.5,TRUE) - _xlfn.BINOM.DIST(2,10,0.5,TRUE)</f>
        <v>0.890625</v>
      </c>
    </row>
    <row r="141" spans="1:11" ht="14.25" customHeight="1">
      <c r="A141" s="2">
        <v>8</v>
      </c>
      <c r="B141" s="2">
        <f t="shared" si="22"/>
        <v>4.3945312499999986E-2</v>
      </c>
      <c r="C141" s="2">
        <f t="shared" si="23"/>
        <v>0.98925781250000022</v>
      </c>
      <c r="E141" s="2" t="s">
        <v>293</v>
      </c>
      <c r="F141" s="2" t="s">
        <v>258</v>
      </c>
      <c r="G141" s="2">
        <f>_xlfn.BINOM.DIST(10,10,0.5,TRUE) - _xlfn.BINOM.DIST(4,10,0.5,TRUE)</f>
        <v>0.623046875</v>
      </c>
    </row>
    <row r="142" spans="1:11" ht="14.25" customHeight="1">
      <c r="A142" s="2">
        <v>9</v>
      </c>
      <c r="B142" s="2">
        <f t="shared" si="22"/>
        <v>9.7656250000000017E-3</v>
      </c>
      <c r="C142" s="2">
        <f t="shared" si="23"/>
        <v>0.99902343750000022</v>
      </c>
      <c r="E142" s="2" t="s">
        <v>294</v>
      </c>
      <c r="F142" s="2" t="s">
        <v>258</v>
      </c>
      <c r="G142" s="2">
        <f>1 - _xlfn.BINOM.DIST(4,10,0.5,TRUE)</f>
        <v>0.623046875</v>
      </c>
      <c r="K142" s="2">
        <f>1 - _xlfn.BINOM.DIST(3,10,0.5,TRUE)</f>
        <v>0.828125</v>
      </c>
    </row>
    <row r="143" spans="1:11" ht="14.25" customHeight="1">
      <c r="A143" s="2">
        <v>10</v>
      </c>
      <c r="B143" s="2">
        <f t="shared" si="22"/>
        <v>9.765625E-4</v>
      </c>
      <c r="C143" s="2">
        <f t="shared" si="23"/>
        <v>1.0000000000000002</v>
      </c>
      <c r="E143" s="2" t="s">
        <v>295</v>
      </c>
      <c r="F143" s="2" t="s">
        <v>225</v>
      </c>
      <c r="G143" s="2">
        <f>_xlfn.BINOM.DIST(6,10,0.5,TRUE)</f>
        <v>0.828125</v>
      </c>
    </row>
    <row r="144" spans="1:11" ht="14.25" customHeight="1"/>
    <row r="145" spans="2:8" ht="14.25" customHeight="1">
      <c r="B145" s="2">
        <f>SUM(B133:B143)</f>
        <v>1.0000000000000002</v>
      </c>
    </row>
    <row r="146" spans="2:8" ht="14.25" customHeight="1"/>
    <row r="147" spans="2:8" ht="14.25" customHeight="1"/>
    <row r="148" spans="2:8" ht="14.25" customHeight="1"/>
    <row r="149" spans="2:8" ht="14.25" customHeight="1"/>
    <row r="150" spans="2:8" ht="14.25" customHeight="1"/>
    <row r="151" spans="2:8" ht="14.25" customHeight="1"/>
    <row r="152" spans="2:8" ht="14.25" customHeight="1"/>
    <row r="153" spans="2:8" ht="14.25" customHeight="1"/>
    <row r="154" spans="2:8" ht="14.25" customHeight="1"/>
    <row r="155" spans="2:8" ht="14.25" customHeight="1"/>
    <row r="156" spans="2:8" ht="14.25" customHeight="1"/>
    <row r="157" spans="2:8" ht="14.25" customHeight="1"/>
    <row r="158" spans="2:8" ht="14.25" customHeight="1"/>
    <row r="159" spans="2:8" ht="14.25" customHeight="1">
      <c r="C159" s="2">
        <v>1</v>
      </c>
      <c r="D159" s="2">
        <v>2</v>
      </c>
      <c r="E159" s="2">
        <v>3</v>
      </c>
      <c r="F159" s="2">
        <v>4</v>
      </c>
      <c r="G159" s="2">
        <v>5</v>
      </c>
      <c r="H159" s="2">
        <v>6</v>
      </c>
    </row>
    <row r="160" spans="2:8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000"/>
  <sheetViews>
    <sheetView workbookViewId="0"/>
  </sheetViews>
  <sheetFormatPr defaultColWidth="14.44140625" defaultRowHeight="15" customHeight="1"/>
  <cols>
    <col min="1" max="6" width="8.6640625" customWidth="1"/>
    <col min="7" max="7" width="12" customWidth="1"/>
    <col min="8" max="34" width="8.6640625" customWidth="1"/>
  </cols>
  <sheetData>
    <row r="1" spans="1:34" ht="14.25" customHeight="1">
      <c r="A1" s="2" t="s">
        <v>296</v>
      </c>
      <c r="V1" s="2" t="s">
        <v>297</v>
      </c>
    </row>
    <row r="2" spans="1:34" ht="14.25" customHeight="1">
      <c r="A2" s="2">
        <v>5.0999999999999996</v>
      </c>
      <c r="V2" s="42">
        <v>20.7</v>
      </c>
    </row>
    <row r="3" spans="1:34" ht="14.25" customHeight="1">
      <c r="A3" s="2">
        <v>4.9000000000000004</v>
      </c>
      <c r="D3" s="2">
        <f>COUNT(A2:A151)</f>
        <v>150</v>
      </c>
      <c r="F3" s="2" t="s">
        <v>298</v>
      </c>
      <c r="V3" s="42">
        <v>17.899999999999999</v>
      </c>
      <c r="X3" s="2" t="s">
        <v>88</v>
      </c>
      <c r="Y3" s="2">
        <f>MIN(V2:V366)</f>
        <v>2.1</v>
      </c>
      <c r="AB3" s="2">
        <f>Y5-(1*Y6)</f>
        <v>7.1798301401735403</v>
      </c>
      <c r="AC3" s="2">
        <f>Y5+1*Y6</f>
        <v>15.854690407771646</v>
      </c>
      <c r="AD3" s="2" t="s">
        <v>299</v>
      </c>
    </row>
    <row r="4" spans="1:34" ht="14.25" customHeight="1">
      <c r="A4" s="2">
        <v>4.7</v>
      </c>
      <c r="C4" s="2">
        <v>5.24</v>
      </c>
      <c r="D4" s="2">
        <f>MIN(A2:A151)</f>
        <v>4.3</v>
      </c>
      <c r="F4" s="2" t="s">
        <v>300</v>
      </c>
      <c r="V4" s="42">
        <v>18.8</v>
      </c>
      <c r="X4" s="2" t="s">
        <v>87</v>
      </c>
      <c r="Y4" s="2">
        <f>MAX(V2:V366)</f>
        <v>25</v>
      </c>
      <c r="AB4" s="2">
        <f>Y5-2*Y6</f>
        <v>2.8424000063744881</v>
      </c>
      <c r="AC4" s="2">
        <f>Y5+2*Y6</f>
        <v>20.192120541570695</v>
      </c>
      <c r="AD4" s="2" t="s">
        <v>301</v>
      </c>
    </row>
    <row r="5" spans="1:34" ht="14.25" customHeight="1">
      <c r="A5" s="2">
        <v>4.5999999999999996</v>
      </c>
      <c r="D5" s="2">
        <f>MAX(A2:A151)</f>
        <v>7.9</v>
      </c>
      <c r="F5" s="2" t="s">
        <v>302</v>
      </c>
      <c r="V5" s="42">
        <v>14.6</v>
      </c>
      <c r="X5" s="2" t="s">
        <v>1</v>
      </c>
      <c r="Y5" s="2">
        <f>AVERAGE(V2:V366)</f>
        <v>11.517260273972592</v>
      </c>
      <c r="AB5" s="2">
        <f>Y5-3*Y6</f>
        <v>-1.4950301274245632</v>
      </c>
      <c r="AC5" s="2">
        <f>Y5+3*Y6</f>
        <v>24.529550675369748</v>
      </c>
      <c r="AD5" s="2" t="s">
        <v>303</v>
      </c>
    </row>
    <row r="6" spans="1:34" ht="14.25" customHeight="1">
      <c r="A6" s="2">
        <v>5</v>
      </c>
      <c r="V6" s="42">
        <v>15.8</v>
      </c>
      <c r="X6" s="2" t="s">
        <v>304</v>
      </c>
      <c r="Y6" s="2">
        <f>STDEV(V2:V366)</f>
        <v>4.3374301337990522</v>
      </c>
    </row>
    <row r="7" spans="1:34" ht="14.25" customHeight="1">
      <c r="A7" s="2">
        <v>5.4</v>
      </c>
      <c r="D7" s="2" t="s">
        <v>305</v>
      </c>
      <c r="F7" s="2" t="s">
        <v>306</v>
      </c>
      <c r="J7" s="2" t="s">
        <v>307</v>
      </c>
      <c r="V7" s="42">
        <v>15.8</v>
      </c>
    </row>
    <row r="8" spans="1:34" ht="14.25" customHeight="1">
      <c r="A8" s="2">
        <v>4.5999999999999996</v>
      </c>
      <c r="D8" s="2" t="s">
        <v>308</v>
      </c>
      <c r="F8" s="2" t="s">
        <v>309</v>
      </c>
      <c r="J8" s="2" t="s">
        <v>310</v>
      </c>
      <c r="V8" s="42">
        <v>15.8</v>
      </c>
      <c r="X8" s="2" t="s">
        <v>311</v>
      </c>
    </row>
    <row r="9" spans="1:34" ht="14.25" customHeight="1">
      <c r="A9" s="2">
        <v>5</v>
      </c>
      <c r="D9" s="2" t="s">
        <v>312</v>
      </c>
      <c r="F9" s="2" t="s">
        <v>313</v>
      </c>
      <c r="V9" s="42">
        <v>17.399999999999999</v>
      </c>
      <c r="X9" s="2" t="s">
        <v>314</v>
      </c>
      <c r="AB9" s="2">
        <v>0.13789999999999999</v>
      </c>
    </row>
    <row r="10" spans="1:34" ht="14.25" customHeight="1">
      <c r="A10" s="2">
        <v>4.4000000000000004</v>
      </c>
      <c r="V10" s="42">
        <v>21.8</v>
      </c>
    </row>
    <row r="11" spans="1:34" ht="14.25" customHeight="1">
      <c r="A11" s="2">
        <v>4.9000000000000004</v>
      </c>
      <c r="D11" s="2" t="s">
        <v>315</v>
      </c>
      <c r="V11" s="42">
        <v>20</v>
      </c>
      <c r="X11" s="2" t="s">
        <v>316</v>
      </c>
      <c r="AF11" s="41">
        <f>(16.25 - Y5) / Y6</f>
        <v>1.091139126172417</v>
      </c>
      <c r="AH11" s="2">
        <v>0.86209999999999998</v>
      </c>
    </row>
    <row r="12" spans="1:34" ht="14.25" customHeight="1">
      <c r="A12" s="2">
        <v>5.4</v>
      </c>
      <c r="D12" s="2">
        <f ca="1">IFERROR(__xludf.DUMMYFUNCTION("ARRAY_CONSTRAIN(ARRAYFORMULA(UNIQUE(A2:A151)), 35, 1)"),5.1)</f>
        <v>5.0999999999999996</v>
      </c>
      <c r="E12" s="2">
        <v>4.3</v>
      </c>
      <c r="G12" s="2" t="s">
        <v>1</v>
      </c>
      <c r="H12" s="2">
        <f>AVERAGE(A2:A151)</f>
        <v>5.8433333333333346</v>
      </c>
      <c r="J12" s="2" t="s">
        <v>317</v>
      </c>
      <c r="V12" s="42">
        <v>16.2</v>
      </c>
      <c r="AH12" s="2">
        <f>1-AH11</f>
        <v>0.13790000000000002</v>
      </c>
    </row>
    <row r="13" spans="1:34" ht="14.25" customHeight="1">
      <c r="A13" s="2">
        <v>4.8</v>
      </c>
      <c r="D13" s="2">
        <f ca="1">IFERROR(__xludf.DUMMYFUNCTION("""COMPUTED_VALUE"""),4.9)</f>
        <v>4.9000000000000004</v>
      </c>
      <c r="E13" s="2">
        <v>4.4000000000000004</v>
      </c>
      <c r="G13" s="2" t="s">
        <v>304</v>
      </c>
      <c r="H13" s="2">
        <f>STDEV(A2:A151)</f>
        <v>0.82806612797784351</v>
      </c>
      <c r="V13" s="42">
        <v>13.3</v>
      </c>
      <c r="X13" s="2" t="s">
        <v>318</v>
      </c>
    </row>
    <row r="14" spans="1:34" ht="14.25" customHeight="1">
      <c r="A14" s="2">
        <v>4.8</v>
      </c>
      <c r="D14" s="2">
        <f ca="1">IFERROR(__xludf.DUMMYFUNCTION("""COMPUTED_VALUE"""),4.7)</f>
        <v>4.7</v>
      </c>
      <c r="E14" s="2">
        <v>4.5</v>
      </c>
      <c r="V14" s="42">
        <v>16.7</v>
      </c>
    </row>
    <row r="15" spans="1:34" ht="14.25" customHeight="1">
      <c r="A15" s="2">
        <v>4.3</v>
      </c>
      <c r="D15" s="2">
        <f ca="1">IFERROR(__xludf.DUMMYFUNCTION("""COMPUTED_VALUE"""),4.6)</f>
        <v>4.5999999999999996</v>
      </c>
      <c r="E15" s="2">
        <v>4.5999999999999996</v>
      </c>
      <c r="G15" s="2" t="s">
        <v>312</v>
      </c>
      <c r="H15" s="2">
        <v>0.62929999999999997</v>
      </c>
      <c r="J15" s="2" t="s">
        <v>319</v>
      </c>
      <c r="K15" s="41">
        <f>(6.12 - H12)/H13</f>
        <v>0.33411180257099982</v>
      </c>
      <c r="V15" s="42">
        <v>21.5</v>
      </c>
    </row>
    <row r="16" spans="1:34" ht="14.25" customHeight="1">
      <c r="A16" s="2">
        <v>5.8</v>
      </c>
      <c r="D16" s="2">
        <f ca="1">IFERROR(__xludf.DUMMYFUNCTION("""COMPUTED_VALUE"""),5)</f>
        <v>5</v>
      </c>
      <c r="E16" s="2">
        <v>4.7</v>
      </c>
      <c r="V16" s="42">
        <v>25</v>
      </c>
      <c r="X16" s="2" t="s">
        <v>320</v>
      </c>
    </row>
    <row r="17" spans="1:26" ht="14.25" customHeight="1">
      <c r="A17" s="2">
        <v>5.7</v>
      </c>
      <c r="D17" s="2">
        <f ca="1">IFERROR(__xludf.DUMMYFUNCTION("""COMPUTED_VALUE"""),5.4)</f>
        <v>5.4</v>
      </c>
      <c r="E17" s="2">
        <v>4.8</v>
      </c>
      <c r="G17" s="2" t="s">
        <v>308</v>
      </c>
      <c r="H17" s="2">
        <f>1-0.6293</f>
        <v>0.37070000000000003</v>
      </c>
      <c r="J17" s="2" t="s">
        <v>319</v>
      </c>
      <c r="K17" s="41"/>
      <c r="V17" s="42">
        <v>20.7</v>
      </c>
    </row>
    <row r="18" spans="1:26" ht="14.25" customHeight="1">
      <c r="A18" s="2">
        <v>5.4</v>
      </c>
      <c r="D18" s="2">
        <f ca="1">IFERROR(__xludf.DUMMYFUNCTION("""COMPUTED_VALUE"""),4.4)</f>
        <v>4.4000000000000004</v>
      </c>
      <c r="E18" s="2">
        <v>4.9000000000000004</v>
      </c>
      <c r="V18" s="42">
        <v>20.6</v>
      </c>
      <c r="X18" s="2" t="s">
        <v>321</v>
      </c>
      <c r="Y18" s="41">
        <f>(22.52- Y5)/Y6</f>
        <v>2.5366955516561527</v>
      </c>
    </row>
    <row r="19" spans="1:26" ht="14.25" customHeight="1">
      <c r="A19" s="2">
        <v>5.0999999999999996</v>
      </c>
      <c r="D19" s="2">
        <f ca="1">IFERROR(__xludf.DUMMYFUNCTION("""COMPUTED_VALUE"""),4.8)</f>
        <v>4.8</v>
      </c>
      <c r="E19" s="2">
        <v>5</v>
      </c>
      <c r="V19" s="42">
        <v>24.8</v>
      </c>
      <c r="X19" s="2" t="s">
        <v>322</v>
      </c>
      <c r="Z19" s="2">
        <f>1-0.9945</f>
        <v>5.4999999999999494E-3</v>
      </c>
    </row>
    <row r="20" spans="1:26" ht="14.25" customHeight="1">
      <c r="A20" s="2">
        <v>5.7</v>
      </c>
      <c r="D20" s="2">
        <f ca="1">IFERROR(__xludf.DUMMYFUNCTION("""COMPUTED_VALUE"""),4.3)</f>
        <v>4.3</v>
      </c>
      <c r="E20" s="2">
        <v>5.0999999999999996</v>
      </c>
      <c r="G20" s="2" t="s">
        <v>323</v>
      </c>
      <c r="H20" s="2">
        <f>1-0.0274</f>
        <v>0.97260000000000002</v>
      </c>
      <c r="J20" s="2" t="s">
        <v>319</v>
      </c>
      <c r="K20" s="41">
        <f>(4.25 -H12)/H13</f>
        <v>-1.9241619473366109</v>
      </c>
      <c r="V20" s="42">
        <v>17.7</v>
      </c>
    </row>
    <row r="21" spans="1:26" ht="14.25" customHeight="1">
      <c r="A21" s="2">
        <v>5.0999999999999996</v>
      </c>
      <c r="D21" s="2">
        <f ca="1">IFERROR(__xludf.DUMMYFUNCTION("""COMPUTED_VALUE"""),5.8)</f>
        <v>5.8</v>
      </c>
      <c r="E21" s="2">
        <v>5.2</v>
      </c>
      <c r="V21" s="42">
        <v>15.5</v>
      </c>
    </row>
    <row r="22" spans="1:26" ht="14.25" customHeight="1">
      <c r="A22" s="2">
        <v>5.4</v>
      </c>
      <c r="D22" s="2">
        <f ca="1">IFERROR(__xludf.DUMMYFUNCTION("""COMPUTED_VALUE"""),5.7)</f>
        <v>5.7</v>
      </c>
      <c r="E22" s="2">
        <v>5.3</v>
      </c>
      <c r="V22" s="42">
        <v>18.2</v>
      </c>
      <c r="X22" s="2" t="s">
        <v>324</v>
      </c>
    </row>
    <row r="23" spans="1:26" ht="14.25" customHeight="1">
      <c r="A23" s="2">
        <v>5.0999999999999996</v>
      </c>
      <c r="D23" s="2">
        <f ca="1">IFERROR(__xludf.DUMMYFUNCTION("""COMPUTED_VALUE"""),5.2)</f>
        <v>5.2</v>
      </c>
      <c r="E23" s="2">
        <v>5.4</v>
      </c>
      <c r="V23" s="42">
        <v>12.1</v>
      </c>
    </row>
    <row r="24" spans="1:26" ht="14.25" customHeight="1">
      <c r="A24" s="2">
        <v>4.5999999999999996</v>
      </c>
      <c r="D24" s="2">
        <f ca="1">IFERROR(__xludf.DUMMYFUNCTION("""COMPUTED_VALUE"""),5.5)</f>
        <v>5.5</v>
      </c>
      <c r="E24" s="2">
        <v>5.5</v>
      </c>
      <c r="V24" s="42">
        <v>14.4</v>
      </c>
      <c r="X24" s="2" t="s">
        <v>319</v>
      </c>
      <c r="Y24" s="41">
        <f>(15.36 - 11.51) / 4.33</f>
        <v>0.88914549653579666</v>
      </c>
    </row>
    <row r="25" spans="1:26" ht="14.25" customHeight="1">
      <c r="A25" s="2">
        <v>5.0999999999999996</v>
      </c>
      <c r="D25" s="2">
        <f ca="1">IFERROR(__xludf.DUMMYFUNCTION("""COMPUTED_VALUE"""),4.5)</f>
        <v>4.5</v>
      </c>
      <c r="E25" s="2">
        <v>5.6</v>
      </c>
      <c r="V25" s="42">
        <v>16</v>
      </c>
      <c r="X25" s="2" t="s">
        <v>325</v>
      </c>
      <c r="Y25" s="2">
        <v>0.81330000000000002</v>
      </c>
    </row>
    <row r="26" spans="1:26" ht="14.25" customHeight="1">
      <c r="A26" s="2">
        <v>4.8</v>
      </c>
      <c r="D26" s="2">
        <f ca="1">IFERROR(__xludf.DUMMYFUNCTION("""COMPUTED_VALUE"""),5.3)</f>
        <v>5.3</v>
      </c>
      <c r="E26" s="2">
        <v>5.7</v>
      </c>
      <c r="V26" s="42">
        <v>16.5</v>
      </c>
    </row>
    <row r="27" spans="1:26" ht="14.25" customHeight="1">
      <c r="A27" s="2">
        <v>5</v>
      </c>
      <c r="D27" s="2">
        <f ca="1">IFERROR(__xludf.DUMMYFUNCTION("""COMPUTED_VALUE"""),7)</f>
        <v>7</v>
      </c>
      <c r="E27" s="2">
        <v>5.8</v>
      </c>
      <c r="V27" s="42">
        <v>18.7</v>
      </c>
    </row>
    <row r="28" spans="1:26" ht="14.25" customHeight="1">
      <c r="A28" s="2">
        <v>5</v>
      </c>
      <c r="D28" s="2">
        <f ca="1">IFERROR(__xludf.DUMMYFUNCTION("""COMPUTED_VALUE"""),6.4)</f>
        <v>6.4</v>
      </c>
      <c r="E28" s="2">
        <v>5.9</v>
      </c>
      <c r="V28" s="42">
        <v>19.399999999999999</v>
      </c>
      <c r="X28" s="2" t="s">
        <v>326</v>
      </c>
    </row>
    <row r="29" spans="1:26" ht="14.25" customHeight="1">
      <c r="A29" s="2">
        <v>5.2</v>
      </c>
      <c r="D29" s="2">
        <f ca="1">IFERROR(__xludf.DUMMYFUNCTION("""COMPUTED_VALUE"""),6.9)</f>
        <v>6.9</v>
      </c>
      <c r="E29" s="2">
        <v>6</v>
      </c>
      <c r="V29" s="42">
        <v>17.2</v>
      </c>
    </row>
    <row r="30" spans="1:26" ht="14.25" customHeight="1">
      <c r="A30" s="2">
        <v>5.2</v>
      </c>
      <c r="D30" s="2">
        <f ca="1">IFERROR(__xludf.DUMMYFUNCTION("""COMPUTED_VALUE"""),6.5)</f>
        <v>6.5</v>
      </c>
      <c r="E30" s="2">
        <v>6.1</v>
      </c>
      <c r="V30" s="42">
        <v>15.5</v>
      </c>
      <c r="X30" s="2" t="s">
        <v>319</v>
      </c>
      <c r="Y30" s="41">
        <f>(9.45 - Y5)/Y6</f>
        <v>-0.4766094692485407</v>
      </c>
    </row>
    <row r="31" spans="1:26" ht="14.25" customHeight="1">
      <c r="A31" s="2">
        <v>4.7</v>
      </c>
      <c r="D31" s="2">
        <f ca="1">IFERROR(__xludf.DUMMYFUNCTION("""COMPUTED_VALUE"""),6.3)</f>
        <v>6.3</v>
      </c>
      <c r="E31" s="2">
        <v>6.2</v>
      </c>
      <c r="V31" s="42">
        <v>15.1</v>
      </c>
      <c r="X31" s="2" t="s">
        <v>325</v>
      </c>
      <c r="Y31" s="2">
        <f>1- 0.3156</f>
        <v>0.68440000000000001</v>
      </c>
    </row>
    <row r="32" spans="1:26" ht="14.25" customHeight="1">
      <c r="A32" s="2">
        <v>4.8</v>
      </c>
      <c r="D32" s="2">
        <f ca="1">IFERROR(__xludf.DUMMYFUNCTION("""COMPUTED_VALUE"""),6.6)</f>
        <v>6.6</v>
      </c>
      <c r="E32" s="2">
        <v>6.3</v>
      </c>
      <c r="V32" s="42">
        <v>15.4</v>
      </c>
    </row>
    <row r="33" spans="1:22" ht="14.25" customHeight="1">
      <c r="A33" s="2">
        <v>5.4</v>
      </c>
      <c r="D33" s="2">
        <f ca="1">IFERROR(__xludf.DUMMYFUNCTION("""COMPUTED_VALUE"""),5.9)</f>
        <v>5.9</v>
      </c>
      <c r="E33" s="2">
        <v>6.4</v>
      </c>
      <c r="V33" s="42">
        <v>15.3</v>
      </c>
    </row>
    <row r="34" spans="1:22" ht="14.25" customHeight="1">
      <c r="A34" s="2">
        <v>5.2</v>
      </c>
      <c r="D34" s="2">
        <f ca="1">IFERROR(__xludf.DUMMYFUNCTION("""COMPUTED_VALUE"""),6)</f>
        <v>6</v>
      </c>
      <c r="E34" s="2">
        <v>6.5</v>
      </c>
      <c r="V34" s="42">
        <v>18.8</v>
      </c>
    </row>
    <row r="35" spans="1:22" ht="14.25" customHeight="1">
      <c r="A35" s="2">
        <v>5.5</v>
      </c>
      <c r="D35" s="2">
        <f ca="1">IFERROR(__xludf.DUMMYFUNCTION("""COMPUTED_VALUE"""),6.1)</f>
        <v>6.1</v>
      </c>
      <c r="E35" s="2">
        <v>6.6</v>
      </c>
      <c r="V35" s="42">
        <v>21.9</v>
      </c>
    </row>
    <row r="36" spans="1:22" ht="14.25" customHeight="1">
      <c r="A36" s="2">
        <v>4.9000000000000004</v>
      </c>
      <c r="D36" s="2">
        <f ca="1">IFERROR(__xludf.DUMMYFUNCTION("""COMPUTED_VALUE"""),5.6)</f>
        <v>5.6</v>
      </c>
      <c r="E36" s="2">
        <v>6.7</v>
      </c>
      <c r="V36" s="42">
        <v>19.899999999999999</v>
      </c>
    </row>
    <row r="37" spans="1:22" ht="14.25" customHeight="1">
      <c r="A37" s="2">
        <v>5</v>
      </c>
      <c r="D37" s="2">
        <f ca="1">IFERROR(__xludf.DUMMYFUNCTION("""COMPUTED_VALUE"""),6.7)</f>
        <v>6.7</v>
      </c>
      <c r="E37" s="2">
        <v>6.8</v>
      </c>
      <c r="V37" s="42">
        <v>16.600000000000001</v>
      </c>
    </row>
    <row r="38" spans="1:22" ht="14.25" customHeight="1">
      <c r="A38" s="2">
        <v>5.5</v>
      </c>
      <c r="D38" s="2">
        <f ca="1">IFERROR(__xludf.DUMMYFUNCTION("""COMPUTED_VALUE"""),6.2)</f>
        <v>6.2</v>
      </c>
      <c r="E38" s="2">
        <v>6.9</v>
      </c>
      <c r="V38" s="42">
        <v>16.8</v>
      </c>
    </row>
    <row r="39" spans="1:22" ht="14.25" customHeight="1">
      <c r="A39" s="2">
        <v>4.9000000000000004</v>
      </c>
      <c r="D39" s="2">
        <f ca="1">IFERROR(__xludf.DUMMYFUNCTION("""COMPUTED_VALUE"""),6.8)</f>
        <v>6.8</v>
      </c>
      <c r="E39" s="2">
        <v>7</v>
      </c>
      <c r="V39" s="42">
        <v>14.6</v>
      </c>
    </row>
    <row r="40" spans="1:22" ht="14.25" customHeight="1">
      <c r="A40" s="2">
        <v>4.4000000000000004</v>
      </c>
      <c r="D40" s="2">
        <f ca="1">IFERROR(__xludf.DUMMYFUNCTION("""COMPUTED_VALUE"""),7.1)</f>
        <v>7.1</v>
      </c>
      <c r="E40" s="2">
        <v>7.1</v>
      </c>
      <c r="V40" s="42">
        <v>17.100000000000001</v>
      </c>
    </row>
    <row r="41" spans="1:22" ht="14.25" customHeight="1">
      <c r="A41" s="2">
        <v>5.0999999999999996</v>
      </c>
      <c r="D41" s="2">
        <f ca="1">IFERROR(__xludf.DUMMYFUNCTION("""COMPUTED_VALUE"""),7.6)</f>
        <v>7.6</v>
      </c>
      <c r="E41" s="2">
        <v>7.2</v>
      </c>
      <c r="V41" s="42">
        <v>25</v>
      </c>
    </row>
    <row r="42" spans="1:22" ht="14.25" customHeight="1">
      <c r="A42" s="2">
        <v>5</v>
      </c>
      <c r="D42" s="2">
        <f ca="1">IFERROR(__xludf.DUMMYFUNCTION("""COMPUTED_VALUE"""),7.3)</f>
        <v>7.3</v>
      </c>
      <c r="E42" s="2">
        <v>7.3</v>
      </c>
      <c r="V42" s="42">
        <v>15</v>
      </c>
    </row>
    <row r="43" spans="1:22" ht="14.25" customHeight="1">
      <c r="A43" s="2">
        <v>4.5</v>
      </c>
      <c r="D43" s="2">
        <f ca="1">IFERROR(__xludf.DUMMYFUNCTION("""COMPUTED_VALUE"""),7.2)</f>
        <v>7.2</v>
      </c>
      <c r="E43" s="2">
        <v>7.4</v>
      </c>
      <c r="V43" s="42">
        <v>13.7</v>
      </c>
    </row>
    <row r="44" spans="1:22" ht="14.25" customHeight="1">
      <c r="A44" s="2">
        <v>4.4000000000000004</v>
      </c>
      <c r="D44" s="2">
        <f ca="1">IFERROR(__xludf.DUMMYFUNCTION("""COMPUTED_VALUE"""),7.7)</f>
        <v>7.7</v>
      </c>
      <c r="E44" s="2">
        <v>7.6</v>
      </c>
      <c r="V44" s="42">
        <v>13.9</v>
      </c>
    </row>
    <row r="45" spans="1:22" ht="14.25" customHeight="1">
      <c r="A45" s="2">
        <v>5</v>
      </c>
      <c r="D45" s="2">
        <f ca="1">IFERROR(__xludf.DUMMYFUNCTION("""COMPUTED_VALUE"""),7.4)</f>
        <v>7.4</v>
      </c>
      <c r="E45" s="2">
        <v>7.7</v>
      </c>
      <c r="V45" s="42">
        <v>18.3</v>
      </c>
    </row>
    <row r="46" spans="1:22" ht="14.25" customHeight="1">
      <c r="A46" s="2">
        <v>5.0999999999999996</v>
      </c>
      <c r="D46" s="2">
        <f ca="1">IFERROR(__xludf.DUMMYFUNCTION("""COMPUTED_VALUE"""),7.9)</f>
        <v>7.9</v>
      </c>
      <c r="E46" s="2">
        <v>7.9</v>
      </c>
      <c r="V46" s="42">
        <v>22</v>
      </c>
    </row>
    <row r="47" spans="1:22" ht="14.25" customHeight="1">
      <c r="A47" s="2">
        <v>4.8</v>
      </c>
      <c r="V47" s="42">
        <v>22.1</v>
      </c>
    </row>
    <row r="48" spans="1:22" ht="14.25" customHeight="1">
      <c r="A48" s="2">
        <v>5.0999999999999996</v>
      </c>
      <c r="V48" s="42">
        <v>21.2</v>
      </c>
    </row>
    <row r="49" spans="1:22" ht="14.25" customHeight="1">
      <c r="A49" s="2">
        <v>4.5999999999999996</v>
      </c>
      <c r="V49" s="42">
        <v>18.399999999999999</v>
      </c>
    </row>
    <row r="50" spans="1:22" ht="14.25" customHeight="1">
      <c r="A50" s="2">
        <v>5.3</v>
      </c>
      <c r="V50" s="42">
        <v>16.600000000000001</v>
      </c>
    </row>
    <row r="51" spans="1:22" ht="14.25" customHeight="1">
      <c r="A51" s="2">
        <v>5</v>
      </c>
      <c r="V51" s="42">
        <v>16.100000000000001</v>
      </c>
    </row>
    <row r="52" spans="1:22" ht="14.25" customHeight="1">
      <c r="A52" s="2">
        <v>7</v>
      </c>
      <c r="V52" s="42">
        <v>15.7</v>
      </c>
    </row>
    <row r="53" spans="1:22" ht="14.25" customHeight="1">
      <c r="A53" s="2">
        <v>6.4</v>
      </c>
      <c r="V53" s="42">
        <v>16.600000000000001</v>
      </c>
    </row>
    <row r="54" spans="1:22" ht="14.25" customHeight="1">
      <c r="A54" s="2">
        <v>6.9</v>
      </c>
      <c r="V54" s="42">
        <v>16.5</v>
      </c>
    </row>
    <row r="55" spans="1:22" ht="14.25" customHeight="1">
      <c r="A55" s="2">
        <v>5.5</v>
      </c>
      <c r="V55" s="42">
        <v>14.4</v>
      </c>
    </row>
    <row r="56" spans="1:22" ht="14.25" customHeight="1">
      <c r="A56" s="2">
        <v>6.5</v>
      </c>
      <c r="V56" s="42">
        <v>14.4</v>
      </c>
    </row>
    <row r="57" spans="1:22" ht="14.25" customHeight="1">
      <c r="A57" s="2">
        <v>5.7</v>
      </c>
      <c r="V57" s="42">
        <v>18.5</v>
      </c>
    </row>
    <row r="58" spans="1:22" ht="14.25" customHeight="1">
      <c r="A58" s="2">
        <v>6.3</v>
      </c>
      <c r="V58" s="42">
        <v>16.899999999999999</v>
      </c>
    </row>
    <row r="59" spans="1:22" ht="14.25" customHeight="1">
      <c r="A59" s="2">
        <v>4.9000000000000004</v>
      </c>
      <c r="V59" s="42">
        <v>17.5</v>
      </c>
    </row>
    <row r="60" spans="1:22" ht="14.25" customHeight="1">
      <c r="A60" s="2">
        <v>6.6</v>
      </c>
      <c r="V60" s="42">
        <v>21.2</v>
      </c>
    </row>
    <row r="61" spans="1:22" ht="14.25" customHeight="1">
      <c r="A61" s="2">
        <v>5.2</v>
      </c>
      <c r="V61" s="42">
        <v>17.8</v>
      </c>
    </row>
    <row r="62" spans="1:22" ht="14.25" customHeight="1">
      <c r="A62" s="2">
        <v>5</v>
      </c>
      <c r="V62" s="42">
        <v>18.600000000000001</v>
      </c>
    </row>
    <row r="63" spans="1:22" ht="14.25" customHeight="1">
      <c r="A63" s="2">
        <v>5.9</v>
      </c>
      <c r="V63" s="42">
        <v>17</v>
      </c>
    </row>
    <row r="64" spans="1:22" ht="14.25" customHeight="1">
      <c r="A64" s="2">
        <v>6</v>
      </c>
      <c r="V64" s="42">
        <v>16</v>
      </c>
    </row>
    <row r="65" spans="1:22" ht="14.25" customHeight="1">
      <c r="A65" s="2">
        <v>6.1</v>
      </c>
      <c r="V65" s="42">
        <v>13.3</v>
      </c>
    </row>
    <row r="66" spans="1:22" ht="14.25" customHeight="1">
      <c r="A66" s="2">
        <v>5.6</v>
      </c>
      <c r="V66" s="42">
        <v>14.3</v>
      </c>
    </row>
    <row r="67" spans="1:22" ht="14.25" customHeight="1">
      <c r="A67" s="2">
        <v>6.7</v>
      </c>
      <c r="V67" s="42">
        <v>11.4</v>
      </c>
    </row>
    <row r="68" spans="1:22" ht="14.25" customHeight="1">
      <c r="A68" s="2">
        <v>5.6</v>
      </c>
      <c r="V68" s="42">
        <v>16.3</v>
      </c>
    </row>
    <row r="69" spans="1:22" ht="14.25" customHeight="1">
      <c r="A69" s="2">
        <v>5.8</v>
      </c>
      <c r="V69" s="42">
        <v>16.100000000000001</v>
      </c>
    </row>
    <row r="70" spans="1:22" ht="14.25" customHeight="1">
      <c r="A70" s="2">
        <v>6.2</v>
      </c>
      <c r="V70" s="42">
        <v>11.8</v>
      </c>
    </row>
    <row r="71" spans="1:22" ht="14.25" customHeight="1">
      <c r="A71" s="2">
        <v>5.6</v>
      </c>
      <c r="V71" s="42">
        <v>12.2</v>
      </c>
    </row>
    <row r="72" spans="1:22" ht="14.25" customHeight="1">
      <c r="A72" s="2">
        <v>5.9</v>
      </c>
      <c r="V72" s="42">
        <v>14.7</v>
      </c>
    </row>
    <row r="73" spans="1:22" ht="14.25" customHeight="1">
      <c r="A73" s="2">
        <v>6.1</v>
      </c>
      <c r="V73" s="42">
        <v>11.8</v>
      </c>
    </row>
    <row r="74" spans="1:22" ht="14.25" customHeight="1">
      <c r="A74" s="2">
        <v>6.3</v>
      </c>
      <c r="V74" s="42">
        <v>11.3</v>
      </c>
    </row>
    <row r="75" spans="1:22" ht="14.25" customHeight="1">
      <c r="A75" s="2">
        <v>6.1</v>
      </c>
      <c r="V75" s="42">
        <v>10.6</v>
      </c>
    </row>
    <row r="76" spans="1:22" ht="14.25" customHeight="1">
      <c r="A76" s="2">
        <v>6.4</v>
      </c>
      <c r="V76" s="42">
        <v>11.7</v>
      </c>
    </row>
    <row r="77" spans="1:22" ht="14.25" customHeight="1">
      <c r="A77" s="2">
        <v>6.6</v>
      </c>
      <c r="V77" s="42">
        <v>14.2</v>
      </c>
    </row>
    <row r="78" spans="1:22" ht="14.25" customHeight="1">
      <c r="A78" s="2">
        <v>6.8</v>
      </c>
      <c r="V78" s="42">
        <v>11.2</v>
      </c>
    </row>
    <row r="79" spans="1:22" ht="14.25" customHeight="1">
      <c r="A79" s="2">
        <v>6.7</v>
      </c>
      <c r="V79" s="42">
        <v>16.899999999999999</v>
      </c>
    </row>
    <row r="80" spans="1:22" ht="14.25" customHeight="1">
      <c r="A80" s="2">
        <v>6</v>
      </c>
      <c r="V80" s="42">
        <v>16.7</v>
      </c>
    </row>
    <row r="81" spans="1:22" ht="14.25" customHeight="1">
      <c r="A81" s="2">
        <v>5.7</v>
      </c>
      <c r="V81" s="42">
        <v>8.1</v>
      </c>
    </row>
    <row r="82" spans="1:22" ht="14.25" customHeight="1">
      <c r="A82" s="2">
        <v>5.5</v>
      </c>
      <c r="V82" s="42">
        <v>8</v>
      </c>
    </row>
    <row r="83" spans="1:22" ht="14.25" customHeight="1">
      <c r="A83" s="2">
        <v>5.5</v>
      </c>
      <c r="V83" s="42">
        <v>8.8000000000000007</v>
      </c>
    </row>
    <row r="84" spans="1:22" ht="14.25" customHeight="1">
      <c r="A84" s="2">
        <v>5.8</v>
      </c>
      <c r="V84" s="42">
        <v>13.4</v>
      </c>
    </row>
    <row r="85" spans="1:22" ht="14.25" customHeight="1">
      <c r="A85" s="2">
        <v>6</v>
      </c>
      <c r="V85" s="42">
        <v>10.9</v>
      </c>
    </row>
    <row r="86" spans="1:22" ht="14.25" customHeight="1">
      <c r="A86" s="2">
        <v>5.4</v>
      </c>
      <c r="V86" s="42">
        <v>13.4</v>
      </c>
    </row>
    <row r="87" spans="1:22" ht="14.25" customHeight="1">
      <c r="A87" s="2">
        <v>6</v>
      </c>
      <c r="V87" s="42">
        <v>11</v>
      </c>
    </row>
    <row r="88" spans="1:22" ht="14.25" customHeight="1">
      <c r="A88" s="2">
        <v>6.7</v>
      </c>
      <c r="V88" s="42">
        <v>15</v>
      </c>
    </row>
    <row r="89" spans="1:22" ht="14.25" customHeight="1">
      <c r="A89" s="2">
        <v>6.3</v>
      </c>
      <c r="V89" s="42">
        <v>15.7</v>
      </c>
    </row>
    <row r="90" spans="1:22" ht="14.25" customHeight="1">
      <c r="A90" s="2">
        <v>5.6</v>
      </c>
      <c r="V90" s="42">
        <v>14.5</v>
      </c>
    </row>
    <row r="91" spans="1:22" ht="14.25" customHeight="1">
      <c r="A91" s="2">
        <v>5.5</v>
      </c>
      <c r="V91" s="42">
        <v>15.8</v>
      </c>
    </row>
    <row r="92" spans="1:22" ht="14.25" customHeight="1">
      <c r="A92" s="2">
        <v>5.5</v>
      </c>
      <c r="V92" s="42">
        <v>16.7</v>
      </c>
    </row>
    <row r="93" spans="1:22" ht="14.25" customHeight="1">
      <c r="A93" s="2">
        <v>6.1</v>
      </c>
      <c r="V93" s="42">
        <v>16.8</v>
      </c>
    </row>
    <row r="94" spans="1:22" ht="14.25" customHeight="1">
      <c r="A94" s="2">
        <v>5.8</v>
      </c>
      <c r="V94" s="42">
        <v>17.5</v>
      </c>
    </row>
    <row r="95" spans="1:22" ht="14.25" customHeight="1">
      <c r="A95" s="2">
        <v>5</v>
      </c>
      <c r="V95" s="42">
        <v>17.100000000000001</v>
      </c>
    </row>
    <row r="96" spans="1:22" ht="14.25" customHeight="1">
      <c r="A96" s="2">
        <v>5.6</v>
      </c>
      <c r="V96" s="42">
        <v>18.100000000000001</v>
      </c>
    </row>
    <row r="97" spans="1:22" ht="14.25" customHeight="1">
      <c r="A97" s="2">
        <v>5.7</v>
      </c>
      <c r="V97" s="42">
        <v>16.600000000000001</v>
      </c>
    </row>
    <row r="98" spans="1:22" ht="14.25" customHeight="1">
      <c r="A98" s="2">
        <v>5.7</v>
      </c>
      <c r="V98" s="42">
        <v>10</v>
      </c>
    </row>
    <row r="99" spans="1:22" ht="14.25" customHeight="1">
      <c r="A99" s="2">
        <v>6.2</v>
      </c>
      <c r="V99" s="42">
        <v>14.9</v>
      </c>
    </row>
    <row r="100" spans="1:22" ht="14.25" customHeight="1">
      <c r="A100" s="2">
        <v>5.0999999999999996</v>
      </c>
      <c r="V100" s="42">
        <v>15.9</v>
      </c>
    </row>
    <row r="101" spans="1:22" ht="14.25" customHeight="1">
      <c r="A101" s="2">
        <v>5.7</v>
      </c>
      <c r="V101" s="42">
        <v>13</v>
      </c>
    </row>
    <row r="102" spans="1:22" ht="14.25" customHeight="1">
      <c r="A102" s="2">
        <v>6.3</v>
      </c>
      <c r="V102" s="42">
        <v>7.6</v>
      </c>
    </row>
    <row r="103" spans="1:22" ht="14.25" customHeight="1">
      <c r="A103" s="2">
        <v>5.8</v>
      </c>
      <c r="V103" s="42">
        <v>11.5</v>
      </c>
    </row>
    <row r="104" spans="1:22" ht="14.25" customHeight="1">
      <c r="A104" s="2">
        <v>7.1</v>
      </c>
      <c r="V104" s="42">
        <v>13.5</v>
      </c>
    </row>
    <row r="105" spans="1:22" ht="14.25" customHeight="1">
      <c r="A105" s="2">
        <v>6.3</v>
      </c>
      <c r="V105" s="42">
        <v>13</v>
      </c>
    </row>
    <row r="106" spans="1:22" ht="14.25" customHeight="1">
      <c r="A106" s="2">
        <v>6.5</v>
      </c>
      <c r="V106" s="42">
        <v>13.3</v>
      </c>
    </row>
    <row r="107" spans="1:22" ht="14.25" customHeight="1">
      <c r="A107" s="2">
        <v>7.6</v>
      </c>
      <c r="V107" s="42">
        <v>12.1</v>
      </c>
    </row>
    <row r="108" spans="1:22" ht="14.25" customHeight="1">
      <c r="A108" s="2">
        <v>4.9000000000000004</v>
      </c>
      <c r="V108" s="42">
        <v>12.4</v>
      </c>
    </row>
    <row r="109" spans="1:22" ht="14.25" customHeight="1">
      <c r="A109" s="2">
        <v>7.3</v>
      </c>
      <c r="V109" s="42">
        <v>13.2</v>
      </c>
    </row>
    <row r="110" spans="1:22" ht="14.25" customHeight="1">
      <c r="A110" s="2">
        <v>6.7</v>
      </c>
      <c r="V110" s="42">
        <v>13.8</v>
      </c>
    </row>
    <row r="111" spans="1:22" ht="14.25" customHeight="1">
      <c r="A111" s="2">
        <v>7.2</v>
      </c>
      <c r="V111" s="42">
        <v>10.6</v>
      </c>
    </row>
    <row r="112" spans="1:22" ht="14.25" customHeight="1">
      <c r="A112" s="2">
        <v>6.5</v>
      </c>
      <c r="V112" s="42">
        <v>9</v>
      </c>
    </row>
    <row r="113" spans="1:22" ht="14.25" customHeight="1">
      <c r="A113" s="2">
        <v>6.4</v>
      </c>
      <c r="V113" s="42">
        <v>10</v>
      </c>
    </row>
    <row r="114" spans="1:22" ht="14.25" customHeight="1">
      <c r="A114" s="2">
        <v>6.8</v>
      </c>
      <c r="V114" s="42">
        <v>9.8000000000000007</v>
      </c>
    </row>
    <row r="115" spans="1:22" ht="14.25" customHeight="1">
      <c r="A115" s="2">
        <v>5.7</v>
      </c>
      <c r="V115" s="42">
        <v>11.5</v>
      </c>
    </row>
    <row r="116" spans="1:22" ht="14.25" customHeight="1">
      <c r="A116" s="2">
        <v>5.8</v>
      </c>
      <c r="V116" s="42">
        <v>8.9</v>
      </c>
    </row>
    <row r="117" spans="1:22" ht="14.25" customHeight="1">
      <c r="A117" s="2">
        <v>6.4</v>
      </c>
      <c r="V117" s="42">
        <v>7.4</v>
      </c>
    </row>
    <row r="118" spans="1:22" ht="14.25" customHeight="1">
      <c r="A118" s="2">
        <v>6.5</v>
      </c>
      <c r="V118" s="42">
        <v>9.9</v>
      </c>
    </row>
    <row r="119" spans="1:22" ht="14.25" customHeight="1">
      <c r="A119" s="2">
        <v>7.7</v>
      </c>
      <c r="V119" s="42">
        <v>9.3000000000000007</v>
      </c>
    </row>
    <row r="120" spans="1:22" ht="14.25" customHeight="1">
      <c r="A120" s="2">
        <v>7.7</v>
      </c>
      <c r="V120" s="42">
        <v>9.9</v>
      </c>
    </row>
    <row r="121" spans="1:22" ht="14.25" customHeight="1">
      <c r="A121" s="2">
        <v>6</v>
      </c>
      <c r="V121" s="42">
        <v>7.4</v>
      </c>
    </row>
    <row r="122" spans="1:22" ht="14.25" customHeight="1">
      <c r="A122" s="2">
        <v>6.9</v>
      </c>
      <c r="V122" s="42">
        <v>8.6</v>
      </c>
    </row>
    <row r="123" spans="1:22" ht="14.25" customHeight="1">
      <c r="A123" s="2">
        <v>5.6</v>
      </c>
      <c r="V123" s="42">
        <v>11.9</v>
      </c>
    </row>
    <row r="124" spans="1:22" ht="14.25" customHeight="1">
      <c r="A124" s="2">
        <v>7.7</v>
      </c>
      <c r="V124" s="42">
        <v>14</v>
      </c>
    </row>
    <row r="125" spans="1:22" ht="14.25" customHeight="1">
      <c r="A125" s="2">
        <v>6.3</v>
      </c>
      <c r="V125" s="42">
        <v>8.6</v>
      </c>
    </row>
    <row r="126" spans="1:22" ht="14.25" customHeight="1">
      <c r="A126" s="2">
        <v>6.7</v>
      </c>
      <c r="V126" s="42">
        <v>10</v>
      </c>
    </row>
    <row r="127" spans="1:22" ht="14.25" customHeight="1">
      <c r="A127" s="2">
        <v>7.2</v>
      </c>
      <c r="V127" s="42">
        <v>13.5</v>
      </c>
    </row>
    <row r="128" spans="1:22" ht="14.25" customHeight="1">
      <c r="A128" s="2">
        <v>6.2</v>
      </c>
      <c r="V128" s="42">
        <v>12</v>
      </c>
    </row>
    <row r="129" spans="1:22" ht="14.25" customHeight="1">
      <c r="A129" s="2">
        <v>6.1</v>
      </c>
      <c r="V129" s="42">
        <v>10.5</v>
      </c>
    </row>
    <row r="130" spans="1:22" ht="14.25" customHeight="1">
      <c r="A130" s="2">
        <v>6.4</v>
      </c>
      <c r="V130" s="42">
        <v>10.7</v>
      </c>
    </row>
    <row r="131" spans="1:22" ht="14.25" customHeight="1">
      <c r="A131" s="2">
        <v>7.2</v>
      </c>
      <c r="V131" s="42">
        <v>8.1</v>
      </c>
    </row>
    <row r="132" spans="1:22" ht="14.25" customHeight="1">
      <c r="A132" s="2">
        <v>7.4</v>
      </c>
      <c r="V132" s="42">
        <v>10.1</v>
      </c>
    </row>
    <row r="133" spans="1:22" ht="14.25" customHeight="1">
      <c r="A133" s="2">
        <v>7.9</v>
      </c>
      <c r="V133" s="42">
        <v>10.6</v>
      </c>
    </row>
    <row r="134" spans="1:22" ht="14.25" customHeight="1">
      <c r="A134" s="2">
        <v>6.4</v>
      </c>
      <c r="V134" s="42">
        <v>5.3</v>
      </c>
    </row>
    <row r="135" spans="1:22" ht="14.25" customHeight="1">
      <c r="A135" s="2">
        <v>6.3</v>
      </c>
      <c r="V135" s="42">
        <v>6.6</v>
      </c>
    </row>
    <row r="136" spans="1:22" ht="14.25" customHeight="1">
      <c r="A136" s="2">
        <v>6.1</v>
      </c>
      <c r="V136" s="42">
        <v>8.5</v>
      </c>
    </row>
    <row r="137" spans="1:22" ht="14.25" customHeight="1">
      <c r="A137" s="2">
        <v>7.7</v>
      </c>
      <c r="V137" s="42">
        <v>11.2</v>
      </c>
    </row>
    <row r="138" spans="1:22" ht="14.25" customHeight="1">
      <c r="A138" s="2">
        <v>6.3</v>
      </c>
      <c r="V138" s="42">
        <v>9.8000000000000007</v>
      </c>
    </row>
    <row r="139" spans="1:22" ht="14.25" customHeight="1">
      <c r="A139" s="2">
        <v>6.4</v>
      </c>
      <c r="V139" s="42">
        <v>5.9</v>
      </c>
    </row>
    <row r="140" spans="1:22" ht="14.25" customHeight="1">
      <c r="A140" s="2">
        <v>6</v>
      </c>
      <c r="V140" s="42">
        <v>3.2</v>
      </c>
    </row>
    <row r="141" spans="1:22" ht="14.25" customHeight="1">
      <c r="A141" s="2">
        <v>6.9</v>
      </c>
      <c r="V141" s="42">
        <v>2.1</v>
      </c>
    </row>
    <row r="142" spans="1:22" ht="14.25" customHeight="1">
      <c r="A142" s="2">
        <v>6.7</v>
      </c>
      <c r="V142" s="42">
        <v>3.4</v>
      </c>
    </row>
    <row r="143" spans="1:22" ht="14.25" customHeight="1">
      <c r="A143" s="2">
        <v>6.9</v>
      </c>
      <c r="V143" s="42">
        <v>5.4</v>
      </c>
    </row>
    <row r="144" spans="1:22" ht="14.25" customHeight="1">
      <c r="A144" s="2">
        <v>5.8</v>
      </c>
      <c r="V144" s="42">
        <v>9.6</v>
      </c>
    </row>
    <row r="145" spans="1:22" ht="14.25" customHeight="1">
      <c r="A145" s="2">
        <v>6.8</v>
      </c>
      <c r="V145" s="42">
        <v>11.5</v>
      </c>
    </row>
    <row r="146" spans="1:22" ht="14.25" customHeight="1">
      <c r="A146" s="2">
        <v>6.7</v>
      </c>
      <c r="V146" s="42">
        <v>12.3</v>
      </c>
    </row>
    <row r="147" spans="1:22" ht="14.25" customHeight="1">
      <c r="A147" s="2">
        <v>6.7</v>
      </c>
      <c r="V147" s="42">
        <v>12.6</v>
      </c>
    </row>
    <row r="148" spans="1:22" ht="14.25" customHeight="1">
      <c r="A148" s="2">
        <v>6.3</v>
      </c>
      <c r="V148" s="42">
        <v>11</v>
      </c>
    </row>
    <row r="149" spans="1:22" ht="14.25" customHeight="1">
      <c r="A149" s="2">
        <v>6.5</v>
      </c>
      <c r="V149" s="42">
        <v>11.2</v>
      </c>
    </row>
    <row r="150" spans="1:22" ht="14.25" customHeight="1">
      <c r="A150" s="2">
        <v>6.2</v>
      </c>
      <c r="V150" s="42">
        <v>11.4</v>
      </c>
    </row>
    <row r="151" spans="1:22" ht="14.25" customHeight="1">
      <c r="A151" s="2">
        <v>5.9</v>
      </c>
      <c r="V151" s="42">
        <v>11.8</v>
      </c>
    </row>
    <row r="152" spans="1:22" ht="14.25" customHeight="1">
      <c r="V152" s="42">
        <v>12.8</v>
      </c>
    </row>
    <row r="153" spans="1:22" ht="14.25" customHeight="1">
      <c r="V153" s="42">
        <v>11.6</v>
      </c>
    </row>
    <row r="154" spans="1:22" ht="14.25" customHeight="1">
      <c r="V154" s="42">
        <v>10.6</v>
      </c>
    </row>
    <row r="155" spans="1:22" ht="14.25" customHeight="1">
      <c r="V155" s="42">
        <v>9.8000000000000007</v>
      </c>
    </row>
    <row r="156" spans="1:22" ht="14.25" customHeight="1">
      <c r="V156" s="42">
        <v>11.2</v>
      </c>
    </row>
    <row r="157" spans="1:22" ht="14.25" customHeight="1">
      <c r="V157" s="42">
        <v>5.7</v>
      </c>
    </row>
    <row r="158" spans="1:22" ht="14.25" customHeight="1">
      <c r="V158" s="42">
        <v>7.1</v>
      </c>
    </row>
    <row r="159" spans="1:22" ht="14.25" customHeight="1">
      <c r="V159" s="42">
        <v>2.5</v>
      </c>
    </row>
    <row r="160" spans="1:22" ht="14.25" customHeight="1">
      <c r="V160" s="42">
        <v>3.5</v>
      </c>
    </row>
    <row r="161" spans="22:22" ht="14.25" customHeight="1">
      <c r="V161" s="42">
        <v>4.5999999999999996</v>
      </c>
    </row>
    <row r="162" spans="22:22" ht="14.25" customHeight="1">
      <c r="V162" s="42">
        <v>11</v>
      </c>
    </row>
    <row r="163" spans="22:22" ht="14.25" customHeight="1">
      <c r="V163" s="42">
        <v>5.7</v>
      </c>
    </row>
    <row r="164" spans="22:22" ht="14.25" customHeight="1">
      <c r="V164" s="42">
        <v>7.7</v>
      </c>
    </row>
    <row r="165" spans="22:22" ht="14.25" customHeight="1">
      <c r="V165" s="42">
        <v>10.4</v>
      </c>
    </row>
    <row r="166" spans="22:22" ht="14.25" customHeight="1">
      <c r="V166" s="42">
        <v>11.4</v>
      </c>
    </row>
    <row r="167" spans="22:22" ht="14.25" customHeight="1">
      <c r="V167" s="42">
        <v>9.1999999999999993</v>
      </c>
    </row>
    <row r="168" spans="22:22" ht="14.25" customHeight="1">
      <c r="V168" s="42">
        <v>6.1</v>
      </c>
    </row>
    <row r="169" spans="22:22" ht="14.25" customHeight="1">
      <c r="V169" s="42">
        <v>2.7</v>
      </c>
    </row>
    <row r="170" spans="22:22" ht="14.25" customHeight="1">
      <c r="V170" s="42">
        <v>4.3</v>
      </c>
    </row>
    <row r="171" spans="22:22" ht="14.25" customHeight="1">
      <c r="V171" s="42">
        <v>6.3</v>
      </c>
    </row>
    <row r="172" spans="22:22" ht="14.25" customHeight="1">
      <c r="V172" s="42">
        <v>3.8</v>
      </c>
    </row>
    <row r="173" spans="22:22" ht="14.25" customHeight="1">
      <c r="V173" s="42">
        <v>4.4000000000000004</v>
      </c>
    </row>
    <row r="174" spans="22:22" ht="14.25" customHeight="1">
      <c r="V174" s="42">
        <v>7.1</v>
      </c>
    </row>
    <row r="175" spans="22:22" ht="14.25" customHeight="1">
      <c r="V175" s="42">
        <v>4.8</v>
      </c>
    </row>
    <row r="176" spans="22:22" ht="14.25" customHeight="1">
      <c r="V176" s="42">
        <v>5.8</v>
      </c>
    </row>
    <row r="177" spans="22:22" ht="14.25" customHeight="1">
      <c r="V177" s="42">
        <v>6.2</v>
      </c>
    </row>
    <row r="178" spans="22:22" ht="14.25" customHeight="1">
      <c r="V178" s="42">
        <v>7.3</v>
      </c>
    </row>
    <row r="179" spans="22:22" ht="14.25" customHeight="1">
      <c r="V179" s="42">
        <v>9.1999999999999993</v>
      </c>
    </row>
    <row r="180" spans="22:22" ht="14.25" customHeight="1">
      <c r="V180" s="42">
        <v>10.199999999999999</v>
      </c>
    </row>
    <row r="181" spans="22:22" ht="14.25" customHeight="1">
      <c r="V181" s="42">
        <v>9.5</v>
      </c>
    </row>
    <row r="182" spans="22:22" ht="14.25" customHeight="1">
      <c r="V182" s="42">
        <v>9.5</v>
      </c>
    </row>
    <row r="183" spans="22:22" ht="14.25" customHeight="1">
      <c r="V183" s="42">
        <v>10.7</v>
      </c>
    </row>
    <row r="184" spans="22:22" ht="14.25" customHeight="1">
      <c r="V184" s="42">
        <v>10</v>
      </c>
    </row>
    <row r="185" spans="22:22" ht="14.25" customHeight="1">
      <c r="V185" s="42">
        <v>6.5</v>
      </c>
    </row>
    <row r="186" spans="22:22" ht="14.25" customHeight="1">
      <c r="V186" s="42">
        <v>7</v>
      </c>
    </row>
    <row r="187" spans="22:22" ht="14.25" customHeight="1">
      <c r="V187" s="42">
        <v>7.4</v>
      </c>
    </row>
    <row r="188" spans="22:22" ht="14.25" customHeight="1">
      <c r="V188" s="42">
        <v>8.1</v>
      </c>
    </row>
    <row r="189" spans="22:22" ht="14.25" customHeight="1">
      <c r="V189" s="42">
        <v>6.6</v>
      </c>
    </row>
    <row r="190" spans="22:22" ht="14.25" customHeight="1">
      <c r="V190" s="42">
        <v>8.3000000000000007</v>
      </c>
    </row>
    <row r="191" spans="22:22" ht="14.25" customHeight="1">
      <c r="V191" s="42">
        <v>8.9</v>
      </c>
    </row>
    <row r="192" spans="22:22" ht="14.25" customHeight="1">
      <c r="V192" s="42">
        <v>4.5999999999999996</v>
      </c>
    </row>
    <row r="193" spans="22:22" ht="14.25" customHeight="1">
      <c r="V193" s="42">
        <v>6.8</v>
      </c>
    </row>
    <row r="194" spans="22:22" ht="14.25" customHeight="1">
      <c r="V194" s="42">
        <v>5.7</v>
      </c>
    </row>
    <row r="195" spans="22:22" ht="14.25" customHeight="1">
      <c r="V195" s="42">
        <v>6.1</v>
      </c>
    </row>
    <row r="196" spans="22:22" ht="14.25" customHeight="1">
      <c r="V196" s="42">
        <v>7</v>
      </c>
    </row>
    <row r="197" spans="22:22" ht="14.25" customHeight="1">
      <c r="V197" s="42">
        <v>7.2</v>
      </c>
    </row>
    <row r="198" spans="22:22" ht="14.25" customHeight="1">
      <c r="V198" s="42">
        <v>6.3</v>
      </c>
    </row>
    <row r="199" spans="22:22" ht="14.25" customHeight="1">
      <c r="V199" s="42">
        <v>8.8000000000000007</v>
      </c>
    </row>
    <row r="200" spans="22:22" ht="14.25" customHeight="1">
      <c r="V200" s="42">
        <v>5</v>
      </c>
    </row>
    <row r="201" spans="22:22" ht="14.25" customHeight="1">
      <c r="V201" s="42">
        <v>7.4</v>
      </c>
    </row>
    <row r="202" spans="22:22" ht="14.25" customHeight="1">
      <c r="V202" s="42">
        <v>10.1</v>
      </c>
    </row>
    <row r="203" spans="22:22" ht="14.25" customHeight="1">
      <c r="V203" s="42">
        <v>12</v>
      </c>
    </row>
    <row r="204" spans="22:22" ht="14.25" customHeight="1">
      <c r="V204" s="42">
        <v>9</v>
      </c>
    </row>
    <row r="205" spans="22:22" ht="14.25" customHeight="1">
      <c r="V205" s="42">
        <v>8.9</v>
      </c>
    </row>
    <row r="206" spans="22:22" ht="14.25" customHeight="1">
      <c r="V206" s="42">
        <v>9.8000000000000007</v>
      </c>
    </row>
    <row r="207" spans="22:22" ht="14.25" customHeight="1">
      <c r="V207" s="42">
        <v>9</v>
      </c>
    </row>
    <row r="208" spans="22:22" ht="14.25" customHeight="1">
      <c r="V208" s="42">
        <v>9.1999999999999993</v>
      </c>
    </row>
    <row r="209" spans="22:22" ht="14.25" customHeight="1">
      <c r="V209" s="42">
        <v>7.7</v>
      </c>
    </row>
    <row r="210" spans="22:22" ht="14.25" customHeight="1">
      <c r="V210" s="42">
        <v>8</v>
      </c>
    </row>
    <row r="211" spans="22:22" ht="14.25" customHeight="1">
      <c r="V211" s="42">
        <v>6.1</v>
      </c>
    </row>
    <row r="212" spans="22:22" ht="14.25" customHeight="1">
      <c r="V212" s="42">
        <v>3.5</v>
      </c>
    </row>
    <row r="213" spans="22:22" ht="14.25" customHeight="1">
      <c r="V213" s="42">
        <v>3.2</v>
      </c>
    </row>
    <row r="214" spans="22:22" ht="14.25" customHeight="1">
      <c r="V214" s="42">
        <v>5.7</v>
      </c>
    </row>
    <row r="215" spans="22:22" ht="14.25" customHeight="1">
      <c r="V215" s="42">
        <v>7.7</v>
      </c>
    </row>
    <row r="216" spans="22:22" ht="14.25" customHeight="1">
      <c r="V216" s="42">
        <v>9</v>
      </c>
    </row>
    <row r="217" spans="22:22" ht="14.25" customHeight="1">
      <c r="V217" s="42">
        <v>10</v>
      </c>
    </row>
    <row r="218" spans="22:22" ht="14.25" customHeight="1">
      <c r="V218" s="42">
        <v>6.2</v>
      </c>
    </row>
    <row r="219" spans="22:22" ht="14.25" customHeight="1">
      <c r="V219" s="42">
        <v>6.9</v>
      </c>
    </row>
    <row r="220" spans="22:22" ht="14.25" customHeight="1">
      <c r="V220" s="42">
        <v>6.5</v>
      </c>
    </row>
    <row r="221" spans="22:22" ht="14.25" customHeight="1">
      <c r="V221" s="42">
        <v>6.8</v>
      </c>
    </row>
    <row r="222" spans="22:22" ht="14.25" customHeight="1">
      <c r="V222" s="42">
        <v>7</v>
      </c>
    </row>
    <row r="223" spans="22:22" ht="14.25" customHeight="1">
      <c r="V223" s="42">
        <v>5.2</v>
      </c>
    </row>
    <row r="224" spans="22:22" ht="14.25" customHeight="1">
      <c r="V224" s="42">
        <v>3</v>
      </c>
    </row>
    <row r="225" spans="22:22" ht="14.25" customHeight="1">
      <c r="V225" s="42">
        <v>5.6</v>
      </c>
    </row>
    <row r="226" spans="22:22" ht="14.25" customHeight="1">
      <c r="V226" s="42">
        <v>7.9</v>
      </c>
    </row>
    <row r="227" spans="22:22" ht="14.25" customHeight="1">
      <c r="V227" s="42">
        <v>9</v>
      </c>
    </row>
    <row r="228" spans="22:22" ht="14.25" customHeight="1">
      <c r="V228" s="42">
        <v>8.6</v>
      </c>
    </row>
    <row r="229" spans="22:22" ht="14.25" customHeight="1">
      <c r="V229" s="42">
        <v>10.3</v>
      </c>
    </row>
    <row r="230" spans="22:22" ht="14.25" customHeight="1">
      <c r="V230" s="42">
        <v>10.5</v>
      </c>
    </row>
    <row r="231" spans="22:22" ht="14.25" customHeight="1">
      <c r="V231" s="42">
        <v>7.6</v>
      </c>
    </row>
    <row r="232" spans="22:22" ht="14.25" customHeight="1">
      <c r="V232" s="42">
        <v>9.6999999999999993</v>
      </c>
    </row>
    <row r="233" spans="22:22" ht="14.25" customHeight="1">
      <c r="V233" s="42">
        <v>12.5</v>
      </c>
    </row>
    <row r="234" spans="22:22" ht="14.25" customHeight="1">
      <c r="V234" s="42">
        <v>7.4</v>
      </c>
    </row>
    <row r="235" spans="22:22" ht="14.25" customHeight="1">
      <c r="V235" s="42">
        <v>7.9</v>
      </c>
    </row>
    <row r="236" spans="22:22" ht="14.25" customHeight="1">
      <c r="V236" s="42">
        <v>3.9</v>
      </c>
    </row>
    <row r="237" spans="22:22" ht="14.25" customHeight="1">
      <c r="V237" s="42">
        <v>6.6</v>
      </c>
    </row>
    <row r="238" spans="22:22" ht="14.25" customHeight="1">
      <c r="V238" s="42">
        <v>4.5999999999999996</v>
      </c>
    </row>
    <row r="239" spans="22:22" ht="14.25" customHeight="1">
      <c r="V239" s="42">
        <v>7</v>
      </c>
    </row>
    <row r="240" spans="22:22" ht="14.25" customHeight="1">
      <c r="V240" s="42">
        <v>6</v>
      </c>
    </row>
    <row r="241" spans="22:22" ht="14.25" customHeight="1">
      <c r="V241" s="42">
        <v>5.5</v>
      </c>
    </row>
    <row r="242" spans="22:22" ht="14.25" customHeight="1">
      <c r="V242" s="42">
        <v>8.1</v>
      </c>
    </row>
    <row r="243" spans="22:22" ht="14.25" customHeight="1">
      <c r="V243" s="42">
        <v>5.5</v>
      </c>
    </row>
    <row r="244" spans="22:22" ht="14.25" customHeight="1">
      <c r="V244" s="42">
        <v>6.2</v>
      </c>
    </row>
    <row r="245" spans="22:22" ht="14.25" customHeight="1">
      <c r="V245" s="42">
        <v>8</v>
      </c>
    </row>
    <row r="246" spans="22:22" ht="14.25" customHeight="1">
      <c r="V246" s="42">
        <v>10.3</v>
      </c>
    </row>
    <row r="247" spans="22:22" ht="14.25" customHeight="1">
      <c r="V247" s="42">
        <v>9.8000000000000007</v>
      </c>
    </row>
    <row r="248" spans="22:22" ht="14.25" customHeight="1">
      <c r="V248" s="42">
        <v>9.6</v>
      </c>
    </row>
    <row r="249" spans="22:22" ht="14.25" customHeight="1">
      <c r="V249" s="42">
        <v>8.5</v>
      </c>
    </row>
    <row r="250" spans="22:22" ht="14.25" customHeight="1">
      <c r="V250" s="42">
        <v>7.5</v>
      </c>
    </row>
    <row r="251" spans="22:22" ht="14.25" customHeight="1">
      <c r="V251" s="42">
        <v>11.2</v>
      </c>
    </row>
    <row r="252" spans="22:22" ht="14.25" customHeight="1">
      <c r="V252" s="42">
        <v>14.6</v>
      </c>
    </row>
    <row r="253" spans="22:22" ht="14.25" customHeight="1">
      <c r="V253" s="42">
        <v>11.7</v>
      </c>
    </row>
    <row r="254" spans="22:22" ht="14.25" customHeight="1">
      <c r="V254" s="42">
        <v>7.8</v>
      </c>
    </row>
    <row r="255" spans="22:22" ht="14.25" customHeight="1">
      <c r="V255" s="42">
        <v>12.3</v>
      </c>
    </row>
    <row r="256" spans="22:22" ht="14.25" customHeight="1">
      <c r="V256" s="42">
        <v>10.1</v>
      </c>
    </row>
    <row r="257" spans="22:22" ht="14.25" customHeight="1">
      <c r="V257" s="42">
        <v>11.5</v>
      </c>
    </row>
    <row r="258" spans="22:22" ht="14.25" customHeight="1">
      <c r="V258" s="42">
        <v>7.3</v>
      </c>
    </row>
    <row r="259" spans="22:22" ht="14.25" customHeight="1">
      <c r="V259" s="42">
        <v>10.9</v>
      </c>
    </row>
    <row r="260" spans="22:22" ht="14.25" customHeight="1">
      <c r="V260" s="42">
        <v>14.1</v>
      </c>
    </row>
    <row r="261" spans="22:22" ht="14.25" customHeight="1">
      <c r="V261" s="42">
        <v>10.7</v>
      </c>
    </row>
    <row r="262" spans="22:22" ht="14.25" customHeight="1">
      <c r="V262" s="42">
        <v>16.899999999999999</v>
      </c>
    </row>
    <row r="263" spans="22:22" ht="14.25" customHeight="1">
      <c r="V263" s="42">
        <v>10.5</v>
      </c>
    </row>
    <row r="264" spans="22:22" ht="14.25" customHeight="1">
      <c r="V264" s="42">
        <v>6.5</v>
      </c>
    </row>
    <row r="265" spans="22:22" ht="14.25" customHeight="1">
      <c r="V265" s="42">
        <v>11</v>
      </c>
    </row>
    <row r="266" spans="22:22" ht="14.25" customHeight="1">
      <c r="V266" s="42">
        <v>6.3</v>
      </c>
    </row>
    <row r="267" spans="22:22" ht="14.25" customHeight="1">
      <c r="V267" s="42">
        <v>10.5</v>
      </c>
    </row>
    <row r="268" spans="22:22" ht="14.25" customHeight="1">
      <c r="V268" s="42">
        <v>7.2</v>
      </c>
    </row>
    <row r="269" spans="22:22" ht="14.25" customHeight="1">
      <c r="V269" s="42">
        <v>7.6</v>
      </c>
    </row>
    <row r="270" spans="22:22" ht="14.25" customHeight="1">
      <c r="V270" s="42">
        <v>10.7</v>
      </c>
    </row>
    <row r="271" spans="22:22" ht="14.25" customHeight="1">
      <c r="V271" s="42">
        <v>7.8</v>
      </c>
    </row>
    <row r="272" spans="22:22" ht="14.25" customHeight="1">
      <c r="V272" s="42">
        <v>9.6</v>
      </c>
    </row>
    <row r="273" spans="22:22" ht="14.25" customHeight="1">
      <c r="V273" s="42">
        <v>11.4</v>
      </c>
    </row>
    <row r="274" spans="22:22" ht="14.25" customHeight="1">
      <c r="V274" s="42">
        <v>12.4</v>
      </c>
    </row>
    <row r="275" spans="22:22" ht="14.25" customHeight="1">
      <c r="V275" s="42">
        <v>8.9</v>
      </c>
    </row>
    <row r="276" spans="22:22" ht="14.25" customHeight="1">
      <c r="V276" s="42">
        <v>13.2</v>
      </c>
    </row>
    <row r="277" spans="22:22" ht="14.25" customHeight="1">
      <c r="V277" s="42">
        <v>8.6</v>
      </c>
    </row>
    <row r="278" spans="22:22" ht="14.25" customHeight="1">
      <c r="V278" s="42">
        <v>6.2</v>
      </c>
    </row>
    <row r="279" spans="22:22" ht="14.25" customHeight="1">
      <c r="V279" s="42">
        <v>11.4</v>
      </c>
    </row>
    <row r="280" spans="22:22" ht="14.25" customHeight="1">
      <c r="V280" s="42">
        <v>13.2</v>
      </c>
    </row>
    <row r="281" spans="22:22" ht="14.25" customHeight="1">
      <c r="V281" s="42">
        <v>14.3</v>
      </c>
    </row>
    <row r="282" spans="22:22" ht="14.25" customHeight="1">
      <c r="V282" s="42">
        <v>7.3</v>
      </c>
    </row>
    <row r="283" spans="22:22" ht="14.25" customHeight="1">
      <c r="V283" s="42">
        <v>12.9</v>
      </c>
    </row>
    <row r="284" spans="22:22" ht="14.25" customHeight="1">
      <c r="V284" s="42">
        <v>7.8</v>
      </c>
    </row>
    <row r="285" spans="22:22" ht="14.25" customHeight="1">
      <c r="V285" s="42">
        <v>6.2</v>
      </c>
    </row>
    <row r="286" spans="22:22" ht="14.25" customHeight="1">
      <c r="V286" s="42">
        <v>5.6</v>
      </c>
    </row>
    <row r="287" spans="22:22" ht="14.25" customHeight="1">
      <c r="V287" s="42">
        <v>10</v>
      </c>
    </row>
    <row r="288" spans="22:22" ht="14.25" customHeight="1">
      <c r="V288" s="42">
        <v>13.3</v>
      </c>
    </row>
    <row r="289" spans="22:22" ht="14.25" customHeight="1">
      <c r="V289" s="42">
        <v>8.3000000000000007</v>
      </c>
    </row>
    <row r="290" spans="22:22" ht="14.25" customHeight="1">
      <c r="V290" s="42">
        <v>10.199999999999999</v>
      </c>
    </row>
    <row r="291" spans="22:22" ht="14.25" customHeight="1">
      <c r="V291" s="42">
        <v>8.6</v>
      </c>
    </row>
    <row r="292" spans="22:22" ht="14.25" customHeight="1">
      <c r="V292" s="42">
        <v>7.3</v>
      </c>
    </row>
    <row r="293" spans="22:22" ht="14.25" customHeight="1">
      <c r="V293" s="42">
        <v>10.4</v>
      </c>
    </row>
    <row r="294" spans="22:22" ht="14.25" customHeight="1">
      <c r="V294" s="42">
        <v>11.2</v>
      </c>
    </row>
    <row r="295" spans="22:22" ht="14.25" customHeight="1">
      <c r="V295" s="42">
        <v>13.2</v>
      </c>
    </row>
    <row r="296" spans="22:22" ht="14.25" customHeight="1">
      <c r="V296" s="42">
        <v>11.4</v>
      </c>
    </row>
    <row r="297" spans="22:22" ht="14.25" customHeight="1">
      <c r="V297" s="42">
        <v>9.1</v>
      </c>
    </row>
    <row r="298" spans="22:22" ht="14.25" customHeight="1">
      <c r="V298" s="42">
        <v>6.6</v>
      </c>
    </row>
    <row r="299" spans="22:22" ht="14.25" customHeight="1">
      <c r="V299" s="42">
        <v>8.4</v>
      </c>
    </row>
    <row r="300" spans="22:22" ht="14.25" customHeight="1">
      <c r="V300" s="42">
        <v>9.6999999999999993</v>
      </c>
    </row>
    <row r="301" spans="22:22" ht="14.25" customHeight="1">
      <c r="V301" s="42">
        <v>13.2</v>
      </c>
    </row>
    <row r="302" spans="22:22" ht="14.25" customHeight="1">
      <c r="V302" s="42">
        <v>12.5</v>
      </c>
    </row>
    <row r="303" spans="22:22" ht="14.25" customHeight="1">
      <c r="V303" s="42">
        <v>11</v>
      </c>
    </row>
    <row r="304" spans="22:22" ht="14.25" customHeight="1">
      <c r="V304" s="42">
        <v>11</v>
      </c>
    </row>
    <row r="305" spans="22:22" ht="14.25" customHeight="1">
      <c r="V305" s="42">
        <v>11.7</v>
      </c>
    </row>
    <row r="306" spans="22:22" ht="14.25" customHeight="1">
      <c r="V306" s="42">
        <v>9.1999999999999993</v>
      </c>
    </row>
    <row r="307" spans="22:22" ht="14.25" customHeight="1">
      <c r="V307" s="42">
        <v>11.5</v>
      </c>
    </row>
    <row r="308" spans="22:22" ht="14.25" customHeight="1">
      <c r="V308" s="42">
        <v>13.6</v>
      </c>
    </row>
    <row r="309" spans="22:22" ht="14.25" customHeight="1">
      <c r="V309" s="42">
        <v>13.7</v>
      </c>
    </row>
    <row r="310" spans="22:22" ht="14.25" customHeight="1">
      <c r="V310" s="42">
        <v>10.4</v>
      </c>
    </row>
    <row r="311" spans="22:22" ht="14.25" customHeight="1">
      <c r="V311" s="42">
        <v>11.5</v>
      </c>
    </row>
    <row r="312" spans="22:22" ht="14.25" customHeight="1">
      <c r="V312" s="42">
        <v>7.6</v>
      </c>
    </row>
    <row r="313" spans="22:22" ht="14.25" customHeight="1">
      <c r="V313" s="42">
        <v>9.6</v>
      </c>
    </row>
    <row r="314" spans="22:22" ht="14.25" customHeight="1">
      <c r="V314" s="42">
        <v>14.2</v>
      </c>
    </row>
    <row r="315" spans="22:22" ht="14.25" customHeight="1">
      <c r="V315" s="42">
        <v>15.7</v>
      </c>
    </row>
    <row r="316" spans="22:22" ht="14.25" customHeight="1">
      <c r="V316" s="42">
        <v>10.5</v>
      </c>
    </row>
    <row r="317" spans="22:22" ht="14.25" customHeight="1">
      <c r="V317" s="42">
        <v>10.5</v>
      </c>
    </row>
    <row r="318" spans="22:22" ht="14.25" customHeight="1">
      <c r="V318" s="42">
        <v>9.6999999999999993</v>
      </c>
    </row>
    <row r="319" spans="22:22" ht="14.25" customHeight="1">
      <c r="V319" s="42">
        <v>9.5</v>
      </c>
    </row>
    <row r="320" spans="22:22" ht="14.25" customHeight="1">
      <c r="V320" s="42">
        <v>11.3</v>
      </c>
    </row>
    <row r="321" spans="22:22" ht="14.25" customHeight="1">
      <c r="V321" s="42">
        <v>8.9</v>
      </c>
    </row>
    <row r="322" spans="22:22" ht="14.25" customHeight="1">
      <c r="V322" s="42">
        <v>9.4</v>
      </c>
    </row>
    <row r="323" spans="22:22" ht="14.25" customHeight="1">
      <c r="V323" s="42">
        <v>11.9</v>
      </c>
    </row>
    <row r="324" spans="22:22" ht="14.25" customHeight="1">
      <c r="V324" s="42">
        <v>11.7</v>
      </c>
    </row>
    <row r="325" spans="22:22" ht="14.25" customHeight="1">
      <c r="V325" s="42">
        <v>13.4</v>
      </c>
    </row>
    <row r="326" spans="22:22" ht="14.25" customHeight="1">
      <c r="V326" s="42">
        <v>12.6</v>
      </c>
    </row>
    <row r="327" spans="22:22" ht="14.25" customHeight="1">
      <c r="V327" s="42">
        <v>10.1</v>
      </c>
    </row>
    <row r="328" spans="22:22" ht="14.25" customHeight="1">
      <c r="V328" s="42">
        <v>15.8</v>
      </c>
    </row>
    <row r="329" spans="22:22" ht="14.25" customHeight="1">
      <c r="V329" s="42">
        <v>13.6</v>
      </c>
    </row>
    <row r="330" spans="22:22" ht="14.25" customHeight="1">
      <c r="V330" s="42">
        <v>11.9</v>
      </c>
    </row>
    <row r="331" spans="22:22" ht="14.25" customHeight="1">
      <c r="V331" s="42">
        <v>9.9</v>
      </c>
    </row>
    <row r="332" spans="22:22" ht="14.25" customHeight="1">
      <c r="V332" s="42">
        <v>12.6</v>
      </c>
    </row>
    <row r="333" spans="22:22" ht="14.25" customHeight="1">
      <c r="V333" s="42">
        <v>17.8</v>
      </c>
    </row>
    <row r="334" spans="22:22" ht="14.25" customHeight="1">
      <c r="V334" s="42">
        <v>15</v>
      </c>
    </row>
    <row r="335" spans="22:22" ht="14.25" customHeight="1">
      <c r="V335" s="42">
        <v>13.6</v>
      </c>
    </row>
    <row r="336" spans="22:22" ht="14.25" customHeight="1">
      <c r="V336" s="42">
        <v>13.4</v>
      </c>
    </row>
    <row r="337" spans="22:22" ht="14.25" customHeight="1">
      <c r="V337" s="42">
        <v>10.5</v>
      </c>
    </row>
    <row r="338" spans="22:22" ht="14.25" customHeight="1">
      <c r="V338" s="42">
        <v>14.2</v>
      </c>
    </row>
    <row r="339" spans="22:22" ht="14.25" customHeight="1">
      <c r="V339" s="42">
        <v>11.5</v>
      </c>
    </row>
    <row r="340" spans="22:22" ht="14.25" customHeight="1">
      <c r="V340" s="42">
        <v>13</v>
      </c>
    </row>
    <row r="341" spans="22:22" ht="14.25" customHeight="1">
      <c r="V341" s="42">
        <v>15</v>
      </c>
    </row>
    <row r="342" spans="22:22" ht="14.25" customHeight="1">
      <c r="V342" s="42">
        <v>14.7</v>
      </c>
    </row>
    <row r="343" spans="22:22" ht="14.25" customHeight="1">
      <c r="V343" s="42">
        <v>12.6</v>
      </c>
    </row>
    <row r="344" spans="22:22" ht="14.25" customHeight="1">
      <c r="V344" s="42">
        <v>12.5</v>
      </c>
    </row>
    <row r="345" spans="22:22" ht="14.25" customHeight="1">
      <c r="V345" s="42">
        <v>13.5</v>
      </c>
    </row>
    <row r="346" spans="22:22" ht="14.25" customHeight="1">
      <c r="V346" s="42">
        <v>14.8</v>
      </c>
    </row>
    <row r="347" spans="22:22" ht="14.25" customHeight="1">
      <c r="V347" s="42">
        <v>17.2</v>
      </c>
    </row>
    <row r="348" spans="22:22" ht="14.25" customHeight="1">
      <c r="V348" s="42">
        <v>9.6999999999999993</v>
      </c>
    </row>
    <row r="349" spans="22:22" ht="14.25" customHeight="1">
      <c r="V349" s="42">
        <v>12.1</v>
      </c>
    </row>
    <row r="350" spans="22:22" ht="14.25" customHeight="1">
      <c r="V350" s="42">
        <v>12.8</v>
      </c>
    </row>
    <row r="351" spans="22:22" ht="14.25" customHeight="1">
      <c r="V351" s="42">
        <v>11.2</v>
      </c>
    </row>
    <row r="352" spans="22:22" ht="14.25" customHeight="1">
      <c r="V352" s="42">
        <v>16.399999999999999</v>
      </c>
    </row>
    <row r="353" spans="22:22" ht="14.25" customHeight="1">
      <c r="V353" s="42">
        <v>15.6</v>
      </c>
    </row>
    <row r="354" spans="22:22" ht="14.25" customHeight="1">
      <c r="V354" s="42">
        <v>13.3</v>
      </c>
    </row>
    <row r="355" spans="22:22" ht="14.25" customHeight="1">
      <c r="V355" s="42">
        <v>11</v>
      </c>
    </row>
    <row r="356" spans="22:22" ht="14.25" customHeight="1">
      <c r="V356" s="42">
        <v>11.1</v>
      </c>
    </row>
    <row r="357" spans="22:22" ht="14.25" customHeight="1">
      <c r="V357" s="42">
        <v>15</v>
      </c>
    </row>
    <row r="358" spans="22:22" ht="14.25" customHeight="1">
      <c r="V358" s="42">
        <v>12.8</v>
      </c>
    </row>
    <row r="359" spans="22:22" ht="14.25" customHeight="1">
      <c r="V359" s="42">
        <v>15</v>
      </c>
    </row>
    <row r="360" spans="22:22" ht="14.25" customHeight="1">
      <c r="V360" s="42">
        <v>14.2</v>
      </c>
    </row>
    <row r="361" spans="22:22" ht="14.25" customHeight="1">
      <c r="V361" s="42">
        <v>14</v>
      </c>
    </row>
    <row r="362" spans="22:22" ht="14.25" customHeight="1">
      <c r="V362" s="42">
        <v>15.5</v>
      </c>
    </row>
    <row r="363" spans="22:22" ht="14.25" customHeight="1">
      <c r="V363" s="42">
        <v>13.3</v>
      </c>
    </row>
    <row r="364" spans="22:22" ht="14.25" customHeight="1">
      <c r="V364" s="42">
        <v>15.6</v>
      </c>
    </row>
    <row r="365" spans="22:22" ht="14.25" customHeight="1">
      <c r="V365" s="42">
        <v>15.2</v>
      </c>
    </row>
    <row r="366" spans="22:22" ht="14.25" customHeight="1">
      <c r="V366" s="42">
        <v>17.399999999999999</v>
      </c>
    </row>
    <row r="367" spans="22:22" ht="14.25" customHeight="1"/>
    <row r="368" spans="22:22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00"/>
  <sheetViews>
    <sheetView workbookViewId="0"/>
  </sheetViews>
  <sheetFormatPr defaultColWidth="14.44140625" defaultRowHeight="15" customHeight="1"/>
  <cols>
    <col min="1" max="1" width="11.33203125" customWidth="1"/>
    <col min="2" max="14" width="8.6640625" customWidth="1"/>
    <col min="15" max="15" width="10.33203125" customWidth="1"/>
    <col min="16" max="26" width="8.6640625" customWidth="1"/>
  </cols>
  <sheetData>
    <row r="1" spans="1:18" ht="14.25" customHeight="1">
      <c r="A1" s="2" t="s">
        <v>327</v>
      </c>
      <c r="N1" s="2" t="s">
        <v>328</v>
      </c>
    </row>
    <row r="2" spans="1:18" ht="14.25" customHeight="1">
      <c r="A2" s="2" t="s">
        <v>329</v>
      </c>
      <c r="N2" s="2" t="s">
        <v>330</v>
      </c>
    </row>
    <row r="3" spans="1:18" ht="14.25" customHeight="1">
      <c r="A3" s="2" t="s">
        <v>331</v>
      </c>
      <c r="N3" s="2" t="s">
        <v>332</v>
      </c>
    </row>
    <row r="4" spans="1:18" ht="14.25" customHeight="1">
      <c r="N4" s="2" t="s">
        <v>333</v>
      </c>
    </row>
    <row r="5" spans="1:18" ht="14.25" customHeight="1">
      <c r="A5" s="2" t="s">
        <v>297</v>
      </c>
      <c r="B5" s="2" t="s">
        <v>334</v>
      </c>
      <c r="D5" s="2" t="s">
        <v>10</v>
      </c>
      <c r="E5" s="2">
        <f>MIN(A6:A155)</f>
        <v>4.3</v>
      </c>
      <c r="G5" s="43">
        <f>MIN(B6:B155)</f>
        <v>-1.8637802962695627</v>
      </c>
      <c r="H5" s="2" t="s">
        <v>335</v>
      </c>
    </row>
    <row r="6" spans="1:18" ht="14.25" customHeight="1">
      <c r="A6" s="2">
        <v>5.0999999999999996</v>
      </c>
      <c r="B6" s="43">
        <f t="shared" ref="B6:B155" si="0">(A6-$E$7)/$E$8</f>
        <v>-0.89767387919678832</v>
      </c>
      <c r="D6" s="2" t="s">
        <v>12</v>
      </c>
      <c r="E6" s="2">
        <f>MAX(A6:A155)</f>
        <v>7.9</v>
      </c>
      <c r="G6" s="43">
        <f>MAX(B6:B155)</f>
        <v>2.4836985805579235</v>
      </c>
      <c r="H6" s="2" t="s">
        <v>336</v>
      </c>
      <c r="J6" s="2" t="s">
        <v>337</v>
      </c>
    </row>
    <row r="7" spans="1:18" ht="14.25" customHeight="1">
      <c r="A7" s="2">
        <v>4.9000000000000004</v>
      </c>
      <c r="B7" s="43">
        <f t="shared" si="0"/>
        <v>-1.1392004834649812</v>
      </c>
      <c r="D7" s="2" t="s">
        <v>1</v>
      </c>
      <c r="E7" s="2">
        <f>AVERAGE(A6:A155)</f>
        <v>5.8433333333333346</v>
      </c>
    </row>
    <row r="8" spans="1:18" ht="14.25" customHeight="1">
      <c r="A8" s="2">
        <v>4.7</v>
      </c>
      <c r="B8" s="43">
        <f t="shared" si="0"/>
        <v>-1.380727087733175</v>
      </c>
      <c r="D8" s="2" t="s">
        <v>105</v>
      </c>
      <c r="E8" s="2">
        <f>STDEV(A6:A155)</f>
        <v>0.82806612797784351</v>
      </c>
      <c r="H8" s="2" t="s">
        <v>338</v>
      </c>
      <c r="N8" s="2" t="s">
        <v>339</v>
      </c>
    </row>
    <row r="9" spans="1:18" ht="14.25" customHeight="1">
      <c r="A9" s="2">
        <v>4.5999999999999996</v>
      </c>
      <c r="B9" s="43">
        <f t="shared" si="0"/>
        <v>-1.5014903898672725</v>
      </c>
    </row>
    <row r="10" spans="1:18" ht="14.25" customHeight="1">
      <c r="A10" s="2">
        <v>5</v>
      </c>
      <c r="B10" s="43">
        <f t="shared" si="0"/>
        <v>-1.0184371813308848</v>
      </c>
      <c r="D10" s="2" t="s">
        <v>340</v>
      </c>
    </row>
    <row r="11" spans="1:18" ht="14.25" customHeight="1">
      <c r="A11" s="2">
        <v>5.4</v>
      </c>
      <c r="B11" s="43">
        <f t="shared" si="0"/>
        <v>-0.53538397279449701</v>
      </c>
      <c r="G11" s="2">
        <f>1-G12</f>
        <v>0.94179999999999997</v>
      </c>
      <c r="N11" s="2" t="s">
        <v>341</v>
      </c>
      <c r="P11" s="2">
        <f>(5.9 - E7)/E8</f>
        <v>6.843253787598709E-2</v>
      </c>
    </row>
    <row r="12" spans="1:18" ht="14.25" customHeight="1">
      <c r="A12" s="2">
        <v>4.5999999999999996</v>
      </c>
      <c r="B12" s="43">
        <f t="shared" si="0"/>
        <v>-1.5014903898672725</v>
      </c>
      <c r="D12" s="2" t="s">
        <v>334</v>
      </c>
      <c r="E12" s="41">
        <f>(4.54 - E7)/E8</f>
        <v>-1.57394837114773</v>
      </c>
      <c r="G12" s="2">
        <v>5.8200000000000002E-2</v>
      </c>
      <c r="H12" s="2">
        <f>G12*100</f>
        <v>5.82</v>
      </c>
      <c r="I12" s="41">
        <v>-0.84499999999999997</v>
      </c>
      <c r="K12" s="41">
        <f>(6.2 - E7)/E8</f>
        <v>0.43072244427827733</v>
      </c>
    </row>
    <row r="13" spans="1:18" ht="14.25" customHeight="1">
      <c r="A13" s="2">
        <v>5</v>
      </c>
      <c r="B13" s="43">
        <f t="shared" si="0"/>
        <v>-1.0184371813308848</v>
      </c>
      <c r="N13" s="2" t="s">
        <v>342</v>
      </c>
      <c r="P13" s="2">
        <f>(9.6 - E7)/E8</f>
        <v>4.5366747168375685</v>
      </c>
      <c r="R13" s="2" t="s">
        <v>139</v>
      </c>
    </row>
    <row r="14" spans="1:18" ht="14.25" customHeight="1">
      <c r="A14" s="2">
        <v>4.4000000000000004</v>
      </c>
      <c r="B14" s="43">
        <f t="shared" si="0"/>
        <v>-1.7430169941354652</v>
      </c>
      <c r="D14" s="2" t="s">
        <v>343</v>
      </c>
    </row>
    <row r="15" spans="1:18" ht="14.25" customHeight="1">
      <c r="A15" s="2">
        <v>4.9000000000000004</v>
      </c>
      <c r="B15" s="43">
        <f t="shared" si="0"/>
        <v>-1.1392004834649812</v>
      </c>
      <c r="N15" s="2" t="s">
        <v>344</v>
      </c>
      <c r="P15" s="2">
        <f>(4.3 - E7)/E8</f>
        <v>-1.8637802962695627</v>
      </c>
    </row>
    <row r="16" spans="1:18" ht="14.25" customHeight="1">
      <c r="A16" s="2">
        <v>5.4</v>
      </c>
      <c r="B16" s="43">
        <f t="shared" si="0"/>
        <v>-0.53538397279449701</v>
      </c>
    </row>
    <row r="17" spans="1:15" ht="14.25" customHeight="1">
      <c r="A17" s="2">
        <v>4.8</v>
      </c>
      <c r="B17" s="43">
        <f t="shared" si="0"/>
        <v>-1.2599637855990786</v>
      </c>
      <c r="D17" s="2" t="s">
        <v>345</v>
      </c>
    </row>
    <row r="18" spans="1:15" ht="14.25" customHeight="1">
      <c r="A18" s="2">
        <v>4.8</v>
      </c>
      <c r="B18" s="43">
        <f t="shared" si="0"/>
        <v>-1.2599637855990786</v>
      </c>
      <c r="D18" s="2" t="s">
        <v>334</v>
      </c>
      <c r="E18" s="41">
        <f>(5.6 - E7) / E8</f>
        <v>-0.29385736852630423</v>
      </c>
      <c r="G18" s="2">
        <v>0.38590000000000002</v>
      </c>
      <c r="H18" s="2">
        <f>G18*100</f>
        <v>38.590000000000003</v>
      </c>
    </row>
    <row r="19" spans="1:15" ht="14.25" customHeight="1">
      <c r="A19" s="2">
        <v>4.3</v>
      </c>
      <c r="B19" s="43">
        <f t="shared" si="0"/>
        <v>-1.8637802962695627</v>
      </c>
    </row>
    <row r="20" spans="1:15" ht="14.25" customHeight="1">
      <c r="A20" s="2">
        <v>5.8</v>
      </c>
      <c r="B20" s="43">
        <f t="shared" si="0"/>
        <v>-5.2330764258110368E-2</v>
      </c>
      <c r="D20" s="2" t="s">
        <v>346</v>
      </c>
    </row>
    <row r="21" spans="1:15" ht="14.25" customHeight="1">
      <c r="A21" s="2">
        <v>5.7</v>
      </c>
      <c r="B21" s="43">
        <f t="shared" si="0"/>
        <v>-0.17309406639220676</v>
      </c>
      <c r="O21" s="41">
        <f>(4.2 - E7)/E8</f>
        <v>-1.984543598403659</v>
      </c>
    </row>
    <row r="22" spans="1:15" ht="14.25" customHeight="1">
      <c r="A22" s="2">
        <v>5.4</v>
      </c>
      <c r="B22" s="43">
        <f t="shared" si="0"/>
        <v>-0.53538397279449701</v>
      </c>
    </row>
    <row r="23" spans="1:15" ht="14.25" customHeight="1">
      <c r="A23" s="2">
        <v>5.0999999999999996</v>
      </c>
      <c r="B23" s="43">
        <f t="shared" si="0"/>
        <v>-0.89767387919678832</v>
      </c>
      <c r="D23" s="2" t="s">
        <v>347</v>
      </c>
      <c r="O23" s="2">
        <f>1 - 0.0239</f>
        <v>0.97609999999999997</v>
      </c>
    </row>
    <row r="24" spans="1:15" ht="14.25" customHeight="1">
      <c r="A24" s="2">
        <v>5.7</v>
      </c>
      <c r="B24" s="43">
        <f t="shared" si="0"/>
        <v>-0.17309406639220676</v>
      </c>
      <c r="D24" s="2" t="s">
        <v>334</v>
      </c>
      <c r="E24" s="41">
        <f>(7.1 - E7)/E8</f>
        <v>1.5175921634851481</v>
      </c>
    </row>
    <row r="25" spans="1:15" ht="14.25" customHeight="1">
      <c r="A25" s="2">
        <v>5.0999999999999996</v>
      </c>
      <c r="B25" s="43">
        <f t="shared" si="0"/>
        <v>-0.89767387919678832</v>
      </c>
    </row>
    <row r="26" spans="1:15" ht="14.25" customHeight="1">
      <c r="A26" s="2">
        <v>5.4</v>
      </c>
      <c r="B26" s="43">
        <f t="shared" si="0"/>
        <v>-0.53538397279449701</v>
      </c>
      <c r="D26" s="2" t="s">
        <v>348</v>
      </c>
    </row>
    <row r="27" spans="1:15" ht="14.25" customHeight="1">
      <c r="A27" s="2">
        <v>5.0999999999999996</v>
      </c>
      <c r="B27" s="43">
        <f t="shared" si="0"/>
        <v>-0.89767387919678832</v>
      </c>
    </row>
    <row r="28" spans="1:15" ht="14.25" customHeight="1">
      <c r="A28" s="2">
        <v>4.5999999999999996</v>
      </c>
      <c r="B28" s="43">
        <f t="shared" si="0"/>
        <v>-1.5014903898672725</v>
      </c>
      <c r="D28" s="2" t="s">
        <v>349</v>
      </c>
    </row>
    <row r="29" spans="1:15" ht="14.25" customHeight="1">
      <c r="A29" s="2">
        <v>5.0999999999999996</v>
      </c>
      <c r="B29" s="43">
        <f t="shared" si="0"/>
        <v>-0.89767387919678832</v>
      </c>
      <c r="D29" s="2" t="s">
        <v>334</v>
      </c>
      <c r="E29" s="41"/>
    </row>
    <row r="30" spans="1:15" ht="14.25" customHeight="1">
      <c r="A30" s="2">
        <v>4.8</v>
      </c>
      <c r="B30" s="43">
        <f t="shared" si="0"/>
        <v>-1.2599637855990786</v>
      </c>
    </row>
    <row r="31" spans="1:15" ht="14.25" customHeight="1">
      <c r="A31" s="2">
        <v>5</v>
      </c>
      <c r="B31" s="43">
        <f t="shared" si="0"/>
        <v>-1.0184371813308848</v>
      </c>
      <c r="D31" s="2" t="s">
        <v>350</v>
      </c>
    </row>
    <row r="32" spans="1:15" ht="14.25" customHeight="1">
      <c r="A32" s="2">
        <v>5</v>
      </c>
      <c r="B32" s="43">
        <f t="shared" si="0"/>
        <v>-1.0184371813308848</v>
      </c>
    </row>
    <row r="33" spans="1:2" ht="14.25" customHeight="1">
      <c r="A33" s="2">
        <v>5.2</v>
      </c>
      <c r="B33" s="43">
        <f t="shared" si="0"/>
        <v>-0.77691057706269084</v>
      </c>
    </row>
    <row r="34" spans="1:2" ht="14.25" customHeight="1">
      <c r="A34" s="2">
        <v>5.2</v>
      </c>
      <c r="B34" s="43">
        <f t="shared" si="0"/>
        <v>-0.77691057706269084</v>
      </c>
    </row>
    <row r="35" spans="1:2" ht="14.25" customHeight="1">
      <c r="A35" s="2">
        <v>4.7</v>
      </c>
      <c r="B35" s="43">
        <f t="shared" si="0"/>
        <v>-1.380727087733175</v>
      </c>
    </row>
    <row r="36" spans="1:2" ht="14.25" customHeight="1">
      <c r="A36" s="2">
        <v>4.8</v>
      </c>
      <c r="B36" s="43">
        <f t="shared" si="0"/>
        <v>-1.2599637855990786</v>
      </c>
    </row>
    <row r="37" spans="1:2" ht="14.25" customHeight="1">
      <c r="A37" s="2">
        <v>5.4</v>
      </c>
      <c r="B37" s="43">
        <f t="shared" si="0"/>
        <v>-0.53538397279449701</v>
      </c>
    </row>
    <row r="38" spans="1:2" ht="14.25" customHeight="1">
      <c r="A38" s="2">
        <v>5.2</v>
      </c>
      <c r="B38" s="43">
        <f t="shared" si="0"/>
        <v>-0.77691057706269084</v>
      </c>
    </row>
    <row r="39" spans="1:2" ht="14.25" customHeight="1">
      <c r="A39" s="2">
        <v>5.5</v>
      </c>
      <c r="B39" s="43">
        <f t="shared" si="0"/>
        <v>-0.41462067066040059</v>
      </c>
    </row>
    <row r="40" spans="1:2" ht="14.25" customHeight="1">
      <c r="A40" s="2">
        <v>4.9000000000000004</v>
      </c>
      <c r="B40" s="43">
        <f t="shared" si="0"/>
        <v>-1.1392004834649812</v>
      </c>
    </row>
    <row r="41" spans="1:2" ht="14.25" customHeight="1">
      <c r="A41" s="2">
        <v>5</v>
      </c>
      <c r="B41" s="43">
        <f t="shared" si="0"/>
        <v>-1.0184371813308848</v>
      </c>
    </row>
    <row r="42" spans="1:2" ht="14.25" customHeight="1">
      <c r="A42" s="2">
        <v>5.5</v>
      </c>
      <c r="B42" s="43">
        <f t="shared" si="0"/>
        <v>-0.41462067066040059</v>
      </c>
    </row>
    <row r="43" spans="1:2" ht="14.25" customHeight="1">
      <c r="A43" s="2">
        <v>4.9000000000000004</v>
      </c>
      <c r="B43" s="43">
        <f t="shared" si="0"/>
        <v>-1.1392004834649812</v>
      </c>
    </row>
    <row r="44" spans="1:2" ht="14.25" customHeight="1">
      <c r="A44" s="2">
        <v>4.4000000000000004</v>
      </c>
      <c r="B44" s="43">
        <f t="shared" si="0"/>
        <v>-1.7430169941354652</v>
      </c>
    </row>
    <row r="45" spans="1:2" ht="14.25" customHeight="1">
      <c r="A45" s="2">
        <v>5.0999999999999996</v>
      </c>
      <c r="B45" s="43">
        <f t="shared" si="0"/>
        <v>-0.89767387919678832</v>
      </c>
    </row>
    <row r="46" spans="1:2" ht="14.25" customHeight="1">
      <c r="A46" s="2">
        <v>5</v>
      </c>
      <c r="B46" s="43">
        <f t="shared" si="0"/>
        <v>-1.0184371813308848</v>
      </c>
    </row>
    <row r="47" spans="1:2" ht="14.25" customHeight="1">
      <c r="A47" s="2">
        <v>4.5</v>
      </c>
      <c r="B47" s="43">
        <f t="shared" si="0"/>
        <v>-1.6222536920013688</v>
      </c>
    </row>
    <row r="48" spans="1:2" ht="14.25" customHeight="1">
      <c r="A48" s="2">
        <v>4.4000000000000004</v>
      </c>
      <c r="B48" s="43">
        <f t="shared" si="0"/>
        <v>-1.7430169941354652</v>
      </c>
    </row>
    <row r="49" spans="1:2" ht="14.25" customHeight="1">
      <c r="A49" s="2">
        <v>5</v>
      </c>
      <c r="B49" s="43">
        <f t="shared" si="0"/>
        <v>-1.0184371813308848</v>
      </c>
    </row>
    <row r="50" spans="1:2" ht="14.25" customHeight="1">
      <c r="A50" s="2">
        <v>5.0999999999999996</v>
      </c>
      <c r="B50" s="43">
        <f t="shared" si="0"/>
        <v>-0.89767387919678832</v>
      </c>
    </row>
    <row r="51" spans="1:2" ht="14.25" customHeight="1">
      <c r="A51" s="2">
        <v>4.8</v>
      </c>
      <c r="B51" s="43">
        <f t="shared" si="0"/>
        <v>-1.2599637855990786</v>
      </c>
    </row>
    <row r="52" spans="1:2" ht="14.25" customHeight="1">
      <c r="A52" s="2">
        <v>5.0999999999999996</v>
      </c>
      <c r="B52" s="43">
        <f t="shared" si="0"/>
        <v>-0.89767387919678832</v>
      </c>
    </row>
    <row r="53" spans="1:2" ht="14.25" customHeight="1">
      <c r="A53" s="2">
        <v>4.5999999999999996</v>
      </c>
      <c r="B53" s="43">
        <f t="shared" si="0"/>
        <v>-1.5014903898672725</v>
      </c>
    </row>
    <row r="54" spans="1:2" ht="14.25" customHeight="1">
      <c r="A54" s="2">
        <v>5.3</v>
      </c>
      <c r="B54" s="43">
        <f t="shared" si="0"/>
        <v>-0.65614727492859448</v>
      </c>
    </row>
    <row r="55" spans="1:2" ht="14.25" customHeight="1">
      <c r="A55" s="2">
        <v>5</v>
      </c>
      <c r="B55" s="43">
        <f t="shared" si="0"/>
        <v>-1.0184371813308848</v>
      </c>
    </row>
    <row r="56" spans="1:2" ht="14.25" customHeight="1">
      <c r="A56" s="2">
        <v>7</v>
      </c>
      <c r="B56" s="43">
        <f t="shared" si="0"/>
        <v>1.3968288613510518</v>
      </c>
    </row>
    <row r="57" spans="1:2" ht="14.25" customHeight="1">
      <c r="A57" s="2">
        <v>6.4</v>
      </c>
      <c r="B57" s="43">
        <f t="shared" si="0"/>
        <v>0.67224904854647116</v>
      </c>
    </row>
    <row r="58" spans="1:2" ht="14.25" customHeight="1">
      <c r="A58" s="2">
        <v>6.9</v>
      </c>
      <c r="B58" s="43">
        <f t="shared" si="0"/>
        <v>1.2760655592169552</v>
      </c>
    </row>
    <row r="59" spans="1:2" ht="14.25" customHeight="1">
      <c r="A59" s="2">
        <v>5.5</v>
      </c>
      <c r="B59" s="43">
        <f t="shared" si="0"/>
        <v>-0.41462067066040059</v>
      </c>
    </row>
    <row r="60" spans="1:2" ht="14.25" customHeight="1">
      <c r="A60" s="2">
        <v>6.5</v>
      </c>
      <c r="B60" s="43">
        <f t="shared" si="0"/>
        <v>0.79301235068056763</v>
      </c>
    </row>
    <row r="61" spans="1:2" ht="14.25" customHeight="1">
      <c r="A61" s="2">
        <v>5.7</v>
      </c>
      <c r="B61" s="43">
        <f t="shared" si="0"/>
        <v>-0.17309406639220676</v>
      </c>
    </row>
    <row r="62" spans="1:2" ht="14.25" customHeight="1">
      <c r="A62" s="2">
        <v>6.3</v>
      </c>
      <c r="B62" s="43">
        <f t="shared" si="0"/>
        <v>0.55148574641237369</v>
      </c>
    </row>
    <row r="63" spans="1:2" ht="14.25" customHeight="1">
      <c r="A63" s="2">
        <v>4.9000000000000004</v>
      </c>
      <c r="B63" s="43">
        <f t="shared" si="0"/>
        <v>-1.1392004834649812</v>
      </c>
    </row>
    <row r="64" spans="1:2" ht="14.25" customHeight="1">
      <c r="A64" s="2">
        <v>6.6</v>
      </c>
      <c r="B64" s="43">
        <f t="shared" si="0"/>
        <v>0.913775652814664</v>
      </c>
    </row>
    <row r="65" spans="1:2" ht="14.25" customHeight="1">
      <c r="A65" s="2">
        <v>5.2</v>
      </c>
      <c r="B65" s="43">
        <f t="shared" si="0"/>
        <v>-0.77691057706269084</v>
      </c>
    </row>
    <row r="66" spans="1:2" ht="14.25" customHeight="1">
      <c r="A66" s="2">
        <v>5</v>
      </c>
      <c r="B66" s="43">
        <f t="shared" si="0"/>
        <v>-1.0184371813308848</v>
      </c>
    </row>
    <row r="67" spans="1:2" ht="14.25" customHeight="1">
      <c r="A67" s="2">
        <v>5.9</v>
      </c>
      <c r="B67" s="43">
        <f t="shared" si="0"/>
        <v>6.843253787598709E-2</v>
      </c>
    </row>
    <row r="68" spans="1:2" ht="14.25" customHeight="1">
      <c r="A68" s="2">
        <v>6</v>
      </c>
      <c r="B68" s="43">
        <f t="shared" si="0"/>
        <v>0.18919584001008349</v>
      </c>
    </row>
    <row r="69" spans="1:2" ht="14.25" customHeight="1">
      <c r="A69" s="2">
        <v>6.1</v>
      </c>
      <c r="B69" s="43">
        <f t="shared" si="0"/>
        <v>0.30995914214417986</v>
      </c>
    </row>
    <row r="70" spans="1:2" ht="14.25" customHeight="1">
      <c r="A70" s="2">
        <v>5.6</v>
      </c>
      <c r="B70" s="43">
        <f t="shared" si="0"/>
        <v>-0.29385736852630423</v>
      </c>
    </row>
    <row r="71" spans="1:2" ht="14.25" customHeight="1">
      <c r="A71" s="2">
        <v>6.7</v>
      </c>
      <c r="B71" s="43">
        <f t="shared" si="0"/>
        <v>1.0345389549487614</v>
      </c>
    </row>
    <row r="72" spans="1:2" ht="14.25" customHeight="1">
      <c r="A72" s="2">
        <v>5.6</v>
      </c>
      <c r="B72" s="43">
        <f t="shared" si="0"/>
        <v>-0.29385736852630423</v>
      </c>
    </row>
    <row r="73" spans="1:2" ht="14.25" customHeight="1">
      <c r="A73" s="2">
        <v>5.8</v>
      </c>
      <c r="B73" s="43">
        <f t="shared" si="0"/>
        <v>-5.2330764258110368E-2</v>
      </c>
    </row>
    <row r="74" spans="1:2" ht="14.25" customHeight="1">
      <c r="A74" s="2">
        <v>6.2</v>
      </c>
      <c r="B74" s="43">
        <f t="shared" si="0"/>
        <v>0.43072244427827733</v>
      </c>
    </row>
    <row r="75" spans="1:2" ht="14.25" customHeight="1">
      <c r="A75" s="2">
        <v>5.6</v>
      </c>
      <c r="B75" s="43">
        <f t="shared" si="0"/>
        <v>-0.29385736852630423</v>
      </c>
    </row>
    <row r="76" spans="1:2" ht="14.25" customHeight="1">
      <c r="A76" s="2">
        <v>5.9</v>
      </c>
      <c r="B76" s="43">
        <f t="shared" si="0"/>
        <v>6.843253787598709E-2</v>
      </c>
    </row>
    <row r="77" spans="1:2" ht="14.25" customHeight="1">
      <c r="A77" s="2">
        <v>6.1</v>
      </c>
      <c r="B77" s="43">
        <f t="shared" si="0"/>
        <v>0.30995914214417986</v>
      </c>
    </row>
    <row r="78" spans="1:2" ht="14.25" customHeight="1">
      <c r="A78" s="2">
        <v>6.3</v>
      </c>
      <c r="B78" s="43">
        <f t="shared" si="0"/>
        <v>0.55148574641237369</v>
      </c>
    </row>
    <row r="79" spans="1:2" ht="14.25" customHeight="1">
      <c r="A79" s="2">
        <v>6.1</v>
      </c>
      <c r="B79" s="43">
        <f t="shared" si="0"/>
        <v>0.30995914214417986</v>
      </c>
    </row>
    <row r="80" spans="1:2" ht="14.25" customHeight="1">
      <c r="A80" s="2">
        <v>6.4</v>
      </c>
      <c r="B80" s="43">
        <f t="shared" si="0"/>
        <v>0.67224904854647116</v>
      </c>
    </row>
    <row r="81" spans="1:2" ht="14.25" customHeight="1">
      <c r="A81" s="2">
        <v>6.6</v>
      </c>
      <c r="B81" s="43">
        <f t="shared" si="0"/>
        <v>0.913775652814664</v>
      </c>
    </row>
    <row r="82" spans="1:2" ht="14.25" customHeight="1">
      <c r="A82" s="2">
        <v>6.8</v>
      </c>
      <c r="B82" s="43">
        <f t="shared" si="0"/>
        <v>1.1553022570828579</v>
      </c>
    </row>
    <row r="83" spans="1:2" ht="14.25" customHeight="1">
      <c r="A83" s="2">
        <v>6.7</v>
      </c>
      <c r="B83" s="43">
        <f t="shared" si="0"/>
        <v>1.0345389549487614</v>
      </c>
    </row>
    <row r="84" spans="1:2" ht="14.25" customHeight="1">
      <c r="A84" s="2">
        <v>6</v>
      </c>
      <c r="B84" s="43">
        <f t="shared" si="0"/>
        <v>0.18919584001008349</v>
      </c>
    </row>
    <row r="85" spans="1:2" ht="14.25" customHeight="1">
      <c r="A85" s="2">
        <v>5.7</v>
      </c>
      <c r="B85" s="43">
        <f t="shared" si="0"/>
        <v>-0.17309406639220676</v>
      </c>
    </row>
    <row r="86" spans="1:2" ht="14.25" customHeight="1">
      <c r="A86" s="2">
        <v>5.5</v>
      </c>
      <c r="B86" s="43">
        <f t="shared" si="0"/>
        <v>-0.41462067066040059</v>
      </c>
    </row>
    <row r="87" spans="1:2" ht="14.25" customHeight="1">
      <c r="A87" s="2">
        <v>5.5</v>
      </c>
      <c r="B87" s="43">
        <f t="shared" si="0"/>
        <v>-0.41462067066040059</v>
      </c>
    </row>
    <row r="88" spans="1:2" ht="14.25" customHeight="1">
      <c r="A88" s="2">
        <v>5.8</v>
      </c>
      <c r="B88" s="43">
        <f t="shared" si="0"/>
        <v>-5.2330764258110368E-2</v>
      </c>
    </row>
    <row r="89" spans="1:2" ht="14.25" customHeight="1">
      <c r="A89" s="2">
        <v>6</v>
      </c>
      <c r="B89" s="43">
        <f t="shared" si="0"/>
        <v>0.18919584001008349</v>
      </c>
    </row>
    <row r="90" spans="1:2" ht="14.25" customHeight="1">
      <c r="A90" s="2">
        <v>5.4</v>
      </c>
      <c r="B90" s="43">
        <f t="shared" si="0"/>
        <v>-0.53538397279449701</v>
      </c>
    </row>
    <row r="91" spans="1:2" ht="14.25" customHeight="1">
      <c r="A91" s="2">
        <v>6</v>
      </c>
      <c r="B91" s="43">
        <f t="shared" si="0"/>
        <v>0.18919584001008349</v>
      </c>
    </row>
    <row r="92" spans="1:2" ht="14.25" customHeight="1">
      <c r="A92" s="2">
        <v>6.7</v>
      </c>
      <c r="B92" s="43">
        <f t="shared" si="0"/>
        <v>1.0345389549487614</v>
      </c>
    </row>
    <row r="93" spans="1:2" ht="14.25" customHeight="1">
      <c r="A93" s="2">
        <v>6.3</v>
      </c>
      <c r="B93" s="43">
        <f t="shared" si="0"/>
        <v>0.55148574641237369</v>
      </c>
    </row>
    <row r="94" spans="1:2" ht="14.25" customHeight="1">
      <c r="A94" s="2">
        <v>5.6</v>
      </c>
      <c r="B94" s="43">
        <f t="shared" si="0"/>
        <v>-0.29385736852630423</v>
      </c>
    </row>
    <row r="95" spans="1:2" ht="14.25" customHeight="1">
      <c r="A95" s="2">
        <v>5.5</v>
      </c>
      <c r="B95" s="43">
        <f t="shared" si="0"/>
        <v>-0.41462067066040059</v>
      </c>
    </row>
    <row r="96" spans="1:2" ht="14.25" customHeight="1">
      <c r="A96" s="2">
        <v>5.5</v>
      </c>
      <c r="B96" s="43">
        <f t="shared" si="0"/>
        <v>-0.41462067066040059</v>
      </c>
    </row>
    <row r="97" spans="1:2" ht="14.25" customHeight="1">
      <c r="A97" s="2">
        <v>6.1</v>
      </c>
      <c r="B97" s="43">
        <f t="shared" si="0"/>
        <v>0.30995914214417986</v>
      </c>
    </row>
    <row r="98" spans="1:2" ht="14.25" customHeight="1">
      <c r="A98" s="2">
        <v>5.8</v>
      </c>
      <c r="B98" s="43">
        <f t="shared" si="0"/>
        <v>-5.2330764258110368E-2</v>
      </c>
    </row>
    <row r="99" spans="1:2" ht="14.25" customHeight="1">
      <c r="A99" s="2">
        <v>5</v>
      </c>
      <c r="B99" s="43">
        <f t="shared" si="0"/>
        <v>-1.0184371813308848</v>
      </c>
    </row>
    <row r="100" spans="1:2" ht="14.25" customHeight="1">
      <c r="A100" s="2">
        <v>5.6</v>
      </c>
      <c r="B100" s="43">
        <f t="shared" si="0"/>
        <v>-0.29385736852630423</v>
      </c>
    </row>
    <row r="101" spans="1:2" ht="14.25" customHeight="1">
      <c r="A101" s="2">
        <v>5.7</v>
      </c>
      <c r="B101" s="43">
        <f t="shared" si="0"/>
        <v>-0.17309406639220676</v>
      </c>
    </row>
    <row r="102" spans="1:2" ht="14.25" customHeight="1">
      <c r="A102" s="2">
        <v>5.7</v>
      </c>
      <c r="B102" s="43">
        <f t="shared" si="0"/>
        <v>-0.17309406639220676</v>
      </c>
    </row>
    <row r="103" spans="1:2" ht="14.25" customHeight="1">
      <c r="A103" s="2">
        <v>6.2</v>
      </c>
      <c r="B103" s="43">
        <f t="shared" si="0"/>
        <v>0.43072244427827733</v>
      </c>
    </row>
    <row r="104" spans="1:2" ht="14.25" customHeight="1">
      <c r="A104" s="2">
        <v>5.0999999999999996</v>
      </c>
      <c r="B104" s="43">
        <f t="shared" si="0"/>
        <v>-0.89767387919678832</v>
      </c>
    </row>
    <row r="105" spans="1:2" ht="14.25" customHeight="1">
      <c r="A105" s="2">
        <v>5.7</v>
      </c>
      <c r="B105" s="43">
        <f t="shared" si="0"/>
        <v>-0.17309406639220676</v>
      </c>
    </row>
    <row r="106" spans="1:2" ht="14.25" customHeight="1">
      <c r="A106" s="2">
        <v>6.3</v>
      </c>
      <c r="B106" s="43">
        <f t="shared" si="0"/>
        <v>0.55148574641237369</v>
      </c>
    </row>
    <row r="107" spans="1:2" ht="14.25" customHeight="1">
      <c r="A107" s="2">
        <v>5.8</v>
      </c>
      <c r="B107" s="43">
        <f t="shared" si="0"/>
        <v>-5.2330764258110368E-2</v>
      </c>
    </row>
    <row r="108" spans="1:2" ht="14.25" customHeight="1">
      <c r="A108" s="2">
        <v>7.1</v>
      </c>
      <c r="B108" s="43">
        <f t="shared" si="0"/>
        <v>1.5175921634851481</v>
      </c>
    </row>
    <row r="109" spans="1:2" ht="14.25" customHeight="1">
      <c r="A109" s="2">
        <v>6.3</v>
      </c>
      <c r="B109" s="43">
        <f t="shared" si="0"/>
        <v>0.55148574641237369</v>
      </c>
    </row>
    <row r="110" spans="1:2" ht="14.25" customHeight="1">
      <c r="A110" s="2">
        <v>6.5</v>
      </c>
      <c r="B110" s="43">
        <f t="shared" si="0"/>
        <v>0.79301235068056763</v>
      </c>
    </row>
    <row r="111" spans="1:2" ht="14.25" customHeight="1">
      <c r="A111" s="2">
        <v>7.6</v>
      </c>
      <c r="B111" s="43">
        <f t="shared" si="0"/>
        <v>2.1214086741556324</v>
      </c>
    </row>
    <row r="112" spans="1:2" ht="14.25" customHeight="1">
      <c r="A112" s="2">
        <v>4.9000000000000004</v>
      </c>
      <c r="B112" s="43">
        <f t="shared" si="0"/>
        <v>-1.1392004834649812</v>
      </c>
    </row>
    <row r="113" spans="1:2" ht="14.25" customHeight="1">
      <c r="A113" s="2">
        <v>7.3</v>
      </c>
      <c r="B113" s="43">
        <f t="shared" si="0"/>
        <v>1.759118767753342</v>
      </c>
    </row>
    <row r="114" spans="1:2" ht="14.25" customHeight="1">
      <c r="A114" s="2">
        <v>6.7</v>
      </c>
      <c r="B114" s="43">
        <f t="shared" si="0"/>
        <v>1.0345389549487614</v>
      </c>
    </row>
    <row r="115" spans="1:2" ht="14.25" customHeight="1">
      <c r="A115" s="2">
        <v>7.2</v>
      </c>
      <c r="B115" s="43">
        <f t="shared" si="0"/>
        <v>1.6383554656192456</v>
      </c>
    </row>
    <row r="116" spans="1:2" ht="14.25" customHeight="1">
      <c r="A116" s="2">
        <v>6.5</v>
      </c>
      <c r="B116" s="43">
        <f t="shared" si="0"/>
        <v>0.79301235068056763</v>
      </c>
    </row>
    <row r="117" spans="1:2" ht="14.25" customHeight="1">
      <c r="A117" s="2">
        <v>6.4</v>
      </c>
      <c r="B117" s="43">
        <f t="shared" si="0"/>
        <v>0.67224904854647116</v>
      </c>
    </row>
    <row r="118" spans="1:2" ht="14.25" customHeight="1">
      <c r="A118" s="2">
        <v>6.8</v>
      </c>
      <c r="B118" s="43">
        <f t="shared" si="0"/>
        <v>1.1553022570828579</v>
      </c>
    </row>
    <row r="119" spans="1:2" ht="14.25" customHeight="1">
      <c r="A119" s="2">
        <v>5.7</v>
      </c>
      <c r="B119" s="43">
        <f t="shared" si="0"/>
        <v>-0.17309406639220676</v>
      </c>
    </row>
    <row r="120" spans="1:2" ht="14.25" customHeight="1">
      <c r="A120" s="2">
        <v>5.8</v>
      </c>
      <c r="B120" s="43">
        <f t="shared" si="0"/>
        <v>-5.2330764258110368E-2</v>
      </c>
    </row>
    <row r="121" spans="1:2" ht="14.25" customHeight="1">
      <c r="A121" s="2">
        <v>6.4</v>
      </c>
      <c r="B121" s="43">
        <f t="shared" si="0"/>
        <v>0.67224904854647116</v>
      </c>
    </row>
    <row r="122" spans="1:2" ht="14.25" customHeight="1">
      <c r="A122" s="2">
        <v>6.5</v>
      </c>
      <c r="B122" s="43">
        <f t="shared" si="0"/>
        <v>0.79301235068056763</v>
      </c>
    </row>
    <row r="123" spans="1:2" ht="14.25" customHeight="1">
      <c r="A123" s="2">
        <v>7.7</v>
      </c>
      <c r="B123" s="43">
        <f t="shared" si="0"/>
        <v>2.2421719762897299</v>
      </c>
    </row>
    <row r="124" spans="1:2" ht="14.25" customHeight="1">
      <c r="A124" s="2">
        <v>7.7</v>
      </c>
      <c r="B124" s="43">
        <f t="shared" si="0"/>
        <v>2.2421719762897299</v>
      </c>
    </row>
    <row r="125" spans="1:2" ht="14.25" customHeight="1">
      <c r="A125" s="2">
        <v>6</v>
      </c>
      <c r="B125" s="43">
        <f t="shared" si="0"/>
        <v>0.18919584001008349</v>
      </c>
    </row>
    <row r="126" spans="1:2" ht="14.25" customHeight="1">
      <c r="A126" s="2">
        <v>6.9</v>
      </c>
      <c r="B126" s="43">
        <f t="shared" si="0"/>
        <v>1.2760655592169552</v>
      </c>
    </row>
    <row r="127" spans="1:2" ht="14.25" customHeight="1">
      <c r="A127" s="2">
        <v>5.6</v>
      </c>
      <c r="B127" s="43">
        <f t="shared" si="0"/>
        <v>-0.29385736852630423</v>
      </c>
    </row>
    <row r="128" spans="1:2" ht="14.25" customHeight="1">
      <c r="A128" s="2">
        <v>7.7</v>
      </c>
      <c r="B128" s="43">
        <f t="shared" si="0"/>
        <v>2.2421719762897299</v>
      </c>
    </row>
    <row r="129" spans="1:2" ht="14.25" customHeight="1">
      <c r="A129" s="2">
        <v>6.3</v>
      </c>
      <c r="B129" s="43">
        <f t="shared" si="0"/>
        <v>0.55148574641237369</v>
      </c>
    </row>
    <row r="130" spans="1:2" ht="14.25" customHeight="1">
      <c r="A130" s="2">
        <v>6.7</v>
      </c>
      <c r="B130" s="43">
        <f t="shared" si="0"/>
        <v>1.0345389549487614</v>
      </c>
    </row>
    <row r="131" spans="1:2" ht="14.25" customHeight="1">
      <c r="A131" s="2">
        <v>7.2</v>
      </c>
      <c r="B131" s="43">
        <f t="shared" si="0"/>
        <v>1.6383554656192456</v>
      </c>
    </row>
    <row r="132" spans="1:2" ht="14.25" customHeight="1">
      <c r="A132" s="2">
        <v>6.2</v>
      </c>
      <c r="B132" s="43">
        <f t="shared" si="0"/>
        <v>0.43072244427827733</v>
      </c>
    </row>
    <row r="133" spans="1:2" ht="14.25" customHeight="1">
      <c r="A133" s="2">
        <v>6.1</v>
      </c>
      <c r="B133" s="43">
        <f t="shared" si="0"/>
        <v>0.30995914214417986</v>
      </c>
    </row>
    <row r="134" spans="1:2" ht="14.25" customHeight="1">
      <c r="A134" s="2">
        <v>6.4</v>
      </c>
      <c r="B134" s="43">
        <f t="shared" si="0"/>
        <v>0.67224904854647116</v>
      </c>
    </row>
    <row r="135" spans="1:2" ht="14.25" customHeight="1">
      <c r="A135" s="2">
        <v>7.2</v>
      </c>
      <c r="B135" s="43">
        <f t="shared" si="0"/>
        <v>1.6383554656192456</v>
      </c>
    </row>
    <row r="136" spans="1:2" ht="14.25" customHeight="1">
      <c r="A136" s="2">
        <v>7.4</v>
      </c>
      <c r="B136" s="43">
        <f t="shared" si="0"/>
        <v>1.8798820698874394</v>
      </c>
    </row>
    <row r="137" spans="1:2" ht="14.25" customHeight="1">
      <c r="A137" s="2">
        <v>7.9</v>
      </c>
      <c r="B137" s="43">
        <f t="shared" si="0"/>
        <v>2.4836985805579235</v>
      </c>
    </row>
    <row r="138" spans="1:2" ht="14.25" customHeight="1">
      <c r="A138" s="2">
        <v>6.4</v>
      </c>
      <c r="B138" s="43">
        <f t="shared" si="0"/>
        <v>0.67224904854647116</v>
      </c>
    </row>
    <row r="139" spans="1:2" ht="14.25" customHeight="1">
      <c r="A139" s="2">
        <v>6.3</v>
      </c>
      <c r="B139" s="43">
        <f t="shared" si="0"/>
        <v>0.55148574641237369</v>
      </c>
    </row>
    <row r="140" spans="1:2" ht="14.25" customHeight="1">
      <c r="A140" s="2">
        <v>6.1</v>
      </c>
      <c r="B140" s="43">
        <f t="shared" si="0"/>
        <v>0.30995914214417986</v>
      </c>
    </row>
    <row r="141" spans="1:2" ht="14.25" customHeight="1">
      <c r="A141" s="2">
        <v>7.7</v>
      </c>
      <c r="B141" s="43">
        <f t="shared" si="0"/>
        <v>2.2421719762897299</v>
      </c>
    </row>
    <row r="142" spans="1:2" ht="14.25" customHeight="1">
      <c r="A142" s="2">
        <v>6.3</v>
      </c>
      <c r="B142" s="43">
        <f t="shared" si="0"/>
        <v>0.55148574641237369</v>
      </c>
    </row>
    <row r="143" spans="1:2" ht="14.25" customHeight="1">
      <c r="A143" s="2">
        <v>6.4</v>
      </c>
      <c r="B143" s="43">
        <f t="shared" si="0"/>
        <v>0.67224904854647116</v>
      </c>
    </row>
    <row r="144" spans="1:2" ht="14.25" customHeight="1">
      <c r="A144" s="2">
        <v>6</v>
      </c>
      <c r="B144" s="43">
        <f t="shared" si="0"/>
        <v>0.18919584001008349</v>
      </c>
    </row>
    <row r="145" spans="1:2" ht="14.25" customHeight="1">
      <c r="A145" s="2">
        <v>6.9</v>
      </c>
      <c r="B145" s="43">
        <f t="shared" si="0"/>
        <v>1.2760655592169552</v>
      </c>
    </row>
    <row r="146" spans="1:2" ht="14.25" customHeight="1">
      <c r="A146" s="2">
        <v>6.7</v>
      </c>
      <c r="B146" s="43">
        <f t="shared" si="0"/>
        <v>1.0345389549487614</v>
      </c>
    </row>
    <row r="147" spans="1:2" ht="14.25" customHeight="1">
      <c r="A147" s="2">
        <v>6.9</v>
      </c>
      <c r="B147" s="43">
        <f t="shared" si="0"/>
        <v>1.2760655592169552</v>
      </c>
    </row>
    <row r="148" spans="1:2" ht="14.25" customHeight="1">
      <c r="A148" s="2">
        <v>5.8</v>
      </c>
      <c r="B148" s="43">
        <f t="shared" si="0"/>
        <v>-5.2330764258110368E-2</v>
      </c>
    </row>
    <row r="149" spans="1:2" ht="14.25" customHeight="1">
      <c r="A149" s="2">
        <v>6.8</v>
      </c>
      <c r="B149" s="43">
        <f t="shared" si="0"/>
        <v>1.1553022570828579</v>
      </c>
    </row>
    <row r="150" spans="1:2" ht="14.25" customHeight="1">
      <c r="A150" s="2">
        <v>6.7</v>
      </c>
      <c r="B150" s="43">
        <f t="shared" si="0"/>
        <v>1.0345389549487614</v>
      </c>
    </row>
    <row r="151" spans="1:2" ht="14.25" customHeight="1">
      <c r="A151" s="2">
        <v>6.7</v>
      </c>
      <c r="B151" s="43">
        <f t="shared" si="0"/>
        <v>1.0345389549487614</v>
      </c>
    </row>
    <row r="152" spans="1:2" ht="14.25" customHeight="1">
      <c r="A152" s="2">
        <v>6.3</v>
      </c>
      <c r="B152" s="43">
        <f t="shared" si="0"/>
        <v>0.55148574641237369</v>
      </c>
    </row>
    <row r="153" spans="1:2" ht="14.25" customHeight="1">
      <c r="A153" s="2">
        <v>6.5</v>
      </c>
      <c r="B153" s="43">
        <f t="shared" si="0"/>
        <v>0.79301235068056763</v>
      </c>
    </row>
    <row r="154" spans="1:2" ht="14.25" customHeight="1">
      <c r="A154" s="2">
        <v>6.2</v>
      </c>
      <c r="B154" s="43">
        <f t="shared" si="0"/>
        <v>0.43072244427827733</v>
      </c>
    </row>
    <row r="155" spans="1:2" ht="14.25" customHeight="1">
      <c r="A155" s="2">
        <v>5.9</v>
      </c>
      <c r="B155" s="43">
        <f t="shared" si="0"/>
        <v>6.843253787598709E-2</v>
      </c>
    </row>
    <row r="156" spans="1:2" ht="14.25" customHeight="1"/>
    <row r="157" spans="1:2" ht="14.25" customHeight="1"/>
    <row r="158" spans="1:2" ht="14.25" customHeight="1"/>
    <row r="159" spans="1:2" ht="14.25" customHeight="1"/>
    <row r="160" spans="1:2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5:B155" xr:uid="{00000000-0009-0000-0000-00000C000000}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00"/>
  <sheetViews>
    <sheetView workbookViewId="0"/>
  </sheetViews>
  <sheetFormatPr defaultColWidth="14.44140625" defaultRowHeight="15" customHeight="1"/>
  <cols>
    <col min="1" max="13" width="8.6640625" customWidth="1"/>
    <col min="14" max="14" width="12.33203125" customWidth="1"/>
    <col min="15" max="15" width="8.6640625" customWidth="1"/>
    <col min="16" max="16" width="12.109375" customWidth="1"/>
    <col min="17" max="26" width="8.6640625" customWidth="1"/>
  </cols>
  <sheetData>
    <row r="1" spans="1:17" ht="14.25" customHeight="1">
      <c r="A1" s="2" t="s">
        <v>351</v>
      </c>
    </row>
    <row r="2" spans="1:17" ht="14.25" customHeight="1">
      <c r="A2" s="2" t="s">
        <v>352</v>
      </c>
    </row>
    <row r="3" spans="1:17" ht="14.25" customHeight="1">
      <c r="A3" s="2" t="s">
        <v>353</v>
      </c>
    </row>
    <row r="4" spans="1:17" ht="14.25" customHeight="1">
      <c r="A4" s="2" t="s">
        <v>354</v>
      </c>
    </row>
    <row r="5" spans="1:17" ht="14.25" customHeight="1">
      <c r="A5" s="2" t="s">
        <v>355</v>
      </c>
    </row>
    <row r="6" spans="1:17" ht="14.25" customHeight="1">
      <c r="A6" s="2" t="s">
        <v>356</v>
      </c>
    </row>
    <row r="7" spans="1:17" ht="14.25" customHeight="1">
      <c r="A7" s="2" t="s">
        <v>357</v>
      </c>
    </row>
    <row r="8" spans="1:17" ht="14.25" customHeight="1">
      <c r="A8" s="2" t="s">
        <v>358</v>
      </c>
    </row>
    <row r="9" spans="1:17" ht="14.25" customHeight="1"/>
    <row r="10" spans="1:17" ht="14.25" customHeight="1">
      <c r="A10" s="2" t="s">
        <v>359</v>
      </c>
    </row>
    <row r="11" spans="1:17" ht="14.25" customHeight="1">
      <c r="A11" s="2" t="s">
        <v>360</v>
      </c>
      <c r="K11" s="2">
        <f>_xlfn.BINOM.DIST(6,9,0.8,FALSE)</f>
        <v>0.17616076800000002</v>
      </c>
    </row>
    <row r="12" spans="1:17" ht="14.25" customHeight="1"/>
    <row r="13" spans="1:17" ht="14.25" customHeight="1">
      <c r="A13" s="2" t="s">
        <v>361</v>
      </c>
      <c r="O13" s="2">
        <f>_xlfn.BINOM.DIST(6,10,0.6,FALSE)</f>
        <v>0.25082265600000009</v>
      </c>
    </row>
    <row r="14" spans="1:17" ht="14.25" customHeight="1">
      <c r="A14" s="2" t="s">
        <v>362</v>
      </c>
      <c r="O14" s="2">
        <f>_xlfn.BINOM.DIST(8,10,0.6,TRUE)</f>
        <v>0.95364259839999999</v>
      </c>
    </row>
    <row r="15" spans="1:17" ht="14.25" customHeight="1"/>
    <row r="16" spans="1:17" ht="14.25" customHeight="1">
      <c r="A16" s="2" t="s">
        <v>363</v>
      </c>
      <c r="O16" s="2">
        <v>4</v>
      </c>
      <c r="P16" s="2" t="s">
        <v>5</v>
      </c>
      <c r="Q16" s="2">
        <f t="array" ref="Q16:Q17">_xlfn.MODE.MULT(O16:O24)</f>
        <v>7</v>
      </c>
    </row>
    <row r="17" spans="1:17" ht="14.25" customHeight="1">
      <c r="A17" s="2" t="s">
        <v>364</v>
      </c>
      <c r="O17" s="2">
        <v>10</v>
      </c>
      <c r="Q17" s="2">
        <v>9</v>
      </c>
    </row>
    <row r="18" spans="1:17" ht="14.25" customHeight="1">
      <c r="O18" s="2">
        <v>7</v>
      </c>
      <c r="P18" s="2" t="s">
        <v>3</v>
      </c>
      <c r="Q18" s="2">
        <f>MEDIAN(O16:O24)</f>
        <v>7</v>
      </c>
    </row>
    <row r="19" spans="1:17" ht="14.25" customHeight="1">
      <c r="A19" s="2" t="s">
        <v>365</v>
      </c>
      <c r="K19" s="2">
        <v>17</v>
      </c>
      <c r="O19" s="2">
        <v>7</v>
      </c>
      <c r="P19" s="2" t="s">
        <v>1</v>
      </c>
      <c r="Q19" s="2">
        <f>AVERAGE(O16:O24)</f>
        <v>7</v>
      </c>
    </row>
    <row r="20" spans="1:17" ht="14.25" customHeight="1">
      <c r="A20" s="2" t="s">
        <v>366</v>
      </c>
      <c r="K20" s="2">
        <v>22</v>
      </c>
      <c r="M20" s="2" t="s">
        <v>23</v>
      </c>
      <c r="N20" s="2">
        <v>10</v>
      </c>
      <c r="O20" s="2">
        <v>6</v>
      </c>
      <c r="P20" s="2" t="s">
        <v>367</v>
      </c>
      <c r="Q20" s="2">
        <f>STDEV(O16:O24)</f>
        <v>2.3452078799117149</v>
      </c>
    </row>
    <row r="21" spans="1:17" ht="14.25" customHeight="1">
      <c r="K21" s="2">
        <v>26</v>
      </c>
      <c r="O21" s="2">
        <v>9</v>
      </c>
    </row>
    <row r="22" spans="1:17" ht="14.25" customHeight="1">
      <c r="A22" s="2" t="s">
        <v>368</v>
      </c>
      <c r="K22" s="2">
        <v>29</v>
      </c>
      <c r="O22" s="2">
        <v>3</v>
      </c>
    </row>
    <row r="23" spans="1:17" ht="14.25" customHeight="1">
      <c r="A23" s="2" t="s">
        <v>369</v>
      </c>
      <c r="K23" s="2">
        <v>34</v>
      </c>
      <c r="L23" s="2" t="s">
        <v>370</v>
      </c>
      <c r="N23" s="2" t="s">
        <v>371</v>
      </c>
      <c r="O23" s="2">
        <v>8</v>
      </c>
    </row>
    <row r="24" spans="1:17" ht="14.25" customHeight="1">
      <c r="K24" s="2">
        <v>36</v>
      </c>
      <c r="L24" s="2" t="s">
        <v>372</v>
      </c>
      <c r="N24" s="2" t="s">
        <v>373</v>
      </c>
      <c r="O24" s="2">
        <v>9</v>
      </c>
    </row>
    <row r="25" spans="1:17" ht="14.25" customHeight="1">
      <c r="K25" s="2">
        <v>42</v>
      </c>
    </row>
    <row r="26" spans="1:17" ht="14.25" customHeight="1">
      <c r="I26" s="2">
        <v>62</v>
      </c>
      <c r="K26" s="2">
        <v>67</v>
      </c>
      <c r="N26" s="2" t="s">
        <v>374</v>
      </c>
    </row>
    <row r="27" spans="1:17" ht="14.25" customHeight="1">
      <c r="G27" s="2" t="s">
        <v>3</v>
      </c>
      <c r="H27" s="2">
        <f>MEDIAN(I26:I37)</f>
        <v>75</v>
      </c>
      <c r="I27" s="2">
        <v>65</v>
      </c>
      <c r="K27" s="2">
        <v>70</v>
      </c>
      <c r="N27" s="2" t="s">
        <v>375</v>
      </c>
    </row>
    <row r="28" spans="1:17" ht="14.25" customHeight="1">
      <c r="G28" s="2" t="s">
        <v>376</v>
      </c>
      <c r="H28" s="2">
        <f>QUARTILE(I26:I37,1)</f>
        <v>69.5</v>
      </c>
      <c r="I28" s="2">
        <v>68</v>
      </c>
      <c r="K28" s="2">
        <v>77</v>
      </c>
    </row>
    <row r="29" spans="1:17" ht="14.25" customHeight="1">
      <c r="G29" s="2" t="s">
        <v>377</v>
      </c>
      <c r="H29" s="2">
        <f>QUARTILE(I26:I37,3)</f>
        <v>80.5</v>
      </c>
      <c r="I29" s="2">
        <v>70</v>
      </c>
    </row>
    <row r="30" spans="1:17" ht="14.25" customHeight="1">
      <c r="G30" s="2" t="s">
        <v>378</v>
      </c>
      <c r="H30" s="2">
        <f>H29-H28</f>
        <v>11</v>
      </c>
      <c r="I30" s="2">
        <v>72</v>
      </c>
    </row>
    <row r="31" spans="1:17" ht="14.25" customHeight="1">
      <c r="I31" s="2">
        <v>74</v>
      </c>
    </row>
    <row r="32" spans="1:17" ht="14.25" customHeight="1">
      <c r="I32" s="2">
        <v>76</v>
      </c>
    </row>
    <row r="33" spans="1:9" ht="14.25" customHeight="1">
      <c r="I33" s="2">
        <v>78</v>
      </c>
    </row>
    <row r="34" spans="1:9" ht="14.25" customHeight="1">
      <c r="I34" s="2">
        <v>80</v>
      </c>
    </row>
    <row r="35" spans="1:9" ht="14.25" customHeight="1">
      <c r="I35" s="2">
        <v>82</v>
      </c>
    </row>
    <row r="36" spans="1:9" ht="14.25" customHeight="1">
      <c r="I36" s="2">
        <v>96</v>
      </c>
    </row>
    <row r="37" spans="1:9" ht="14.25" customHeight="1">
      <c r="I37" s="2">
        <v>101</v>
      </c>
    </row>
    <row r="38" spans="1:9" ht="14.25" customHeight="1"/>
    <row r="39" spans="1:9" ht="14.25" customHeight="1">
      <c r="A39" s="2" t="s">
        <v>351</v>
      </c>
    </row>
    <row r="40" spans="1:9" ht="14.25" customHeight="1">
      <c r="A40" s="2" t="s">
        <v>352</v>
      </c>
    </row>
    <row r="41" spans="1:9" ht="14.25" customHeight="1">
      <c r="A41" s="2" t="s">
        <v>353</v>
      </c>
    </row>
    <row r="42" spans="1:9" ht="14.25" customHeight="1">
      <c r="A42" s="2" t="s">
        <v>354</v>
      </c>
    </row>
    <row r="43" spans="1:9" ht="14.25" customHeight="1">
      <c r="A43" s="2" t="s">
        <v>355</v>
      </c>
    </row>
    <row r="44" spans="1:9" ht="14.25" customHeight="1">
      <c r="A44" s="2" t="s">
        <v>356</v>
      </c>
    </row>
    <row r="45" spans="1:9" ht="14.25" customHeight="1">
      <c r="A45" s="2" t="s">
        <v>357</v>
      </c>
    </row>
    <row r="46" spans="1:9" ht="14.25" customHeight="1">
      <c r="A46" s="2" t="s">
        <v>358</v>
      </c>
    </row>
    <row r="47" spans="1:9" ht="14.25" customHeight="1"/>
    <row r="48" spans="1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0"/>
  <sheetViews>
    <sheetView workbookViewId="0"/>
  </sheetViews>
  <sheetFormatPr defaultColWidth="14.44140625" defaultRowHeight="15" customHeight="1"/>
  <cols>
    <col min="1" max="9" width="8.6640625" customWidth="1"/>
    <col min="10" max="10" width="12" customWidth="1"/>
    <col min="11" max="26" width="8.6640625" customWidth="1"/>
  </cols>
  <sheetData>
    <row r="1" spans="1:5" ht="14.25" customHeight="1">
      <c r="A1" s="2" t="s">
        <v>379</v>
      </c>
      <c r="B1" s="2" t="s">
        <v>380</v>
      </c>
      <c r="C1" s="2" t="s">
        <v>381</v>
      </c>
      <c r="D1" s="2" t="s">
        <v>382</v>
      </c>
      <c r="E1" s="2" t="s">
        <v>383</v>
      </c>
    </row>
    <row r="2" spans="1:5" ht="14.25" customHeight="1">
      <c r="A2" s="2">
        <v>5.0999999999999996</v>
      </c>
      <c r="B2" s="2">
        <v>3.5</v>
      </c>
      <c r="C2" s="2">
        <v>1.4</v>
      </c>
      <c r="D2" s="2">
        <v>0.2</v>
      </c>
      <c r="E2" s="2" t="s">
        <v>384</v>
      </c>
    </row>
    <row r="3" spans="1:5" ht="14.25" customHeight="1">
      <c r="A3" s="2">
        <v>4.9000000000000004</v>
      </c>
      <c r="B3" s="2">
        <v>3</v>
      </c>
      <c r="C3" s="2">
        <v>1.4</v>
      </c>
      <c r="D3" s="2">
        <v>0.2</v>
      </c>
      <c r="E3" s="2" t="s">
        <v>384</v>
      </c>
    </row>
    <row r="4" spans="1:5" ht="14.25" customHeight="1">
      <c r="A4" s="2">
        <v>4.7</v>
      </c>
      <c r="B4" s="2">
        <v>3.2</v>
      </c>
      <c r="C4" s="2">
        <v>1.3</v>
      </c>
      <c r="D4" s="2">
        <v>0.2</v>
      </c>
      <c r="E4" s="2" t="s">
        <v>384</v>
      </c>
    </row>
    <row r="5" spans="1:5" ht="14.25" customHeight="1">
      <c r="A5" s="2">
        <v>4.5999999999999996</v>
      </c>
      <c r="B5" s="2">
        <v>3.1</v>
      </c>
      <c r="C5" s="2">
        <v>1.5</v>
      </c>
      <c r="D5" s="2">
        <v>0.2</v>
      </c>
      <c r="E5" s="2" t="s">
        <v>384</v>
      </c>
    </row>
    <row r="6" spans="1:5" ht="14.25" customHeight="1">
      <c r="A6" s="2">
        <v>5</v>
      </c>
      <c r="B6" s="2">
        <v>3.6</v>
      </c>
      <c r="C6" s="2">
        <v>1.4</v>
      </c>
      <c r="D6" s="2">
        <v>0.2</v>
      </c>
      <c r="E6" s="2" t="s">
        <v>384</v>
      </c>
    </row>
    <row r="7" spans="1:5" ht="14.25" customHeight="1">
      <c r="A7" s="2">
        <v>5.4</v>
      </c>
      <c r="B7" s="2">
        <v>3.9</v>
      </c>
      <c r="C7" s="2">
        <v>1.7</v>
      </c>
      <c r="D7" s="2">
        <v>0.4</v>
      </c>
      <c r="E7" s="2" t="s">
        <v>384</v>
      </c>
    </row>
    <row r="8" spans="1:5" ht="14.25" customHeight="1">
      <c r="A8" s="2">
        <v>4.5999999999999996</v>
      </c>
      <c r="B8" s="2">
        <v>3.4</v>
      </c>
      <c r="C8" s="2">
        <v>1.4</v>
      </c>
      <c r="D8" s="2">
        <v>0.3</v>
      </c>
      <c r="E8" s="2" t="s">
        <v>384</v>
      </c>
    </row>
    <row r="9" spans="1:5" ht="14.25" customHeight="1">
      <c r="A9" s="2">
        <v>5</v>
      </c>
      <c r="B9" s="2">
        <v>3.4</v>
      </c>
      <c r="C9" s="2">
        <v>1.5</v>
      </c>
      <c r="D9" s="2">
        <v>0.2</v>
      </c>
      <c r="E9" s="2" t="s">
        <v>384</v>
      </c>
    </row>
    <row r="10" spans="1:5" ht="14.25" customHeight="1">
      <c r="A10" s="2">
        <v>4.4000000000000004</v>
      </c>
      <c r="B10" s="2">
        <v>2.9</v>
      </c>
      <c r="C10" s="2">
        <v>1.4</v>
      </c>
      <c r="D10" s="2">
        <v>0.2</v>
      </c>
      <c r="E10" s="2" t="s">
        <v>384</v>
      </c>
    </row>
    <row r="11" spans="1:5" ht="14.25" customHeight="1">
      <c r="A11" s="2">
        <v>4.9000000000000004</v>
      </c>
      <c r="B11" s="2">
        <v>3.1</v>
      </c>
      <c r="C11" s="2">
        <v>1.5</v>
      </c>
      <c r="D11" s="2">
        <v>0.1</v>
      </c>
      <c r="E11" s="2" t="s">
        <v>384</v>
      </c>
    </row>
    <row r="12" spans="1:5" ht="14.25" customHeight="1">
      <c r="A12" s="2">
        <v>5.4</v>
      </c>
      <c r="B12" s="2">
        <v>3.7</v>
      </c>
      <c r="C12" s="2">
        <v>1.5</v>
      </c>
      <c r="D12" s="2">
        <v>0.2</v>
      </c>
      <c r="E12" s="2" t="s">
        <v>384</v>
      </c>
    </row>
    <row r="13" spans="1:5" ht="14.25" customHeight="1">
      <c r="A13" s="2">
        <v>4.8</v>
      </c>
      <c r="B13" s="2">
        <v>3.4</v>
      </c>
      <c r="C13" s="2">
        <v>1.6</v>
      </c>
      <c r="D13" s="2">
        <v>0.2</v>
      </c>
      <c r="E13" s="2" t="s">
        <v>384</v>
      </c>
    </row>
    <row r="14" spans="1:5" ht="14.25" customHeight="1">
      <c r="A14" s="2">
        <v>4.8</v>
      </c>
      <c r="B14" s="2">
        <v>3</v>
      </c>
      <c r="C14" s="2">
        <v>1.4</v>
      </c>
      <c r="D14" s="2">
        <v>0.1</v>
      </c>
      <c r="E14" s="2" t="s">
        <v>384</v>
      </c>
    </row>
    <row r="15" spans="1:5" ht="14.25" customHeight="1">
      <c r="A15" s="2">
        <v>4.3</v>
      </c>
      <c r="B15" s="2">
        <v>3</v>
      </c>
      <c r="C15" s="2">
        <v>1.1000000000000001</v>
      </c>
      <c r="D15" s="2">
        <v>0.1</v>
      </c>
      <c r="E15" s="2" t="s">
        <v>384</v>
      </c>
    </row>
    <row r="16" spans="1:5" ht="14.25" customHeight="1">
      <c r="A16" s="2">
        <v>5.8</v>
      </c>
      <c r="B16" s="2">
        <v>4</v>
      </c>
      <c r="C16" s="2">
        <v>1.2</v>
      </c>
      <c r="D16" s="2">
        <v>0.2</v>
      </c>
      <c r="E16" s="2" t="s">
        <v>384</v>
      </c>
    </row>
    <row r="17" spans="1:5" ht="14.25" customHeight="1">
      <c r="A17" s="2">
        <v>5.7</v>
      </c>
      <c r="B17" s="2">
        <v>4.4000000000000004</v>
      </c>
      <c r="C17" s="2">
        <v>1.5</v>
      </c>
      <c r="D17" s="2">
        <v>0.4</v>
      </c>
      <c r="E17" s="2" t="s">
        <v>384</v>
      </c>
    </row>
    <row r="18" spans="1:5" ht="14.25" customHeight="1">
      <c r="A18" s="2">
        <v>5.4</v>
      </c>
      <c r="B18" s="2">
        <v>3.9</v>
      </c>
      <c r="C18" s="2">
        <v>1.3</v>
      </c>
      <c r="D18" s="2">
        <v>0.4</v>
      </c>
      <c r="E18" s="2" t="s">
        <v>384</v>
      </c>
    </row>
    <row r="19" spans="1:5" ht="14.25" customHeight="1">
      <c r="A19" s="2">
        <v>5.0999999999999996</v>
      </c>
      <c r="B19" s="2">
        <v>3.5</v>
      </c>
      <c r="C19" s="2">
        <v>1.4</v>
      </c>
      <c r="D19" s="2">
        <v>0.3</v>
      </c>
      <c r="E19" s="2" t="s">
        <v>384</v>
      </c>
    </row>
    <row r="20" spans="1:5" ht="14.25" customHeight="1">
      <c r="A20" s="2">
        <v>5.7</v>
      </c>
      <c r="B20" s="2">
        <v>3.8</v>
      </c>
      <c r="C20" s="2">
        <v>1.7</v>
      </c>
      <c r="D20" s="2">
        <v>0.3</v>
      </c>
      <c r="E20" s="2" t="s">
        <v>384</v>
      </c>
    </row>
    <row r="21" spans="1:5" ht="14.25" customHeight="1">
      <c r="A21" s="2">
        <v>5.0999999999999996</v>
      </c>
      <c r="B21" s="2">
        <v>3.8</v>
      </c>
      <c r="C21" s="2">
        <v>1.5</v>
      </c>
      <c r="D21" s="2">
        <v>0.3</v>
      </c>
      <c r="E21" s="2" t="s">
        <v>384</v>
      </c>
    </row>
    <row r="22" spans="1:5" ht="14.25" customHeight="1">
      <c r="A22" s="2">
        <v>5.4</v>
      </c>
      <c r="B22" s="2">
        <v>3.4</v>
      </c>
      <c r="C22" s="2">
        <v>1.7</v>
      </c>
      <c r="D22" s="2">
        <v>0.2</v>
      </c>
      <c r="E22" s="2" t="s">
        <v>384</v>
      </c>
    </row>
    <row r="23" spans="1:5" ht="14.25" customHeight="1">
      <c r="A23" s="2">
        <v>5.0999999999999996</v>
      </c>
      <c r="B23" s="2">
        <v>3.7</v>
      </c>
      <c r="C23" s="2">
        <v>1.5</v>
      </c>
      <c r="D23" s="2">
        <v>0.4</v>
      </c>
      <c r="E23" s="2" t="s">
        <v>384</v>
      </c>
    </row>
    <row r="24" spans="1:5" ht="14.25" customHeight="1">
      <c r="A24" s="2">
        <v>4.5999999999999996</v>
      </c>
      <c r="B24" s="2">
        <v>3.6</v>
      </c>
      <c r="C24" s="2">
        <v>1</v>
      </c>
      <c r="D24" s="2">
        <v>0.2</v>
      </c>
      <c r="E24" s="2" t="s">
        <v>384</v>
      </c>
    </row>
    <row r="25" spans="1:5" ht="14.25" customHeight="1">
      <c r="A25" s="2">
        <v>5.0999999999999996</v>
      </c>
      <c r="B25" s="2">
        <v>3.3</v>
      </c>
      <c r="C25" s="2">
        <v>1.7</v>
      </c>
      <c r="D25" s="2">
        <v>0.5</v>
      </c>
      <c r="E25" s="2" t="s">
        <v>384</v>
      </c>
    </row>
    <row r="26" spans="1:5" ht="14.25" customHeight="1">
      <c r="A26" s="2">
        <v>4.8</v>
      </c>
      <c r="B26" s="2">
        <v>3.4</v>
      </c>
      <c r="C26" s="2">
        <v>1.9</v>
      </c>
      <c r="D26" s="2">
        <v>0.2</v>
      </c>
      <c r="E26" s="2" t="s">
        <v>384</v>
      </c>
    </row>
    <row r="27" spans="1:5" ht="14.25" customHeight="1">
      <c r="A27" s="2">
        <v>5</v>
      </c>
      <c r="B27" s="2">
        <v>3</v>
      </c>
      <c r="C27" s="2">
        <v>1.6</v>
      </c>
      <c r="D27" s="2">
        <v>0.2</v>
      </c>
      <c r="E27" s="2" t="s">
        <v>384</v>
      </c>
    </row>
    <row r="28" spans="1:5" ht="14.25" customHeight="1">
      <c r="A28" s="2">
        <v>5</v>
      </c>
      <c r="B28" s="2">
        <v>3.4</v>
      </c>
      <c r="C28" s="2">
        <v>1.6</v>
      </c>
      <c r="D28" s="2">
        <v>0.4</v>
      </c>
      <c r="E28" s="2" t="s">
        <v>384</v>
      </c>
    </row>
    <row r="29" spans="1:5" ht="14.25" customHeight="1">
      <c r="A29" s="2">
        <v>5.2</v>
      </c>
      <c r="B29" s="2">
        <v>3.5</v>
      </c>
      <c r="C29" s="2">
        <v>1.5</v>
      </c>
      <c r="D29" s="2">
        <v>0.2</v>
      </c>
      <c r="E29" s="2" t="s">
        <v>384</v>
      </c>
    </row>
    <row r="30" spans="1:5" ht="14.25" customHeight="1">
      <c r="A30" s="2">
        <v>5.2</v>
      </c>
      <c r="B30" s="2">
        <v>3.4</v>
      </c>
      <c r="C30" s="2">
        <v>1.4</v>
      </c>
      <c r="D30" s="2">
        <v>0.2</v>
      </c>
      <c r="E30" s="2" t="s">
        <v>384</v>
      </c>
    </row>
    <row r="31" spans="1:5" ht="14.25" customHeight="1">
      <c r="A31" s="2">
        <v>4.7</v>
      </c>
      <c r="B31" s="2">
        <v>3.2</v>
      </c>
      <c r="C31" s="2">
        <v>1.6</v>
      </c>
      <c r="D31" s="2">
        <v>0.2</v>
      </c>
      <c r="E31" s="2" t="s">
        <v>384</v>
      </c>
    </row>
    <row r="32" spans="1:5" ht="14.25" customHeight="1">
      <c r="A32" s="2">
        <v>4.8</v>
      </c>
      <c r="B32" s="2">
        <v>3.1</v>
      </c>
      <c r="C32" s="2">
        <v>1.6</v>
      </c>
      <c r="D32" s="2">
        <v>0.2</v>
      </c>
      <c r="E32" s="2" t="s">
        <v>384</v>
      </c>
    </row>
    <row r="33" spans="1:5" ht="14.25" customHeight="1">
      <c r="A33" s="2">
        <v>5.4</v>
      </c>
      <c r="B33" s="2">
        <v>3.4</v>
      </c>
      <c r="C33" s="2">
        <v>1.5</v>
      </c>
      <c r="D33" s="2">
        <v>0.4</v>
      </c>
      <c r="E33" s="2" t="s">
        <v>384</v>
      </c>
    </row>
    <row r="34" spans="1:5" ht="14.25" customHeight="1">
      <c r="A34" s="2">
        <v>5.2</v>
      </c>
      <c r="B34" s="2">
        <v>4.0999999999999996</v>
      </c>
      <c r="C34" s="2">
        <v>1.5</v>
      </c>
      <c r="D34" s="2">
        <v>0.1</v>
      </c>
      <c r="E34" s="2" t="s">
        <v>384</v>
      </c>
    </row>
    <row r="35" spans="1:5" ht="14.25" customHeight="1">
      <c r="A35" s="2">
        <v>5.5</v>
      </c>
      <c r="B35" s="2">
        <v>4.2</v>
      </c>
      <c r="C35" s="2">
        <v>1.4</v>
      </c>
      <c r="D35" s="2">
        <v>0.2</v>
      </c>
      <c r="E35" s="2" t="s">
        <v>384</v>
      </c>
    </row>
    <row r="36" spans="1:5" ht="14.25" customHeight="1">
      <c r="A36" s="2">
        <v>4.9000000000000004</v>
      </c>
      <c r="B36" s="2">
        <v>3.1</v>
      </c>
      <c r="C36" s="2">
        <v>1.5</v>
      </c>
      <c r="D36" s="2">
        <v>0.2</v>
      </c>
      <c r="E36" s="2" t="s">
        <v>384</v>
      </c>
    </row>
    <row r="37" spans="1:5" ht="14.25" customHeight="1">
      <c r="A37" s="2">
        <v>5</v>
      </c>
      <c r="B37" s="2">
        <v>3.2</v>
      </c>
      <c r="C37" s="2">
        <v>1.2</v>
      </c>
      <c r="D37" s="2">
        <v>0.2</v>
      </c>
      <c r="E37" s="2" t="s">
        <v>384</v>
      </c>
    </row>
    <row r="38" spans="1:5" ht="14.25" customHeight="1">
      <c r="A38" s="2">
        <v>5.5</v>
      </c>
      <c r="B38" s="2">
        <v>3.5</v>
      </c>
      <c r="C38" s="2">
        <v>1.3</v>
      </c>
      <c r="D38" s="2">
        <v>0.2</v>
      </c>
      <c r="E38" s="2" t="s">
        <v>384</v>
      </c>
    </row>
    <row r="39" spans="1:5" ht="14.25" customHeight="1">
      <c r="A39" s="2">
        <v>4.9000000000000004</v>
      </c>
      <c r="B39" s="2">
        <v>3.6</v>
      </c>
      <c r="C39" s="2">
        <v>1.4</v>
      </c>
      <c r="D39" s="2">
        <v>0.1</v>
      </c>
      <c r="E39" s="2" t="s">
        <v>384</v>
      </c>
    </row>
    <row r="40" spans="1:5" ht="14.25" customHeight="1">
      <c r="A40" s="2">
        <v>4.4000000000000004</v>
      </c>
      <c r="B40" s="2">
        <v>3</v>
      </c>
      <c r="C40" s="2">
        <v>1.3</v>
      </c>
      <c r="D40" s="2">
        <v>0.2</v>
      </c>
      <c r="E40" s="2" t="s">
        <v>384</v>
      </c>
    </row>
    <row r="41" spans="1:5" ht="14.25" customHeight="1">
      <c r="A41" s="2">
        <v>5.0999999999999996</v>
      </c>
      <c r="B41" s="2">
        <v>3.4</v>
      </c>
      <c r="C41" s="2">
        <v>1.5</v>
      </c>
      <c r="D41" s="2">
        <v>0.2</v>
      </c>
      <c r="E41" s="2" t="s">
        <v>384</v>
      </c>
    </row>
    <row r="42" spans="1:5" ht="14.25" customHeight="1">
      <c r="A42" s="2">
        <v>5</v>
      </c>
      <c r="B42" s="2">
        <v>3.5</v>
      </c>
      <c r="C42" s="2">
        <v>1.3</v>
      </c>
      <c r="D42" s="2">
        <v>0.3</v>
      </c>
      <c r="E42" s="2" t="s">
        <v>384</v>
      </c>
    </row>
    <row r="43" spans="1:5" ht="14.25" customHeight="1">
      <c r="A43" s="2">
        <v>4.5</v>
      </c>
      <c r="B43" s="2">
        <v>2.2999999999999998</v>
      </c>
      <c r="C43" s="2">
        <v>1.3</v>
      </c>
      <c r="D43" s="2">
        <v>0.3</v>
      </c>
      <c r="E43" s="2" t="s">
        <v>384</v>
      </c>
    </row>
    <row r="44" spans="1:5" ht="14.25" customHeight="1">
      <c r="A44" s="2">
        <v>4.4000000000000004</v>
      </c>
      <c r="B44" s="2">
        <v>3.2</v>
      </c>
      <c r="C44" s="2">
        <v>1.3</v>
      </c>
      <c r="D44" s="2">
        <v>0.2</v>
      </c>
      <c r="E44" s="2" t="s">
        <v>384</v>
      </c>
    </row>
    <row r="45" spans="1:5" ht="14.25" customHeight="1">
      <c r="A45" s="2">
        <v>5</v>
      </c>
      <c r="B45" s="2">
        <v>3.5</v>
      </c>
      <c r="C45" s="2">
        <v>1.6</v>
      </c>
      <c r="D45" s="2">
        <v>0.6</v>
      </c>
      <c r="E45" s="2" t="s">
        <v>384</v>
      </c>
    </row>
    <row r="46" spans="1:5" ht="14.25" customHeight="1">
      <c r="A46" s="2">
        <v>5.0999999999999996</v>
      </c>
      <c r="B46" s="2">
        <v>3.8</v>
      </c>
      <c r="C46" s="2">
        <v>1.9</v>
      </c>
      <c r="D46" s="2">
        <v>0.4</v>
      </c>
      <c r="E46" s="2" t="s">
        <v>384</v>
      </c>
    </row>
    <row r="47" spans="1:5" ht="14.25" customHeight="1">
      <c r="A47" s="2">
        <v>4.8</v>
      </c>
      <c r="B47" s="2">
        <v>3</v>
      </c>
      <c r="C47" s="2">
        <v>1.4</v>
      </c>
      <c r="D47" s="2">
        <v>0.3</v>
      </c>
      <c r="E47" s="2" t="s">
        <v>384</v>
      </c>
    </row>
    <row r="48" spans="1:5" ht="14.25" customHeight="1">
      <c r="A48" s="2">
        <v>5.0999999999999996</v>
      </c>
      <c r="B48" s="2">
        <v>3.8</v>
      </c>
      <c r="C48" s="2">
        <v>1.6</v>
      </c>
      <c r="D48" s="2">
        <v>0.2</v>
      </c>
      <c r="E48" s="2" t="s">
        <v>384</v>
      </c>
    </row>
    <row r="49" spans="1:5" ht="14.25" customHeight="1">
      <c r="A49" s="2">
        <v>4.5999999999999996</v>
      </c>
      <c r="B49" s="2">
        <v>3.2</v>
      </c>
      <c r="C49" s="2">
        <v>1.4</v>
      </c>
      <c r="D49" s="2">
        <v>0.2</v>
      </c>
      <c r="E49" s="2" t="s">
        <v>384</v>
      </c>
    </row>
    <row r="50" spans="1:5" ht="14.25" customHeight="1">
      <c r="A50" s="2">
        <v>5.3</v>
      </c>
      <c r="B50" s="2">
        <v>3.7</v>
      </c>
      <c r="C50" s="2">
        <v>1.5</v>
      </c>
      <c r="D50" s="2">
        <v>0.2</v>
      </c>
      <c r="E50" s="2" t="s">
        <v>384</v>
      </c>
    </row>
    <row r="51" spans="1:5" ht="14.25" customHeight="1">
      <c r="A51" s="2">
        <v>5</v>
      </c>
      <c r="B51" s="2">
        <v>3.3</v>
      </c>
      <c r="C51" s="2">
        <v>1.4</v>
      </c>
      <c r="D51" s="2">
        <v>0.2</v>
      </c>
      <c r="E51" s="2" t="s">
        <v>384</v>
      </c>
    </row>
    <row r="52" spans="1:5" ht="14.25" customHeight="1">
      <c r="A52" s="2">
        <v>7</v>
      </c>
      <c r="B52" s="2">
        <v>3.2</v>
      </c>
      <c r="C52" s="2">
        <v>4.7</v>
      </c>
      <c r="D52" s="2">
        <v>1.4</v>
      </c>
      <c r="E52" s="2" t="s">
        <v>385</v>
      </c>
    </row>
    <row r="53" spans="1:5" ht="14.25" customHeight="1">
      <c r="A53" s="2">
        <v>6.4</v>
      </c>
      <c r="B53" s="2">
        <v>3.2</v>
      </c>
      <c r="C53" s="2">
        <v>4.5</v>
      </c>
      <c r="D53" s="2">
        <v>1.5</v>
      </c>
      <c r="E53" s="2" t="s">
        <v>385</v>
      </c>
    </row>
    <row r="54" spans="1:5" ht="14.25" customHeight="1">
      <c r="A54" s="2">
        <v>6.9</v>
      </c>
      <c r="B54" s="2">
        <v>3.1</v>
      </c>
      <c r="C54" s="2">
        <v>4.9000000000000004</v>
      </c>
      <c r="D54" s="2">
        <v>1.5</v>
      </c>
      <c r="E54" s="2" t="s">
        <v>385</v>
      </c>
    </row>
    <row r="55" spans="1:5" ht="14.25" customHeight="1">
      <c r="A55" s="2">
        <v>5.5</v>
      </c>
      <c r="B55" s="2">
        <v>2.2999999999999998</v>
      </c>
      <c r="C55" s="2">
        <v>4</v>
      </c>
      <c r="D55" s="2">
        <v>1.3</v>
      </c>
      <c r="E55" s="2" t="s">
        <v>385</v>
      </c>
    </row>
    <row r="56" spans="1:5" ht="14.25" customHeight="1">
      <c r="A56" s="2">
        <v>6.5</v>
      </c>
      <c r="B56" s="2">
        <v>2.8</v>
      </c>
      <c r="C56" s="2">
        <v>4.5999999999999996</v>
      </c>
      <c r="D56" s="2">
        <v>1.5</v>
      </c>
      <c r="E56" s="2" t="s">
        <v>385</v>
      </c>
    </row>
    <row r="57" spans="1:5" ht="14.25" customHeight="1">
      <c r="A57" s="2">
        <v>5.7</v>
      </c>
      <c r="B57" s="2">
        <v>2.8</v>
      </c>
      <c r="C57" s="2">
        <v>4.5</v>
      </c>
      <c r="D57" s="2">
        <v>1.3</v>
      </c>
      <c r="E57" s="2" t="s">
        <v>385</v>
      </c>
    </row>
    <row r="58" spans="1:5" ht="14.25" customHeight="1">
      <c r="A58" s="2">
        <v>6.3</v>
      </c>
      <c r="B58" s="2">
        <v>3.3</v>
      </c>
      <c r="C58" s="2">
        <v>4.7</v>
      </c>
      <c r="D58" s="2">
        <v>1.6</v>
      </c>
      <c r="E58" s="2" t="s">
        <v>385</v>
      </c>
    </row>
    <row r="59" spans="1:5" ht="14.25" customHeight="1">
      <c r="A59" s="2">
        <v>4.9000000000000004</v>
      </c>
      <c r="B59" s="2">
        <v>2.4</v>
      </c>
      <c r="C59" s="2">
        <v>3.3</v>
      </c>
      <c r="D59" s="2">
        <v>1</v>
      </c>
      <c r="E59" s="2" t="s">
        <v>385</v>
      </c>
    </row>
    <row r="60" spans="1:5" ht="14.25" customHeight="1">
      <c r="A60" s="2">
        <v>6.6</v>
      </c>
      <c r="B60" s="2">
        <v>2.9</v>
      </c>
      <c r="C60" s="2">
        <v>4.5999999999999996</v>
      </c>
      <c r="D60" s="2">
        <v>1.3</v>
      </c>
      <c r="E60" s="2" t="s">
        <v>385</v>
      </c>
    </row>
    <row r="61" spans="1:5" ht="14.25" customHeight="1">
      <c r="A61" s="2">
        <v>5.2</v>
      </c>
      <c r="B61" s="2">
        <v>2.7</v>
      </c>
      <c r="C61" s="2">
        <v>3.9</v>
      </c>
      <c r="D61" s="2">
        <v>1.4</v>
      </c>
      <c r="E61" s="2" t="s">
        <v>385</v>
      </c>
    </row>
    <row r="62" spans="1:5" ht="14.25" customHeight="1">
      <c r="A62" s="2">
        <v>5</v>
      </c>
      <c r="B62" s="2">
        <v>2</v>
      </c>
      <c r="C62" s="2">
        <v>3.5</v>
      </c>
      <c r="D62" s="2">
        <v>1</v>
      </c>
      <c r="E62" s="2" t="s">
        <v>385</v>
      </c>
    </row>
    <row r="63" spans="1:5" ht="14.25" customHeight="1">
      <c r="A63" s="2">
        <v>5.9</v>
      </c>
      <c r="B63" s="2">
        <v>3</v>
      </c>
      <c r="C63" s="2">
        <v>4.2</v>
      </c>
      <c r="D63" s="2">
        <v>1.5</v>
      </c>
      <c r="E63" s="2" t="s">
        <v>385</v>
      </c>
    </row>
    <row r="64" spans="1:5" ht="14.25" customHeight="1">
      <c r="A64" s="2">
        <v>6</v>
      </c>
      <c r="B64" s="2">
        <v>2.2000000000000002</v>
      </c>
      <c r="C64" s="2">
        <v>4</v>
      </c>
      <c r="D64" s="2">
        <v>1</v>
      </c>
      <c r="E64" s="2" t="s">
        <v>385</v>
      </c>
    </row>
    <row r="65" spans="1:5" ht="14.25" customHeight="1">
      <c r="A65" s="2">
        <v>6.1</v>
      </c>
      <c r="B65" s="2">
        <v>2.9</v>
      </c>
      <c r="C65" s="2">
        <v>4.7</v>
      </c>
      <c r="D65" s="2">
        <v>1.4</v>
      </c>
      <c r="E65" s="2" t="s">
        <v>385</v>
      </c>
    </row>
    <row r="66" spans="1:5" ht="14.25" customHeight="1">
      <c r="A66" s="2">
        <v>5.6</v>
      </c>
      <c r="B66" s="2">
        <v>2.9</v>
      </c>
      <c r="C66" s="2">
        <v>3.6</v>
      </c>
      <c r="D66" s="2">
        <v>1.3</v>
      </c>
      <c r="E66" s="2" t="s">
        <v>385</v>
      </c>
    </row>
    <row r="67" spans="1:5" ht="14.25" customHeight="1">
      <c r="A67" s="2">
        <v>6.7</v>
      </c>
      <c r="B67" s="2">
        <v>3.1</v>
      </c>
      <c r="C67" s="2">
        <v>4.4000000000000004</v>
      </c>
      <c r="D67" s="2">
        <v>1.4</v>
      </c>
      <c r="E67" s="2" t="s">
        <v>385</v>
      </c>
    </row>
    <row r="68" spans="1:5" ht="14.25" customHeight="1">
      <c r="A68" s="2">
        <v>5.6</v>
      </c>
      <c r="B68" s="2">
        <v>3</v>
      </c>
      <c r="C68" s="2">
        <v>4.5</v>
      </c>
      <c r="D68" s="2">
        <v>1.5</v>
      </c>
      <c r="E68" s="2" t="s">
        <v>385</v>
      </c>
    </row>
    <row r="69" spans="1:5" ht="14.25" customHeight="1">
      <c r="A69" s="2">
        <v>5.8</v>
      </c>
      <c r="B69" s="2">
        <v>2.7</v>
      </c>
      <c r="C69" s="2">
        <v>4.0999999999999996</v>
      </c>
      <c r="D69" s="2">
        <v>1</v>
      </c>
      <c r="E69" s="2" t="s">
        <v>385</v>
      </c>
    </row>
    <row r="70" spans="1:5" ht="14.25" customHeight="1">
      <c r="A70" s="2">
        <v>6.2</v>
      </c>
      <c r="B70" s="2">
        <v>2.2000000000000002</v>
      </c>
      <c r="C70" s="2">
        <v>4.5</v>
      </c>
      <c r="D70" s="2">
        <v>1.5</v>
      </c>
      <c r="E70" s="2" t="s">
        <v>385</v>
      </c>
    </row>
    <row r="71" spans="1:5" ht="14.25" customHeight="1">
      <c r="A71" s="2">
        <v>5.6</v>
      </c>
      <c r="B71" s="2">
        <v>2.5</v>
      </c>
      <c r="C71" s="2">
        <v>3.9</v>
      </c>
      <c r="D71" s="2">
        <v>1.1000000000000001</v>
      </c>
      <c r="E71" s="2" t="s">
        <v>385</v>
      </c>
    </row>
    <row r="72" spans="1:5" ht="14.25" customHeight="1">
      <c r="A72" s="2">
        <v>5.9</v>
      </c>
      <c r="B72" s="2">
        <v>3.2</v>
      </c>
      <c r="C72" s="2">
        <v>4.8</v>
      </c>
      <c r="D72" s="2">
        <v>1.8</v>
      </c>
      <c r="E72" s="2" t="s">
        <v>385</v>
      </c>
    </row>
    <row r="73" spans="1:5" ht="14.25" customHeight="1">
      <c r="A73" s="2">
        <v>6.1</v>
      </c>
      <c r="B73" s="2">
        <v>2.8</v>
      </c>
      <c r="C73" s="2">
        <v>4</v>
      </c>
      <c r="D73" s="2">
        <v>1.3</v>
      </c>
      <c r="E73" s="2" t="s">
        <v>385</v>
      </c>
    </row>
    <row r="74" spans="1:5" ht="14.25" customHeight="1">
      <c r="A74" s="2">
        <v>6.3</v>
      </c>
      <c r="B74" s="2">
        <v>2.5</v>
      </c>
      <c r="C74" s="2">
        <v>4.9000000000000004</v>
      </c>
      <c r="D74" s="2">
        <v>1.5</v>
      </c>
      <c r="E74" s="2" t="s">
        <v>385</v>
      </c>
    </row>
    <row r="75" spans="1:5" ht="14.25" customHeight="1">
      <c r="A75" s="2">
        <v>6.1</v>
      </c>
      <c r="B75" s="2">
        <v>2.8</v>
      </c>
      <c r="C75" s="2">
        <v>4.7</v>
      </c>
      <c r="D75" s="2">
        <v>1.2</v>
      </c>
      <c r="E75" s="2" t="s">
        <v>385</v>
      </c>
    </row>
    <row r="76" spans="1:5" ht="14.25" customHeight="1">
      <c r="A76" s="2">
        <v>6.4</v>
      </c>
      <c r="B76" s="2">
        <v>2.9</v>
      </c>
      <c r="C76" s="2">
        <v>4.3</v>
      </c>
      <c r="D76" s="2">
        <v>1.3</v>
      </c>
      <c r="E76" s="2" t="s">
        <v>385</v>
      </c>
    </row>
    <row r="77" spans="1:5" ht="14.25" customHeight="1">
      <c r="A77" s="2">
        <v>6.6</v>
      </c>
      <c r="B77" s="2">
        <v>3</v>
      </c>
      <c r="C77" s="2">
        <v>4.4000000000000004</v>
      </c>
      <c r="D77" s="2">
        <v>1.4</v>
      </c>
      <c r="E77" s="2" t="s">
        <v>385</v>
      </c>
    </row>
    <row r="78" spans="1:5" ht="14.25" customHeight="1">
      <c r="A78" s="2">
        <v>6.8</v>
      </c>
      <c r="B78" s="2">
        <v>2.8</v>
      </c>
      <c r="C78" s="2">
        <v>4.8</v>
      </c>
      <c r="D78" s="2">
        <v>1.4</v>
      </c>
      <c r="E78" s="2" t="s">
        <v>385</v>
      </c>
    </row>
    <row r="79" spans="1:5" ht="14.25" customHeight="1">
      <c r="A79" s="2">
        <v>6.7</v>
      </c>
      <c r="B79" s="2">
        <v>3</v>
      </c>
      <c r="C79" s="2">
        <v>5</v>
      </c>
      <c r="D79" s="2">
        <v>1.7</v>
      </c>
      <c r="E79" s="2" t="s">
        <v>385</v>
      </c>
    </row>
    <row r="80" spans="1:5" ht="14.25" customHeight="1">
      <c r="A80" s="2">
        <v>6</v>
      </c>
      <c r="B80" s="2">
        <v>2.9</v>
      </c>
      <c r="C80" s="2">
        <v>4.5</v>
      </c>
      <c r="D80" s="2">
        <v>1.5</v>
      </c>
      <c r="E80" s="2" t="s">
        <v>385</v>
      </c>
    </row>
    <row r="81" spans="1:5" ht="14.25" customHeight="1">
      <c r="A81" s="2">
        <v>5.7</v>
      </c>
      <c r="B81" s="2">
        <v>2.6</v>
      </c>
      <c r="C81" s="2">
        <v>3.5</v>
      </c>
      <c r="D81" s="2">
        <v>1</v>
      </c>
      <c r="E81" s="2" t="s">
        <v>385</v>
      </c>
    </row>
    <row r="82" spans="1:5" ht="14.25" customHeight="1">
      <c r="A82" s="2">
        <v>5.5</v>
      </c>
      <c r="B82" s="2">
        <v>2.4</v>
      </c>
      <c r="C82" s="2">
        <v>3.8</v>
      </c>
      <c r="D82" s="2">
        <v>1.1000000000000001</v>
      </c>
      <c r="E82" s="2" t="s">
        <v>385</v>
      </c>
    </row>
    <row r="83" spans="1:5" ht="14.25" customHeight="1">
      <c r="A83" s="2">
        <v>5.5</v>
      </c>
      <c r="B83" s="2">
        <v>2.4</v>
      </c>
      <c r="C83" s="2">
        <v>3.7</v>
      </c>
      <c r="D83" s="2">
        <v>1</v>
      </c>
      <c r="E83" s="2" t="s">
        <v>385</v>
      </c>
    </row>
    <row r="84" spans="1:5" ht="14.25" customHeight="1">
      <c r="A84" s="2">
        <v>5.8</v>
      </c>
      <c r="B84" s="2">
        <v>2.7</v>
      </c>
      <c r="C84" s="2">
        <v>3.9</v>
      </c>
      <c r="D84" s="2">
        <v>1.2</v>
      </c>
      <c r="E84" s="2" t="s">
        <v>385</v>
      </c>
    </row>
    <row r="85" spans="1:5" ht="14.25" customHeight="1">
      <c r="A85" s="2">
        <v>6</v>
      </c>
      <c r="B85" s="2">
        <v>2.7</v>
      </c>
      <c r="C85" s="2">
        <v>5.0999999999999996</v>
      </c>
      <c r="D85" s="2">
        <v>1.6</v>
      </c>
      <c r="E85" s="2" t="s">
        <v>385</v>
      </c>
    </row>
    <row r="86" spans="1:5" ht="14.25" customHeight="1">
      <c r="A86" s="2">
        <v>5.4</v>
      </c>
      <c r="B86" s="2">
        <v>3</v>
      </c>
      <c r="C86" s="2">
        <v>4.5</v>
      </c>
      <c r="D86" s="2">
        <v>1.5</v>
      </c>
      <c r="E86" s="2" t="s">
        <v>385</v>
      </c>
    </row>
    <row r="87" spans="1:5" ht="14.25" customHeight="1">
      <c r="A87" s="2">
        <v>6</v>
      </c>
      <c r="B87" s="2">
        <v>3.4</v>
      </c>
      <c r="C87" s="2">
        <v>4.5</v>
      </c>
      <c r="D87" s="2">
        <v>1.6</v>
      </c>
      <c r="E87" s="2" t="s">
        <v>385</v>
      </c>
    </row>
    <row r="88" spans="1:5" ht="14.25" customHeight="1">
      <c r="A88" s="2">
        <v>6.7</v>
      </c>
      <c r="B88" s="2">
        <v>3.1</v>
      </c>
      <c r="C88" s="2">
        <v>4.7</v>
      </c>
      <c r="D88" s="2">
        <v>1.5</v>
      </c>
      <c r="E88" s="2" t="s">
        <v>385</v>
      </c>
    </row>
    <row r="89" spans="1:5" ht="14.25" customHeight="1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385</v>
      </c>
    </row>
    <row r="90" spans="1:5" ht="14.25" customHeight="1">
      <c r="A90" s="2">
        <v>5.6</v>
      </c>
      <c r="B90" s="2">
        <v>3</v>
      </c>
      <c r="C90" s="2">
        <v>4.0999999999999996</v>
      </c>
      <c r="D90" s="2">
        <v>1.3</v>
      </c>
      <c r="E90" s="2" t="s">
        <v>385</v>
      </c>
    </row>
    <row r="91" spans="1:5" ht="14.25" customHeight="1">
      <c r="A91" s="2">
        <v>5.5</v>
      </c>
      <c r="B91" s="2">
        <v>2.5</v>
      </c>
      <c r="C91" s="2">
        <v>4</v>
      </c>
      <c r="D91" s="2">
        <v>1.3</v>
      </c>
      <c r="E91" s="2" t="s">
        <v>385</v>
      </c>
    </row>
    <row r="92" spans="1:5" ht="14.25" customHeight="1">
      <c r="A92" s="2">
        <v>5.5</v>
      </c>
      <c r="B92" s="2">
        <v>2.6</v>
      </c>
      <c r="C92" s="2">
        <v>4.4000000000000004</v>
      </c>
      <c r="D92" s="2">
        <v>1.2</v>
      </c>
      <c r="E92" s="2" t="s">
        <v>385</v>
      </c>
    </row>
    <row r="93" spans="1:5" ht="14.25" customHeight="1">
      <c r="A93" s="2">
        <v>6.1</v>
      </c>
      <c r="B93" s="2">
        <v>3</v>
      </c>
      <c r="C93" s="2">
        <v>4.5999999999999996</v>
      </c>
      <c r="D93" s="2">
        <v>1.4</v>
      </c>
      <c r="E93" s="2" t="s">
        <v>385</v>
      </c>
    </row>
    <row r="94" spans="1:5" ht="14.25" customHeight="1">
      <c r="A94" s="2">
        <v>5.8</v>
      </c>
      <c r="B94" s="2">
        <v>2.6</v>
      </c>
      <c r="C94" s="2">
        <v>4</v>
      </c>
      <c r="D94" s="2">
        <v>1.2</v>
      </c>
      <c r="E94" s="2" t="s">
        <v>385</v>
      </c>
    </row>
    <row r="95" spans="1:5" ht="14.25" customHeight="1">
      <c r="A95" s="2">
        <v>5</v>
      </c>
      <c r="B95" s="2">
        <v>2.2999999999999998</v>
      </c>
      <c r="C95" s="2">
        <v>3.3</v>
      </c>
      <c r="D95" s="2">
        <v>1</v>
      </c>
      <c r="E95" s="2" t="s">
        <v>385</v>
      </c>
    </row>
    <row r="96" spans="1:5" ht="14.25" customHeight="1">
      <c r="A96" s="2">
        <v>5.6</v>
      </c>
      <c r="B96" s="2">
        <v>2.7</v>
      </c>
      <c r="C96" s="2">
        <v>4.2</v>
      </c>
      <c r="D96" s="2">
        <v>1.3</v>
      </c>
      <c r="E96" s="2" t="s">
        <v>385</v>
      </c>
    </row>
    <row r="97" spans="1:5" ht="14.25" customHeight="1">
      <c r="A97" s="2">
        <v>5.7</v>
      </c>
      <c r="B97" s="2">
        <v>3</v>
      </c>
      <c r="C97" s="2">
        <v>4.2</v>
      </c>
      <c r="D97" s="2">
        <v>1.2</v>
      </c>
      <c r="E97" s="2" t="s">
        <v>385</v>
      </c>
    </row>
    <row r="98" spans="1:5" ht="14.25" customHeight="1">
      <c r="A98" s="2">
        <v>5.7</v>
      </c>
      <c r="B98" s="2">
        <v>2.9</v>
      </c>
      <c r="C98" s="2">
        <v>4.2</v>
      </c>
      <c r="D98" s="2">
        <v>1.3</v>
      </c>
      <c r="E98" s="2" t="s">
        <v>385</v>
      </c>
    </row>
    <row r="99" spans="1:5" ht="14.25" customHeight="1">
      <c r="A99" s="2">
        <v>6.2</v>
      </c>
      <c r="B99" s="2">
        <v>2.9</v>
      </c>
      <c r="C99" s="2">
        <v>4.3</v>
      </c>
      <c r="D99" s="2">
        <v>1.3</v>
      </c>
      <c r="E99" s="2" t="s">
        <v>385</v>
      </c>
    </row>
    <row r="100" spans="1:5" ht="14.25" customHeight="1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385</v>
      </c>
    </row>
    <row r="101" spans="1:5" ht="14.25" customHeight="1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385</v>
      </c>
    </row>
    <row r="102" spans="1:5" ht="14.25" customHeight="1">
      <c r="A102" s="2">
        <v>6.3</v>
      </c>
      <c r="B102" s="2">
        <v>3.3</v>
      </c>
      <c r="C102" s="2">
        <v>6</v>
      </c>
      <c r="D102" s="2">
        <v>2.5</v>
      </c>
      <c r="E102" s="2" t="s">
        <v>386</v>
      </c>
    </row>
    <row r="103" spans="1:5" ht="14.25" customHeight="1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386</v>
      </c>
    </row>
    <row r="104" spans="1:5" ht="14.25" customHeight="1">
      <c r="A104" s="2">
        <v>7.1</v>
      </c>
      <c r="B104" s="2">
        <v>3</v>
      </c>
      <c r="C104" s="2">
        <v>5.9</v>
      </c>
      <c r="D104" s="2">
        <v>2.1</v>
      </c>
      <c r="E104" s="2" t="s">
        <v>386</v>
      </c>
    </row>
    <row r="105" spans="1:5" ht="14.25" customHeight="1">
      <c r="A105" s="2">
        <v>6.3</v>
      </c>
      <c r="B105" s="2">
        <v>2.9</v>
      </c>
      <c r="C105" s="2">
        <v>5.6</v>
      </c>
      <c r="D105" s="2">
        <v>1.8</v>
      </c>
      <c r="E105" s="2" t="s">
        <v>386</v>
      </c>
    </row>
    <row r="106" spans="1:5" ht="14.25" customHeight="1">
      <c r="A106" s="2">
        <v>6.5</v>
      </c>
      <c r="B106" s="2">
        <v>3</v>
      </c>
      <c r="C106" s="2">
        <v>5.8</v>
      </c>
      <c r="D106" s="2">
        <v>2.2000000000000002</v>
      </c>
      <c r="E106" s="2" t="s">
        <v>386</v>
      </c>
    </row>
    <row r="107" spans="1:5" ht="14.25" customHeight="1">
      <c r="A107" s="2">
        <v>7.6</v>
      </c>
      <c r="B107" s="2">
        <v>3</v>
      </c>
      <c r="C107" s="2">
        <v>6.6</v>
      </c>
      <c r="D107" s="2">
        <v>2.1</v>
      </c>
      <c r="E107" s="2" t="s">
        <v>386</v>
      </c>
    </row>
    <row r="108" spans="1:5" ht="14.25" customHeight="1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386</v>
      </c>
    </row>
    <row r="109" spans="1:5" ht="14.25" customHeight="1">
      <c r="A109" s="2">
        <v>7.3</v>
      </c>
      <c r="B109" s="2">
        <v>2.9</v>
      </c>
      <c r="C109" s="2">
        <v>6.3</v>
      </c>
      <c r="D109" s="2">
        <v>1.8</v>
      </c>
      <c r="E109" s="2" t="s">
        <v>386</v>
      </c>
    </row>
    <row r="110" spans="1:5" ht="14.25" customHeight="1">
      <c r="A110" s="2">
        <v>6.7</v>
      </c>
      <c r="B110" s="2">
        <v>2.5</v>
      </c>
      <c r="C110" s="2">
        <v>5.8</v>
      </c>
      <c r="D110" s="2">
        <v>1.8</v>
      </c>
      <c r="E110" s="2" t="s">
        <v>386</v>
      </c>
    </row>
    <row r="111" spans="1:5" ht="14.25" customHeight="1">
      <c r="A111" s="2">
        <v>7.2</v>
      </c>
      <c r="B111" s="2">
        <v>3.6</v>
      </c>
      <c r="C111" s="2">
        <v>6.1</v>
      </c>
      <c r="D111" s="2">
        <v>2.5</v>
      </c>
      <c r="E111" s="2" t="s">
        <v>386</v>
      </c>
    </row>
    <row r="112" spans="1:5" ht="14.25" customHeight="1">
      <c r="A112" s="2">
        <v>6.5</v>
      </c>
      <c r="B112" s="2">
        <v>3.2</v>
      </c>
      <c r="C112" s="2">
        <v>5.0999999999999996</v>
      </c>
      <c r="D112" s="2">
        <v>2</v>
      </c>
      <c r="E112" s="2" t="s">
        <v>386</v>
      </c>
    </row>
    <row r="113" spans="1:5" ht="14.25" customHeight="1">
      <c r="A113" s="2">
        <v>6.4</v>
      </c>
      <c r="B113" s="2">
        <v>2.7</v>
      </c>
      <c r="C113" s="2">
        <v>5.3</v>
      </c>
      <c r="D113" s="2">
        <v>1.9</v>
      </c>
      <c r="E113" s="2" t="s">
        <v>386</v>
      </c>
    </row>
    <row r="114" spans="1:5" ht="14.25" customHeight="1">
      <c r="A114" s="2">
        <v>6.8</v>
      </c>
      <c r="B114" s="2">
        <v>3</v>
      </c>
      <c r="C114" s="2">
        <v>5.5</v>
      </c>
      <c r="D114" s="2">
        <v>2.1</v>
      </c>
      <c r="E114" s="2" t="s">
        <v>386</v>
      </c>
    </row>
    <row r="115" spans="1:5" ht="14.25" customHeight="1">
      <c r="A115" s="2">
        <v>5.7</v>
      </c>
      <c r="B115" s="2">
        <v>2.5</v>
      </c>
      <c r="C115" s="2">
        <v>5</v>
      </c>
      <c r="D115" s="2">
        <v>2</v>
      </c>
      <c r="E115" s="2" t="s">
        <v>386</v>
      </c>
    </row>
    <row r="116" spans="1:5" ht="14.25" customHeight="1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386</v>
      </c>
    </row>
    <row r="117" spans="1:5" ht="14.25" customHeight="1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386</v>
      </c>
    </row>
    <row r="118" spans="1:5" ht="14.25" customHeight="1">
      <c r="A118" s="2">
        <v>6.5</v>
      </c>
      <c r="B118" s="2">
        <v>3</v>
      </c>
      <c r="C118" s="2">
        <v>5.5</v>
      </c>
      <c r="D118" s="2">
        <v>1.8</v>
      </c>
      <c r="E118" s="2" t="s">
        <v>386</v>
      </c>
    </row>
    <row r="119" spans="1:5" ht="14.25" customHeight="1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386</v>
      </c>
    </row>
    <row r="120" spans="1:5" ht="14.25" customHeight="1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386</v>
      </c>
    </row>
    <row r="121" spans="1:5" ht="14.25" customHeight="1">
      <c r="A121" s="2">
        <v>6</v>
      </c>
      <c r="B121" s="2">
        <v>2.2000000000000002</v>
      </c>
      <c r="C121" s="2">
        <v>5</v>
      </c>
      <c r="D121" s="2">
        <v>1.5</v>
      </c>
      <c r="E121" s="2" t="s">
        <v>386</v>
      </c>
    </row>
    <row r="122" spans="1:5" ht="14.25" customHeight="1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386</v>
      </c>
    </row>
    <row r="123" spans="1:5" ht="14.25" customHeight="1">
      <c r="A123" s="2">
        <v>5.6</v>
      </c>
      <c r="B123" s="2">
        <v>2.8</v>
      </c>
      <c r="C123" s="2">
        <v>4.9000000000000004</v>
      </c>
      <c r="D123" s="2">
        <v>2</v>
      </c>
      <c r="E123" s="2" t="s">
        <v>386</v>
      </c>
    </row>
    <row r="124" spans="1:5" ht="14.25" customHeight="1">
      <c r="A124" s="2">
        <v>7.7</v>
      </c>
      <c r="B124" s="2">
        <v>2.8</v>
      </c>
      <c r="C124" s="2">
        <v>6.7</v>
      </c>
      <c r="D124" s="2">
        <v>2</v>
      </c>
      <c r="E124" s="2" t="s">
        <v>386</v>
      </c>
    </row>
    <row r="125" spans="1:5" ht="14.25" customHeight="1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386</v>
      </c>
    </row>
    <row r="126" spans="1:5" ht="14.25" customHeight="1">
      <c r="A126" s="2">
        <v>6.7</v>
      </c>
      <c r="B126" s="2">
        <v>3.3</v>
      </c>
      <c r="C126" s="2">
        <v>5.7</v>
      </c>
      <c r="D126" s="2">
        <v>2.1</v>
      </c>
      <c r="E126" s="2" t="s">
        <v>386</v>
      </c>
    </row>
    <row r="127" spans="1:5" ht="14.25" customHeight="1">
      <c r="A127" s="2">
        <v>7.2</v>
      </c>
      <c r="B127" s="2">
        <v>3.2</v>
      </c>
      <c r="C127" s="2">
        <v>6</v>
      </c>
      <c r="D127" s="2">
        <v>1.8</v>
      </c>
      <c r="E127" s="2" t="s">
        <v>386</v>
      </c>
    </row>
    <row r="128" spans="1:5" ht="14.25" customHeight="1">
      <c r="A128" s="2">
        <v>6.2</v>
      </c>
      <c r="B128" s="2">
        <v>2.8</v>
      </c>
      <c r="C128" s="2">
        <v>4.8</v>
      </c>
      <c r="D128" s="2">
        <v>1.8</v>
      </c>
      <c r="E128" s="2" t="s">
        <v>386</v>
      </c>
    </row>
    <row r="129" spans="1:5" ht="14.25" customHeight="1">
      <c r="A129" s="2">
        <v>6.1</v>
      </c>
      <c r="B129" s="2">
        <v>3</v>
      </c>
      <c r="C129" s="2">
        <v>4.9000000000000004</v>
      </c>
      <c r="D129" s="2">
        <v>1.8</v>
      </c>
      <c r="E129" s="2" t="s">
        <v>386</v>
      </c>
    </row>
    <row r="130" spans="1:5" ht="14.25" customHeight="1">
      <c r="A130" s="2">
        <v>6.4</v>
      </c>
      <c r="B130" s="2">
        <v>2.8</v>
      </c>
      <c r="C130" s="2">
        <v>5.6</v>
      </c>
      <c r="D130" s="2">
        <v>2.1</v>
      </c>
      <c r="E130" s="2" t="s">
        <v>386</v>
      </c>
    </row>
    <row r="131" spans="1:5" ht="14.25" customHeight="1">
      <c r="A131" s="2">
        <v>7.2</v>
      </c>
      <c r="B131" s="2">
        <v>3</v>
      </c>
      <c r="C131" s="2">
        <v>5.8</v>
      </c>
      <c r="D131" s="2">
        <v>1.6</v>
      </c>
      <c r="E131" s="2" t="s">
        <v>386</v>
      </c>
    </row>
    <row r="132" spans="1:5" ht="14.25" customHeight="1">
      <c r="A132" s="2">
        <v>7.4</v>
      </c>
      <c r="B132" s="2">
        <v>2.8</v>
      </c>
      <c r="C132" s="2">
        <v>6.1</v>
      </c>
      <c r="D132" s="2">
        <v>1.9</v>
      </c>
      <c r="E132" s="2" t="s">
        <v>386</v>
      </c>
    </row>
    <row r="133" spans="1:5" ht="14.25" customHeight="1">
      <c r="A133" s="2">
        <v>7.9</v>
      </c>
      <c r="B133" s="2">
        <v>3.8</v>
      </c>
      <c r="C133" s="2">
        <v>6.4</v>
      </c>
      <c r="D133" s="2">
        <v>2</v>
      </c>
      <c r="E133" s="2" t="s">
        <v>386</v>
      </c>
    </row>
    <row r="134" spans="1:5" ht="14.25" customHeight="1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386</v>
      </c>
    </row>
    <row r="135" spans="1:5" ht="14.25" customHeight="1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386</v>
      </c>
    </row>
    <row r="136" spans="1:5" ht="14.25" customHeight="1">
      <c r="A136" s="2">
        <v>6.1</v>
      </c>
      <c r="B136" s="2">
        <v>2.6</v>
      </c>
      <c r="C136" s="2">
        <v>5.6</v>
      </c>
      <c r="D136" s="2">
        <v>1.4</v>
      </c>
      <c r="E136" s="2" t="s">
        <v>386</v>
      </c>
    </row>
    <row r="137" spans="1:5" ht="14.25" customHeight="1">
      <c r="A137" s="2">
        <v>7.7</v>
      </c>
      <c r="B137" s="2">
        <v>3</v>
      </c>
      <c r="C137" s="2">
        <v>6.1</v>
      </c>
      <c r="D137" s="2">
        <v>2.2999999999999998</v>
      </c>
      <c r="E137" s="2" t="s">
        <v>386</v>
      </c>
    </row>
    <row r="138" spans="1:5" ht="14.25" customHeight="1">
      <c r="A138" s="2">
        <v>6.3</v>
      </c>
      <c r="B138" s="2">
        <v>3.4</v>
      </c>
      <c r="C138" s="2">
        <v>5.6</v>
      </c>
      <c r="D138" s="2">
        <v>2.4</v>
      </c>
      <c r="E138" s="2" t="s">
        <v>386</v>
      </c>
    </row>
    <row r="139" spans="1:5" ht="14.25" customHeight="1">
      <c r="A139" s="2">
        <v>6.4</v>
      </c>
      <c r="B139" s="2">
        <v>3.1</v>
      </c>
      <c r="C139" s="2">
        <v>5.5</v>
      </c>
      <c r="D139" s="2">
        <v>1.8</v>
      </c>
      <c r="E139" s="2" t="s">
        <v>386</v>
      </c>
    </row>
    <row r="140" spans="1:5" ht="14.25" customHeight="1">
      <c r="A140" s="2">
        <v>6</v>
      </c>
      <c r="B140" s="2">
        <v>3</v>
      </c>
      <c r="C140" s="2">
        <v>4.8</v>
      </c>
      <c r="D140" s="2">
        <v>1.8</v>
      </c>
      <c r="E140" s="2" t="s">
        <v>386</v>
      </c>
    </row>
    <row r="141" spans="1:5" ht="14.25" customHeight="1">
      <c r="A141" s="2">
        <v>6.9</v>
      </c>
      <c r="B141" s="2">
        <v>3.1</v>
      </c>
      <c r="C141" s="2">
        <v>5.4</v>
      </c>
      <c r="D141" s="2">
        <v>2.1</v>
      </c>
      <c r="E141" s="2" t="s">
        <v>386</v>
      </c>
    </row>
    <row r="142" spans="1:5" ht="14.25" customHeight="1">
      <c r="A142" s="2">
        <v>6.7</v>
      </c>
      <c r="B142" s="2">
        <v>3.1</v>
      </c>
      <c r="C142" s="2">
        <v>5.6</v>
      </c>
      <c r="D142" s="2">
        <v>2.4</v>
      </c>
      <c r="E142" s="2" t="s">
        <v>386</v>
      </c>
    </row>
    <row r="143" spans="1:5" ht="14.25" customHeight="1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386</v>
      </c>
    </row>
    <row r="144" spans="1:5" ht="14.25" customHeight="1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386</v>
      </c>
    </row>
    <row r="145" spans="1:10" ht="14.25" customHeight="1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386</v>
      </c>
    </row>
    <row r="146" spans="1:10" ht="14.25" customHeight="1">
      <c r="A146" s="2">
        <v>6.7</v>
      </c>
      <c r="B146" s="2">
        <v>3.3</v>
      </c>
      <c r="C146" s="2">
        <v>5.7</v>
      </c>
      <c r="D146" s="2">
        <v>2.5</v>
      </c>
      <c r="E146" s="2" t="s">
        <v>386</v>
      </c>
    </row>
    <row r="147" spans="1:10" ht="14.25" customHeight="1">
      <c r="A147" s="2">
        <v>6.7</v>
      </c>
      <c r="B147" s="2">
        <v>3</v>
      </c>
      <c r="C147" s="2">
        <v>5.2</v>
      </c>
      <c r="D147" s="2">
        <v>2.2999999999999998</v>
      </c>
      <c r="E147" s="2" t="s">
        <v>386</v>
      </c>
    </row>
    <row r="148" spans="1:10" ht="14.25" customHeight="1">
      <c r="A148" s="2">
        <v>6.3</v>
      </c>
      <c r="B148" s="2">
        <v>2.5</v>
      </c>
      <c r="C148" s="2">
        <v>5</v>
      </c>
      <c r="D148" s="2">
        <v>1.9</v>
      </c>
      <c r="E148" s="2" t="s">
        <v>386</v>
      </c>
    </row>
    <row r="149" spans="1:10" ht="14.25" customHeight="1">
      <c r="A149" s="2">
        <v>6.5</v>
      </c>
      <c r="B149" s="2">
        <v>3</v>
      </c>
      <c r="C149" s="2">
        <v>5.2</v>
      </c>
      <c r="D149" s="2">
        <v>2</v>
      </c>
      <c r="E149" s="2" t="s">
        <v>386</v>
      </c>
    </row>
    <row r="150" spans="1:10" ht="14.25" customHeight="1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386</v>
      </c>
    </row>
    <row r="151" spans="1:10" ht="14.25" customHeight="1">
      <c r="A151" s="2">
        <v>5.9</v>
      </c>
      <c r="B151" s="2">
        <v>3</v>
      </c>
      <c r="C151" s="2">
        <v>5.0999999999999996</v>
      </c>
      <c r="D151" s="2">
        <v>1.8</v>
      </c>
      <c r="E151" s="2" t="s">
        <v>386</v>
      </c>
    </row>
    <row r="152" spans="1:10" ht="14.25" customHeight="1"/>
    <row r="153" spans="1:10" ht="14.25" customHeight="1">
      <c r="A153" s="2" t="s">
        <v>379</v>
      </c>
      <c r="B153" s="2" t="s">
        <v>380</v>
      </c>
      <c r="C153" s="2" t="s">
        <v>381</v>
      </c>
      <c r="D153" s="2" t="s">
        <v>382</v>
      </c>
    </row>
    <row r="154" spans="1:10" ht="14.25" customHeight="1">
      <c r="A154" s="44">
        <f t="shared" ref="A154:D154" si="0">AVERAGE(A2:A151)</f>
        <v>5.8433333333333346</v>
      </c>
      <c r="B154" s="44">
        <f t="shared" si="0"/>
        <v>3.0573333333333341</v>
      </c>
      <c r="C154" s="44">
        <f t="shared" si="0"/>
        <v>3.7580000000000027</v>
      </c>
      <c r="D154" s="44">
        <f t="shared" si="0"/>
        <v>1.199333333333334</v>
      </c>
      <c r="E154" s="2" t="s">
        <v>24</v>
      </c>
    </row>
    <row r="155" spans="1:10" ht="14.25" customHeight="1">
      <c r="A155" s="44">
        <f t="shared" ref="A155:D155" si="1">STDEV(A2:A151)</f>
        <v>0.82806612797784351</v>
      </c>
      <c r="B155" s="44">
        <f t="shared" si="1"/>
        <v>0.43586628493668389</v>
      </c>
      <c r="C155" s="44">
        <f t="shared" si="1"/>
        <v>1.7652982332594624</v>
      </c>
      <c r="D155" s="44">
        <f t="shared" si="1"/>
        <v>0.76223766896034584</v>
      </c>
      <c r="E155" s="2" t="s">
        <v>387</v>
      </c>
    </row>
    <row r="156" spans="1:10" ht="14.25" customHeight="1"/>
    <row r="157" spans="1:10" ht="14.25" customHeight="1">
      <c r="D157" s="103" t="s">
        <v>334</v>
      </c>
      <c r="E157" s="96"/>
      <c r="G157" s="2" t="s">
        <v>388</v>
      </c>
      <c r="H157" s="2" t="s">
        <v>389</v>
      </c>
      <c r="J157" s="2" t="s">
        <v>390</v>
      </c>
    </row>
    <row r="158" spans="1:10" ht="14.25" customHeight="1">
      <c r="A158" s="2" t="s">
        <v>351</v>
      </c>
      <c r="D158" s="41">
        <f>(3.5 - B154)/B155</f>
        <v>1.0156019907136655</v>
      </c>
      <c r="E158" s="41"/>
      <c r="F158" s="41"/>
      <c r="G158" s="43">
        <v>0.84609999999999996</v>
      </c>
      <c r="H158" s="41">
        <f t="shared" ref="H158:H165" si="2">G158*100</f>
        <v>84.61</v>
      </c>
      <c r="J158" s="43">
        <f>_xlfn.NORM.DIST(3.5, B154,B155,TRUE)</f>
        <v>0.84509052174385801</v>
      </c>
    </row>
    <row r="159" spans="1:10" ht="14.25" customHeight="1">
      <c r="A159" s="2" t="s">
        <v>352</v>
      </c>
      <c r="D159" s="41">
        <f>(0.5 - D154)/D155</f>
        <v>-0.91747411839038318</v>
      </c>
      <c r="E159" s="41"/>
      <c r="F159" s="41"/>
      <c r="G159" s="43">
        <f>1 - 0.1788</f>
        <v>0.82120000000000004</v>
      </c>
      <c r="H159" s="41">
        <f t="shared" si="2"/>
        <v>82.12</v>
      </c>
      <c r="J159" s="43">
        <f>1 - _xlfn.NORM.DIST(0.5,D154,D155,TRUE)</f>
        <v>0.82055287539872923</v>
      </c>
    </row>
    <row r="160" spans="1:10" ht="14.25" customHeight="1">
      <c r="A160" s="2" t="s">
        <v>353</v>
      </c>
      <c r="D160" s="41">
        <f>(1.3 - C154)/C155</f>
        <v>-1.3923992862449817</v>
      </c>
      <c r="E160" s="41"/>
      <c r="F160" s="41"/>
      <c r="G160" s="43">
        <v>8.2299999999999998E-2</v>
      </c>
      <c r="H160" s="41">
        <f t="shared" si="2"/>
        <v>8.23</v>
      </c>
      <c r="J160" s="43">
        <f>_xlfn.NORM.DIST(1.3,C154,C155,TRUE)</f>
        <v>8.1900760248133864E-2</v>
      </c>
    </row>
    <row r="161" spans="1:10" ht="14.25" customHeight="1">
      <c r="A161" s="2" t="s">
        <v>354</v>
      </c>
      <c r="D161" s="41">
        <f>(7.1 - A154)/A155</f>
        <v>1.5175921634851481</v>
      </c>
      <c r="E161" s="41"/>
      <c r="F161" s="41"/>
      <c r="G161" s="43">
        <f>1- 0.9357</f>
        <v>6.4300000000000024E-2</v>
      </c>
      <c r="H161" s="41">
        <f t="shared" si="2"/>
        <v>6.4300000000000024</v>
      </c>
      <c r="J161" s="43">
        <f>1 - _xlfn.NORM.DIST(7.1,A154,A155,TRUE)</f>
        <v>6.4558621810797856E-2</v>
      </c>
    </row>
    <row r="162" spans="1:10" ht="14.25" customHeight="1">
      <c r="A162" s="2" t="s">
        <v>355</v>
      </c>
      <c r="D162" s="41">
        <f>(1.3 - B154)/B155</f>
        <v>-4.0318175414476327</v>
      </c>
      <c r="E162" s="41"/>
      <c r="F162" s="41"/>
      <c r="G162" s="43">
        <v>0</v>
      </c>
      <c r="H162" s="41">
        <f t="shared" si="2"/>
        <v>0</v>
      </c>
      <c r="J162" s="43">
        <f>_xlfn.NORM.DIST(1.3,B154,B155,TRUE)</f>
        <v>2.7673575153752306E-5</v>
      </c>
    </row>
    <row r="163" spans="1:10" ht="14.25" customHeight="1">
      <c r="A163" s="2" t="s">
        <v>356</v>
      </c>
      <c r="D163" s="41">
        <f>(3.5 - B154)/B155</f>
        <v>1.0156019907136655</v>
      </c>
      <c r="E163" s="41">
        <f>(5.5 -B154)/B155</f>
        <v>5.6041652017693906</v>
      </c>
      <c r="F163" s="41"/>
      <c r="G163" s="43">
        <f>1 - 0.8461</f>
        <v>0.15390000000000004</v>
      </c>
      <c r="H163" s="41">
        <f t="shared" si="2"/>
        <v>15.390000000000004</v>
      </c>
      <c r="J163" s="43">
        <f>_xlfn.NORM.DIST(5.5,B154,B155,TRUE) - _xlfn.NORM.DIST(3.5,B154,B155,TRUE)</f>
        <v>0.15490946779308945</v>
      </c>
    </row>
    <row r="164" spans="1:10" ht="14.25" customHeight="1">
      <c r="A164" s="2" t="s">
        <v>357</v>
      </c>
      <c r="D164" s="41">
        <f>(1.3 - C154)/C155</f>
        <v>-1.3923992862449817</v>
      </c>
      <c r="E164" s="41">
        <f>(2.4 - C154)/C155</f>
        <v>-0.76927511420695149</v>
      </c>
      <c r="F164" s="41"/>
      <c r="G164" s="43">
        <f>0.2206 - 0.0823</f>
        <v>0.13829999999999998</v>
      </c>
      <c r="H164" s="41">
        <f t="shared" si="2"/>
        <v>13.829999999999998</v>
      </c>
      <c r="J164" s="43">
        <f>_xlfn.NORM.DIST(2.4,C154,C155,TRUE) - _xlfn.NORM.DIST(1.3,C154,C155,TRUE)</f>
        <v>0.13896424341270669</v>
      </c>
    </row>
    <row r="165" spans="1:10" ht="14.25" customHeight="1">
      <c r="A165" s="2" t="s">
        <v>358</v>
      </c>
      <c r="D165" s="41">
        <f>(1.5 - D154)/D155</f>
        <v>0.39445264765878119</v>
      </c>
      <c r="E165" s="41">
        <f>(3.6 - D154)/D155</f>
        <v>3.1494988563620265</v>
      </c>
      <c r="F165" s="41"/>
      <c r="G165" s="43">
        <f>0.9992 - 0.6517</f>
        <v>0.34750000000000003</v>
      </c>
      <c r="H165" s="41">
        <f t="shared" si="2"/>
        <v>34.75</v>
      </c>
      <c r="J165" s="43">
        <f>_xlfn.NORM.DIST(3.6,D154,D155,TRUE) - _xlfn.NORM.DIST(1.5,D154,D155,TRUE)</f>
        <v>0.34580568661745303</v>
      </c>
    </row>
    <row r="166" spans="1:10" ht="14.25" customHeight="1"/>
    <row r="167" spans="1:10" ht="14.25" customHeight="1"/>
    <row r="168" spans="1:10" ht="14.25" customHeight="1"/>
    <row r="169" spans="1:10" ht="14.25" customHeight="1"/>
    <row r="170" spans="1:10" ht="14.25" customHeight="1"/>
    <row r="171" spans="1:10" ht="14.25" customHeight="1"/>
    <row r="172" spans="1:10" ht="14.25" customHeight="1"/>
    <row r="173" spans="1:10" ht="14.25" customHeight="1"/>
    <row r="174" spans="1:10" ht="14.25" customHeight="1"/>
    <row r="175" spans="1:10" ht="14.25" customHeight="1"/>
    <row r="176" spans="1:10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157:E157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000"/>
  <sheetViews>
    <sheetView workbookViewId="0"/>
  </sheetViews>
  <sheetFormatPr defaultColWidth="14.44140625" defaultRowHeight="15" customHeight="1"/>
  <cols>
    <col min="1" max="6" width="14.33203125" customWidth="1"/>
    <col min="7" max="7" width="8.6640625" customWidth="1"/>
    <col min="8" max="8" width="3.88671875" customWidth="1"/>
    <col min="9" max="9" width="12.33203125" customWidth="1"/>
    <col min="10" max="26" width="8.6640625" customWidth="1"/>
  </cols>
  <sheetData>
    <row r="1" spans="1:5" ht="14.25" customHeight="1"/>
    <row r="2" spans="1:5" ht="14.25" customHeight="1">
      <c r="A2" s="45" t="s">
        <v>391</v>
      </c>
    </row>
    <row r="3" spans="1:5" ht="14.25" customHeight="1">
      <c r="A3" s="45" t="s">
        <v>392</v>
      </c>
      <c r="E3" s="2">
        <f>0.7823 -0.5</f>
        <v>0.2823</v>
      </c>
    </row>
    <row r="4" spans="1:5" ht="14.25" customHeight="1">
      <c r="A4" s="45" t="s">
        <v>393</v>
      </c>
      <c r="E4" s="2">
        <f>0.5 - 0.2877</f>
        <v>0.21229999999999999</v>
      </c>
    </row>
    <row r="5" spans="1:5" ht="14.25" customHeight="1">
      <c r="A5" s="45" t="s">
        <v>394</v>
      </c>
      <c r="E5" s="2">
        <f>0.7823 - 0.3336</f>
        <v>0.44869999999999999</v>
      </c>
    </row>
    <row r="6" spans="1:5" ht="14.25" customHeight="1">
      <c r="A6" s="45" t="s">
        <v>395</v>
      </c>
      <c r="E6" s="2">
        <f>0.9332 - 0.67</f>
        <v>0.26319999999999999</v>
      </c>
    </row>
    <row r="7" spans="1:5" ht="14.25" customHeight="1">
      <c r="A7" s="45" t="s">
        <v>396</v>
      </c>
      <c r="E7" s="2">
        <f>1 - 0.0918</f>
        <v>0.90820000000000001</v>
      </c>
    </row>
    <row r="8" spans="1:5" ht="14.25" customHeight="1"/>
    <row r="9" spans="1:5" ht="14.25" customHeight="1">
      <c r="A9" s="45" t="s">
        <v>397</v>
      </c>
    </row>
    <row r="10" spans="1:5" ht="14.25" customHeight="1">
      <c r="A10" s="45" t="s">
        <v>398</v>
      </c>
    </row>
    <row r="11" spans="1:5" ht="14.25" customHeight="1">
      <c r="A11" s="45" t="s">
        <v>399</v>
      </c>
    </row>
    <row r="12" spans="1:5" ht="14.25" customHeight="1">
      <c r="A12" s="45" t="s">
        <v>400</v>
      </c>
    </row>
    <row r="13" spans="1:5" ht="14.25" customHeight="1">
      <c r="A13" s="45" t="s">
        <v>401</v>
      </c>
    </row>
    <row r="14" spans="1:5" ht="14.25" customHeight="1"/>
    <row r="15" spans="1:5" ht="14.25" customHeight="1">
      <c r="A15" s="45" t="s">
        <v>402</v>
      </c>
    </row>
    <row r="16" spans="1:5" ht="14.25" customHeight="1">
      <c r="A16" s="45" t="s">
        <v>403</v>
      </c>
    </row>
    <row r="17" spans="1:11" ht="14.25" customHeight="1">
      <c r="A17" s="45" t="s">
        <v>404</v>
      </c>
      <c r="E17" s="2">
        <f>0.9332 - 0.1587</f>
        <v>0.77449999999999997</v>
      </c>
      <c r="G17" s="41">
        <f>(20.03-20.05)/0.02</f>
        <v>-0.99999999999997868</v>
      </c>
      <c r="H17" s="41">
        <f>(20.08-20.05)/0.02</f>
        <v>1.4999999999998792</v>
      </c>
      <c r="K17" s="2">
        <f>_xlfn.NORM.DIST(20.08,20.05,0.02,TRUE) - _xlfn.NORM.DIST(20.03,20.05,0.02,TRUE)</f>
        <v>0.77453754479966419</v>
      </c>
    </row>
    <row r="18" spans="1:11" ht="14.25" customHeight="1">
      <c r="A18" s="45" t="s">
        <v>405</v>
      </c>
      <c r="E18" s="2">
        <f>0.8413-0.6915</f>
        <v>0.14980000000000004</v>
      </c>
      <c r="G18" s="41">
        <f>(20.06-20.05)/0.02</f>
        <v>0.49999999999990052</v>
      </c>
      <c r="H18" s="41">
        <f>(20.07-20.05)/0.02</f>
        <v>0.99999999999997868</v>
      </c>
      <c r="K18" s="2">
        <f>_xlfn.NORM.DIST(20.07,20.05,0.02,TRUE) - _xlfn.NORM.DIST(20.06,20.05,0.02,TRUE)</f>
        <v>0.14988228479455967</v>
      </c>
    </row>
    <row r="19" spans="1:11" ht="14.25" customHeight="1">
      <c r="A19" s="45" t="s">
        <v>406</v>
      </c>
      <c r="E19" s="2">
        <v>2.2800000000000001E-2</v>
      </c>
      <c r="G19" s="41">
        <f>(20.01-20.05)/0.02</f>
        <v>-1.9999999999999574</v>
      </c>
      <c r="H19" s="41"/>
      <c r="K19" s="2">
        <f>_xlfn.NORM.DIST(20.01,20.05,0.02,TRUE)</f>
        <v>2.2750131948181502E-2</v>
      </c>
    </row>
    <row r="20" spans="1:11" ht="14.25" customHeight="1">
      <c r="A20" s="45" t="s">
        <v>407</v>
      </c>
      <c r="E20" s="2">
        <f>1 - 0.9772</f>
        <v>2.2800000000000042E-2</v>
      </c>
      <c r="G20" s="41">
        <f>(20.09-20.05)/0.02</f>
        <v>1.9999999999999574</v>
      </c>
      <c r="H20" s="41"/>
      <c r="K20" s="2">
        <f>1 - _xlfn.NORM.DIST(20.09,20.05,0.02,TRUE)</f>
        <v>2.275013194818154E-2</v>
      </c>
    </row>
    <row r="21" spans="1:11" ht="14.25" customHeight="1"/>
    <row r="22" spans="1:11" ht="14.25" customHeight="1"/>
    <row r="23" spans="1:11" ht="14.25" customHeight="1">
      <c r="B23" s="2" t="s">
        <v>379</v>
      </c>
      <c r="C23" s="2" t="s">
        <v>380</v>
      </c>
      <c r="D23" s="2" t="s">
        <v>381</v>
      </c>
      <c r="E23" s="2" t="s">
        <v>382</v>
      </c>
      <c r="F23" s="2" t="s">
        <v>383</v>
      </c>
    </row>
    <row r="24" spans="1:11" ht="14.25" customHeight="1">
      <c r="B24" s="2">
        <v>5.0999999999999996</v>
      </c>
      <c r="C24" s="2">
        <v>3.5</v>
      </c>
      <c r="D24" s="2">
        <v>1.4</v>
      </c>
      <c r="E24" s="2">
        <v>0.2</v>
      </c>
      <c r="F24" s="2" t="s">
        <v>384</v>
      </c>
    </row>
    <row r="25" spans="1:11" ht="14.25" customHeight="1">
      <c r="B25" s="2">
        <v>4.9000000000000004</v>
      </c>
      <c r="C25" s="2">
        <v>3</v>
      </c>
      <c r="D25" s="2">
        <v>1.4</v>
      </c>
      <c r="E25" s="2">
        <v>0.2</v>
      </c>
      <c r="F25" s="2" t="s">
        <v>384</v>
      </c>
    </row>
    <row r="26" spans="1:11" ht="14.25" customHeight="1">
      <c r="B26" s="2">
        <v>4.7</v>
      </c>
      <c r="C26" s="2">
        <v>3.2</v>
      </c>
      <c r="D26" s="2">
        <v>1.3</v>
      </c>
      <c r="E26" s="2">
        <v>0.2</v>
      </c>
      <c r="F26" s="2" t="s">
        <v>384</v>
      </c>
    </row>
    <row r="27" spans="1:11" ht="14.25" customHeight="1">
      <c r="B27" s="2">
        <v>4.5999999999999996</v>
      </c>
      <c r="C27" s="2">
        <v>3.1</v>
      </c>
      <c r="D27" s="2">
        <v>1.5</v>
      </c>
      <c r="E27" s="2">
        <v>0.2</v>
      </c>
      <c r="F27" s="2" t="s">
        <v>384</v>
      </c>
    </row>
    <row r="28" spans="1:11" ht="14.25" customHeight="1">
      <c r="B28" s="2">
        <v>5</v>
      </c>
      <c r="C28" s="2">
        <v>3.6</v>
      </c>
      <c r="D28" s="2">
        <v>1.4</v>
      </c>
      <c r="E28" s="2">
        <v>0.2</v>
      </c>
      <c r="F28" s="2" t="s">
        <v>384</v>
      </c>
    </row>
    <row r="29" spans="1:11" ht="14.25" customHeight="1">
      <c r="B29" s="2">
        <v>5.4</v>
      </c>
      <c r="C29" s="2">
        <v>3.9</v>
      </c>
      <c r="D29" s="2">
        <v>1.7</v>
      </c>
      <c r="E29" s="2">
        <v>0.4</v>
      </c>
      <c r="F29" s="2" t="s">
        <v>384</v>
      </c>
    </row>
    <row r="30" spans="1:11" ht="14.25" customHeight="1">
      <c r="B30" s="2">
        <v>4.5999999999999996</v>
      </c>
      <c r="C30" s="2">
        <v>3.4</v>
      </c>
      <c r="D30" s="2">
        <v>1.4</v>
      </c>
      <c r="E30" s="2">
        <v>0.3</v>
      </c>
      <c r="F30" s="2" t="s">
        <v>384</v>
      </c>
    </row>
    <row r="31" spans="1:11" ht="14.25" customHeight="1">
      <c r="B31" s="2">
        <v>5</v>
      </c>
      <c r="C31" s="2">
        <v>3.4</v>
      </c>
      <c r="D31" s="2">
        <v>1.5</v>
      </c>
      <c r="E31" s="2">
        <v>0.2</v>
      </c>
      <c r="F31" s="2" t="s">
        <v>384</v>
      </c>
    </row>
    <row r="32" spans="1:11" ht="14.25" customHeight="1">
      <c r="B32" s="2">
        <v>4.4000000000000004</v>
      </c>
      <c r="C32" s="2">
        <v>2.9</v>
      </c>
      <c r="D32" s="2">
        <v>1.4</v>
      </c>
      <c r="E32" s="2">
        <v>0.2</v>
      </c>
      <c r="F32" s="2" t="s">
        <v>384</v>
      </c>
    </row>
    <row r="33" spans="2:6" ht="14.25" customHeight="1">
      <c r="B33" s="2">
        <v>4.9000000000000004</v>
      </c>
      <c r="C33" s="2">
        <v>3.1</v>
      </c>
      <c r="D33" s="2">
        <v>1.5</v>
      </c>
      <c r="E33" s="2">
        <v>0.1</v>
      </c>
      <c r="F33" s="2" t="s">
        <v>384</v>
      </c>
    </row>
    <row r="34" spans="2:6" ht="14.25" customHeight="1">
      <c r="B34" s="2">
        <v>5.4</v>
      </c>
      <c r="C34" s="2">
        <v>3.7</v>
      </c>
      <c r="D34" s="2">
        <v>1.5</v>
      </c>
      <c r="E34" s="2">
        <v>0.2</v>
      </c>
      <c r="F34" s="2" t="s">
        <v>384</v>
      </c>
    </row>
    <row r="35" spans="2:6" ht="14.25" customHeight="1">
      <c r="B35" s="2">
        <v>4.8</v>
      </c>
      <c r="C35" s="2">
        <v>3.4</v>
      </c>
      <c r="D35" s="2">
        <v>1.6</v>
      </c>
      <c r="E35" s="2">
        <v>0.2</v>
      </c>
      <c r="F35" s="2" t="s">
        <v>384</v>
      </c>
    </row>
    <row r="36" spans="2:6" ht="14.25" customHeight="1">
      <c r="B36" s="2">
        <v>4.8</v>
      </c>
      <c r="C36" s="2">
        <v>3</v>
      </c>
      <c r="D36" s="2">
        <v>1.4</v>
      </c>
      <c r="E36" s="2">
        <v>0.1</v>
      </c>
      <c r="F36" s="2" t="s">
        <v>384</v>
      </c>
    </row>
    <row r="37" spans="2:6" ht="14.25" customHeight="1">
      <c r="B37" s="2">
        <v>4.3</v>
      </c>
      <c r="C37" s="2">
        <v>3</v>
      </c>
      <c r="D37" s="2">
        <v>1.1000000000000001</v>
      </c>
      <c r="E37" s="2">
        <v>0.1</v>
      </c>
      <c r="F37" s="2" t="s">
        <v>384</v>
      </c>
    </row>
    <row r="38" spans="2:6" ht="14.25" customHeight="1">
      <c r="B38" s="2">
        <v>5.8</v>
      </c>
      <c r="C38" s="2">
        <v>4</v>
      </c>
      <c r="D38" s="2">
        <v>1.2</v>
      </c>
      <c r="E38" s="2">
        <v>0.2</v>
      </c>
      <c r="F38" s="2" t="s">
        <v>384</v>
      </c>
    </row>
    <row r="39" spans="2:6" ht="14.25" customHeight="1">
      <c r="B39" s="2">
        <v>5.7</v>
      </c>
      <c r="C39" s="2">
        <v>4.4000000000000004</v>
      </c>
      <c r="D39" s="2">
        <v>1.5</v>
      </c>
      <c r="E39" s="2">
        <v>0.4</v>
      </c>
      <c r="F39" s="2" t="s">
        <v>384</v>
      </c>
    </row>
    <row r="40" spans="2:6" ht="14.25" customHeight="1">
      <c r="B40" s="2">
        <v>5.4</v>
      </c>
      <c r="C40" s="2">
        <v>3.9</v>
      </c>
      <c r="D40" s="2">
        <v>1.3</v>
      </c>
      <c r="E40" s="2">
        <v>0.4</v>
      </c>
      <c r="F40" s="2" t="s">
        <v>384</v>
      </c>
    </row>
    <row r="41" spans="2:6" ht="14.25" customHeight="1">
      <c r="B41" s="2">
        <v>5.0999999999999996</v>
      </c>
      <c r="C41" s="2">
        <v>3.5</v>
      </c>
      <c r="D41" s="2">
        <v>1.4</v>
      </c>
      <c r="E41" s="2">
        <v>0.3</v>
      </c>
      <c r="F41" s="2" t="s">
        <v>384</v>
      </c>
    </row>
    <row r="42" spans="2:6" ht="14.25" customHeight="1">
      <c r="B42" s="2">
        <v>5.7</v>
      </c>
      <c r="C42" s="2">
        <v>3.8</v>
      </c>
      <c r="D42" s="2">
        <v>1.7</v>
      </c>
      <c r="E42" s="2">
        <v>0.3</v>
      </c>
      <c r="F42" s="2" t="s">
        <v>384</v>
      </c>
    </row>
    <row r="43" spans="2:6" ht="14.25" customHeight="1">
      <c r="B43" s="2">
        <v>5.0999999999999996</v>
      </c>
      <c r="C43" s="2">
        <v>3.8</v>
      </c>
      <c r="D43" s="2">
        <v>1.5</v>
      </c>
      <c r="E43" s="2">
        <v>0.3</v>
      </c>
      <c r="F43" s="2" t="s">
        <v>384</v>
      </c>
    </row>
    <row r="44" spans="2:6" ht="14.25" customHeight="1">
      <c r="B44" s="2">
        <v>5.4</v>
      </c>
      <c r="C44" s="2">
        <v>3.4</v>
      </c>
      <c r="D44" s="2">
        <v>1.7</v>
      </c>
      <c r="E44" s="2">
        <v>0.2</v>
      </c>
      <c r="F44" s="2" t="s">
        <v>384</v>
      </c>
    </row>
    <row r="45" spans="2:6" ht="14.25" customHeight="1">
      <c r="B45" s="2">
        <v>5.0999999999999996</v>
      </c>
      <c r="C45" s="2">
        <v>3.7</v>
      </c>
      <c r="D45" s="2">
        <v>1.5</v>
      </c>
      <c r="E45" s="2">
        <v>0.4</v>
      </c>
      <c r="F45" s="2" t="s">
        <v>384</v>
      </c>
    </row>
    <row r="46" spans="2:6" ht="14.25" customHeight="1">
      <c r="B46" s="2">
        <v>4.5999999999999996</v>
      </c>
      <c r="C46" s="2">
        <v>3.6</v>
      </c>
      <c r="D46" s="2">
        <v>1</v>
      </c>
      <c r="E46" s="2">
        <v>0.2</v>
      </c>
      <c r="F46" s="2" t="s">
        <v>384</v>
      </c>
    </row>
    <row r="47" spans="2:6" ht="14.25" customHeight="1">
      <c r="B47" s="2">
        <v>5.0999999999999996</v>
      </c>
      <c r="C47" s="2">
        <v>3.3</v>
      </c>
      <c r="D47" s="2">
        <v>1.7</v>
      </c>
      <c r="E47" s="2">
        <v>0.5</v>
      </c>
      <c r="F47" s="2" t="s">
        <v>384</v>
      </c>
    </row>
    <row r="48" spans="2:6" ht="14.25" customHeight="1">
      <c r="B48" s="2">
        <v>4.8</v>
      </c>
      <c r="C48" s="2">
        <v>3.4</v>
      </c>
      <c r="D48" s="2">
        <v>1.9</v>
      </c>
      <c r="E48" s="2">
        <v>0.2</v>
      </c>
      <c r="F48" s="2" t="s">
        <v>384</v>
      </c>
    </row>
    <row r="49" spans="2:6" ht="14.25" customHeight="1">
      <c r="B49" s="2">
        <v>5</v>
      </c>
      <c r="C49" s="2">
        <v>3</v>
      </c>
      <c r="D49" s="2">
        <v>1.6</v>
      </c>
      <c r="E49" s="2">
        <v>0.2</v>
      </c>
      <c r="F49" s="2" t="s">
        <v>384</v>
      </c>
    </row>
    <row r="50" spans="2:6" ht="14.25" customHeight="1">
      <c r="B50" s="2">
        <v>5</v>
      </c>
      <c r="C50" s="2">
        <v>3.4</v>
      </c>
      <c r="D50" s="2">
        <v>1.6</v>
      </c>
      <c r="E50" s="2">
        <v>0.4</v>
      </c>
      <c r="F50" s="2" t="s">
        <v>384</v>
      </c>
    </row>
    <row r="51" spans="2:6" ht="14.25" customHeight="1">
      <c r="B51" s="2">
        <v>5.2</v>
      </c>
      <c r="C51" s="2">
        <v>3.5</v>
      </c>
      <c r="D51" s="2">
        <v>1.5</v>
      </c>
      <c r="E51" s="2">
        <v>0.2</v>
      </c>
      <c r="F51" s="2" t="s">
        <v>384</v>
      </c>
    </row>
    <row r="52" spans="2:6" ht="14.25" customHeight="1">
      <c r="B52" s="2">
        <v>5.2</v>
      </c>
      <c r="C52" s="2">
        <v>3.4</v>
      </c>
      <c r="D52" s="2">
        <v>1.4</v>
      </c>
      <c r="E52" s="2">
        <v>0.2</v>
      </c>
      <c r="F52" s="2" t="s">
        <v>384</v>
      </c>
    </row>
    <row r="53" spans="2:6" ht="14.25" customHeight="1">
      <c r="B53" s="2">
        <v>4.7</v>
      </c>
      <c r="C53" s="2">
        <v>3.2</v>
      </c>
      <c r="D53" s="2">
        <v>1.6</v>
      </c>
      <c r="E53" s="2">
        <v>0.2</v>
      </c>
      <c r="F53" s="2" t="s">
        <v>384</v>
      </c>
    </row>
    <row r="54" spans="2:6" ht="14.25" customHeight="1">
      <c r="B54" s="2">
        <v>4.8</v>
      </c>
      <c r="C54" s="2">
        <v>3.1</v>
      </c>
      <c r="D54" s="2">
        <v>1.6</v>
      </c>
      <c r="E54" s="2">
        <v>0.2</v>
      </c>
      <c r="F54" s="2" t="s">
        <v>384</v>
      </c>
    </row>
    <row r="55" spans="2:6" ht="14.25" customHeight="1">
      <c r="B55" s="2">
        <v>5.4</v>
      </c>
      <c r="C55" s="2">
        <v>3.4</v>
      </c>
      <c r="D55" s="2">
        <v>1.5</v>
      </c>
      <c r="E55" s="2">
        <v>0.4</v>
      </c>
      <c r="F55" s="2" t="s">
        <v>384</v>
      </c>
    </row>
    <row r="56" spans="2:6" ht="14.25" customHeight="1">
      <c r="B56" s="2">
        <v>5.2</v>
      </c>
      <c r="C56" s="2">
        <v>4.0999999999999996</v>
      </c>
      <c r="D56" s="2">
        <v>1.5</v>
      </c>
      <c r="E56" s="2">
        <v>0.1</v>
      </c>
      <c r="F56" s="2" t="s">
        <v>384</v>
      </c>
    </row>
    <row r="57" spans="2:6" ht="14.25" customHeight="1">
      <c r="B57" s="2">
        <v>5.5</v>
      </c>
      <c r="C57" s="2">
        <v>4.2</v>
      </c>
      <c r="D57" s="2">
        <v>1.4</v>
      </c>
      <c r="E57" s="2">
        <v>0.2</v>
      </c>
      <c r="F57" s="2" t="s">
        <v>384</v>
      </c>
    </row>
    <row r="58" spans="2:6" ht="14.25" customHeight="1">
      <c r="B58" s="2">
        <v>4.9000000000000004</v>
      </c>
      <c r="C58" s="2">
        <v>3.1</v>
      </c>
      <c r="D58" s="2">
        <v>1.5</v>
      </c>
      <c r="E58" s="2">
        <v>0.2</v>
      </c>
      <c r="F58" s="2" t="s">
        <v>384</v>
      </c>
    </row>
    <row r="59" spans="2:6" ht="14.25" customHeight="1">
      <c r="B59" s="2">
        <v>5</v>
      </c>
      <c r="C59" s="2">
        <v>3.2</v>
      </c>
      <c r="D59" s="2">
        <v>1.2</v>
      </c>
      <c r="E59" s="2">
        <v>0.2</v>
      </c>
      <c r="F59" s="2" t="s">
        <v>384</v>
      </c>
    </row>
    <row r="60" spans="2:6" ht="14.25" customHeight="1">
      <c r="B60" s="2">
        <v>5.5</v>
      </c>
      <c r="C60" s="2">
        <v>3.5</v>
      </c>
      <c r="D60" s="2">
        <v>1.3</v>
      </c>
      <c r="E60" s="2">
        <v>0.2</v>
      </c>
      <c r="F60" s="2" t="s">
        <v>384</v>
      </c>
    </row>
    <row r="61" spans="2:6" ht="14.25" customHeight="1">
      <c r="B61" s="2">
        <v>4.9000000000000004</v>
      </c>
      <c r="C61" s="2">
        <v>3.6</v>
      </c>
      <c r="D61" s="2">
        <v>1.4</v>
      </c>
      <c r="E61" s="2">
        <v>0.1</v>
      </c>
      <c r="F61" s="2" t="s">
        <v>384</v>
      </c>
    </row>
    <row r="62" spans="2:6" ht="14.25" customHeight="1">
      <c r="B62" s="2">
        <v>4.4000000000000004</v>
      </c>
      <c r="C62" s="2">
        <v>3</v>
      </c>
      <c r="D62" s="2">
        <v>1.3</v>
      </c>
      <c r="E62" s="2">
        <v>0.2</v>
      </c>
      <c r="F62" s="2" t="s">
        <v>384</v>
      </c>
    </row>
    <row r="63" spans="2:6" ht="14.25" customHeight="1">
      <c r="B63" s="2">
        <v>5.0999999999999996</v>
      </c>
      <c r="C63" s="2">
        <v>3.4</v>
      </c>
      <c r="D63" s="2">
        <v>1.5</v>
      </c>
      <c r="E63" s="2">
        <v>0.2</v>
      </c>
      <c r="F63" s="2" t="s">
        <v>384</v>
      </c>
    </row>
    <row r="64" spans="2:6" ht="14.25" customHeight="1">
      <c r="B64" s="2">
        <v>5</v>
      </c>
      <c r="C64" s="2">
        <v>3.5</v>
      </c>
      <c r="D64" s="2">
        <v>1.3</v>
      </c>
      <c r="E64" s="2">
        <v>0.3</v>
      </c>
      <c r="F64" s="2" t="s">
        <v>384</v>
      </c>
    </row>
    <row r="65" spans="2:6" ht="14.25" customHeight="1">
      <c r="B65" s="2">
        <v>4.5</v>
      </c>
      <c r="C65" s="2">
        <v>2.2999999999999998</v>
      </c>
      <c r="D65" s="2">
        <v>1.3</v>
      </c>
      <c r="E65" s="2">
        <v>0.3</v>
      </c>
      <c r="F65" s="2" t="s">
        <v>384</v>
      </c>
    </row>
    <row r="66" spans="2:6" ht="14.25" customHeight="1">
      <c r="B66" s="2">
        <v>4.4000000000000004</v>
      </c>
      <c r="C66" s="2">
        <v>3.2</v>
      </c>
      <c r="D66" s="2">
        <v>1.3</v>
      </c>
      <c r="E66" s="2">
        <v>0.2</v>
      </c>
      <c r="F66" s="2" t="s">
        <v>384</v>
      </c>
    </row>
    <row r="67" spans="2:6" ht="14.25" customHeight="1">
      <c r="B67" s="2">
        <v>5</v>
      </c>
      <c r="C67" s="2">
        <v>3.5</v>
      </c>
      <c r="D67" s="2">
        <v>1.6</v>
      </c>
      <c r="E67" s="2">
        <v>0.6</v>
      </c>
      <c r="F67" s="2" t="s">
        <v>384</v>
      </c>
    </row>
    <row r="68" spans="2:6" ht="14.25" customHeight="1">
      <c r="B68" s="2">
        <v>5.0999999999999996</v>
      </c>
      <c r="C68" s="2">
        <v>3.8</v>
      </c>
      <c r="D68" s="2">
        <v>1.9</v>
      </c>
      <c r="E68" s="2">
        <v>0.4</v>
      </c>
      <c r="F68" s="2" t="s">
        <v>384</v>
      </c>
    </row>
    <row r="69" spans="2:6" ht="14.25" customHeight="1">
      <c r="B69" s="2">
        <v>4.8</v>
      </c>
      <c r="C69" s="2">
        <v>3</v>
      </c>
      <c r="D69" s="2">
        <v>1.4</v>
      </c>
      <c r="E69" s="2">
        <v>0.3</v>
      </c>
      <c r="F69" s="2" t="s">
        <v>384</v>
      </c>
    </row>
    <row r="70" spans="2:6" ht="14.25" customHeight="1">
      <c r="B70" s="2">
        <v>5.0999999999999996</v>
      </c>
      <c r="C70" s="2">
        <v>3.8</v>
      </c>
      <c r="D70" s="2">
        <v>1.6</v>
      </c>
      <c r="E70" s="2">
        <v>0.2</v>
      </c>
      <c r="F70" s="2" t="s">
        <v>384</v>
      </c>
    </row>
    <row r="71" spans="2:6" ht="14.25" customHeight="1">
      <c r="B71" s="2">
        <v>4.5999999999999996</v>
      </c>
      <c r="C71" s="2">
        <v>3.2</v>
      </c>
      <c r="D71" s="2">
        <v>1.4</v>
      </c>
      <c r="E71" s="2">
        <v>0.2</v>
      </c>
      <c r="F71" s="2" t="s">
        <v>384</v>
      </c>
    </row>
    <row r="72" spans="2:6" ht="14.25" customHeight="1">
      <c r="B72" s="2">
        <v>5.3</v>
      </c>
      <c r="C72" s="2">
        <v>3.7</v>
      </c>
      <c r="D72" s="2">
        <v>1.5</v>
      </c>
      <c r="E72" s="2">
        <v>0.2</v>
      </c>
      <c r="F72" s="2" t="s">
        <v>384</v>
      </c>
    </row>
    <row r="73" spans="2:6" ht="14.25" customHeight="1">
      <c r="B73" s="2">
        <v>5</v>
      </c>
      <c r="C73" s="2">
        <v>3.3</v>
      </c>
      <c r="D73" s="2">
        <v>1.4</v>
      </c>
      <c r="E73" s="2">
        <v>0.2</v>
      </c>
      <c r="F73" s="2" t="s">
        <v>384</v>
      </c>
    </row>
    <row r="74" spans="2:6" ht="14.25" customHeight="1">
      <c r="B74" s="2">
        <v>7</v>
      </c>
      <c r="C74" s="2">
        <v>3.2</v>
      </c>
      <c r="D74" s="2">
        <v>4.7</v>
      </c>
      <c r="E74" s="2">
        <v>1.4</v>
      </c>
      <c r="F74" s="2" t="s">
        <v>385</v>
      </c>
    </row>
    <row r="75" spans="2:6" ht="14.25" customHeight="1">
      <c r="B75" s="2">
        <v>6.4</v>
      </c>
      <c r="C75" s="2">
        <v>3.2</v>
      </c>
      <c r="D75" s="2">
        <v>4.5</v>
      </c>
      <c r="E75" s="2">
        <v>1.5</v>
      </c>
      <c r="F75" s="2" t="s">
        <v>385</v>
      </c>
    </row>
    <row r="76" spans="2:6" ht="14.25" customHeight="1">
      <c r="B76" s="2">
        <v>6.9</v>
      </c>
      <c r="C76" s="2">
        <v>3.1</v>
      </c>
      <c r="D76" s="2">
        <v>4.9000000000000004</v>
      </c>
      <c r="E76" s="2">
        <v>1.5</v>
      </c>
      <c r="F76" s="2" t="s">
        <v>385</v>
      </c>
    </row>
    <row r="77" spans="2:6" ht="14.25" customHeight="1">
      <c r="B77" s="2">
        <v>5.5</v>
      </c>
      <c r="C77" s="2">
        <v>2.2999999999999998</v>
      </c>
      <c r="D77" s="2">
        <v>4</v>
      </c>
      <c r="E77" s="2">
        <v>1.3</v>
      </c>
      <c r="F77" s="2" t="s">
        <v>385</v>
      </c>
    </row>
    <row r="78" spans="2:6" ht="14.25" customHeight="1">
      <c r="B78" s="2">
        <v>6.5</v>
      </c>
      <c r="C78" s="2">
        <v>2.8</v>
      </c>
      <c r="D78" s="2">
        <v>4.5999999999999996</v>
      </c>
      <c r="E78" s="2">
        <v>1.5</v>
      </c>
      <c r="F78" s="2" t="s">
        <v>385</v>
      </c>
    </row>
    <row r="79" spans="2:6" ht="14.25" customHeight="1">
      <c r="B79" s="2">
        <v>5.7</v>
      </c>
      <c r="C79" s="2">
        <v>2.8</v>
      </c>
      <c r="D79" s="2">
        <v>4.5</v>
      </c>
      <c r="E79" s="2">
        <v>1.3</v>
      </c>
      <c r="F79" s="2" t="s">
        <v>385</v>
      </c>
    </row>
    <row r="80" spans="2:6" ht="14.25" customHeight="1">
      <c r="B80" s="2">
        <v>6.3</v>
      </c>
      <c r="C80" s="2">
        <v>3.3</v>
      </c>
      <c r="D80" s="2">
        <v>4.7</v>
      </c>
      <c r="E80" s="2">
        <v>1.6</v>
      </c>
      <c r="F80" s="2" t="s">
        <v>385</v>
      </c>
    </row>
    <row r="81" spans="2:6" ht="14.25" customHeight="1">
      <c r="B81" s="2">
        <v>4.9000000000000004</v>
      </c>
      <c r="C81" s="2">
        <v>2.4</v>
      </c>
      <c r="D81" s="2">
        <v>3.3</v>
      </c>
      <c r="E81" s="2">
        <v>1</v>
      </c>
      <c r="F81" s="2" t="s">
        <v>385</v>
      </c>
    </row>
    <row r="82" spans="2:6" ht="14.25" customHeight="1">
      <c r="B82" s="2">
        <v>6.6</v>
      </c>
      <c r="C82" s="2">
        <v>2.9</v>
      </c>
      <c r="D82" s="2">
        <v>4.5999999999999996</v>
      </c>
      <c r="E82" s="2">
        <v>1.3</v>
      </c>
      <c r="F82" s="2" t="s">
        <v>385</v>
      </c>
    </row>
    <row r="83" spans="2:6" ht="14.25" customHeight="1">
      <c r="B83" s="2">
        <v>5.2</v>
      </c>
      <c r="C83" s="2">
        <v>2.7</v>
      </c>
      <c r="D83" s="2">
        <v>3.9</v>
      </c>
      <c r="E83" s="2">
        <v>1.4</v>
      </c>
      <c r="F83" s="2" t="s">
        <v>385</v>
      </c>
    </row>
    <row r="84" spans="2:6" ht="14.25" customHeight="1">
      <c r="B84" s="2">
        <v>5</v>
      </c>
      <c r="C84" s="2">
        <v>2</v>
      </c>
      <c r="D84" s="2">
        <v>3.5</v>
      </c>
      <c r="E84" s="2">
        <v>1</v>
      </c>
      <c r="F84" s="2" t="s">
        <v>385</v>
      </c>
    </row>
    <row r="85" spans="2:6" ht="14.25" customHeight="1">
      <c r="B85" s="2">
        <v>5.9</v>
      </c>
      <c r="C85" s="2">
        <v>3</v>
      </c>
      <c r="D85" s="2">
        <v>4.2</v>
      </c>
      <c r="E85" s="2">
        <v>1.5</v>
      </c>
      <c r="F85" s="2" t="s">
        <v>385</v>
      </c>
    </row>
    <row r="86" spans="2:6" ht="14.25" customHeight="1">
      <c r="B86" s="2">
        <v>6</v>
      </c>
      <c r="C86" s="2">
        <v>2.2000000000000002</v>
      </c>
      <c r="D86" s="2">
        <v>4</v>
      </c>
      <c r="E86" s="2">
        <v>1</v>
      </c>
      <c r="F86" s="2" t="s">
        <v>385</v>
      </c>
    </row>
    <row r="87" spans="2:6" ht="14.25" customHeight="1">
      <c r="B87" s="2">
        <v>6.1</v>
      </c>
      <c r="C87" s="2">
        <v>2.9</v>
      </c>
      <c r="D87" s="2">
        <v>4.7</v>
      </c>
      <c r="E87" s="2">
        <v>1.4</v>
      </c>
      <c r="F87" s="2" t="s">
        <v>385</v>
      </c>
    </row>
    <row r="88" spans="2:6" ht="14.25" customHeight="1">
      <c r="B88" s="2">
        <v>5.6</v>
      </c>
      <c r="C88" s="2">
        <v>2.9</v>
      </c>
      <c r="D88" s="2">
        <v>3.6</v>
      </c>
      <c r="E88" s="2">
        <v>1.3</v>
      </c>
      <c r="F88" s="2" t="s">
        <v>385</v>
      </c>
    </row>
    <row r="89" spans="2:6" ht="14.25" customHeight="1">
      <c r="B89" s="2">
        <v>6.7</v>
      </c>
      <c r="C89" s="2">
        <v>3.1</v>
      </c>
      <c r="D89" s="2">
        <v>4.4000000000000004</v>
      </c>
      <c r="E89" s="2">
        <v>1.4</v>
      </c>
      <c r="F89" s="2" t="s">
        <v>385</v>
      </c>
    </row>
    <row r="90" spans="2:6" ht="14.25" customHeight="1">
      <c r="B90" s="2">
        <v>5.6</v>
      </c>
      <c r="C90" s="2">
        <v>3</v>
      </c>
      <c r="D90" s="2">
        <v>4.5</v>
      </c>
      <c r="E90" s="2">
        <v>1.5</v>
      </c>
      <c r="F90" s="2" t="s">
        <v>385</v>
      </c>
    </row>
    <row r="91" spans="2:6" ht="14.25" customHeight="1">
      <c r="B91" s="2">
        <v>5.8</v>
      </c>
      <c r="C91" s="2">
        <v>2.7</v>
      </c>
      <c r="D91" s="2">
        <v>4.0999999999999996</v>
      </c>
      <c r="E91" s="2">
        <v>1</v>
      </c>
      <c r="F91" s="2" t="s">
        <v>385</v>
      </c>
    </row>
    <row r="92" spans="2:6" ht="14.25" customHeight="1">
      <c r="B92" s="2">
        <v>6.2</v>
      </c>
      <c r="C92" s="2">
        <v>2.2000000000000002</v>
      </c>
      <c r="D92" s="2">
        <v>4.5</v>
      </c>
      <c r="E92" s="2">
        <v>1.5</v>
      </c>
      <c r="F92" s="2" t="s">
        <v>385</v>
      </c>
    </row>
    <row r="93" spans="2:6" ht="14.25" customHeight="1">
      <c r="B93" s="2">
        <v>5.6</v>
      </c>
      <c r="C93" s="2">
        <v>2.5</v>
      </c>
      <c r="D93" s="2">
        <v>3.9</v>
      </c>
      <c r="E93" s="2">
        <v>1.1000000000000001</v>
      </c>
      <c r="F93" s="2" t="s">
        <v>385</v>
      </c>
    </row>
    <row r="94" spans="2:6" ht="14.25" customHeight="1">
      <c r="B94" s="2">
        <v>5.9</v>
      </c>
      <c r="C94" s="2">
        <v>3.2</v>
      </c>
      <c r="D94" s="2">
        <v>4.8</v>
      </c>
      <c r="E94" s="2">
        <v>1.8</v>
      </c>
      <c r="F94" s="2" t="s">
        <v>385</v>
      </c>
    </row>
    <row r="95" spans="2:6" ht="14.25" customHeight="1">
      <c r="B95" s="2">
        <v>6.1</v>
      </c>
      <c r="C95" s="2">
        <v>2.8</v>
      </c>
      <c r="D95" s="2">
        <v>4</v>
      </c>
      <c r="E95" s="2">
        <v>1.3</v>
      </c>
      <c r="F95" s="2" t="s">
        <v>385</v>
      </c>
    </row>
    <row r="96" spans="2:6" ht="14.25" customHeight="1">
      <c r="B96" s="2">
        <v>6.3</v>
      </c>
      <c r="C96" s="2">
        <v>2.5</v>
      </c>
      <c r="D96" s="2">
        <v>4.9000000000000004</v>
      </c>
      <c r="E96" s="2">
        <v>1.5</v>
      </c>
      <c r="F96" s="2" t="s">
        <v>385</v>
      </c>
    </row>
    <row r="97" spans="2:6" ht="14.25" customHeight="1">
      <c r="B97" s="2">
        <v>6.1</v>
      </c>
      <c r="C97" s="2">
        <v>2.8</v>
      </c>
      <c r="D97" s="2">
        <v>4.7</v>
      </c>
      <c r="E97" s="2">
        <v>1.2</v>
      </c>
      <c r="F97" s="2" t="s">
        <v>385</v>
      </c>
    </row>
    <row r="98" spans="2:6" ht="14.25" customHeight="1">
      <c r="B98" s="2">
        <v>6.4</v>
      </c>
      <c r="C98" s="2">
        <v>2.9</v>
      </c>
      <c r="D98" s="2">
        <v>4.3</v>
      </c>
      <c r="E98" s="2">
        <v>1.3</v>
      </c>
      <c r="F98" s="2" t="s">
        <v>385</v>
      </c>
    </row>
    <row r="99" spans="2:6" ht="14.25" customHeight="1">
      <c r="B99" s="2">
        <v>6.6</v>
      </c>
      <c r="C99" s="2">
        <v>3</v>
      </c>
      <c r="D99" s="2">
        <v>4.4000000000000004</v>
      </c>
      <c r="E99" s="2">
        <v>1.4</v>
      </c>
      <c r="F99" s="2" t="s">
        <v>385</v>
      </c>
    </row>
    <row r="100" spans="2:6" ht="14.25" customHeight="1">
      <c r="B100" s="2">
        <v>6.8</v>
      </c>
      <c r="C100" s="2">
        <v>2.8</v>
      </c>
      <c r="D100" s="2">
        <v>4.8</v>
      </c>
      <c r="E100" s="2">
        <v>1.4</v>
      </c>
      <c r="F100" s="2" t="s">
        <v>385</v>
      </c>
    </row>
    <row r="101" spans="2:6" ht="14.25" customHeight="1">
      <c r="B101" s="2">
        <v>6.7</v>
      </c>
      <c r="C101" s="2">
        <v>3</v>
      </c>
      <c r="D101" s="2">
        <v>5</v>
      </c>
      <c r="E101" s="2">
        <v>1.7</v>
      </c>
      <c r="F101" s="2" t="s">
        <v>385</v>
      </c>
    </row>
    <row r="102" spans="2:6" ht="14.25" customHeight="1">
      <c r="B102" s="2">
        <v>6</v>
      </c>
      <c r="C102" s="2">
        <v>2.9</v>
      </c>
      <c r="D102" s="2">
        <v>4.5</v>
      </c>
      <c r="E102" s="2">
        <v>1.5</v>
      </c>
      <c r="F102" s="2" t="s">
        <v>385</v>
      </c>
    </row>
    <row r="103" spans="2:6" ht="14.25" customHeight="1">
      <c r="B103" s="2">
        <v>5.7</v>
      </c>
      <c r="C103" s="2">
        <v>2.6</v>
      </c>
      <c r="D103" s="2">
        <v>3.5</v>
      </c>
      <c r="E103" s="2">
        <v>1</v>
      </c>
      <c r="F103" s="2" t="s">
        <v>385</v>
      </c>
    </row>
    <row r="104" spans="2:6" ht="14.25" customHeight="1">
      <c r="B104" s="2">
        <v>5.5</v>
      </c>
      <c r="C104" s="2">
        <v>2.4</v>
      </c>
      <c r="D104" s="2">
        <v>3.8</v>
      </c>
      <c r="E104" s="2">
        <v>1.1000000000000001</v>
      </c>
      <c r="F104" s="2" t="s">
        <v>385</v>
      </c>
    </row>
    <row r="105" spans="2:6" ht="14.25" customHeight="1">
      <c r="B105" s="2">
        <v>5.5</v>
      </c>
      <c r="C105" s="2">
        <v>2.4</v>
      </c>
      <c r="D105" s="2">
        <v>3.7</v>
      </c>
      <c r="E105" s="2">
        <v>1</v>
      </c>
      <c r="F105" s="2" t="s">
        <v>385</v>
      </c>
    </row>
    <row r="106" spans="2:6" ht="14.25" customHeight="1">
      <c r="B106" s="2">
        <v>5.8</v>
      </c>
      <c r="C106" s="2">
        <v>2.7</v>
      </c>
      <c r="D106" s="2">
        <v>3.9</v>
      </c>
      <c r="E106" s="2">
        <v>1.2</v>
      </c>
      <c r="F106" s="2" t="s">
        <v>385</v>
      </c>
    </row>
    <row r="107" spans="2:6" ht="14.25" customHeight="1">
      <c r="B107" s="2">
        <v>6</v>
      </c>
      <c r="C107" s="2">
        <v>2.7</v>
      </c>
      <c r="D107" s="2">
        <v>5.0999999999999996</v>
      </c>
      <c r="E107" s="2">
        <v>1.6</v>
      </c>
      <c r="F107" s="2" t="s">
        <v>385</v>
      </c>
    </row>
    <row r="108" spans="2:6" ht="14.25" customHeight="1">
      <c r="B108" s="2">
        <v>5.4</v>
      </c>
      <c r="C108" s="2">
        <v>3</v>
      </c>
      <c r="D108" s="2">
        <v>4.5</v>
      </c>
      <c r="E108" s="2">
        <v>1.5</v>
      </c>
      <c r="F108" s="2" t="s">
        <v>385</v>
      </c>
    </row>
    <row r="109" spans="2:6" ht="14.25" customHeight="1">
      <c r="B109" s="2">
        <v>6</v>
      </c>
      <c r="C109" s="2">
        <v>3.4</v>
      </c>
      <c r="D109" s="2">
        <v>4.5</v>
      </c>
      <c r="E109" s="2">
        <v>1.6</v>
      </c>
      <c r="F109" s="2" t="s">
        <v>385</v>
      </c>
    </row>
    <row r="110" spans="2:6" ht="14.25" customHeight="1">
      <c r="B110" s="2">
        <v>6.7</v>
      </c>
      <c r="C110" s="2">
        <v>3.1</v>
      </c>
      <c r="D110" s="2">
        <v>4.7</v>
      </c>
      <c r="E110" s="2">
        <v>1.5</v>
      </c>
      <c r="F110" s="2" t="s">
        <v>385</v>
      </c>
    </row>
    <row r="111" spans="2:6" ht="14.25" customHeight="1">
      <c r="B111" s="2">
        <v>6.3</v>
      </c>
      <c r="C111" s="2">
        <v>2.2999999999999998</v>
      </c>
      <c r="D111" s="2">
        <v>4.4000000000000004</v>
      </c>
      <c r="E111" s="2">
        <v>1.3</v>
      </c>
      <c r="F111" s="2" t="s">
        <v>385</v>
      </c>
    </row>
    <row r="112" spans="2:6" ht="14.25" customHeight="1">
      <c r="B112" s="2">
        <v>5.6</v>
      </c>
      <c r="C112" s="2">
        <v>3</v>
      </c>
      <c r="D112" s="2">
        <v>4.0999999999999996</v>
      </c>
      <c r="E112" s="2">
        <v>1.3</v>
      </c>
      <c r="F112" s="2" t="s">
        <v>385</v>
      </c>
    </row>
    <row r="113" spans="2:6" ht="14.25" customHeight="1">
      <c r="B113" s="2">
        <v>5.5</v>
      </c>
      <c r="C113" s="2">
        <v>2.5</v>
      </c>
      <c r="D113" s="2">
        <v>4</v>
      </c>
      <c r="E113" s="2">
        <v>1.3</v>
      </c>
      <c r="F113" s="2" t="s">
        <v>385</v>
      </c>
    </row>
    <row r="114" spans="2:6" ht="14.25" customHeight="1">
      <c r="B114" s="2">
        <v>5.5</v>
      </c>
      <c r="C114" s="2">
        <v>2.6</v>
      </c>
      <c r="D114" s="2">
        <v>4.4000000000000004</v>
      </c>
      <c r="E114" s="2">
        <v>1.2</v>
      </c>
      <c r="F114" s="2" t="s">
        <v>385</v>
      </c>
    </row>
    <row r="115" spans="2:6" ht="14.25" customHeight="1">
      <c r="B115" s="2">
        <v>6.1</v>
      </c>
      <c r="C115" s="2">
        <v>3</v>
      </c>
      <c r="D115" s="2">
        <v>4.5999999999999996</v>
      </c>
      <c r="E115" s="2">
        <v>1.4</v>
      </c>
      <c r="F115" s="2" t="s">
        <v>385</v>
      </c>
    </row>
    <row r="116" spans="2:6" ht="14.25" customHeight="1">
      <c r="B116" s="2">
        <v>5.8</v>
      </c>
      <c r="C116" s="2">
        <v>2.6</v>
      </c>
      <c r="D116" s="2">
        <v>4</v>
      </c>
      <c r="E116" s="2">
        <v>1.2</v>
      </c>
      <c r="F116" s="2" t="s">
        <v>385</v>
      </c>
    </row>
    <row r="117" spans="2:6" ht="14.25" customHeight="1">
      <c r="B117" s="2">
        <v>5</v>
      </c>
      <c r="C117" s="2">
        <v>2.2999999999999998</v>
      </c>
      <c r="D117" s="2">
        <v>3.3</v>
      </c>
      <c r="E117" s="2">
        <v>1</v>
      </c>
      <c r="F117" s="2" t="s">
        <v>385</v>
      </c>
    </row>
    <row r="118" spans="2:6" ht="14.25" customHeight="1">
      <c r="B118" s="2">
        <v>5.6</v>
      </c>
      <c r="C118" s="2">
        <v>2.7</v>
      </c>
      <c r="D118" s="2">
        <v>4.2</v>
      </c>
      <c r="E118" s="2">
        <v>1.3</v>
      </c>
      <c r="F118" s="2" t="s">
        <v>385</v>
      </c>
    </row>
    <row r="119" spans="2:6" ht="14.25" customHeight="1">
      <c r="B119" s="2">
        <v>5.7</v>
      </c>
      <c r="C119" s="2">
        <v>3</v>
      </c>
      <c r="D119" s="2">
        <v>4.2</v>
      </c>
      <c r="E119" s="2">
        <v>1.2</v>
      </c>
      <c r="F119" s="2" t="s">
        <v>385</v>
      </c>
    </row>
    <row r="120" spans="2:6" ht="14.25" customHeight="1">
      <c r="B120" s="2">
        <v>5.7</v>
      </c>
      <c r="C120" s="2">
        <v>2.9</v>
      </c>
      <c r="D120" s="2">
        <v>4.2</v>
      </c>
      <c r="E120" s="2">
        <v>1.3</v>
      </c>
      <c r="F120" s="2" t="s">
        <v>385</v>
      </c>
    </row>
    <row r="121" spans="2:6" ht="14.25" customHeight="1">
      <c r="B121" s="2">
        <v>6.2</v>
      </c>
      <c r="C121" s="2">
        <v>2.9</v>
      </c>
      <c r="D121" s="2">
        <v>4.3</v>
      </c>
      <c r="E121" s="2">
        <v>1.3</v>
      </c>
      <c r="F121" s="2" t="s">
        <v>385</v>
      </c>
    </row>
    <row r="122" spans="2:6" ht="14.25" customHeight="1">
      <c r="B122" s="2">
        <v>5.0999999999999996</v>
      </c>
      <c r="C122" s="2">
        <v>2.5</v>
      </c>
      <c r="D122" s="2">
        <v>3</v>
      </c>
      <c r="E122" s="2">
        <v>1.1000000000000001</v>
      </c>
      <c r="F122" s="2" t="s">
        <v>385</v>
      </c>
    </row>
    <row r="123" spans="2:6" ht="14.25" customHeight="1">
      <c r="B123" s="2">
        <v>5.7</v>
      </c>
      <c r="C123" s="2">
        <v>2.8</v>
      </c>
      <c r="D123" s="2">
        <v>4.0999999999999996</v>
      </c>
      <c r="E123" s="2">
        <v>1.3</v>
      </c>
      <c r="F123" s="2" t="s">
        <v>385</v>
      </c>
    </row>
    <row r="124" spans="2:6" ht="14.25" customHeight="1">
      <c r="B124" s="2">
        <v>6.3</v>
      </c>
      <c r="C124" s="2">
        <v>3.3</v>
      </c>
      <c r="D124" s="2">
        <v>6</v>
      </c>
      <c r="E124" s="2">
        <v>2.5</v>
      </c>
      <c r="F124" s="2" t="s">
        <v>386</v>
      </c>
    </row>
    <row r="125" spans="2:6" ht="14.25" customHeight="1">
      <c r="B125" s="2">
        <v>5.8</v>
      </c>
      <c r="C125" s="2">
        <v>2.7</v>
      </c>
      <c r="D125" s="2">
        <v>5.0999999999999996</v>
      </c>
      <c r="E125" s="2">
        <v>1.9</v>
      </c>
      <c r="F125" s="2" t="s">
        <v>386</v>
      </c>
    </row>
    <row r="126" spans="2:6" ht="14.25" customHeight="1">
      <c r="B126" s="2">
        <v>7.1</v>
      </c>
      <c r="C126" s="2">
        <v>3</v>
      </c>
      <c r="D126" s="2">
        <v>5.9</v>
      </c>
      <c r="E126" s="2">
        <v>2.1</v>
      </c>
      <c r="F126" s="2" t="s">
        <v>386</v>
      </c>
    </row>
    <row r="127" spans="2:6" ht="14.25" customHeight="1">
      <c r="B127" s="2">
        <v>6.3</v>
      </c>
      <c r="C127" s="2">
        <v>2.9</v>
      </c>
      <c r="D127" s="2">
        <v>5.6</v>
      </c>
      <c r="E127" s="2">
        <v>1.8</v>
      </c>
      <c r="F127" s="2" t="s">
        <v>386</v>
      </c>
    </row>
    <row r="128" spans="2:6" ht="14.25" customHeight="1">
      <c r="B128" s="2">
        <v>6.5</v>
      </c>
      <c r="C128" s="2">
        <v>3</v>
      </c>
      <c r="D128" s="2">
        <v>5.8</v>
      </c>
      <c r="E128" s="2">
        <v>2.2000000000000002</v>
      </c>
      <c r="F128" s="2" t="s">
        <v>386</v>
      </c>
    </row>
    <row r="129" spans="2:6" ht="14.25" customHeight="1">
      <c r="B129" s="2">
        <v>7.6</v>
      </c>
      <c r="C129" s="2">
        <v>3</v>
      </c>
      <c r="D129" s="2">
        <v>6.6</v>
      </c>
      <c r="E129" s="2">
        <v>2.1</v>
      </c>
      <c r="F129" s="2" t="s">
        <v>386</v>
      </c>
    </row>
    <row r="130" spans="2:6" ht="14.25" customHeight="1">
      <c r="B130" s="2">
        <v>4.9000000000000004</v>
      </c>
      <c r="C130" s="2">
        <v>2.5</v>
      </c>
      <c r="D130" s="2">
        <v>4.5</v>
      </c>
      <c r="E130" s="2">
        <v>1.7</v>
      </c>
      <c r="F130" s="2" t="s">
        <v>386</v>
      </c>
    </row>
    <row r="131" spans="2:6" ht="14.25" customHeight="1">
      <c r="B131" s="2">
        <v>7.3</v>
      </c>
      <c r="C131" s="2">
        <v>2.9</v>
      </c>
      <c r="D131" s="2">
        <v>6.3</v>
      </c>
      <c r="E131" s="2">
        <v>1.8</v>
      </c>
      <c r="F131" s="2" t="s">
        <v>386</v>
      </c>
    </row>
    <row r="132" spans="2:6" ht="14.25" customHeight="1">
      <c r="B132" s="2">
        <v>6.7</v>
      </c>
      <c r="C132" s="2">
        <v>2.5</v>
      </c>
      <c r="D132" s="2">
        <v>5.8</v>
      </c>
      <c r="E132" s="2">
        <v>1.8</v>
      </c>
      <c r="F132" s="2" t="s">
        <v>386</v>
      </c>
    </row>
    <row r="133" spans="2:6" ht="14.25" customHeight="1">
      <c r="B133" s="2">
        <v>7.2</v>
      </c>
      <c r="C133" s="2">
        <v>3.6</v>
      </c>
      <c r="D133" s="2">
        <v>6.1</v>
      </c>
      <c r="E133" s="2">
        <v>2.5</v>
      </c>
      <c r="F133" s="2" t="s">
        <v>386</v>
      </c>
    </row>
    <row r="134" spans="2:6" ht="14.25" customHeight="1">
      <c r="B134" s="2">
        <v>6.5</v>
      </c>
      <c r="C134" s="2">
        <v>3.2</v>
      </c>
      <c r="D134" s="2">
        <v>5.0999999999999996</v>
      </c>
      <c r="E134" s="2">
        <v>2</v>
      </c>
      <c r="F134" s="2" t="s">
        <v>386</v>
      </c>
    </row>
    <row r="135" spans="2:6" ht="14.25" customHeight="1">
      <c r="B135" s="2">
        <v>6.4</v>
      </c>
      <c r="C135" s="2">
        <v>2.7</v>
      </c>
      <c r="D135" s="2">
        <v>5.3</v>
      </c>
      <c r="E135" s="2">
        <v>1.9</v>
      </c>
      <c r="F135" s="2" t="s">
        <v>386</v>
      </c>
    </row>
    <row r="136" spans="2:6" ht="14.25" customHeight="1">
      <c r="B136" s="2">
        <v>6.8</v>
      </c>
      <c r="C136" s="2">
        <v>3</v>
      </c>
      <c r="D136" s="2">
        <v>5.5</v>
      </c>
      <c r="E136" s="2">
        <v>2.1</v>
      </c>
      <c r="F136" s="2" t="s">
        <v>386</v>
      </c>
    </row>
    <row r="137" spans="2:6" ht="14.25" customHeight="1">
      <c r="B137" s="2">
        <v>5.7</v>
      </c>
      <c r="C137" s="2">
        <v>2.5</v>
      </c>
      <c r="D137" s="2">
        <v>5</v>
      </c>
      <c r="E137" s="2">
        <v>2</v>
      </c>
      <c r="F137" s="2" t="s">
        <v>386</v>
      </c>
    </row>
    <row r="138" spans="2:6" ht="14.25" customHeight="1">
      <c r="B138" s="2">
        <v>5.8</v>
      </c>
      <c r="C138" s="2">
        <v>2.8</v>
      </c>
      <c r="D138" s="2">
        <v>5.0999999999999996</v>
      </c>
      <c r="E138" s="2">
        <v>2.4</v>
      </c>
      <c r="F138" s="2" t="s">
        <v>386</v>
      </c>
    </row>
    <row r="139" spans="2:6" ht="14.25" customHeight="1">
      <c r="B139" s="2">
        <v>6.4</v>
      </c>
      <c r="C139" s="2">
        <v>3.2</v>
      </c>
      <c r="D139" s="2">
        <v>5.3</v>
      </c>
      <c r="E139" s="2">
        <v>2.2999999999999998</v>
      </c>
      <c r="F139" s="2" t="s">
        <v>386</v>
      </c>
    </row>
    <row r="140" spans="2:6" ht="14.25" customHeight="1">
      <c r="B140" s="2">
        <v>6.5</v>
      </c>
      <c r="C140" s="2">
        <v>3</v>
      </c>
      <c r="D140" s="2">
        <v>5.5</v>
      </c>
      <c r="E140" s="2">
        <v>1.8</v>
      </c>
      <c r="F140" s="2" t="s">
        <v>386</v>
      </c>
    </row>
    <row r="141" spans="2:6" ht="14.25" customHeight="1">
      <c r="B141" s="2">
        <v>7.7</v>
      </c>
      <c r="C141" s="2">
        <v>3.8</v>
      </c>
      <c r="D141" s="2">
        <v>6.7</v>
      </c>
      <c r="E141" s="2">
        <v>2.2000000000000002</v>
      </c>
      <c r="F141" s="2" t="s">
        <v>386</v>
      </c>
    </row>
    <row r="142" spans="2:6" ht="14.25" customHeight="1">
      <c r="B142" s="2">
        <v>7.7</v>
      </c>
      <c r="C142" s="2">
        <v>2.6</v>
      </c>
      <c r="D142" s="2">
        <v>6.9</v>
      </c>
      <c r="E142" s="2">
        <v>2.2999999999999998</v>
      </c>
      <c r="F142" s="2" t="s">
        <v>386</v>
      </c>
    </row>
    <row r="143" spans="2:6" ht="14.25" customHeight="1">
      <c r="B143" s="2">
        <v>6</v>
      </c>
      <c r="C143" s="2">
        <v>2.2000000000000002</v>
      </c>
      <c r="D143" s="2">
        <v>5</v>
      </c>
      <c r="E143" s="2">
        <v>1.5</v>
      </c>
      <c r="F143" s="2" t="s">
        <v>386</v>
      </c>
    </row>
    <row r="144" spans="2:6" ht="14.25" customHeight="1">
      <c r="B144" s="2">
        <v>6.9</v>
      </c>
      <c r="C144" s="2">
        <v>3.2</v>
      </c>
      <c r="D144" s="2">
        <v>5.7</v>
      </c>
      <c r="E144" s="2">
        <v>2.2999999999999998</v>
      </c>
      <c r="F144" s="2" t="s">
        <v>386</v>
      </c>
    </row>
    <row r="145" spans="2:6" ht="14.25" customHeight="1">
      <c r="B145" s="2">
        <v>5.6</v>
      </c>
      <c r="C145" s="2">
        <v>2.8</v>
      </c>
      <c r="D145" s="2">
        <v>4.9000000000000004</v>
      </c>
      <c r="E145" s="2">
        <v>2</v>
      </c>
      <c r="F145" s="2" t="s">
        <v>386</v>
      </c>
    </row>
    <row r="146" spans="2:6" ht="14.25" customHeight="1">
      <c r="B146" s="2">
        <v>7.7</v>
      </c>
      <c r="C146" s="2">
        <v>2.8</v>
      </c>
      <c r="D146" s="2">
        <v>6.7</v>
      </c>
      <c r="E146" s="2">
        <v>2</v>
      </c>
      <c r="F146" s="2" t="s">
        <v>386</v>
      </c>
    </row>
    <row r="147" spans="2:6" ht="14.25" customHeight="1">
      <c r="B147" s="2">
        <v>6.3</v>
      </c>
      <c r="C147" s="2">
        <v>2.7</v>
      </c>
      <c r="D147" s="2">
        <v>4.9000000000000004</v>
      </c>
      <c r="E147" s="2">
        <v>1.8</v>
      </c>
      <c r="F147" s="2" t="s">
        <v>386</v>
      </c>
    </row>
    <row r="148" spans="2:6" ht="14.25" customHeight="1">
      <c r="B148" s="2">
        <v>6.7</v>
      </c>
      <c r="C148" s="2">
        <v>3.3</v>
      </c>
      <c r="D148" s="2">
        <v>5.7</v>
      </c>
      <c r="E148" s="2">
        <v>2.1</v>
      </c>
      <c r="F148" s="2" t="s">
        <v>386</v>
      </c>
    </row>
    <row r="149" spans="2:6" ht="14.25" customHeight="1">
      <c r="B149" s="2">
        <v>7.2</v>
      </c>
      <c r="C149" s="2">
        <v>3.2</v>
      </c>
      <c r="D149" s="2">
        <v>6</v>
      </c>
      <c r="E149" s="2">
        <v>1.8</v>
      </c>
      <c r="F149" s="2" t="s">
        <v>386</v>
      </c>
    </row>
    <row r="150" spans="2:6" ht="14.25" customHeight="1">
      <c r="B150" s="2">
        <v>6.2</v>
      </c>
      <c r="C150" s="2">
        <v>2.8</v>
      </c>
      <c r="D150" s="2">
        <v>4.8</v>
      </c>
      <c r="E150" s="2">
        <v>1.8</v>
      </c>
      <c r="F150" s="2" t="s">
        <v>386</v>
      </c>
    </row>
    <row r="151" spans="2:6" ht="14.25" customHeight="1">
      <c r="B151" s="2">
        <v>6.1</v>
      </c>
      <c r="C151" s="2">
        <v>3</v>
      </c>
      <c r="D151" s="2">
        <v>4.9000000000000004</v>
      </c>
      <c r="E151" s="2">
        <v>1.8</v>
      </c>
      <c r="F151" s="2" t="s">
        <v>386</v>
      </c>
    </row>
    <row r="152" spans="2:6" ht="14.25" customHeight="1">
      <c r="B152" s="2">
        <v>6.4</v>
      </c>
      <c r="C152" s="2">
        <v>2.8</v>
      </c>
      <c r="D152" s="2">
        <v>5.6</v>
      </c>
      <c r="E152" s="2">
        <v>2.1</v>
      </c>
      <c r="F152" s="2" t="s">
        <v>386</v>
      </c>
    </row>
    <row r="153" spans="2:6" ht="14.25" customHeight="1">
      <c r="B153" s="2">
        <v>7.2</v>
      </c>
      <c r="C153" s="2">
        <v>3</v>
      </c>
      <c r="D153" s="2">
        <v>5.8</v>
      </c>
      <c r="E153" s="2">
        <v>1.6</v>
      </c>
      <c r="F153" s="2" t="s">
        <v>386</v>
      </c>
    </row>
    <row r="154" spans="2:6" ht="14.25" customHeight="1">
      <c r="B154" s="2">
        <v>7.4</v>
      </c>
      <c r="C154" s="2">
        <v>2.8</v>
      </c>
      <c r="D154" s="2">
        <v>6.1</v>
      </c>
      <c r="E154" s="2">
        <v>1.9</v>
      </c>
      <c r="F154" s="2" t="s">
        <v>386</v>
      </c>
    </row>
    <row r="155" spans="2:6" ht="14.25" customHeight="1">
      <c r="B155" s="2">
        <v>7.9</v>
      </c>
      <c r="C155" s="2">
        <v>3.8</v>
      </c>
      <c r="D155" s="2">
        <v>6.4</v>
      </c>
      <c r="E155" s="2">
        <v>2</v>
      </c>
      <c r="F155" s="2" t="s">
        <v>386</v>
      </c>
    </row>
    <row r="156" spans="2:6" ht="14.25" customHeight="1">
      <c r="B156" s="2">
        <v>6.4</v>
      </c>
      <c r="C156" s="2">
        <v>2.8</v>
      </c>
      <c r="D156" s="2">
        <v>5.6</v>
      </c>
      <c r="E156" s="2">
        <v>2.2000000000000002</v>
      </c>
      <c r="F156" s="2" t="s">
        <v>386</v>
      </c>
    </row>
    <row r="157" spans="2:6" ht="14.25" customHeight="1">
      <c r="B157" s="2">
        <v>6.3</v>
      </c>
      <c r="C157" s="2">
        <v>2.8</v>
      </c>
      <c r="D157" s="2">
        <v>5.0999999999999996</v>
      </c>
      <c r="E157" s="2">
        <v>1.5</v>
      </c>
      <c r="F157" s="2" t="s">
        <v>386</v>
      </c>
    </row>
    <row r="158" spans="2:6" ht="14.25" customHeight="1">
      <c r="B158" s="2">
        <v>6.1</v>
      </c>
      <c r="C158" s="2">
        <v>2.6</v>
      </c>
      <c r="D158" s="2">
        <v>5.6</v>
      </c>
      <c r="E158" s="2">
        <v>1.4</v>
      </c>
      <c r="F158" s="2" t="s">
        <v>386</v>
      </c>
    </row>
    <row r="159" spans="2:6" ht="14.25" customHeight="1">
      <c r="B159" s="2">
        <v>7.7</v>
      </c>
      <c r="C159" s="2">
        <v>3</v>
      </c>
      <c r="D159" s="2">
        <v>6.1</v>
      </c>
      <c r="E159" s="2">
        <v>2.2999999999999998</v>
      </c>
      <c r="F159" s="2" t="s">
        <v>386</v>
      </c>
    </row>
    <row r="160" spans="2:6" ht="14.25" customHeight="1">
      <c r="B160" s="2">
        <v>6.3</v>
      </c>
      <c r="C160" s="2">
        <v>3.4</v>
      </c>
      <c r="D160" s="2">
        <v>5.6</v>
      </c>
      <c r="E160" s="2">
        <v>2.4</v>
      </c>
      <c r="F160" s="2" t="s">
        <v>386</v>
      </c>
    </row>
    <row r="161" spans="2:6" ht="14.25" customHeight="1">
      <c r="B161" s="2">
        <v>6.4</v>
      </c>
      <c r="C161" s="2">
        <v>3.1</v>
      </c>
      <c r="D161" s="2">
        <v>5.5</v>
      </c>
      <c r="E161" s="2">
        <v>1.8</v>
      </c>
      <c r="F161" s="2" t="s">
        <v>386</v>
      </c>
    </row>
    <row r="162" spans="2:6" ht="14.25" customHeight="1">
      <c r="B162" s="2">
        <v>6</v>
      </c>
      <c r="C162" s="2">
        <v>3</v>
      </c>
      <c r="D162" s="2">
        <v>4.8</v>
      </c>
      <c r="E162" s="2">
        <v>1.8</v>
      </c>
      <c r="F162" s="2" t="s">
        <v>386</v>
      </c>
    </row>
    <row r="163" spans="2:6" ht="14.25" customHeight="1">
      <c r="B163" s="2">
        <v>6.9</v>
      </c>
      <c r="C163" s="2">
        <v>3.1</v>
      </c>
      <c r="D163" s="2">
        <v>5.4</v>
      </c>
      <c r="E163" s="2">
        <v>2.1</v>
      </c>
      <c r="F163" s="2" t="s">
        <v>386</v>
      </c>
    </row>
    <row r="164" spans="2:6" ht="14.25" customHeight="1">
      <c r="B164" s="2">
        <v>6.7</v>
      </c>
      <c r="C164" s="2">
        <v>3.1</v>
      </c>
      <c r="D164" s="2">
        <v>5.6</v>
      </c>
      <c r="E164" s="2">
        <v>2.4</v>
      </c>
      <c r="F164" s="2" t="s">
        <v>386</v>
      </c>
    </row>
    <row r="165" spans="2:6" ht="14.25" customHeight="1">
      <c r="B165" s="2">
        <v>6.9</v>
      </c>
      <c r="C165" s="2">
        <v>3.1</v>
      </c>
      <c r="D165" s="2">
        <v>5.0999999999999996</v>
      </c>
      <c r="E165" s="2">
        <v>2.2999999999999998</v>
      </c>
      <c r="F165" s="2" t="s">
        <v>386</v>
      </c>
    </row>
    <row r="166" spans="2:6" ht="14.25" customHeight="1">
      <c r="B166" s="2">
        <v>5.8</v>
      </c>
      <c r="C166" s="2">
        <v>2.7</v>
      </c>
      <c r="D166" s="2">
        <v>5.0999999999999996</v>
      </c>
      <c r="E166" s="2">
        <v>1.9</v>
      </c>
      <c r="F166" s="2" t="s">
        <v>386</v>
      </c>
    </row>
    <row r="167" spans="2:6" ht="14.25" customHeight="1">
      <c r="B167" s="2">
        <v>6.8</v>
      </c>
      <c r="C167" s="2">
        <v>3.2</v>
      </c>
      <c r="D167" s="2">
        <v>5.9</v>
      </c>
      <c r="E167" s="2">
        <v>2.2999999999999998</v>
      </c>
      <c r="F167" s="2" t="s">
        <v>386</v>
      </c>
    </row>
    <row r="168" spans="2:6" ht="14.25" customHeight="1">
      <c r="B168" s="2">
        <v>6.7</v>
      </c>
      <c r="C168" s="2">
        <v>3.3</v>
      </c>
      <c r="D168" s="2">
        <v>5.7</v>
      </c>
      <c r="E168" s="2">
        <v>2.5</v>
      </c>
      <c r="F168" s="2" t="s">
        <v>386</v>
      </c>
    </row>
    <row r="169" spans="2:6" ht="14.25" customHeight="1">
      <c r="B169" s="2">
        <v>6.7</v>
      </c>
      <c r="C169" s="2">
        <v>3</v>
      </c>
      <c r="D169" s="2">
        <v>5.2</v>
      </c>
      <c r="E169" s="2">
        <v>2.2999999999999998</v>
      </c>
      <c r="F169" s="2" t="s">
        <v>386</v>
      </c>
    </row>
    <row r="170" spans="2:6" ht="14.25" customHeight="1">
      <c r="B170" s="2">
        <v>6.3</v>
      </c>
      <c r="C170" s="2">
        <v>2.5</v>
      </c>
      <c r="D170" s="2">
        <v>5</v>
      </c>
      <c r="E170" s="2">
        <v>1.9</v>
      </c>
      <c r="F170" s="2" t="s">
        <v>386</v>
      </c>
    </row>
    <row r="171" spans="2:6" ht="14.25" customHeight="1">
      <c r="B171" s="2">
        <v>6.5</v>
      </c>
      <c r="C171" s="2">
        <v>3</v>
      </c>
      <c r="D171" s="2">
        <v>5.2</v>
      </c>
      <c r="E171" s="2">
        <v>2</v>
      </c>
      <c r="F171" s="2" t="s">
        <v>386</v>
      </c>
    </row>
    <row r="172" spans="2:6" ht="14.25" customHeight="1">
      <c r="B172" s="2">
        <v>6.2</v>
      </c>
      <c r="C172" s="2">
        <v>3.4</v>
      </c>
      <c r="D172" s="2">
        <v>5.4</v>
      </c>
      <c r="E172" s="2">
        <v>2.2999999999999998</v>
      </c>
      <c r="F172" s="2" t="s">
        <v>386</v>
      </c>
    </row>
    <row r="173" spans="2:6" ht="14.25" customHeight="1">
      <c r="B173" s="2">
        <v>5.9</v>
      </c>
      <c r="C173" s="2">
        <v>3</v>
      </c>
      <c r="D173" s="2">
        <v>5.0999999999999996</v>
      </c>
      <c r="E173" s="2">
        <v>1.8</v>
      </c>
      <c r="F173" s="2" t="s">
        <v>386</v>
      </c>
    </row>
    <row r="174" spans="2:6" ht="14.25" customHeight="1"/>
    <row r="175" spans="2:6" ht="14.25" customHeight="1"/>
    <row r="176" spans="2:6" ht="14.25" customHeight="1">
      <c r="B176" s="2" t="s">
        <v>379</v>
      </c>
      <c r="C176" s="2" t="s">
        <v>380</v>
      </c>
      <c r="D176" s="2" t="s">
        <v>381</v>
      </c>
      <c r="E176" s="2" t="s">
        <v>382</v>
      </c>
    </row>
    <row r="177" spans="1:9" ht="14.25" customHeight="1">
      <c r="A177" s="2" t="s">
        <v>1</v>
      </c>
      <c r="B177" s="2">
        <f t="shared" ref="B177:E177" si="0">AVERAGE(B24:B173)</f>
        <v>5.8433333333333346</v>
      </c>
      <c r="C177" s="2">
        <f t="shared" si="0"/>
        <v>3.0573333333333341</v>
      </c>
      <c r="D177" s="2">
        <f t="shared" si="0"/>
        <v>3.7580000000000027</v>
      </c>
      <c r="E177" s="2">
        <f t="shared" si="0"/>
        <v>1.199333333333334</v>
      </c>
    </row>
    <row r="178" spans="1:9" ht="14.25" customHeight="1">
      <c r="A178" s="2" t="s">
        <v>105</v>
      </c>
      <c r="B178" s="2">
        <f t="shared" ref="B178:E178" si="1">STDEV(B24:B173)</f>
        <v>0.82806612797784351</v>
      </c>
      <c r="C178" s="2">
        <f t="shared" si="1"/>
        <v>0.43586628493668389</v>
      </c>
      <c r="D178" s="2">
        <f t="shared" si="1"/>
        <v>1.7652982332594624</v>
      </c>
      <c r="E178" s="2">
        <f t="shared" si="1"/>
        <v>0.76223766896034584</v>
      </c>
    </row>
    <row r="179" spans="1:9" ht="14.25" customHeight="1"/>
    <row r="180" spans="1:9" ht="14.25" customHeight="1">
      <c r="C180" s="2" t="s">
        <v>334</v>
      </c>
      <c r="E180" s="2" t="s">
        <v>325</v>
      </c>
      <c r="F180" s="2" t="s">
        <v>408</v>
      </c>
      <c r="G180" s="2" t="s">
        <v>409</v>
      </c>
    </row>
    <row r="181" spans="1:9" ht="14.25" customHeight="1">
      <c r="A181" s="2" t="s">
        <v>351</v>
      </c>
      <c r="C181" s="41">
        <f>(3.5 - C177)/C178</f>
        <v>1.0156019907136655</v>
      </c>
      <c r="D181" s="41"/>
      <c r="E181" s="41">
        <v>0.84609999999999996</v>
      </c>
      <c r="F181" s="2">
        <f t="shared" ref="F181:F184" si="2">E181*100</f>
        <v>84.61</v>
      </c>
      <c r="G181" s="43">
        <f>_xlfn.NORM.DIST(3.5,C177,C178,TRUE)</f>
        <v>0.84509052174385801</v>
      </c>
      <c r="I181" s="2" t="e">
        <f t="shared" ref="I181:I188" ca="1" si="3">_xludf.FORMULATEXT(G181)</f>
        <v>#NAME?</v>
      </c>
    </row>
    <row r="182" spans="1:9" ht="14.25" customHeight="1">
      <c r="A182" s="2" t="s">
        <v>352</v>
      </c>
      <c r="C182" s="41">
        <f>(0.5 - E177)/E178</f>
        <v>-0.91747411839038318</v>
      </c>
      <c r="D182" s="41"/>
      <c r="E182" s="41">
        <f>1-0.1788</f>
        <v>0.82120000000000004</v>
      </c>
      <c r="F182" s="2">
        <f t="shared" si="2"/>
        <v>82.12</v>
      </c>
      <c r="G182" s="43">
        <f>1 - _xlfn.NORM.DIST(0.5,E177,E178,TRUE)</f>
        <v>0.82055287539872923</v>
      </c>
      <c r="I182" s="2" t="e">
        <f t="shared" ca="1" si="3"/>
        <v>#NAME?</v>
      </c>
    </row>
    <row r="183" spans="1:9" ht="14.25" customHeight="1">
      <c r="A183" s="2" t="s">
        <v>353</v>
      </c>
      <c r="C183" s="41">
        <f>(1.3 - D177)/D178</f>
        <v>-1.3923992862449817</v>
      </c>
      <c r="D183" s="41"/>
      <c r="E183" s="41">
        <v>8.2299999999999998E-2</v>
      </c>
      <c r="F183" s="2">
        <f t="shared" si="2"/>
        <v>8.23</v>
      </c>
      <c r="G183" s="43">
        <f>_xlfn.NORM.DIST(1.3, D177,D178,TRUE)</f>
        <v>8.1900760248133864E-2</v>
      </c>
      <c r="I183" s="2" t="e">
        <f t="shared" ca="1" si="3"/>
        <v>#NAME?</v>
      </c>
    </row>
    <row r="184" spans="1:9" ht="14.25" customHeight="1">
      <c r="A184" s="2" t="s">
        <v>354</v>
      </c>
      <c r="C184" s="41">
        <f>(7.1 - B177)/B178</f>
        <v>1.5175921634851481</v>
      </c>
      <c r="D184" s="41"/>
      <c r="E184" s="41">
        <f>1-0.9357</f>
        <v>6.4300000000000024E-2</v>
      </c>
      <c r="F184" s="2">
        <f t="shared" si="2"/>
        <v>6.4300000000000024</v>
      </c>
      <c r="G184" s="43">
        <f>1 - _xlfn.NORM.DIST(7.1, B177,B178,TRUE)</f>
        <v>6.4558621810797856E-2</v>
      </c>
      <c r="I184" s="2" t="e">
        <f t="shared" ca="1" si="3"/>
        <v>#NAME?</v>
      </c>
    </row>
    <row r="185" spans="1:9" ht="14.25" customHeight="1">
      <c r="A185" s="2" t="s">
        <v>355</v>
      </c>
      <c r="C185" s="41">
        <f>(1.3 - C177)/C178</f>
        <v>-4.0318175414476327</v>
      </c>
      <c r="D185" s="41"/>
      <c r="E185" s="41">
        <v>0</v>
      </c>
      <c r="G185" s="43">
        <f>_xlfn.NORM.DIST(1.3,C177,C178,TRUE)</f>
        <v>2.7673575153752306E-5</v>
      </c>
      <c r="I185" s="2" t="e">
        <f t="shared" ca="1" si="3"/>
        <v>#NAME?</v>
      </c>
    </row>
    <row r="186" spans="1:9" ht="14.25" customHeight="1">
      <c r="A186" s="2" t="s">
        <v>356</v>
      </c>
      <c r="C186" s="41">
        <f>(3.5 - C177)/C178</f>
        <v>1.0156019907136655</v>
      </c>
      <c r="D186" s="41">
        <f>(5.5 - C177) / C178</f>
        <v>5.6041652017693906</v>
      </c>
      <c r="E186" s="41">
        <f>1 - 0.8461</f>
        <v>0.15390000000000004</v>
      </c>
      <c r="F186" s="2">
        <f t="shared" ref="F186:F188" si="4">E186*100</f>
        <v>15.390000000000004</v>
      </c>
      <c r="G186" s="43">
        <f>_xlfn.NORM.DIST(5.5,C177,C178,TRUE) - _xlfn.NORM.DIST(3.5,C177,C178,TRUE)</f>
        <v>0.15490946779308945</v>
      </c>
      <c r="I186" s="2" t="e">
        <f t="shared" ca="1" si="3"/>
        <v>#NAME?</v>
      </c>
    </row>
    <row r="187" spans="1:9" ht="14.25" customHeight="1">
      <c r="A187" s="2" t="s">
        <v>357</v>
      </c>
      <c r="C187" s="41">
        <f>(1.3 - D177)/D178</f>
        <v>-1.3923992862449817</v>
      </c>
      <c r="D187" s="41">
        <f>(2.4 - D177)/D178</f>
        <v>-0.76927511420695149</v>
      </c>
      <c r="E187" s="41">
        <f>0.2206 - 0.0823</f>
        <v>0.13829999999999998</v>
      </c>
      <c r="F187" s="2">
        <f t="shared" si="4"/>
        <v>13.829999999999998</v>
      </c>
      <c r="G187" s="43">
        <f>_xlfn.NORM.DIST(2.4,D177,D178,TRUE) - _xlfn.NORM.DIST(1.3,D177,D178,TRUE)</f>
        <v>0.13896424341270669</v>
      </c>
      <c r="I187" s="2" t="e">
        <f t="shared" ca="1" si="3"/>
        <v>#NAME?</v>
      </c>
    </row>
    <row r="188" spans="1:9" ht="14.25" customHeight="1">
      <c r="A188" s="2" t="s">
        <v>358</v>
      </c>
      <c r="C188" s="41">
        <f>(1.5 - E177)/E178</f>
        <v>0.39445264765878119</v>
      </c>
      <c r="D188" s="41">
        <f>(3.6 - E177)/E178</f>
        <v>3.1494988563620265</v>
      </c>
      <c r="E188" s="41">
        <f>0.9992 - 0.6517</f>
        <v>0.34750000000000003</v>
      </c>
      <c r="F188" s="2">
        <f t="shared" si="4"/>
        <v>34.75</v>
      </c>
      <c r="G188" s="43">
        <f>_xlfn.NORM.DIST(3.6,E177,E178,TRUE) - _xlfn.NORM.DIST(1.5,E177,E178,TRUE)</f>
        <v>0.34580568661745303</v>
      </c>
      <c r="I188" s="2" t="e">
        <f t="shared" ca="1" si="3"/>
        <v>#NAME?</v>
      </c>
    </row>
    <row r="189" spans="1:9" ht="14.25" customHeight="1"/>
    <row r="190" spans="1:9" ht="14.25" customHeight="1">
      <c r="D190" s="2" t="s">
        <v>410</v>
      </c>
    </row>
    <row r="191" spans="1:9" ht="14.25" customHeight="1"/>
    <row r="192" spans="1:9" ht="14.25" customHeight="1"/>
    <row r="193" spans="1:17" ht="14.25" customHeight="1"/>
    <row r="194" spans="1:17" ht="14.25" customHeight="1">
      <c r="A194" s="46" t="s">
        <v>359</v>
      </c>
      <c r="B194" s="38"/>
      <c r="C194" s="38"/>
      <c r="D194" s="38"/>
      <c r="E194" s="38"/>
      <c r="F194" s="38"/>
      <c r="G194" s="38"/>
      <c r="H194" s="38"/>
      <c r="I194" s="38"/>
      <c r="J194" s="38"/>
      <c r="K194" s="38"/>
    </row>
    <row r="195" spans="1:17" ht="14.25" customHeight="1">
      <c r="A195" s="38" t="s">
        <v>360</v>
      </c>
      <c r="B195" s="46"/>
      <c r="C195" s="38"/>
      <c r="D195" s="38"/>
      <c r="E195" s="38"/>
      <c r="F195" s="38"/>
      <c r="G195" s="38"/>
      <c r="H195" s="38"/>
      <c r="I195" s="38"/>
      <c r="J195" s="38"/>
      <c r="K195" s="38"/>
      <c r="O195" s="2">
        <f>_xlfn.BINOM.DIST(6,9,0.8,FALSE)</f>
        <v>0.17616076800000002</v>
      </c>
      <c r="Q195" s="2" t="e">
        <f ca="1">_xludf.FORMULATEXT(O195)</f>
        <v>#NAME?</v>
      </c>
    </row>
    <row r="196" spans="1:17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</row>
    <row r="197" spans="1:17" ht="14.25" customHeight="1">
      <c r="A197" s="47" t="s">
        <v>361</v>
      </c>
      <c r="B197" s="46"/>
      <c r="C197" s="38"/>
      <c r="D197" s="38"/>
      <c r="E197" s="38"/>
      <c r="F197" s="38"/>
      <c r="G197" s="38"/>
      <c r="H197" s="38"/>
      <c r="I197" s="38"/>
      <c r="J197" s="38"/>
      <c r="K197" s="38"/>
      <c r="O197" s="2">
        <f>_xlfn.BINOM.DIST(6,10,0.6,FALSE)</f>
        <v>0.25082265600000009</v>
      </c>
      <c r="Q197" s="2" t="e">
        <f t="shared" ref="Q197:Q198" ca="1" si="5">_xludf.FORMULATEXT(O197)</f>
        <v>#NAME?</v>
      </c>
    </row>
    <row r="198" spans="1:17" ht="14.25" customHeight="1">
      <c r="A198" s="47" t="s">
        <v>362</v>
      </c>
      <c r="B198" s="46"/>
      <c r="C198" s="38"/>
      <c r="D198" s="38"/>
      <c r="E198" s="38"/>
      <c r="F198" s="38"/>
      <c r="G198" s="38"/>
      <c r="H198" s="38"/>
      <c r="I198" s="38"/>
      <c r="J198" s="38"/>
      <c r="K198" s="38"/>
      <c r="O198" s="2">
        <f>_xlfn.BINOM.DIST(8,10,0.6,TRUE)</f>
        <v>0.95364259839999999</v>
      </c>
      <c r="Q198" s="2" t="e">
        <f t="shared" ca="1" si="5"/>
        <v>#NAME?</v>
      </c>
    </row>
    <row r="199" spans="1:17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</row>
    <row r="200" spans="1:17" ht="14.25" customHeight="1">
      <c r="A200" s="47" t="s">
        <v>363</v>
      </c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N200" s="2" t="s">
        <v>5</v>
      </c>
      <c r="O200" s="2">
        <f t="array" ref="O200:O201">_xlfn.MODE.MULT(4,10,7,7,6,9,3,8,9)</f>
        <v>7</v>
      </c>
      <c r="Q200" s="2" t="e">
        <f ca="1">_xludf.FORMULATEXT(O200)</f>
        <v>#NAME?</v>
      </c>
    </row>
    <row r="201" spans="1:17" ht="14.25" customHeight="1">
      <c r="A201" s="47" t="s">
        <v>364</v>
      </c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O201" s="2">
        <v>9</v>
      </c>
    </row>
    <row r="202" spans="1:17" ht="14.25" customHeight="1">
      <c r="A202" s="47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N202" s="2" t="s">
        <v>3</v>
      </c>
      <c r="O202" s="2">
        <f>MEDIAN(4,10,7,7,6,9,3,8,9)</f>
        <v>7</v>
      </c>
      <c r="Q202" s="2" t="e">
        <f t="shared" ref="Q202:Q204" ca="1" si="6">_xludf.FORMULATEXT(O202)</f>
        <v>#NAME?</v>
      </c>
    </row>
    <row r="203" spans="1:17" ht="14.25" customHeight="1">
      <c r="A203" s="47" t="s">
        <v>365</v>
      </c>
      <c r="B203" s="38"/>
      <c r="C203" s="38"/>
      <c r="D203" s="38"/>
      <c r="E203" s="38"/>
      <c r="F203" s="38"/>
      <c r="G203" s="38"/>
      <c r="I203" s="38"/>
      <c r="J203" s="38"/>
      <c r="K203" s="38"/>
      <c r="N203" s="2" t="s">
        <v>1</v>
      </c>
      <c r="O203" s="2">
        <f>AVERAGE(4,10,7,7,6,9,3,8,9)</f>
        <v>7</v>
      </c>
      <c r="Q203" s="2" t="e">
        <f t="shared" ca="1" si="6"/>
        <v>#NAME?</v>
      </c>
    </row>
    <row r="204" spans="1:17" ht="14.25" customHeight="1">
      <c r="A204" s="47" t="s">
        <v>366</v>
      </c>
      <c r="B204" s="38"/>
      <c r="C204" s="38"/>
      <c r="D204" s="38"/>
      <c r="E204" s="38"/>
      <c r="F204" s="38"/>
      <c r="G204" s="38"/>
      <c r="I204" s="38"/>
      <c r="J204" s="38"/>
      <c r="K204" s="38"/>
      <c r="N204" s="2" t="s">
        <v>17</v>
      </c>
      <c r="O204" s="2">
        <f>STDEV(4,10,7,7,6,9,3,8,9)</f>
        <v>2.3452078799117149</v>
      </c>
      <c r="Q204" s="2" t="e">
        <f t="shared" ca="1" si="6"/>
        <v>#NAME?</v>
      </c>
    </row>
    <row r="205" spans="1:17" ht="14.25" customHeight="1">
      <c r="A205" s="47"/>
      <c r="B205" s="38"/>
      <c r="C205" s="38"/>
      <c r="D205" s="38"/>
      <c r="E205" s="38"/>
      <c r="F205" s="38"/>
      <c r="G205" s="38"/>
      <c r="I205" s="38"/>
      <c r="J205" s="38"/>
      <c r="K205" s="38"/>
    </row>
    <row r="206" spans="1:17" ht="14.25" customHeight="1">
      <c r="A206" s="47" t="s">
        <v>368</v>
      </c>
      <c r="B206" s="38"/>
      <c r="C206" s="38"/>
      <c r="D206" s="38"/>
      <c r="E206" s="38"/>
      <c r="F206" s="38"/>
      <c r="G206" s="38">
        <v>62</v>
      </c>
      <c r="I206" s="38"/>
      <c r="J206" s="38"/>
      <c r="K206" s="38"/>
      <c r="N206" s="2" t="s">
        <v>411</v>
      </c>
      <c r="O206" s="2">
        <f>STDEV(4,10,7,7,24,9,3,8,9)</f>
        <v>6.0827625302982193</v>
      </c>
      <c r="Q206" s="2" t="e">
        <f ca="1">_xludf.FORMULATEXT(O206)</f>
        <v>#NAME?</v>
      </c>
    </row>
    <row r="207" spans="1:17" ht="14.25" customHeight="1">
      <c r="A207" s="47" t="s">
        <v>369</v>
      </c>
      <c r="B207" s="38"/>
      <c r="C207" s="38"/>
      <c r="D207" s="38"/>
      <c r="E207" s="38"/>
      <c r="F207" s="38"/>
      <c r="G207" s="38">
        <v>65</v>
      </c>
      <c r="I207" s="38">
        <f>MEDIAN(G206:G217)</f>
        <v>75</v>
      </c>
      <c r="J207" s="38" t="s">
        <v>3</v>
      </c>
      <c r="K207" s="38"/>
    </row>
    <row r="208" spans="1:17" ht="14.25" customHeight="1">
      <c r="G208" s="2">
        <v>68</v>
      </c>
      <c r="I208" s="2">
        <f>QUARTILE(G206:G217,1)</f>
        <v>69.5</v>
      </c>
      <c r="J208" s="2" t="s">
        <v>376</v>
      </c>
    </row>
    <row r="209" spans="1:17" ht="14.25" customHeight="1">
      <c r="G209" s="2">
        <v>70</v>
      </c>
      <c r="I209" s="2">
        <f>QUARTILE(G206:G217,3)</f>
        <v>80.5</v>
      </c>
      <c r="J209" s="2" t="s">
        <v>377</v>
      </c>
      <c r="N209" s="38">
        <v>17</v>
      </c>
      <c r="O209" s="2">
        <v>17</v>
      </c>
    </row>
    <row r="210" spans="1:17" ht="14.25" customHeight="1">
      <c r="G210" s="2">
        <v>72</v>
      </c>
      <c r="I210" s="2">
        <f>I209-I208</f>
        <v>11</v>
      </c>
      <c r="J210" s="2" t="s">
        <v>378</v>
      </c>
      <c r="N210" s="38">
        <v>22</v>
      </c>
      <c r="O210" s="2">
        <v>22</v>
      </c>
    </row>
    <row r="211" spans="1:17" ht="14.25" customHeight="1">
      <c r="G211" s="2">
        <v>74</v>
      </c>
      <c r="N211" s="38">
        <v>26</v>
      </c>
      <c r="O211" s="2">
        <v>26</v>
      </c>
    </row>
    <row r="212" spans="1:17" ht="14.25" customHeight="1">
      <c r="G212" s="2">
        <v>76</v>
      </c>
      <c r="N212" s="38">
        <v>29</v>
      </c>
      <c r="O212" s="2">
        <v>29</v>
      </c>
    </row>
    <row r="213" spans="1:17" ht="14.25" customHeight="1">
      <c r="G213" s="2">
        <v>78</v>
      </c>
      <c r="M213" s="2" t="s">
        <v>412</v>
      </c>
      <c r="N213" s="38">
        <v>34</v>
      </c>
      <c r="O213" s="2">
        <v>34</v>
      </c>
      <c r="Q213" s="2" t="s">
        <v>413</v>
      </c>
    </row>
    <row r="214" spans="1:17" ht="14.25" customHeight="1">
      <c r="A214" s="2" t="s">
        <v>351</v>
      </c>
      <c r="G214" s="2">
        <v>80</v>
      </c>
      <c r="M214" s="2" t="s">
        <v>414</v>
      </c>
      <c r="N214" s="2" t="s">
        <v>415</v>
      </c>
      <c r="O214" s="2">
        <v>36</v>
      </c>
      <c r="Q214" s="2" t="s">
        <v>416</v>
      </c>
    </row>
    <row r="215" spans="1:17" ht="14.25" customHeight="1">
      <c r="A215" s="2" t="s">
        <v>352</v>
      </c>
      <c r="G215" s="2">
        <v>82</v>
      </c>
      <c r="N215" s="38">
        <v>42</v>
      </c>
      <c r="O215" s="2">
        <v>42</v>
      </c>
      <c r="Q215" s="2" t="s">
        <v>417</v>
      </c>
    </row>
    <row r="216" spans="1:17" ht="14.25" customHeight="1">
      <c r="A216" s="2" t="s">
        <v>353</v>
      </c>
      <c r="G216" s="2">
        <v>96</v>
      </c>
      <c r="N216" s="38">
        <v>67</v>
      </c>
      <c r="O216" s="2">
        <v>67</v>
      </c>
    </row>
    <row r="217" spans="1:17" ht="14.25" customHeight="1">
      <c r="A217" s="2" t="s">
        <v>354</v>
      </c>
      <c r="G217" s="2">
        <v>101</v>
      </c>
      <c r="N217" s="38">
        <v>70</v>
      </c>
      <c r="O217" s="2">
        <v>70</v>
      </c>
    </row>
    <row r="218" spans="1:17" ht="14.25" customHeight="1">
      <c r="A218" s="2" t="s">
        <v>355</v>
      </c>
      <c r="N218" s="2" t="s">
        <v>418</v>
      </c>
      <c r="O218" s="2">
        <v>77</v>
      </c>
      <c r="Q218" s="2" t="s">
        <v>374</v>
      </c>
    </row>
    <row r="219" spans="1:17" ht="14.25" customHeight="1">
      <c r="A219" s="2" t="s">
        <v>356</v>
      </c>
      <c r="Q219" s="2" t="s">
        <v>419</v>
      </c>
    </row>
    <row r="220" spans="1:17" ht="14.25" customHeight="1">
      <c r="A220" s="2" t="s">
        <v>357</v>
      </c>
      <c r="Q220" s="2" t="s">
        <v>420</v>
      </c>
    </row>
    <row r="221" spans="1:17" ht="14.25" customHeight="1">
      <c r="A221" s="2" t="s">
        <v>358</v>
      </c>
    </row>
    <row r="222" spans="1:17" ht="14.25" customHeight="1"/>
    <row r="223" spans="1:17" ht="14.25" customHeight="1"/>
    <row r="224" spans="1:17" ht="14.25" customHeight="1"/>
    <row r="225" spans="1:8" ht="14.25" customHeight="1">
      <c r="G225" s="2" t="s">
        <v>378</v>
      </c>
      <c r="H225" s="2">
        <f>H221-H217</f>
        <v>0</v>
      </c>
    </row>
    <row r="226" spans="1:8" ht="14.25" customHeight="1"/>
    <row r="227" spans="1:8" ht="14.25" customHeight="1"/>
    <row r="228" spans="1:8" ht="14.25" customHeight="1">
      <c r="A228" s="45" t="s">
        <v>402</v>
      </c>
    </row>
    <row r="229" spans="1:8" ht="14.25" customHeight="1">
      <c r="A229" s="45" t="s">
        <v>403</v>
      </c>
    </row>
    <row r="230" spans="1:8" ht="14.25" customHeight="1">
      <c r="A230" s="45" t="s">
        <v>421</v>
      </c>
      <c r="E230" s="2">
        <f>(20.03-20.05)/0.02</f>
        <v>-0.99999999999997868</v>
      </c>
      <c r="F230" s="2">
        <f>(20.08-20.05)/0.02</f>
        <v>1.4999999999998792</v>
      </c>
      <c r="G230" s="2">
        <f>0.9332 - 0.1587</f>
        <v>0.77449999999999997</v>
      </c>
    </row>
    <row r="231" spans="1:8" ht="14.25" customHeight="1">
      <c r="A231" s="45" t="s">
        <v>422</v>
      </c>
      <c r="E231" s="2">
        <f>(20.06-20.05)/0.02</f>
        <v>0.49999999999990052</v>
      </c>
      <c r="F231" s="2">
        <f>(20.07-20.05)/0.02</f>
        <v>0.99999999999997868</v>
      </c>
      <c r="G231" s="2">
        <f>0.8413-0.6915</f>
        <v>0.14980000000000004</v>
      </c>
    </row>
    <row r="232" spans="1:8" ht="14.25" customHeight="1">
      <c r="A232" s="45" t="s">
        <v>423</v>
      </c>
      <c r="E232" s="2">
        <f>(20.01-20.05)/0.02</f>
        <v>-1.9999999999999574</v>
      </c>
      <c r="G232" s="2">
        <v>2.2800000000000001E-2</v>
      </c>
    </row>
    <row r="233" spans="1:8" ht="14.25" customHeight="1">
      <c r="A233" s="45" t="s">
        <v>424</v>
      </c>
      <c r="E233" s="2">
        <f>(20.09-20.05)/0.02</f>
        <v>1.9999999999999574</v>
      </c>
      <c r="G233" s="2">
        <f>1 - 0.9772</f>
        <v>2.2800000000000042E-2</v>
      </c>
    </row>
    <row r="234" spans="1:8" ht="14.25" customHeight="1"/>
    <row r="235" spans="1:8" ht="14.25" customHeight="1"/>
    <row r="236" spans="1:8" ht="14.25" customHeight="1"/>
    <row r="237" spans="1:8" ht="14.25" customHeight="1"/>
    <row r="238" spans="1:8" ht="14.25" customHeight="1"/>
    <row r="239" spans="1:8" ht="14.25" customHeight="1">
      <c r="A239" s="2" t="s">
        <v>425</v>
      </c>
    </row>
    <row r="240" spans="1:8" ht="14.25" customHeight="1">
      <c r="A240" s="2" t="s">
        <v>249</v>
      </c>
    </row>
    <row r="241" spans="1:8" ht="14.25" customHeight="1">
      <c r="A241" s="2" t="s">
        <v>251</v>
      </c>
    </row>
    <row r="242" spans="1:8" ht="14.25" customHeight="1">
      <c r="A242" s="2" t="s">
        <v>253</v>
      </c>
    </row>
    <row r="243" spans="1:8" ht="14.25" customHeight="1">
      <c r="A243" s="2" t="s">
        <v>255</v>
      </c>
    </row>
    <row r="244" spans="1:8" ht="14.25" customHeight="1">
      <c r="A244" s="2" t="s">
        <v>257</v>
      </c>
    </row>
    <row r="245" spans="1:8" ht="14.25" customHeight="1">
      <c r="A245" s="2" t="s">
        <v>259</v>
      </c>
    </row>
    <row r="246" spans="1:8" ht="14.25" customHeight="1">
      <c r="A246" s="2" t="s">
        <v>260</v>
      </c>
    </row>
    <row r="247" spans="1:8" ht="14.25" customHeight="1">
      <c r="A247" s="2" t="s">
        <v>261</v>
      </c>
    </row>
    <row r="248" spans="1:8" ht="14.25" customHeight="1">
      <c r="A248" s="2" t="s">
        <v>262</v>
      </c>
    </row>
    <row r="249" spans="1:8" ht="14.25" customHeight="1">
      <c r="A249" s="2" t="s">
        <v>264</v>
      </c>
    </row>
    <row r="250" spans="1:8" ht="14.25" customHeight="1">
      <c r="A250" s="2" t="s">
        <v>266</v>
      </c>
    </row>
    <row r="251" spans="1:8" ht="14.25" customHeight="1">
      <c r="A251" s="2" t="s">
        <v>267</v>
      </c>
    </row>
    <row r="252" spans="1:8" ht="14.25" customHeight="1">
      <c r="A252" s="2" t="s">
        <v>269</v>
      </c>
    </row>
    <row r="253" spans="1:8" ht="14.25" customHeight="1"/>
    <row r="254" spans="1:8" ht="14.25" customHeight="1"/>
    <row r="255" spans="1:8" ht="14.25" customHeight="1">
      <c r="A255" s="46" t="s">
        <v>359</v>
      </c>
      <c r="B255" s="38"/>
      <c r="H255" s="2">
        <f>_xlfn.BINOM.DIST(6,9,0.8,FALSE)</f>
        <v>0.17616076800000002</v>
      </c>
    </row>
    <row r="256" spans="1:8" ht="14.25" customHeight="1">
      <c r="A256" s="38" t="s">
        <v>360</v>
      </c>
      <c r="B256" s="46"/>
    </row>
    <row r="257" spans="1:11" ht="14.25" customHeight="1">
      <c r="A257" s="38"/>
      <c r="B257" s="38"/>
    </row>
    <row r="258" spans="1:11" ht="14.25" customHeight="1">
      <c r="A258" s="47" t="s">
        <v>361</v>
      </c>
      <c r="B258" s="46"/>
      <c r="K258" s="2">
        <f>_xlfn.BINOM.DIST(6,10,0.6,FALSE)</f>
        <v>0.25082265600000009</v>
      </c>
    </row>
    <row r="259" spans="1:11" ht="14.25" customHeight="1">
      <c r="A259" s="47" t="s">
        <v>362</v>
      </c>
      <c r="B259" s="46"/>
      <c r="K259" s="2">
        <f>_xlfn.BINOM.DIST(8,10,0.6,TRUE)</f>
        <v>0.95364259839999999</v>
      </c>
    </row>
    <row r="260" spans="1:11" ht="14.25" customHeight="1">
      <c r="A260" s="38"/>
      <c r="B260" s="38"/>
    </row>
    <row r="261" spans="1:11" ht="14.25" customHeight="1">
      <c r="A261" s="47" t="s">
        <v>363</v>
      </c>
      <c r="B261" s="38"/>
    </row>
    <row r="262" spans="1:11" ht="14.25" customHeight="1">
      <c r="A262" s="47" t="s">
        <v>364</v>
      </c>
      <c r="B262" s="38"/>
    </row>
    <row r="263" spans="1:11" ht="14.25" customHeight="1">
      <c r="A263" s="47"/>
      <c r="B263" s="38"/>
    </row>
    <row r="264" spans="1:11" ht="14.25" customHeight="1">
      <c r="A264" s="47" t="s">
        <v>365</v>
      </c>
      <c r="B264" s="38"/>
    </row>
    <row r="265" spans="1:11" ht="14.25" customHeight="1">
      <c r="A265" s="47" t="s">
        <v>366</v>
      </c>
      <c r="B265" s="38"/>
    </row>
    <row r="266" spans="1:11" ht="14.25" customHeight="1">
      <c r="A266" s="47"/>
      <c r="B266" s="38"/>
    </row>
    <row r="267" spans="1:11" ht="14.25" customHeight="1">
      <c r="A267" s="47" t="s">
        <v>368</v>
      </c>
      <c r="B267" s="38"/>
    </row>
    <row r="268" spans="1:11" ht="14.25" customHeight="1">
      <c r="A268" s="47" t="s">
        <v>369</v>
      </c>
      <c r="B268" s="38"/>
    </row>
    <row r="269" spans="1:11" ht="14.25" customHeight="1"/>
    <row r="270" spans="1:11" ht="14.25" customHeight="1"/>
    <row r="271" spans="1:11" ht="14.25" customHeight="1"/>
    <row r="272" spans="1:11" ht="14.25" customHeight="1"/>
    <row r="273" spans="1:4" ht="14.25" customHeight="1"/>
    <row r="274" spans="1:4" ht="14.25" customHeight="1"/>
    <row r="275" spans="1:4" ht="14.25" customHeight="1">
      <c r="A275" s="2" t="s">
        <v>426</v>
      </c>
    </row>
    <row r="276" spans="1:4" ht="14.25" customHeight="1">
      <c r="A276" s="2" t="s">
        <v>427</v>
      </c>
    </row>
    <row r="277" spans="1:4" ht="14.25" customHeight="1">
      <c r="A277" s="2" t="s">
        <v>428</v>
      </c>
    </row>
    <row r="278" spans="1:4" ht="14.25" customHeight="1"/>
    <row r="279" spans="1:4" ht="14.25" customHeight="1">
      <c r="A279" s="2" t="s">
        <v>429</v>
      </c>
      <c r="C279" s="2">
        <f>_xlfn.BINOM.DIST(9,15,0.65,FALSE)</f>
        <v>0.19056035697644208</v>
      </c>
      <c r="D279" s="2" t="e">
        <f t="shared" ref="D279:D280" ca="1" si="7">_xludf.FORMULATEXT(C279)</f>
        <v>#NAME?</v>
      </c>
    </row>
    <row r="280" spans="1:4" ht="14.25" customHeight="1">
      <c r="A280" s="2" t="s">
        <v>430</v>
      </c>
      <c r="C280" s="2">
        <f>_xlfn.BINOM.DIST(6,15,0.35,FALSE)</f>
        <v>0.19056035697644208</v>
      </c>
      <c r="D280" s="2" t="e">
        <f t="shared" ca="1" si="7"/>
        <v>#NAME?</v>
      </c>
    </row>
    <row r="281" spans="1:4" ht="14.25" customHeight="1"/>
    <row r="282" spans="1:4" ht="14.25" customHeight="1">
      <c r="A282" s="2" t="s">
        <v>429</v>
      </c>
      <c r="C282" s="2">
        <f>_xlfn.BINOM.DIST(13,15,0.65,FALSE)</f>
        <v>4.7555310773228214E-2</v>
      </c>
      <c r="D282" s="2" t="e">
        <f t="shared" ref="D282:D283" ca="1" si="8">_xludf.FORMULATEXT(C282)</f>
        <v>#NAME?</v>
      </c>
    </row>
    <row r="283" spans="1:4" ht="14.25" customHeight="1">
      <c r="A283" s="2" t="s">
        <v>430</v>
      </c>
      <c r="C283" s="2">
        <f>_xlfn.BINOM.DIST(2,15,0.35,FALSE)</f>
        <v>4.7555310773228228E-2</v>
      </c>
      <c r="D283" s="2" t="e">
        <f t="shared" ca="1" si="8"/>
        <v>#NAME?</v>
      </c>
    </row>
    <row r="284" spans="1:4" ht="14.25" customHeight="1"/>
    <row r="285" spans="1:4" ht="14.25" customHeight="1"/>
    <row r="286" spans="1:4" ht="14.25" customHeight="1"/>
    <row r="287" spans="1:4" ht="14.25" customHeight="1"/>
    <row r="288" spans="1:4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000"/>
  <sheetViews>
    <sheetView workbookViewId="0"/>
  </sheetViews>
  <sheetFormatPr defaultColWidth="14.44140625" defaultRowHeight="15" customHeight="1"/>
  <cols>
    <col min="1" max="13" width="16.6640625" customWidth="1"/>
    <col min="14" max="26" width="8.6640625" customWidth="1"/>
  </cols>
  <sheetData>
    <row r="1" spans="1:16" ht="14.25" customHeight="1">
      <c r="A1" s="48" t="s">
        <v>431</v>
      </c>
    </row>
    <row r="2" spans="1:16" ht="14.25" customHeight="1"/>
    <row r="3" spans="1:16" ht="14.25" customHeight="1">
      <c r="A3" s="2" t="s">
        <v>432</v>
      </c>
      <c r="K3" s="2" t="s">
        <v>433</v>
      </c>
      <c r="L3" s="2" t="s">
        <v>434</v>
      </c>
      <c r="M3" s="49">
        <v>0.95</v>
      </c>
      <c r="O3" s="2" t="s">
        <v>435</v>
      </c>
      <c r="P3" s="2">
        <v>2000</v>
      </c>
    </row>
    <row r="4" spans="1:16" ht="14.25" customHeight="1">
      <c r="A4" s="2" t="s">
        <v>436</v>
      </c>
      <c r="G4" s="2" t="s">
        <v>437</v>
      </c>
      <c r="L4" s="49"/>
      <c r="O4" s="2" t="s">
        <v>438</v>
      </c>
      <c r="P4" s="2">
        <v>3000</v>
      </c>
    </row>
    <row r="5" spans="1:16" ht="14.25" customHeight="1">
      <c r="A5" s="2" t="s">
        <v>439</v>
      </c>
      <c r="G5" s="2" t="s">
        <v>437</v>
      </c>
      <c r="H5" s="2">
        <v>19.600000000000001</v>
      </c>
      <c r="J5" s="2">
        <v>85</v>
      </c>
      <c r="K5" s="2" t="s">
        <v>440</v>
      </c>
      <c r="L5" s="2">
        <v>91</v>
      </c>
      <c r="O5" s="2" t="s">
        <v>441</v>
      </c>
      <c r="P5" s="2">
        <v>5000</v>
      </c>
    </row>
    <row r="6" spans="1:16" ht="14.25" customHeight="1">
      <c r="A6" s="2" t="s">
        <v>442</v>
      </c>
      <c r="G6" s="2" t="s">
        <v>443</v>
      </c>
      <c r="O6" s="2" t="s">
        <v>444</v>
      </c>
      <c r="P6" s="2">
        <v>1000</v>
      </c>
    </row>
    <row r="7" spans="1:16" ht="14.25" customHeight="1">
      <c r="J7" s="2">
        <v>85</v>
      </c>
      <c r="K7" s="2" t="s">
        <v>445</v>
      </c>
      <c r="L7" s="2">
        <v>91</v>
      </c>
      <c r="O7" s="2" t="s">
        <v>446</v>
      </c>
      <c r="P7" s="2">
        <v>-1000</v>
      </c>
    </row>
    <row r="8" spans="1:16" ht="14.25" customHeight="1">
      <c r="C8" s="2" t="s">
        <v>447</v>
      </c>
    </row>
    <row r="9" spans="1:16" ht="14.25" customHeight="1">
      <c r="C9" s="2" t="s">
        <v>448</v>
      </c>
      <c r="N9" s="2" t="s">
        <v>22</v>
      </c>
      <c r="P9" s="2">
        <v>10000</v>
      </c>
    </row>
    <row r="10" spans="1:16" ht="14.25" customHeight="1">
      <c r="G10" s="18"/>
      <c r="H10" s="18"/>
      <c r="I10" s="18" t="s">
        <v>449</v>
      </c>
      <c r="J10" s="18"/>
      <c r="K10" s="18"/>
    </row>
    <row r="11" spans="1:16" ht="14.25" customHeight="1">
      <c r="A11" s="2" t="s">
        <v>450</v>
      </c>
      <c r="C11" s="2">
        <v>1990</v>
      </c>
      <c r="G11" s="18"/>
      <c r="H11" s="18"/>
      <c r="I11" s="18">
        <v>100000</v>
      </c>
      <c r="J11" s="18"/>
      <c r="K11" s="18"/>
    </row>
    <row r="12" spans="1:16" ht="14.25" customHeight="1">
      <c r="A12" s="2" t="s">
        <v>451</v>
      </c>
      <c r="C12" s="2">
        <v>2833</v>
      </c>
      <c r="G12" s="18" t="s">
        <v>449</v>
      </c>
      <c r="H12" s="18">
        <v>140</v>
      </c>
      <c r="I12" s="18"/>
      <c r="J12" s="18">
        <v>1400</v>
      </c>
      <c r="K12" s="18" t="s">
        <v>449</v>
      </c>
      <c r="L12" s="2">
        <v>14000</v>
      </c>
    </row>
    <row r="13" spans="1:16" ht="14.25" customHeight="1">
      <c r="A13" s="2" t="s">
        <v>452</v>
      </c>
      <c r="C13" s="2">
        <v>2500</v>
      </c>
    </row>
    <row r="14" spans="1:16" ht="14.25" customHeight="1">
      <c r="A14" s="2" t="s">
        <v>453</v>
      </c>
      <c r="C14" s="2">
        <v>140</v>
      </c>
      <c r="G14" s="2" t="s">
        <v>454</v>
      </c>
    </row>
    <row r="15" spans="1:16" ht="14.25" customHeight="1">
      <c r="A15" s="2" t="s">
        <v>455</v>
      </c>
      <c r="C15" s="2">
        <f>C14-1</f>
        <v>139</v>
      </c>
      <c r="E15" s="2" t="s">
        <v>456</v>
      </c>
      <c r="G15" s="2" t="s">
        <v>457</v>
      </c>
    </row>
    <row r="16" spans="1:16" ht="14.25" customHeight="1">
      <c r="A16" s="2" t="s">
        <v>458</v>
      </c>
      <c r="C16" s="2">
        <v>1.984</v>
      </c>
      <c r="E16" s="2" t="s">
        <v>459</v>
      </c>
      <c r="G16" s="2" t="s">
        <v>460</v>
      </c>
    </row>
    <row r="17" spans="1:13" ht="14.25" customHeight="1">
      <c r="A17" s="2" t="s">
        <v>461</v>
      </c>
      <c r="C17" s="2">
        <f>C13/SQRT(C14)</f>
        <v>211.28856368212914</v>
      </c>
      <c r="E17" s="2" t="s">
        <v>462</v>
      </c>
      <c r="G17" s="2" t="s">
        <v>463</v>
      </c>
    </row>
    <row r="18" spans="1:13" ht="14.25" customHeight="1"/>
    <row r="19" spans="1:13" ht="14.25" customHeight="1">
      <c r="A19" s="50" t="s">
        <v>464</v>
      </c>
    </row>
    <row r="20" spans="1:13" ht="14.25" customHeight="1">
      <c r="A20" s="49" t="s">
        <v>465</v>
      </c>
    </row>
    <row r="21" spans="1:13" ht="14.25" customHeight="1">
      <c r="A21" s="2" t="s">
        <v>116</v>
      </c>
      <c r="C21" s="2">
        <f>C11-(C16*C17)</f>
        <v>1570.8034896546558</v>
      </c>
      <c r="E21" s="2" t="s">
        <v>466</v>
      </c>
      <c r="G21" s="2">
        <f>C11-(2.626*C17)</f>
        <v>1435.1562317707289</v>
      </c>
      <c r="I21" s="2" t="s">
        <v>467</v>
      </c>
      <c r="K21" s="51" t="s">
        <v>468</v>
      </c>
      <c r="L21" s="51" t="s">
        <v>468</v>
      </c>
      <c r="M21" s="51" t="s">
        <v>468</v>
      </c>
    </row>
    <row r="22" spans="1:13" ht="14.25" customHeight="1">
      <c r="A22" s="2" t="s">
        <v>117</v>
      </c>
      <c r="C22" s="2">
        <f>C11+(C16*C17)</f>
        <v>2409.196510345344</v>
      </c>
      <c r="E22" s="2" t="s">
        <v>469</v>
      </c>
      <c r="G22" s="2">
        <f>C11+(2.626*C17)</f>
        <v>2544.8437682292711</v>
      </c>
      <c r="K22" s="18" t="s">
        <v>470</v>
      </c>
      <c r="L22" s="18" t="s">
        <v>471</v>
      </c>
      <c r="M22" s="18" t="s">
        <v>472</v>
      </c>
    </row>
    <row r="23" spans="1:13" ht="14.25" customHeight="1"/>
    <row r="24" spans="1:13" ht="14.25" customHeight="1">
      <c r="A24" s="2" t="s">
        <v>473</v>
      </c>
      <c r="K24" s="2" t="s">
        <v>474</v>
      </c>
    </row>
    <row r="25" spans="1:13" ht="14.25" customHeight="1">
      <c r="I25" s="52" t="s">
        <v>475</v>
      </c>
      <c r="K25" s="2" t="s">
        <v>476</v>
      </c>
    </row>
    <row r="26" spans="1:13" ht="14.25" customHeight="1">
      <c r="A26" s="50" t="s">
        <v>477</v>
      </c>
      <c r="I26" s="2">
        <f>5/3</f>
        <v>1.6666666666666667</v>
      </c>
    </row>
    <row r="27" spans="1:13" ht="14.25" customHeight="1">
      <c r="A27" s="49" t="s">
        <v>478</v>
      </c>
      <c r="I27" s="2">
        <f>5/1.5</f>
        <v>3.3333333333333335</v>
      </c>
      <c r="K27" s="2" t="s">
        <v>435</v>
      </c>
      <c r="L27" s="2">
        <v>250</v>
      </c>
    </row>
    <row r="28" spans="1:13" ht="14.25" customHeight="1">
      <c r="A28" s="2" t="s">
        <v>461</v>
      </c>
      <c r="C28" s="2">
        <f>2833/ SQRT(140)</f>
        <v>239.43220036458874</v>
      </c>
      <c r="E28" s="2" t="s">
        <v>479</v>
      </c>
      <c r="K28" s="2" t="s">
        <v>438</v>
      </c>
      <c r="L28" s="2">
        <v>200</v>
      </c>
    </row>
    <row r="29" spans="1:13" ht="14.25" customHeight="1">
      <c r="A29" s="2" t="s">
        <v>116</v>
      </c>
      <c r="C29" s="2">
        <f>C11-(C16*C28)</f>
        <v>1514.9665144766559</v>
      </c>
      <c r="E29" s="2" t="s">
        <v>480</v>
      </c>
      <c r="K29" s="2" t="s">
        <v>441</v>
      </c>
      <c r="L29" s="2">
        <v>190</v>
      </c>
    </row>
    <row r="30" spans="1:13" ht="14.25" customHeight="1">
      <c r="A30" s="2" t="s">
        <v>117</v>
      </c>
      <c r="C30" s="2">
        <f>C11+(C16*C28)</f>
        <v>2465.0334855233441</v>
      </c>
      <c r="E30" s="2" t="s">
        <v>481</v>
      </c>
      <c r="K30" s="2" t="s">
        <v>444</v>
      </c>
      <c r="L30" s="2">
        <v>310</v>
      </c>
    </row>
    <row r="31" spans="1:13" ht="14.25" customHeight="1">
      <c r="K31" s="2" t="s">
        <v>446</v>
      </c>
      <c r="L31" s="2">
        <v>50</v>
      </c>
    </row>
    <row r="32" spans="1:13" ht="14.25" customHeight="1">
      <c r="A32" s="2" t="s">
        <v>482</v>
      </c>
    </row>
    <row r="33" spans="3:12" ht="14.25" customHeight="1">
      <c r="K33" s="2" t="s">
        <v>22</v>
      </c>
      <c r="L33" s="2">
        <v>1000</v>
      </c>
    </row>
    <row r="34" spans="3:12" ht="14.25" customHeight="1"/>
    <row r="35" spans="3:12" ht="14.25" customHeight="1"/>
    <row r="36" spans="3:12" ht="14.25" customHeight="1"/>
    <row r="37" spans="3:12" ht="14.25" customHeight="1">
      <c r="C37" s="53"/>
      <c r="D37" s="53" t="s">
        <v>1</v>
      </c>
      <c r="E37" s="53"/>
    </row>
    <row r="38" spans="3:12" ht="14.25" customHeight="1">
      <c r="C38" s="53"/>
      <c r="D38" s="53">
        <v>100000</v>
      </c>
      <c r="E38" s="53"/>
    </row>
    <row r="39" spans="3:12" ht="14.25" customHeight="1">
      <c r="C39" s="53"/>
      <c r="D39" s="53"/>
      <c r="E39" s="53"/>
    </row>
    <row r="40" spans="3:12" ht="14.25" customHeight="1">
      <c r="C40" s="53">
        <v>1000</v>
      </c>
      <c r="D40" s="53"/>
      <c r="E40" s="53">
        <v>100</v>
      </c>
    </row>
    <row r="41" spans="3:12" ht="14.25" customHeight="1">
      <c r="C41" s="53" t="s">
        <v>1</v>
      </c>
      <c r="D41" s="53"/>
      <c r="E41" s="53" t="s">
        <v>1</v>
      </c>
    </row>
    <row r="42" spans="3:12" ht="14.25" customHeight="1"/>
    <row r="43" spans="3:12" ht="14.25" customHeight="1"/>
    <row r="44" spans="3:12" ht="14.25" customHeight="1">
      <c r="C44" s="2" t="s">
        <v>483</v>
      </c>
      <c r="D44" s="2">
        <v>82</v>
      </c>
    </row>
    <row r="45" spans="3:12" ht="14.25" customHeight="1">
      <c r="C45" s="2" t="s">
        <v>484</v>
      </c>
      <c r="D45" s="2">
        <v>82</v>
      </c>
    </row>
    <row r="46" spans="3:12" ht="14.25" customHeight="1"/>
    <row r="47" spans="3:12" ht="14.25" customHeight="1"/>
    <row r="48" spans="3:12" ht="14.25" customHeight="1"/>
    <row r="49" spans="3:4" ht="14.25" customHeight="1">
      <c r="C49" s="2" t="s">
        <v>435</v>
      </c>
      <c r="D49" s="2">
        <v>250</v>
      </c>
    </row>
    <row r="50" spans="3:4" ht="14.25" customHeight="1">
      <c r="C50" s="2" t="s">
        <v>438</v>
      </c>
      <c r="D50" s="2">
        <v>100</v>
      </c>
    </row>
    <row r="51" spans="3:4" ht="14.25" customHeight="1">
      <c r="C51" s="2" t="s">
        <v>441</v>
      </c>
      <c r="D51" s="2">
        <v>300</v>
      </c>
    </row>
    <row r="52" spans="3:4" ht="14.25" customHeight="1">
      <c r="C52" s="2" t="s">
        <v>444</v>
      </c>
      <c r="D52" s="2">
        <v>375</v>
      </c>
    </row>
    <row r="53" spans="3:4" ht="14.25" customHeight="1">
      <c r="C53" s="2" t="s">
        <v>446</v>
      </c>
      <c r="D53" s="2">
        <v>-25</v>
      </c>
    </row>
    <row r="54" spans="3:4" ht="14.25" customHeight="1">
      <c r="C54" s="2" t="s">
        <v>22</v>
      </c>
      <c r="D54" s="2">
        <v>1000</v>
      </c>
    </row>
    <row r="55" spans="3:4" ht="14.25" customHeight="1"/>
    <row r="56" spans="3:4" ht="14.25" customHeight="1"/>
    <row r="57" spans="3:4" ht="14.25" customHeight="1"/>
    <row r="58" spans="3:4" ht="14.25" customHeight="1"/>
    <row r="59" spans="3:4" ht="14.25" customHeight="1"/>
    <row r="60" spans="3:4" ht="14.25" customHeight="1"/>
    <row r="61" spans="3:4" ht="14.25" customHeight="1"/>
    <row r="62" spans="3:4" ht="14.25" customHeight="1"/>
    <row r="63" spans="3:4" ht="14.25" customHeight="1"/>
    <row r="64" spans="3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000"/>
  <sheetViews>
    <sheetView workbookViewId="0"/>
  </sheetViews>
  <sheetFormatPr defaultColWidth="14.44140625" defaultRowHeight="15" customHeight="1"/>
  <cols>
    <col min="1" max="6" width="11.6640625" customWidth="1"/>
    <col min="7" max="26" width="8.6640625" customWidth="1"/>
  </cols>
  <sheetData>
    <row r="1" spans="1:6" ht="14.25" customHeight="1"/>
    <row r="2" spans="1:6" ht="14.25" customHeight="1">
      <c r="A2" s="2" t="s">
        <v>485</v>
      </c>
    </row>
    <row r="3" spans="1:6" ht="14.25" customHeight="1">
      <c r="A3" s="2" t="s">
        <v>486</v>
      </c>
      <c r="F3" s="2" t="s">
        <v>487</v>
      </c>
    </row>
    <row r="4" spans="1:6" ht="14.25" customHeight="1"/>
    <row r="5" spans="1:6" ht="14.25" customHeight="1">
      <c r="A5" s="2" t="s">
        <v>488</v>
      </c>
    </row>
    <row r="6" spans="1:6" ht="14.25" customHeight="1"/>
    <row r="7" spans="1:6" ht="14.25" customHeight="1">
      <c r="B7" s="2" t="s">
        <v>489</v>
      </c>
    </row>
    <row r="8" spans="1:6" ht="14.25" customHeight="1">
      <c r="B8" s="2" t="s">
        <v>490</v>
      </c>
    </row>
    <row r="9" spans="1:6" ht="14.25" customHeight="1"/>
    <row r="10" spans="1:6" ht="14.25" customHeight="1">
      <c r="A10" s="2" t="s">
        <v>491</v>
      </c>
    </row>
    <row r="11" spans="1:6" ht="14.25" customHeight="1">
      <c r="A11" s="2" t="s">
        <v>486</v>
      </c>
      <c r="F11" s="2" t="b">
        <v>0</v>
      </c>
    </row>
    <row r="12" spans="1:6" ht="14.25" customHeight="1"/>
    <row r="13" spans="1:6" ht="14.25" customHeight="1">
      <c r="A13" s="2" t="s">
        <v>488</v>
      </c>
    </row>
    <row r="14" spans="1:6" ht="14.25" customHeight="1"/>
    <row r="15" spans="1:6" ht="14.25" customHeight="1">
      <c r="B15" s="2" t="s">
        <v>492</v>
      </c>
    </row>
    <row r="16" spans="1:6" ht="14.25" customHeight="1">
      <c r="B16" s="2" t="s">
        <v>490</v>
      </c>
    </row>
    <row r="17" spans="1:13" ht="14.25" customHeight="1"/>
    <row r="18" spans="1:13" ht="14.25" customHeight="1">
      <c r="A18" s="2" t="s">
        <v>493</v>
      </c>
    </row>
    <row r="19" spans="1:13" ht="14.25" customHeight="1">
      <c r="A19" s="2" t="s">
        <v>486</v>
      </c>
      <c r="F19" s="2" t="s">
        <v>487</v>
      </c>
      <c r="M19" s="2" t="s">
        <v>494</v>
      </c>
    </row>
    <row r="20" spans="1:13" ht="14.25" customHeight="1">
      <c r="M20" s="2" t="s">
        <v>495</v>
      </c>
    </row>
    <row r="21" spans="1:13" ht="14.25" customHeight="1">
      <c r="A21" s="2" t="s">
        <v>488</v>
      </c>
    </row>
    <row r="22" spans="1:13" ht="14.25" customHeight="1"/>
    <row r="23" spans="1:13" ht="14.25" customHeight="1">
      <c r="B23" s="2" t="s">
        <v>496</v>
      </c>
    </row>
    <row r="24" spans="1:13" ht="14.25" customHeight="1">
      <c r="B24" s="2" t="s">
        <v>497</v>
      </c>
    </row>
    <row r="25" spans="1:13" ht="14.25" customHeight="1"/>
    <row r="26" spans="1:13" ht="14.25" customHeight="1">
      <c r="A26" s="2" t="s">
        <v>498</v>
      </c>
    </row>
    <row r="27" spans="1:13" ht="14.25" customHeight="1">
      <c r="A27" s="2" t="s">
        <v>486</v>
      </c>
      <c r="F27" s="2" t="b">
        <v>0</v>
      </c>
    </row>
    <row r="28" spans="1:13" ht="14.25" customHeight="1"/>
    <row r="29" spans="1:13" ht="14.25" customHeight="1">
      <c r="A29" s="2" t="s">
        <v>488</v>
      </c>
    </row>
    <row r="30" spans="1:13" ht="14.25" customHeight="1"/>
    <row r="31" spans="1:13" ht="14.25" customHeight="1">
      <c r="B31" s="2" t="s">
        <v>499</v>
      </c>
    </row>
    <row r="32" spans="1:13" ht="14.25" customHeight="1">
      <c r="B32" s="2" t="s">
        <v>500</v>
      </c>
    </row>
    <row r="33" spans="2:14" ht="14.25" customHeight="1"/>
    <row r="34" spans="2:14" ht="14.25" customHeight="1"/>
    <row r="35" spans="2:14" ht="14.25" customHeight="1">
      <c r="B35" s="33"/>
      <c r="C35" s="24"/>
      <c r="D35" s="54" t="s">
        <v>501</v>
      </c>
      <c r="E35" s="5"/>
      <c r="G35" s="2" t="s">
        <v>502</v>
      </c>
      <c r="K35" s="2" t="s">
        <v>503</v>
      </c>
    </row>
    <row r="36" spans="2:14" ht="14.25" customHeight="1">
      <c r="B36" s="55"/>
      <c r="D36" s="54" t="s">
        <v>504</v>
      </c>
      <c r="E36" s="5" t="s">
        <v>505</v>
      </c>
      <c r="G36" s="2" t="s">
        <v>506</v>
      </c>
      <c r="K36" s="2" t="s">
        <v>507</v>
      </c>
      <c r="N36" s="2" t="s">
        <v>508</v>
      </c>
    </row>
    <row r="37" spans="2:14" ht="14.25" customHeight="1">
      <c r="B37" s="23" t="s">
        <v>509</v>
      </c>
      <c r="C37" s="23" t="s">
        <v>510</v>
      </c>
      <c r="D37" s="2" t="s">
        <v>511</v>
      </c>
      <c r="E37" s="7" t="s">
        <v>512</v>
      </c>
    </row>
    <row r="38" spans="2:14" ht="14.25" customHeight="1">
      <c r="B38" s="8"/>
      <c r="C38" s="8" t="s">
        <v>513</v>
      </c>
      <c r="D38" s="17" t="s">
        <v>514</v>
      </c>
      <c r="E38" s="56" t="s">
        <v>511</v>
      </c>
      <c r="G38" s="2" t="s">
        <v>515</v>
      </c>
    </row>
    <row r="39" spans="2:14" ht="14.25" customHeight="1">
      <c r="G39" s="2" t="s">
        <v>516</v>
      </c>
    </row>
    <row r="40" spans="2:14" ht="14.25" customHeight="1"/>
    <row r="41" spans="2:14" ht="14.25" customHeight="1"/>
    <row r="42" spans="2:14" ht="14.25" customHeight="1"/>
    <row r="43" spans="2:14" ht="14.25" customHeight="1">
      <c r="B43" s="2" t="s">
        <v>517</v>
      </c>
    </row>
    <row r="44" spans="2:14" ht="14.25" customHeight="1"/>
    <row r="45" spans="2:14" ht="14.25" customHeight="1">
      <c r="B45" s="2" t="s">
        <v>518</v>
      </c>
    </row>
    <row r="46" spans="2:14" ht="14.25" customHeight="1">
      <c r="B46" s="2" t="s">
        <v>519</v>
      </c>
      <c r="E46" s="2" t="b">
        <v>1</v>
      </c>
    </row>
    <row r="47" spans="2:14" ht="14.25" customHeight="1"/>
    <row r="48" spans="2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000"/>
  <sheetViews>
    <sheetView workbookViewId="0"/>
  </sheetViews>
  <sheetFormatPr defaultColWidth="14.44140625" defaultRowHeight="15" customHeight="1"/>
  <cols>
    <col min="1" max="1" width="11" customWidth="1"/>
    <col min="2" max="9" width="14" customWidth="1"/>
    <col min="10" max="26" width="8.6640625" customWidth="1"/>
  </cols>
  <sheetData>
    <row r="1" spans="1:13" ht="14.25" customHeight="1"/>
    <row r="2" spans="1:13" ht="14.25" customHeight="1">
      <c r="F2" s="2" t="s">
        <v>520</v>
      </c>
    </row>
    <row r="3" spans="1:13" ht="14.25" customHeight="1">
      <c r="A3" s="54" t="s">
        <v>521</v>
      </c>
      <c r="B3" s="4" t="s">
        <v>522</v>
      </c>
      <c r="C3" s="4" t="s">
        <v>523</v>
      </c>
      <c r="D3" s="4" t="s">
        <v>524</v>
      </c>
    </row>
    <row r="4" spans="1:13" ht="14.25" customHeight="1">
      <c r="A4" s="55">
        <v>1</v>
      </c>
      <c r="B4" s="6">
        <v>6</v>
      </c>
      <c r="C4" s="6">
        <v>4</v>
      </c>
      <c r="D4" s="6">
        <v>6</v>
      </c>
      <c r="F4" s="2" t="s">
        <v>525</v>
      </c>
    </row>
    <row r="5" spans="1:13" ht="14.25" customHeight="1">
      <c r="A5" s="55">
        <v>2</v>
      </c>
      <c r="B5" s="6">
        <v>2</v>
      </c>
      <c r="C5" s="6">
        <v>4</v>
      </c>
      <c r="D5" s="6">
        <v>7</v>
      </c>
    </row>
    <row r="6" spans="1:13" ht="14.25" customHeight="1">
      <c r="A6" s="55">
        <v>3</v>
      </c>
      <c r="B6" s="6">
        <v>3</v>
      </c>
      <c r="C6" s="6">
        <v>5</v>
      </c>
      <c r="D6" s="6">
        <v>5</v>
      </c>
    </row>
    <row r="7" spans="1:13" ht="14.25" customHeight="1">
      <c r="A7" s="55">
        <v>4</v>
      </c>
      <c r="B7" s="6">
        <v>4</v>
      </c>
      <c r="C7" s="6">
        <v>7</v>
      </c>
      <c r="D7" s="6">
        <v>6</v>
      </c>
    </row>
    <row r="8" spans="1:13" ht="14.25" customHeight="1">
      <c r="A8" s="55">
        <v>5</v>
      </c>
      <c r="B8" s="6">
        <v>2</v>
      </c>
      <c r="C8" s="6">
        <v>8</v>
      </c>
      <c r="D8" s="6">
        <v>8</v>
      </c>
    </row>
    <row r="9" spans="1:13" ht="14.25" customHeight="1">
      <c r="A9" s="55">
        <v>6</v>
      </c>
      <c r="B9" s="6">
        <v>3</v>
      </c>
      <c r="C9" s="6">
        <v>5</v>
      </c>
      <c r="D9" s="6">
        <v>7</v>
      </c>
    </row>
    <row r="10" spans="1:13" ht="14.25" customHeight="1">
      <c r="A10" s="55">
        <v>7</v>
      </c>
      <c r="B10" s="6">
        <v>3</v>
      </c>
      <c r="C10" s="6">
        <v>3</v>
      </c>
      <c r="D10" s="6">
        <v>8</v>
      </c>
    </row>
    <row r="11" spans="1:13" ht="14.25" customHeight="1">
      <c r="A11" s="55">
        <v>8</v>
      </c>
      <c r="B11" s="6">
        <v>2</v>
      </c>
      <c r="C11" s="6">
        <v>7</v>
      </c>
      <c r="D11" s="6">
        <v>9</v>
      </c>
    </row>
    <row r="12" spans="1:13" ht="14.25" customHeight="1">
      <c r="A12" s="55">
        <v>9</v>
      </c>
      <c r="B12" s="6">
        <v>7</v>
      </c>
      <c r="C12" s="6">
        <v>10</v>
      </c>
      <c r="D12" s="6">
        <v>6</v>
      </c>
    </row>
    <row r="13" spans="1:13" ht="14.25" customHeight="1">
      <c r="A13" s="55">
        <v>10</v>
      </c>
      <c r="B13" s="6">
        <v>8</v>
      </c>
      <c r="C13" s="6">
        <v>4</v>
      </c>
      <c r="D13" s="6">
        <v>5</v>
      </c>
    </row>
    <row r="14" spans="1:13" ht="14.25" customHeight="1">
      <c r="A14" s="55">
        <v>11</v>
      </c>
      <c r="B14" s="6">
        <v>10</v>
      </c>
      <c r="C14" s="6">
        <v>5</v>
      </c>
      <c r="D14" s="6">
        <v>5</v>
      </c>
      <c r="H14" s="2" t="s">
        <v>526</v>
      </c>
      <c r="M14" s="2">
        <f>B22</f>
        <v>38.888888888888886</v>
      </c>
    </row>
    <row r="15" spans="1:13" ht="14.25" customHeight="1">
      <c r="A15" s="55">
        <v>12</v>
      </c>
      <c r="B15" s="6">
        <v>4</v>
      </c>
      <c r="C15" s="6">
        <v>2</v>
      </c>
      <c r="D15" s="6">
        <v>12</v>
      </c>
    </row>
    <row r="16" spans="1:13" ht="14.25" customHeight="1">
      <c r="A16" s="4" t="s">
        <v>1</v>
      </c>
      <c r="B16" s="5">
        <f t="shared" ref="B16:D16" si="0">AVERAGE(B4:B15)</f>
        <v>4.5</v>
      </c>
      <c r="C16" s="5">
        <f t="shared" si="0"/>
        <v>5.333333333333333</v>
      </c>
      <c r="D16" s="5">
        <f t="shared" si="0"/>
        <v>7</v>
      </c>
      <c r="H16" s="2" t="s">
        <v>527</v>
      </c>
      <c r="M16" s="2">
        <f>3-1</f>
        <v>2</v>
      </c>
    </row>
    <row r="17" spans="1:16" ht="14.25" customHeight="1">
      <c r="A17" s="8" t="s">
        <v>528</v>
      </c>
      <c r="B17" s="104">
        <f>AVERAGE(B4:D15)</f>
        <v>5.6111111111111107</v>
      </c>
      <c r="C17" s="105"/>
      <c r="D17" s="106"/>
      <c r="H17" s="2" t="s">
        <v>529</v>
      </c>
    </row>
    <row r="18" spans="1:16" ht="14.25" customHeight="1">
      <c r="A18" s="33" t="s">
        <v>530</v>
      </c>
      <c r="B18" s="33">
        <f t="shared" ref="B18:D18" si="1">B16-$B$17</f>
        <v>-1.1111111111111107</v>
      </c>
      <c r="C18" s="23">
        <f t="shared" si="1"/>
        <v>-0.27777777777777768</v>
      </c>
      <c r="D18" s="57">
        <f t="shared" si="1"/>
        <v>1.3888888888888893</v>
      </c>
    </row>
    <row r="19" spans="1:16" ht="14.25" customHeight="1">
      <c r="A19" s="55" t="s">
        <v>531</v>
      </c>
      <c r="B19" s="55">
        <f t="shared" ref="B19:D19" si="2">B18^2</f>
        <v>1.2345679012345669</v>
      </c>
      <c r="C19" s="6">
        <f t="shared" si="2"/>
        <v>7.7160493827160434E-2</v>
      </c>
      <c r="D19" s="7">
        <f t="shared" si="2"/>
        <v>1.9290123456790134</v>
      </c>
      <c r="H19" s="2" t="s">
        <v>532</v>
      </c>
      <c r="M19" s="2">
        <f>B40</f>
        <v>179.66666666666669</v>
      </c>
    </row>
    <row r="20" spans="1:16" ht="14.25" customHeight="1">
      <c r="A20" s="55" t="s">
        <v>533</v>
      </c>
      <c r="B20" s="55">
        <v>12</v>
      </c>
      <c r="C20" s="6">
        <v>12</v>
      </c>
      <c r="D20" s="7">
        <v>12</v>
      </c>
    </row>
    <row r="21" spans="1:16" ht="14.25" customHeight="1">
      <c r="A21" s="55" t="s">
        <v>534</v>
      </c>
      <c r="B21" s="58">
        <f t="shared" ref="B21:D21" si="3">B19*B20</f>
        <v>14.814814814814802</v>
      </c>
      <c r="C21" s="8">
        <f t="shared" si="3"/>
        <v>0.92592592592592515</v>
      </c>
      <c r="D21" s="56">
        <f t="shared" si="3"/>
        <v>23.148148148148159</v>
      </c>
      <c r="H21" s="2" t="s">
        <v>535</v>
      </c>
      <c r="M21" s="2">
        <f>36-3</f>
        <v>33</v>
      </c>
    </row>
    <row r="22" spans="1:16" ht="14.25" customHeight="1">
      <c r="A22" s="4" t="s">
        <v>536</v>
      </c>
      <c r="B22" s="107">
        <f>SUM(B21:D21)</f>
        <v>38.888888888888886</v>
      </c>
      <c r="C22" s="98"/>
      <c r="D22" s="99"/>
      <c r="H22" s="2" t="s">
        <v>537</v>
      </c>
    </row>
    <row r="23" spans="1:16" ht="14.25" customHeight="1"/>
    <row r="24" spans="1:16" ht="14.25" customHeight="1">
      <c r="K24" s="2" t="s">
        <v>538</v>
      </c>
      <c r="N24" s="2">
        <f>M14/M16</f>
        <v>19.444444444444443</v>
      </c>
    </row>
    <row r="25" spans="1:16" ht="14.25" customHeight="1">
      <c r="B25" s="34" t="s">
        <v>522</v>
      </c>
      <c r="C25" s="34" t="s">
        <v>539</v>
      </c>
      <c r="D25" s="27"/>
      <c r="E25" s="34" t="s">
        <v>523</v>
      </c>
      <c r="F25" s="34" t="s">
        <v>539</v>
      </c>
      <c r="G25" s="27"/>
      <c r="H25" s="34" t="s">
        <v>524</v>
      </c>
      <c r="I25" s="34" t="s">
        <v>539</v>
      </c>
    </row>
    <row r="26" spans="1:16" ht="14.25" customHeight="1">
      <c r="B26" s="25">
        <v>6</v>
      </c>
      <c r="C26" s="25">
        <f t="shared" ref="C26:C37" si="4">(B26-$B$38)^2</f>
        <v>2.25</v>
      </c>
      <c r="D26" s="18"/>
      <c r="E26" s="25">
        <v>4</v>
      </c>
      <c r="F26" s="25">
        <f t="shared" ref="F26:F37" si="5">(E26-$E$38)^2</f>
        <v>1.777777777777777</v>
      </c>
      <c r="G26" s="18"/>
      <c r="H26" s="25">
        <v>6</v>
      </c>
      <c r="I26" s="25">
        <f t="shared" ref="I26:I37" si="6">(H26-$H$38)^2</f>
        <v>1</v>
      </c>
      <c r="K26" s="2" t="s">
        <v>540</v>
      </c>
      <c r="N26" s="2">
        <f>M19/M21</f>
        <v>5.4444444444444446</v>
      </c>
    </row>
    <row r="27" spans="1:16" ht="14.25" customHeight="1">
      <c r="B27" s="25">
        <v>2</v>
      </c>
      <c r="C27" s="25">
        <f t="shared" si="4"/>
        <v>6.25</v>
      </c>
      <c r="D27" s="18"/>
      <c r="E27" s="25">
        <v>4</v>
      </c>
      <c r="F27" s="25">
        <f t="shared" si="5"/>
        <v>1.777777777777777</v>
      </c>
      <c r="G27" s="18"/>
      <c r="H27" s="25">
        <v>7</v>
      </c>
      <c r="I27" s="25">
        <f t="shared" si="6"/>
        <v>0</v>
      </c>
    </row>
    <row r="28" spans="1:16" ht="14.25" customHeight="1">
      <c r="B28" s="25">
        <v>3</v>
      </c>
      <c r="C28" s="25">
        <f t="shared" si="4"/>
        <v>2.25</v>
      </c>
      <c r="D28" s="18"/>
      <c r="E28" s="25">
        <v>5</v>
      </c>
      <c r="F28" s="25">
        <f t="shared" si="5"/>
        <v>0.11111111111111091</v>
      </c>
      <c r="G28" s="18"/>
      <c r="H28" s="25">
        <v>5</v>
      </c>
      <c r="I28" s="25">
        <f t="shared" si="6"/>
        <v>4</v>
      </c>
    </row>
    <row r="29" spans="1:16" ht="14.25" customHeight="1">
      <c r="B29" s="25">
        <v>4</v>
      </c>
      <c r="C29" s="25">
        <f t="shared" si="4"/>
        <v>0.25</v>
      </c>
      <c r="D29" s="18"/>
      <c r="E29" s="25">
        <v>7</v>
      </c>
      <c r="F29" s="25">
        <f t="shared" si="5"/>
        <v>2.7777777777777786</v>
      </c>
      <c r="G29" s="18"/>
      <c r="H29" s="25">
        <v>6</v>
      </c>
      <c r="I29" s="25">
        <f t="shared" si="6"/>
        <v>1</v>
      </c>
    </row>
    <row r="30" spans="1:16" ht="14.25" customHeight="1">
      <c r="B30" s="25">
        <v>2</v>
      </c>
      <c r="C30" s="25">
        <f t="shared" si="4"/>
        <v>6.25</v>
      </c>
      <c r="D30" s="18"/>
      <c r="E30" s="25">
        <v>8</v>
      </c>
      <c r="F30" s="25">
        <f t="shared" si="5"/>
        <v>7.1111111111111125</v>
      </c>
      <c r="G30" s="18"/>
      <c r="H30" s="25">
        <v>8</v>
      </c>
      <c r="I30" s="25">
        <f t="shared" si="6"/>
        <v>1</v>
      </c>
      <c r="K30" s="2" t="s">
        <v>541</v>
      </c>
      <c r="L30" s="2">
        <f>(M14/M16) / (M19/M21)</f>
        <v>3.5714285714285712</v>
      </c>
      <c r="N30" s="2">
        <f>N24/N26</f>
        <v>3.5714285714285712</v>
      </c>
    </row>
    <row r="31" spans="1:16" ht="14.25" customHeight="1">
      <c r="B31" s="25">
        <v>3</v>
      </c>
      <c r="C31" s="25">
        <f t="shared" si="4"/>
        <v>2.25</v>
      </c>
      <c r="D31" s="18"/>
      <c r="E31" s="25">
        <v>5</v>
      </c>
      <c r="F31" s="25">
        <f t="shared" si="5"/>
        <v>0.11111111111111091</v>
      </c>
      <c r="G31" s="18"/>
      <c r="H31" s="25">
        <v>7</v>
      </c>
      <c r="I31" s="25">
        <f t="shared" si="6"/>
        <v>0</v>
      </c>
    </row>
    <row r="32" spans="1:16" ht="14.25" customHeight="1">
      <c r="B32" s="25">
        <v>3</v>
      </c>
      <c r="C32" s="25">
        <f t="shared" si="4"/>
        <v>2.25</v>
      </c>
      <c r="D32" s="18"/>
      <c r="E32" s="25">
        <v>3</v>
      </c>
      <c r="F32" s="25">
        <f t="shared" si="5"/>
        <v>5.4444444444444429</v>
      </c>
      <c r="G32" s="18"/>
      <c r="H32" s="25">
        <v>8</v>
      </c>
      <c r="I32" s="25">
        <f t="shared" si="6"/>
        <v>1</v>
      </c>
      <c r="K32" s="2" t="s">
        <v>542</v>
      </c>
      <c r="N32" s="2">
        <v>3.3157999999999999</v>
      </c>
      <c r="P32" s="2" t="s">
        <v>543</v>
      </c>
    </row>
    <row r="33" spans="1:11" ht="14.25" customHeight="1">
      <c r="B33" s="25">
        <v>2</v>
      </c>
      <c r="C33" s="25">
        <f t="shared" si="4"/>
        <v>6.25</v>
      </c>
      <c r="D33" s="18"/>
      <c r="E33" s="25">
        <v>7</v>
      </c>
      <c r="F33" s="25">
        <f t="shared" si="5"/>
        <v>2.7777777777777786</v>
      </c>
      <c r="G33" s="18"/>
      <c r="H33" s="25">
        <v>9</v>
      </c>
      <c r="I33" s="25">
        <f t="shared" si="6"/>
        <v>4</v>
      </c>
    </row>
    <row r="34" spans="1:11" ht="14.25" customHeight="1">
      <c r="B34" s="25">
        <v>7</v>
      </c>
      <c r="C34" s="25">
        <f t="shared" si="4"/>
        <v>6.25</v>
      </c>
      <c r="D34" s="18"/>
      <c r="E34" s="25">
        <v>10</v>
      </c>
      <c r="F34" s="25">
        <f t="shared" si="5"/>
        <v>21.777777777777782</v>
      </c>
      <c r="G34" s="18"/>
      <c r="H34" s="25">
        <v>6</v>
      </c>
      <c r="I34" s="25">
        <f t="shared" si="6"/>
        <v>1</v>
      </c>
      <c r="K34" s="2" t="s">
        <v>544</v>
      </c>
    </row>
    <row r="35" spans="1:11" ht="14.25" customHeight="1">
      <c r="B35" s="25">
        <v>8</v>
      </c>
      <c r="C35" s="25">
        <f t="shared" si="4"/>
        <v>12.25</v>
      </c>
      <c r="D35" s="18"/>
      <c r="E35" s="25">
        <v>4</v>
      </c>
      <c r="F35" s="25">
        <f t="shared" si="5"/>
        <v>1.777777777777777</v>
      </c>
      <c r="G35" s="18"/>
      <c r="H35" s="25">
        <v>5</v>
      </c>
      <c r="I35" s="25">
        <f t="shared" si="6"/>
        <v>4</v>
      </c>
    </row>
    <row r="36" spans="1:11" ht="14.25" customHeight="1">
      <c r="B36" s="25">
        <v>10</v>
      </c>
      <c r="C36" s="25">
        <f t="shared" si="4"/>
        <v>30.25</v>
      </c>
      <c r="D36" s="18"/>
      <c r="E36" s="25">
        <v>5</v>
      </c>
      <c r="F36" s="25">
        <f t="shared" si="5"/>
        <v>0.11111111111111091</v>
      </c>
      <c r="G36" s="18"/>
      <c r="H36" s="25">
        <v>5</v>
      </c>
      <c r="I36" s="25">
        <f t="shared" si="6"/>
        <v>4</v>
      </c>
      <c r="K36" s="2" t="s">
        <v>545</v>
      </c>
    </row>
    <row r="37" spans="1:11" ht="14.25" customHeight="1">
      <c r="B37" s="25">
        <v>4</v>
      </c>
      <c r="C37" s="25">
        <f t="shared" si="4"/>
        <v>0.25</v>
      </c>
      <c r="D37" s="18"/>
      <c r="E37" s="25">
        <v>2</v>
      </c>
      <c r="F37" s="25">
        <f t="shared" si="5"/>
        <v>11.111111111111109</v>
      </c>
      <c r="G37" s="18"/>
      <c r="H37" s="25">
        <v>12</v>
      </c>
      <c r="I37" s="25">
        <f t="shared" si="6"/>
        <v>25</v>
      </c>
    </row>
    <row r="38" spans="1:11" ht="14.25" customHeight="1">
      <c r="A38" s="2" t="s">
        <v>24</v>
      </c>
      <c r="B38" s="59">
        <f>AVERAGE(B26:B37)</f>
        <v>4.5</v>
      </c>
      <c r="C38" s="34">
        <f>SUM(C26:C37)</f>
        <v>77</v>
      </c>
      <c r="D38" s="34"/>
      <c r="E38" s="34">
        <f>AVERAGE(E26:E37)</f>
        <v>5.333333333333333</v>
      </c>
      <c r="F38" s="34">
        <f>SUM(F26:F37)</f>
        <v>56.666666666666671</v>
      </c>
      <c r="G38" s="34"/>
      <c r="H38" s="34">
        <f>AVERAGE(H26:H37)</f>
        <v>7</v>
      </c>
      <c r="I38" s="34">
        <f>SUM(I26:I37)</f>
        <v>46</v>
      </c>
      <c r="K38" s="2" t="s">
        <v>546</v>
      </c>
    </row>
    <row r="39" spans="1:11" ht="14.25" customHeight="1"/>
    <row r="40" spans="1:11" ht="14.25" customHeight="1">
      <c r="A40" s="2" t="s">
        <v>547</v>
      </c>
      <c r="B40" s="2">
        <f>C38+F38+I38</f>
        <v>179.66666666666669</v>
      </c>
    </row>
    <row r="41" spans="1:11" ht="14.25" customHeight="1"/>
    <row r="42" spans="1:11" ht="14.25" customHeight="1"/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7:D17"/>
    <mergeCell ref="B22:D22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000"/>
  <sheetViews>
    <sheetView workbookViewId="0"/>
  </sheetViews>
  <sheetFormatPr defaultColWidth="14.44140625" defaultRowHeight="15" customHeight="1"/>
  <cols>
    <col min="1" max="1" width="8.6640625" customWidth="1"/>
    <col min="2" max="8" width="16" customWidth="1"/>
    <col min="9" max="26" width="8.6640625" customWidth="1"/>
  </cols>
  <sheetData>
    <row r="1" spans="1:10" ht="14.25" customHeight="1">
      <c r="A1" s="60"/>
      <c r="B1" s="60"/>
      <c r="C1" s="60"/>
      <c r="D1" s="60"/>
      <c r="E1" s="60"/>
      <c r="F1" s="60"/>
      <c r="G1" s="60"/>
      <c r="H1" s="60"/>
      <c r="I1" s="60"/>
      <c r="J1" s="60"/>
    </row>
    <row r="2" spans="1:10" ht="14.25" customHeight="1">
      <c r="A2" s="60"/>
      <c r="B2" s="108" t="s">
        <v>548</v>
      </c>
      <c r="C2" s="98"/>
      <c r="D2" s="98"/>
      <c r="E2" s="98"/>
      <c r="F2" s="98"/>
      <c r="G2" s="98"/>
      <c r="H2" s="98"/>
      <c r="I2" s="99"/>
      <c r="J2" s="60"/>
    </row>
    <row r="3" spans="1:10" ht="14.25" customHeight="1">
      <c r="A3" s="60"/>
      <c r="B3" s="61"/>
      <c r="C3" s="109" t="s">
        <v>549</v>
      </c>
      <c r="D3" s="110"/>
      <c r="E3" s="110"/>
      <c r="F3" s="110"/>
      <c r="G3" s="110"/>
      <c r="H3" s="111"/>
      <c r="I3" s="61"/>
      <c r="J3" s="60"/>
    </row>
    <row r="4" spans="1:10" ht="14.25" customHeight="1">
      <c r="A4" s="60"/>
      <c r="B4" s="62" t="s">
        <v>550</v>
      </c>
      <c r="C4" s="62">
        <v>1</v>
      </c>
      <c r="D4" s="63">
        <v>2</v>
      </c>
      <c r="E4" s="63">
        <v>3</v>
      </c>
      <c r="F4" s="63">
        <v>4</v>
      </c>
      <c r="G4" s="63">
        <v>6</v>
      </c>
      <c r="H4" s="64">
        <v>8</v>
      </c>
      <c r="I4" s="64" t="s">
        <v>551</v>
      </c>
      <c r="J4" s="60"/>
    </row>
    <row r="5" spans="1:10" ht="14.25" customHeight="1">
      <c r="A5" s="60"/>
      <c r="B5" s="61">
        <v>3</v>
      </c>
      <c r="C5" s="60">
        <v>3</v>
      </c>
      <c r="D5" s="60">
        <v>4</v>
      </c>
      <c r="E5" s="60">
        <v>3</v>
      </c>
      <c r="F5" s="60">
        <v>5</v>
      </c>
      <c r="G5" s="60">
        <v>0</v>
      </c>
      <c r="H5" s="60">
        <v>0</v>
      </c>
      <c r="I5" s="61">
        <v>15</v>
      </c>
      <c r="J5" s="60"/>
    </row>
    <row r="6" spans="1:10" ht="14.25" customHeight="1">
      <c r="A6" s="60"/>
      <c r="B6" s="61">
        <v>4</v>
      </c>
      <c r="C6" s="60">
        <v>4</v>
      </c>
      <c r="D6" s="60">
        <v>4</v>
      </c>
      <c r="E6" s="60">
        <v>0</v>
      </c>
      <c r="F6" s="60">
        <v>4</v>
      </c>
      <c r="G6" s="60">
        <v>0</v>
      </c>
      <c r="H6" s="60">
        <v>0</v>
      </c>
      <c r="I6" s="61">
        <v>12</v>
      </c>
      <c r="J6" s="60"/>
    </row>
    <row r="7" spans="1:10" ht="14.25" customHeight="1">
      <c r="A7" s="60"/>
      <c r="B7" s="61">
        <v>5</v>
      </c>
      <c r="C7" s="60">
        <v>0</v>
      </c>
      <c r="D7" s="60">
        <v>2</v>
      </c>
      <c r="E7" s="60">
        <v>0</v>
      </c>
      <c r="F7" s="60">
        <v>1</v>
      </c>
      <c r="G7" s="60">
        <v>1</v>
      </c>
      <c r="H7" s="60">
        <v>1</v>
      </c>
      <c r="I7" s="61">
        <v>5</v>
      </c>
      <c r="J7" s="60"/>
    </row>
    <row r="8" spans="1:10" ht="14.25" customHeight="1">
      <c r="A8" s="60"/>
      <c r="B8" s="65" t="s">
        <v>551</v>
      </c>
      <c r="C8" s="63">
        <v>7</v>
      </c>
      <c r="D8" s="63">
        <v>10</v>
      </c>
      <c r="E8" s="63">
        <v>3</v>
      </c>
      <c r="F8" s="63">
        <v>10</v>
      </c>
      <c r="G8" s="63">
        <v>1</v>
      </c>
      <c r="H8" s="63">
        <v>1</v>
      </c>
      <c r="I8" s="65">
        <v>32</v>
      </c>
      <c r="J8" s="60"/>
    </row>
    <row r="9" spans="1:10" ht="14.25" customHeight="1">
      <c r="A9" s="60"/>
      <c r="B9" s="60"/>
      <c r="C9" s="60"/>
      <c r="D9" s="60"/>
      <c r="E9" s="60"/>
      <c r="F9" s="60"/>
      <c r="G9" s="60"/>
      <c r="H9" s="60"/>
      <c r="I9" s="60"/>
      <c r="J9" s="60"/>
    </row>
    <row r="10" spans="1:10" ht="14.25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</row>
    <row r="11" spans="1:10" ht="14.25" customHeight="1">
      <c r="A11" s="60"/>
      <c r="B11" s="108" t="s">
        <v>552</v>
      </c>
      <c r="C11" s="98"/>
      <c r="D11" s="98"/>
      <c r="E11" s="98"/>
      <c r="F11" s="98"/>
      <c r="G11" s="98"/>
      <c r="H11" s="98"/>
      <c r="I11" s="99"/>
      <c r="J11" s="60"/>
    </row>
    <row r="12" spans="1:10" ht="14.25" customHeight="1">
      <c r="A12" s="60"/>
      <c r="B12" s="61"/>
      <c r="C12" s="112" t="s">
        <v>549</v>
      </c>
      <c r="D12" s="113"/>
      <c r="E12" s="113"/>
      <c r="F12" s="113"/>
      <c r="G12" s="113"/>
      <c r="H12" s="114"/>
      <c r="I12" s="61"/>
      <c r="J12" s="60"/>
    </row>
    <row r="13" spans="1:10" ht="14.25" customHeight="1">
      <c r="A13" s="60"/>
      <c r="B13" s="62" t="s">
        <v>550</v>
      </c>
      <c r="C13" s="62">
        <v>1</v>
      </c>
      <c r="D13" s="63">
        <v>2</v>
      </c>
      <c r="E13" s="63">
        <v>3</v>
      </c>
      <c r="F13" s="63">
        <v>4</v>
      </c>
      <c r="G13" s="63">
        <v>6</v>
      </c>
      <c r="H13" s="64">
        <v>8</v>
      </c>
      <c r="I13" s="64" t="s">
        <v>551</v>
      </c>
      <c r="J13" s="60"/>
    </row>
    <row r="14" spans="1:10" ht="14.25" customHeight="1">
      <c r="A14" s="60"/>
      <c r="B14" s="61">
        <v>3</v>
      </c>
      <c r="C14" s="66">
        <f t="shared" ref="C14:H14" si="0">($I5*C$8)/$I$8</f>
        <v>3.28125</v>
      </c>
      <c r="D14" s="66">
        <f t="shared" si="0"/>
        <v>4.6875</v>
      </c>
      <c r="E14" s="66">
        <f t="shared" si="0"/>
        <v>1.40625</v>
      </c>
      <c r="F14" s="66">
        <f t="shared" si="0"/>
        <v>4.6875</v>
      </c>
      <c r="G14" s="66">
        <f t="shared" si="0"/>
        <v>0.46875</v>
      </c>
      <c r="H14" s="66">
        <f t="shared" si="0"/>
        <v>0.46875</v>
      </c>
      <c r="I14" s="61">
        <v>15</v>
      </c>
      <c r="J14" s="60"/>
    </row>
    <row r="15" spans="1:10" ht="14.25" customHeight="1">
      <c r="A15" s="60"/>
      <c r="B15" s="61">
        <v>4</v>
      </c>
      <c r="C15" s="66">
        <f t="shared" ref="C15:H15" si="1">($I6*C$8)/$I$8</f>
        <v>2.625</v>
      </c>
      <c r="D15" s="66">
        <f t="shared" si="1"/>
        <v>3.75</v>
      </c>
      <c r="E15" s="66">
        <f t="shared" si="1"/>
        <v>1.125</v>
      </c>
      <c r="F15" s="66">
        <f t="shared" si="1"/>
        <v>3.75</v>
      </c>
      <c r="G15" s="66">
        <f t="shared" si="1"/>
        <v>0.375</v>
      </c>
      <c r="H15" s="66">
        <f t="shared" si="1"/>
        <v>0.375</v>
      </c>
      <c r="I15" s="61">
        <v>12</v>
      </c>
      <c r="J15" s="60"/>
    </row>
    <row r="16" spans="1:10" ht="14.25" customHeight="1">
      <c r="A16" s="60"/>
      <c r="B16" s="61">
        <v>5</v>
      </c>
      <c r="C16" s="66">
        <f t="shared" ref="C16:H16" si="2">($I7*C$8)/$I$8</f>
        <v>1.09375</v>
      </c>
      <c r="D16" s="66">
        <f t="shared" si="2"/>
        <v>1.5625</v>
      </c>
      <c r="E16" s="66">
        <f t="shared" si="2"/>
        <v>0.46875</v>
      </c>
      <c r="F16" s="66">
        <f t="shared" si="2"/>
        <v>1.5625</v>
      </c>
      <c r="G16" s="66">
        <f t="shared" si="2"/>
        <v>0.15625</v>
      </c>
      <c r="H16" s="66">
        <f t="shared" si="2"/>
        <v>0.15625</v>
      </c>
      <c r="I16" s="61">
        <v>5</v>
      </c>
      <c r="J16" s="60"/>
    </row>
    <row r="17" spans="1:10" ht="14.25" customHeight="1">
      <c r="A17" s="60"/>
      <c r="B17" s="65" t="s">
        <v>551</v>
      </c>
      <c r="C17" s="63">
        <v>7</v>
      </c>
      <c r="D17" s="63">
        <v>10</v>
      </c>
      <c r="E17" s="63">
        <v>3</v>
      </c>
      <c r="F17" s="63">
        <v>10</v>
      </c>
      <c r="G17" s="63">
        <v>1</v>
      </c>
      <c r="H17" s="63">
        <v>1</v>
      </c>
      <c r="I17" s="65">
        <v>32</v>
      </c>
      <c r="J17" s="60"/>
    </row>
    <row r="18" spans="1:10" ht="14.25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0" ht="14.25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0" ht="14.25" customHeight="1">
      <c r="A20" s="60"/>
      <c r="B20" s="108" t="s">
        <v>553</v>
      </c>
      <c r="C20" s="98"/>
      <c r="D20" s="98"/>
      <c r="E20" s="98"/>
      <c r="F20" s="98"/>
      <c r="G20" s="98"/>
      <c r="H20" s="99"/>
      <c r="I20" s="60"/>
      <c r="J20" s="60"/>
    </row>
    <row r="21" spans="1:10" ht="14.25" customHeight="1">
      <c r="A21" s="60"/>
      <c r="B21" s="61"/>
      <c r="C21" s="108" t="s">
        <v>549</v>
      </c>
      <c r="D21" s="98"/>
      <c r="E21" s="98"/>
      <c r="F21" s="98"/>
      <c r="G21" s="98"/>
      <c r="H21" s="99"/>
      <c r="I21" s="60"/>
      <c r="J21" s="60"/>
    </row>
    <row r="22" spans="1:10" ht="14.25" customHeight="1">
      <c r="A22" s="60"/>
      <c r="B22" s="65" t="s">
        <v>550</v>
      </c>
      <c r="C22" s="67">
        <v>1</v>
      </c>
      <c r="D22" s="67">
        <v>2</v>
      </c>
      <c r="E22" s="67">
        <v>3</v>
      </c>
      <c r="F22" s="67">
        <v>4</v>
      </c>
      <c r="G22" s="67">
        <v>6</v>
      </c>
      <c r="H22" s="68">
        <v>8</v>
      </c>
      <c r="I22" s="60"/>
      <c r="J22" s="60"/>
    </row>
    <row r="23" spans="1:10" ht="14.25" customHeight="1">
      <c r="A23" s="60"/>
      <c r="B23" s="69">
        <v>3</v>
      </c>
      <c r="C23" s="70">
        <f t="shared" ref="C23:H23" si="3">((C5-C14)^2)/C14</f>
        <v>2.4107142857142858E-2</v>
      </c>
      <c r="D23" s="71">
        <f t="shared" si="3"/>
        <v>0.10083333333333333</v>
      </c>
      <c r="E23" s="71">
        <f t="shared" si="3"/>
        <v>1.8062499999999999</v>
      </c>
      <c r="F23" s="71">
        <f t="shared" si="3"/>
        <v>2.0833333333333332E-2</v>
      </c>
      <c r="G23" s="71">
        <f t="shared" si="3"/>
        <v>0.46875</v>
      </c>
      <c r="H23" s="72">
        <f t="shared" si="3"/>
        <v>0.46875</v>
      </c>
      <c r="I23" s="60"/>
      <c r="J23" s="60"/>
    </row>
    <row r="24" spans="1:10" ht="14.25" customHeight="1">
      <c r="A24" s="60"/>
      <c r="B24" s="69">
        <v>4</v>
      </c>
      <c r="C24" s="73">
        <f t="shared" ref="C24:H24" si="4">((C6-C15)^2)/C15</f>
        <v>0.72023809523809523</v>
      </c>
      <c r="D24" s="60">
        <f t="shared" si="4"/>
        <v>1.6666666666666666E-2</v>
      </c>
      <c r="E24" s="60">
        <f t="shared" si="4"/>
        <v>1.125</v>
      </c>
      <c r="F24" s="60">
        <f t="shared" si="4"/>
        <v>1.6666666666666666E-2</v>
      </c>
      <c r="G24" s="60">
        <f t="shared" si="4"/>
        <v>0.375</v>
      </c>
      <c r="H24" s="74">
        <f t="shared" si="4"/>
        <v>0.375</v>
      </c>
      <c r="I24" s="60"/>
      <c r="J24" s="60"/>
    </row>
    <row r="25" spans="1:10" ht="14.25" customHeight="1">
      <c r="A25" s="60"/>
      <c r="B25" s="75">
        <v>5</v>
      </c>
      <c r="C25" s="76">
        <f t="shared" ref="C25:H25" si="5">((C7-C16)^2)/C16</f>
        <v>1.09375</v>
      </c>
      <c r="D25" s="77">
        <f t="shared" si="5"/>
        <v>0.1225</v>
      </c>
      <c r="E25" s="77">
        <f t="shared" si="5"/>
        <v>0.46875</v>
      </c>
      <c r="F25" s="77">
        <f t="shared" si="5"/>
        <v>0.20250000000000001</v>
      </c>
      <c r="G25" s="77">
        <f t="shared" si="5"/>
        <v>4.5562500000000004</v>
      </c>
      <c r="H25" s="78">
        <f t="shared" si="5"/>
        <v>4.5562500000000004</v>
      </c>
      <c r="I25" s="60"/>
      <c r="J25" s="60"/>
    </row>
    <row r="26" spans="1:10" ht="14.2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4.2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</row>
    <row r="28" spans="1:10" ht="14.25" customHeight="1">
      <c r="A28" s="60"/>
      <c r="B28" s="60" t="s">
        <v>554</v>
      </c>
      <c r="C28" s="60"/>
      <c r="D28" s="60"/>
      <c r="E28" s="60">
        <f>SUM(C23:H25)</f>
        <v>16.518095238095235</v>
      </c>
      <c r="F28" s="60"/>
      <c r="G28" s="60"/>
      <c r="H28" s="60"/>
      <c r="I28" s="60"/>
      <c r="J28" s="60"/>
    </row>
    <row r="29" spans="1:10" ht="14.2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</row>
    <row r="30" spans="1:10" ht="14.25" customHeight="1">
      <c r="A30" s="60"/>
      <c r="B30" s="60" t="s">
        <v>555</v>
      </c>
      <c r="C30" s="60"/>
      <c r="D30" s="60"/>
      <c r="E30" s="60">
        <f>(3-1)*(6-1)</f>
        <v>10</v>
      </c>
      <c r="F30" s="60"/>
      <c r="G30" s="60"/>
      <c r="H30" s="60"/>
      <c r="I30" s="60"/>
      <c r="J30" s="60"/>
    </row>
    <row r="31" spans="1:10" ht="14.2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</row>
    <row r="32" spans="1:10" ht="14.25" customHeight="1">
      <c r="A32" s="60"/>
      <c r="B32" s="60" t="s">
        <v>556</v>
      </c>
      <c r="C32" s="60"/>
      <c r="D32" s="60"/>
      <c r="E32" s="60">
        <v>18.306999999999999</v>
      </c>
      <c r="F32" s="60"/>
      <c r="G32" s="60"/>
      <c r="H32" s="60"/>
      <c r="I32" s="60"/>
      <c r="J32" s="60"/>
    </row>
    <row r="33" spans="1:11" ht="14.2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</row>
    <row r="34" spans="1:11" ht="14.25" customHeight="1">
      <c r="A34" s="60"/>
      <c r="B34" s="60" t="s">
        <v>557</v>
      </c>
      <c r="C34" s="60"/>
      <c r="D34" s="60"/>
      <c r="E34" s="60"/>
      <c r="F34" s="60"/>
      <c r="G34" s="60"/>
      <c r="H34" s="60"/>
      <c r="I34" s="60"/>
      <c r="J34" s="60"/>
    </row>
    <row r="35" spans="1:11" ht="14.25" customHeight="1">
      <c r="A35" s="60"/>
      <c r="B35" s="60" t="s">
        <v>558</v>
      </c>
      <c r="C35" s="60"/>
      <c r="D35" s="60"/>
      <c r="E35" s="60"/>
      <c r="F35" s="60"/>
      <c r="G35" s="60"/>
      <c r="H35" s="60"/>
      <c r="I35" s="60"/>
      <c r="J35" s="60"/>
    </row>
    <row r="36" spans="1:11" ht="14.25" customHeight="1">
      <c r="A36" s="60"/>
      <c r="B36" s="60" t="s">
        <v>559</v>
      </c>
      <c r="C36" s="60"/>
      <c r="D36" s="60"/>
      <c r="E36" s="60"/>
      <c r="F36" s="60"/>
      <c r="G36" s="60"/>
      <c r="H36" s="60"/>
      <c r="I36" s="60"/>
      <c r="J36" s="60"/>
    </row>
    <row r="37" spans="1:11" ht="14.2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</row>
    <row r="38" spans="1:11" ht="14.25" customHeight="1">
      <c r="A38" s="60"/>
      <c r="B38" s="60" t="s">
        <v>560</v>
      </c>
      <c r="C38" s="60"/>
      <c r="D38" s="60"/>
      <c r="E38" s="60"/>
      <c r="F38" s="60"/>
      <c r="G38" s="60"/>
      <c r="H38" s="60"/>
      <c r="I38" s="60"/>
      <c r="J38" s="60"/>
    </row>
    <row r="39" spans="1:11" ht="14.2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</row>
    <row r="40" spans="1:11" ht="14.25" customHeight="1">
      <c r="A40" s="60"/>
      <c r="B40" s="60" t="s">
        <v>561</v>
      </c>
      <c r="C40" s="60"/>
      <c r="D40" s="60"/>
      <c r="E40" s="60"/>
      <c r="F40" s="60"/>
      <c r="G40" s="60"/>
      <c r="H40" s="60"/>
      <c r="I40" s="60"/>
      <c r="J40" s="60"/>
    </row>
    <row r="41" spans="1:11" ht="14.2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1" ht="14.2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1" ht="14.25" customHeight="1">
      <c r="A43" s="60"/>
      <c r="B43" s="115" t="s">
        <v>562</v>
      </c>
      <c r="C43" s="98"/>
      <c r="D43" s="98"/>
      <c r="E43" s="98"/>
      <c r="F43" s="98"/>
      <c r="G43" s="98"/>
      <c r="H43" s="99"/>
      <c r="I43" s="60"/>
      <c r="J43" s="60"/>
      <c r="K43" s="2" t="s">
        <v>563</v>
      </c>
    </row>
    <row r="44" spans="1:11" ht="14.25" customHeight="1">
      <c r="A44" s="60"/>
      <c r="B44" s="79"/>
      <c r="C44" s="80"/>
      <c r="D44" s="116" t="s">
        <v>564</v>
      </c>
      <c r="E44" s="98"/>
      <c r="F44" s="98"/>
      <c r="G44" s="99"/>
      <c r="H44" s="79"/>
      <c r="I44" s="60"/>
      <c r="J44" s="60"/>
      <c r="K44" s="82" t="s">
        <v>565</v>
      </c>
    </row>
    <row r="45" spans="1:11" ht="14.25" customHeight="1">
      <c r="A45" s="60"/>
      <c r="B45" s="83"/>
      <c r="C45" s="84"/>
      <c r="D45" s="81" t="s">
        <v>566</v>
      </c>
      <c r="E45" s="81" t="s">
        <v>567</v>
      </c>
      <c r="F45" s="81" t="s">
        <v>568</v>
      </c>
      <c r="G45" s="81" t="s">
        <v>569</v>
      </c>
      <c r="H45" s="83" t="s">
        <v>551</v>
      </c>
      <c r="I45" s="60"/>
      <c r="J45" s="60"/>
    </row>
    <row r="46" spans="1:11" ht="14.25" customHeight="1">
      <c r="A46" s="60"/>
      <c r="B46" s="117" t="s">
        <v>570</v>
      </c>
      <c r="C46" s="85" t="s">
        <v>571</v>
      </c>
      <c r="D46" s="80">
        <v>48</v>
      </c>
      <c r="E46" s="80">
        <v>22</v>
      </c>
      <c r="F46" s="80">
        <v>33</v>
      </c>
      <c r="G46" s="80">
        <v>47</v>
      </c>
      <c r="H46" s="79">
        <v>150</v>
      </c>
      <c r="I46" s="60"/>
      <c r="J46" s="60"/>
      <c r="K46" s="2" t="s">
        <v>572</v>
      </c>
    </row>
    <row r="47" spans="1:11" ht="14.25" customHeight="1">
      <c r="A47" s="60"/>
      <c r="B47" s="102"/>
      <c r="C47" s="86" t="s">
        <v>573</v>
      </c>
      <c r="D47" s="80">
        <v>35</v>
      </c>
      <c r="E47" s="80">
        <v>36</v>
      </c>
      <c r="F47" s="80">
        <v>42</v>
      </c>
      <c r="G47" s="80">
        <v>27</v>
      </c>
      <c r="H47" s="79">
        <v>140</v>
      </c>
      <c r="I47" s="60"/>
      <c r="J47" s="60"/>
      <c r="K47" s="87" t="s">
        <v>574</v>
      </c>
    </row>
    <row r="48" spans="1:11" ht="14.25" customHeight="1">
      <c r="A48" s="60"/>
      <c r="B48" s="88"/>
      <c r="C48" s="86" t="s">
        <v>551</v>
      </c>
      <c r="D48" s="81">
        <v>83</v>
      </c>
      <c r="E48" s="81">
        <v>58</v>
      </c>
      <c r="F48" s="81">
        <v>75</v>
      </c>
      <c r="G48" s="81">
        <v>74</v>
      </c>
      <c r="H48" s="83">
        <v>290</v>
      </c>
      <c r="I48" s="60"/>
      <c r="J48" s="60"/>
    </row>
    <row r="49" spans="1:10" ht="14.2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0" ht="14.2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</row>
    <row r="51" spans="1:10" ht="14.25" customHeight="1">
      <c r="A51" s="60"/>
      <c r="B51" s="115" t="s">
        <v>575</v>
      </c>
      <c r="C51" s="98"/>
      <c r="D51" s="98"/>
      <c r="E51" s="98"/>
      <c r="F51" s="98"/>
      <c r="G51" s="98"/>
      <c r="H51" s="99"/>
      <c r="I51" s="60"/>
      <c r="J51" s="60"/>
    </row>
    <row r="52" spans="1:10" ht="14.25" customHeight="1">
      <c r="A52" s="60"/>
      <c r="B52" s="79"/>
      <c r="C52" s="80"/>
      <c r="D52" s="116" t="s">
        <v>564</v>
      </c>
      <c r="E52" s="98"/>
      <c r="F52" s="98"/>
      <c r="G52" s="99"/>
      <c r="H52" s="79"/>
      <c r="I52" s="60"/>
      <c r="J52" s="60"/>
    </row>
    <row r="53" spans="1:10" ht="14.25" customHeight="1">
      <c r="A53" s="60"/>
      <c r="B53" s="83"/>
      <c r="C53" s="84"/>
      <c r="D53" s="81" t="s">
        <v>566</v>
      </c>
      <c r="E53" s="81" t="s">
        <v>567</v>
      </c>
      <c r="F53" s="81" t="s">
        <v>568</v>
      </c>
      <c r="G53" s="81" t="s">
        <v>569</v>
      </c>
      <c r="H53" s="83" t="s">
        <v>551</v>
      </c>
      <c r="I53" s="60"/>
      <c r="J53" s="60"/>
    </row>
    <row r="54" spans="1:10" ht="14.25" customHeight="1">
      <c r="A54" s="60"/>
      <c r="B54" s="117" t="s">
        <v>570</v>
      </c>
      <c r="C54" s="85" t="s">
        <v>571</v>
      </c>
      <c r="D54" s="89">
        <f t="shared" ref="D54:G54" si="6">($H46*D$48)/$H$48</f>
        <v>42.931034482758619</v>
      </c>
      <c r="E54" s="89">
        <f t="shared" si="6"/>
        <v>30</v>
      </c>
      <c r="F54" s="89">
        <f t="shared" si="6"/>
        <v>38.793103448275865</v>
      </c>
      <c r="G54" s="89">
        <f t="shared" si="6"/>
        <v>38.275862068965516</v>
      </c>
      <c r="H54" s="79">
        <v>150</v>
      </c>
      <c r="I54" s="60"/>
      <c r="J54" s="60"/>
    </row>
    <row r="55" spans="1:10" ht="14.25" customHeight="1">
      <c r="A55" s="60"/>
      <c r="B55" s="102"/>
      <c r="C55" s="86" t="s">
        <v>573</v>
      </c>
      <c r="D55" s="89">
        <f t="shared" ref="D55:G55" si="7">($H47*D$48)/$H$48</f>
        <v>40.068965517241381</v>
      </c>
      <c r="E55" s="89">
        <f t="shared" si="7"/>
        <v>28</v>
      </c>
      <c r="F55" s="89">
        <f t="shared" si="7"/>
        <v>36.206896551724135</v>
      </c>
      <c r="G55" s="89">
        <f t="shared" si="7"/>
        <v>35.724137931034484</v>
      </c>
      <c r="H55" s="79">
        <v>140</v>
      </c>
      <c r="I55" s="60"/>
      <c r="J55" s="60"/>
    </row>
    <row r="56" spans="1:10" ht="14.25" customHeight="1">
      <c r="A56" s="60"/>
      <c r="B56" s="88"/>
      <c r="C56" s="86" t="s">
        <v>551</v>
      </c>
      <c r="D56" s="81">
        <v>83</v>
      </c>
      <c r="E56" s="81">
        <v>58</v>
      </c>
      <c r="F56" s="81">
        <v>75</v>
      </c>
      <c r="G56" s="81">
        <v>74</v>
      </c>
      <c r="H56" s="83">
        <v>290</v>
      </c>
      <c r="I56" s="60"/>
      <c r="J56" s="60"/>
    </row>
    <row r="57" spans="1:10" ht="14.2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</row>
    <row r="58" spans="1:10" ht="14.2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</row>
    <row r="59" spans="1:10" ht="14.25" customHeight="1">
      <c r="A59" s="60"/>
      <c r="B59" s="115" t="s">
        <v>553</v>
      </c>
      <c r="C59" s="98"/>
      <c r="D59" s="98"/>
      <c r="E59" s="98"/>
      <c r="F59" s="98"/>
      <c r="G59" s="98"/>
      <c r="H59" s="98"/>
      <c r="I59" s="60"/>
      <c r="J59" s="60"/>
    </row>
    <row r="60" spans="1:10" ht="14.25" customHeight="1">
      <c r="A60" s="60"/>
      <c r="B60" s="79"/>
      <c r="C60" s="80"/>
      <c r="D60" s="116" t="s">
        <v>564</v>
      </c>
      <c r="E60" s="98"/>
      <c r="F60" s="98"/>
      <c r="G60" s="99"/>
      <c r="H60" s="79"/>
      <c r="I60" s="60"/>
      <c r="J60" s="60"/>
    </row>
    <row r="61" spans="1:10" ht="14.25" customHeight="1">
      <c r="A61" s="60"/>
      <c r="B61" s="83"/>
      <c r="C61" s="84"/>
      <c r="D61" s="81" t="s">
        <v>566</v>
      </c>
      <c r="E61" s="81" t="s">
        <v>567</v>
      </c>
      <c r="F61" s="81" t="s">
        <v>568</v>
      </c>
      <c r="G61" s="81" t="s">
        <v>569</v>
      </c>
      <c r="H61" s="83"/>
      <c r="I61" s="60"/>
      <c r="J61" s="60"/>
    </row>
    <row r="62" spans="1:10" ht="14.25" customHeight="1">
      <c r="A62" s="60"/>
      <c r="B62" s="117" t="s">
        <v>570</v>
      </c>
      <c r="C62" s="85" t="s">
        <v>571</v>
      </c>
      <c r="D62" s="90">
        <f t="shared" ref="D62:G62" si="8">((D46-D54)^2)/D54</f>
        <v>0.59850436227669335</v>
      </c>
      <c r="E62" s="90">
        <f t="shared" si="8"/>
        <v>2.1333333333333333</v>
      </c>
      <c r="F62" s="90">
        <f t="shared" si="8"/>
        <v>0.86510344827586283</v>
      </c>
      <c r="G62" s="90">
        <f t="shared" si="8"/>
        <v>1.9884746815781305</v>
      </c>
      <c r="H62" s="79"/>
      <c r="I62" s="60"/>
      <c r="J62" s="60"/>
    </row>
    <row r="63" spans="1:10" ht="14.25" customHeight="1">
      <c r="A63" s="60"/>
      <c r="B63" s="102"/>
      <c r="C63" s="86" t="s">
        <v>573</v>
      </c>
      <c r="D63" s="90">
        <f t="shared" ref="D63:G63" si="9">((D47-D55)^2)/D55</f>
        <v>0.64125467386788571</v>
      </c>
      <c r="E63" s="90">
        <f t="shared" si="9"/>
        <v>2.2857142857142856</v>
      </c>
      <c r="F63" s="90">
        <f t="shared" si="9"/>
        <v>0.92689655172413887</v>
      </c>
      <c r="G63" s="90">
        <f t="shared" si="9"/>
        <v>2.1305085874051399</v>
      </c>
      <c r="H63" s="79"/>
      <c r="I63" s="60"/>
      <c r="J63" s="60"/>
    </row>
    <row r="64" spans="1:10" ht="14.25" customHeight="1">
      <c r="A64" s="60"/>
      <c r="B64" s="88"/>
      <c r="C64" s="86"/>
      <c r="D64" s="81"/>
      <c r="E64" s="81"/>
      <c r="F64" s="81"/>
      <c r="G64" s="81"/>
      <c r="H64" s="83"/>
      <c r="I64" s="60"/>
      <c r="J64" s="60"/>
    </row>
    <row r="65" spans="1:10" ht="14.2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</row>
    <row r="66" spans="1:10" ht="14.2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</row>
    <row r="67" spans="1:10" ht="14.25" customHeight="1">
      <c r="A67" s="60"/>
      <c r="B67" s="60"/>
      <c r="C67" s="60" t="s">
        <v>576</v>
      </c>
      <c r="D67" s="60"/>
      <c r="E67" s="91">
        <f>SUM(D62:G63)</f>
        <v>11.56978992417547</v>
      </c>
      <c r="F67" s="60"/>
      <c r="G67" s="60"/>
      <c r="H67" s="60"/>
      <c r="I67" s="60"/>
      <c r="J67" s="60"/>
    </row>
    <row r="68" spans="1:10" ht="14.2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</row>
    <row r="69" spans="1:10" ht="14.25" customHeight="1">
      <c r="A69" s="60"/>
      <c r="B69" s="60"/>
      <c r="C69" s="60" t="s">
        <v>577</v>
      </c>
      <c r="D69" s="60"/>
      <c r="E69" s="60">
        <f>(2-1)*(4-1)</f>
        <v>3</v>
      </c>
      <c r="F69" s="60"/>
      <c r="G69" s="60" t="s">
        <v>578</v>
      </c>
      <c r="H69" s="60"/>
      <c r="I69" s="60"/>
      <c r="J69" s="60"/>
    </row>
    <row r="70" spans="1:10" ht="14.2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</row>
    <row r="71" spans="1:10" ht="14.25" customHeight="1">
      <c r="A71" s="60"/>
      <c r="B71" s="60"/>
      <c r="C71" s="60" t="s">
        <v>579</v>
      </c>
      <c r="D71" s="60"/>
      <c r="E71" s="60">
        <v>7.8150000000000004</v>
      </c>
      <c r="F71" s="60"/>
      <c r="G71" s="60"/>
      <c r="H71" s="60"/>
      <c r="I71" s="60"/>
      <c r="J71" s="60"/>
    </row>
    <row r="72" spans="1:10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</row>
    <row r="73" spans="1:10" ht="14.25" customHeight="1">
      <c r="A73" s="60"/>
      <c r="B73" s="60" t="s">
        <v>580</v>
      </c>
      <c r="C73" s="60"/>
      <c r="D73" s="60"/>
      <c r="E73" s="60"/>
      <c r="F73" s="60"/>
      <c r="G73" s="60"/>
      <c r="H73" s="60"/>
      <c r="I73" s="60"/>
      <c r="J73" s="60"/>
    </row>
    <row r="74" spans="1:10" ht="14.2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</row>
    <row r="75" spans="1:10" ht="14.25" customHeight="1">
      <c r="B75" s="2" t="s">
        <v>581</v>
      </c>
    </row>
    <row r="76" spans="1:10" ht="14.25" customHeight="1"/>
    <row r="77" spans="1:10" ht="14.25" customHeight="1">
      <c r="B77" s="2" t="s">
        <v>582</v>
      </c>
    </row>
    <row r="78" spans="1:10" ht="14.25" customHeight="1"/>
    <row r="79" spans="1:10" ht="14.25" customHeight="1"/>
    <row r="80" spans="1:10" ht="14.25" customHeight="1"/>
    <row r="81" spans="3:13" ht="14.25" customHeight="1"/>
    <row r="82" spans="3:13" ht="14.25" customHeight="1">
      <c r="C82" s="108" t="s">
        <v>548</v>
      </c>
      <c r="D82" s="98"/>
      <c r="E82" s="98"/>
      <c r="F82" s="98"/>
      <c r="G82" s="99"/>
    </row>
    <row r="83" spans="3:13" ht="14.25" customHeight="1">
      <c r="C83" s="65"/>
      <c r="D83" s="108" t="s">
        <v>583</v>
      </c>
      <c r="E83" s="98"/>
      <c r="F83" s="99"/>
      <c r="G83" s="65" t="s">
        <v>551</v>
      </c>
    </row>
    <row r="84" spans="3:13" ht="14.25" customHeight="1">
      <c r="C84" s="61" t="s">
        <v>550</v>
      </c>
      <c r="D84" s="62">
        <v>4</v>
      </c>
      <c r="E84" s="63">
        <v>6</v>
      </c>
      <c r="F84" s="64">
        <v>8</v>
      </c>
      <c r="G84" s="61"/>
    </row>
    <row r="85" spans="3:13" ht="14.25" customHeight="1">
      <c r="C85" s="61">
        <v>3</v>
      </c>
      <c r="D85" s="60">
        <v>1</v>
      </c>
      <c r="E85" s="60">
        <v>2</v>
      </c>
      <c r="F85" s="60">
        <v>12</v>
      </c>
      <c r="G85" s="61">
        <v>15</v>
      </c>
    </row>
    <row r="86" spans="3:13" ht="14.25" customHeight="1">
      <c r="C86" s="61">
        <v>4</v>
      </c>
      <c r="D86" s="60">
        <v>8</v>
      </c>
      <c r="E86" s="60">
        <v>4</v>
      </c>
      <c r="F86" s="60">
        <v>0</v>
      </c>
      <c r="G86" s="61">
        <v>12</v>
      </c>
    </row>
    <row r="87" spans="3:13" ht="14.25" customHeight="1">
      <c r="C87" s="61">
        <v>5</v>
      </c>
      <c r="D87" s="60">
        <v>2</v>
      </c>
      <c r="E87" s="60">
        <v>1</v>
      </c>
      <c r="F87" s="60">
        <v>2</v>
      </c>
      <c r="G87" s="61">
        <v>5</v>
      </c>
    </row>
    <row r="88" spans="3:13" ht="14.25" customHeight="1">
      <c r="C88" s="65" t="s">
        <v>551</v>
      </c>
      <c r="D88" s="63">
        <v>11</v>
      </c>
      <c r="E88" s="63">
        <v>7</v>
      </c>
      <c r="F88" s="63">
        <v>14</v>
      </c>
      <c r="G88" s="65">
        <v>32</v>
      </c>
    </row>
    <row r="89" spans="3:13" ht="14.25" customHeight="1"/>
    <row r="90" spans="3:13" ht="14.25" customHeight="1">
      <c r="C90" s="108" t="s">
        <v>552</v>
      </c>
      <c r="D90" s="98"/>
      <c r="E90" s="98"/>
      <c r="F90" s="98"/>
      <c r="G90" s="99"/>
      <c r="I90" s="108" t="s">
        <v>584</v>
      </c>
      <c r="J90" s="98"/>
      <c r="K90" s="98"/>
      <c r="L90" s="98"/>
      <c r="M90" s="99"/>
    </row>
    <row r="91" spans="3:13" ht="14.25" customHeight="1">
      <c r="C91" s="65"/>
      <c r="D91" s="108" t="s">
        <v>583</v>
      </c>
      <c r="E91" s="98"/>
      <c r="F91" s="99"/>
      <c r="G91" s="65" t="s">
        <v>551</v>
      </c>
      <c r="I91" s="65"/>
      <c r="J91" s="108" t="s">
        <v>583</v>
      </c>
      <c r="K91" s="98"/>
      <c r="L91" s="99"/>
      <c r="M91" s="65" t="s">
        <v>551</v>
      </c>
    </row>
    <row r="92" spans="3:13" ht="14.25" customHeight="1">
      <c r="C92" s="61" t="s">
        <v>550</v>
      </c>
      <c r="D92" s="62">
        <v>4</v>
      </c>
      <c r="E92" s="63">
        <v>6</v>
      </c>
      <c r="F92" s="64">
        <v>8</v>
      </c>
      <c r="G92" s="61"/>
      <c r="I92" s="61" t="s">
        <v>550</v>
      </c>
      <c r="J92" s="62">
        <v>4</v>
      </c>
      <c r="K92" s="63">
        <v>6</v>
      </c>
      <c r="L92" s="64">
        <v>8</v>
      </c>
      <c r="M92" s="61"/>
    </row>
    <row r="93" spans="3:13" ht="14.25" customHeight="1">
      <c r="C93" s="61">
        <v>3</v>
      </c>
      <c r="D93" s="66">
        <f t="shared" ref="D93:F93" si="10">($G85*D$88)/$G$88</f>
        <v>5.15625</v>
      </c>
      <c r="E93" s="66">
        <f t="shared" si="10"/>
        <v>3.28125</v>
      </c>
      <c r="F93" s="66">
        <f t="shared" si="10"/>
        <v>6.5625</v>
      </c>
      <c r="G93" s="61">
        <v>15</v>
      </c>
      <c r="I93" s="61">
        <v>3</v>
      </c>
      <c r="J93" s="66">
        <f t="shared" ref="J93:L93" si="11">((D85 - D93)^2)/D93</f>
        <v>3.3501893939393939</v>
      </c>
      <c r="K93" s="66">
        <f t="shared" si="11"/>
        <v>0.50029761904761905</v>
      </c>
      <c r="L93" s="66">
        <f t="shared" si="11"/>
        <v>4.5053571428571431</v>
      </c>
      <c r="M93" s="61"/>
    </row>
    <row r="94" spans="3:13" ht="14.25" customHeight="1">
      <c r="C94" s="61">
        <v>4</v>
      </c>
      <c r="D94" s="66">
        <f t="shared" ref="D94:F94" si="12">($G86*D$88)/$G$88</f>
        <v>4.125</v>
      </c>
      <c r="E94" s="66">
        <f t="shared" si="12"/>
        <v>2.625</v>
      </c>
      <c r="F94" s="66">
        <f t="shared" si="12"/>
        <v>5.25</v>
      </c>
      <c r="G94" s="61">
        <v>12</v>
      </c>
      <c r="I94" s="61">
        <v>4</v>
      </c>
      <c r="J94" s="66">
        <f t="shared" ref="J94:L94" si="13">((D86 - D94)^2)/D94</f>
        <v>3.6401515151515151</v>
      </c>
      <c r="K94" s="66">
        <f t="shared" si="13"/>
        <v>0.72023809523809523</v>
      </c>
      <c r="L94" s="66">
        <f t="shared" si="13"/>
        <v>5.25</v>
      </c>
      <c r="M94" s="61"/>
    </row>
    <row r="95" spans="3:13" ht="14.25" customHeight="1">
      <c r="C95" s="61">
        <v>5</v>
      </c>
      <c r="D95" s="66">
        <f t="shared" ref="D95:F95" si="14">($G87*D$88)/$G$88</f>
        <v>1.71875</v>
      </c>
      <c r="E95" s="66">
        <f t="shared" si="14"/>
        <v>1.09375</v>
      </c>
      <c r="F95" s="66">
        <f t="shared" si="14"/>
        <v>2.1875</v>
      </c>
      <c r="G95" s="61">
        <v>5</v>
      </c>
      <c r="I95" s="61">
        <v>5</v>
      </c>
      <c r="J95" s="66">
        <f t="shared" ref="J95:L95" si="15">((D87 - D95)^2)/D95</f>
        <v>4.6022727272727271E-2</v>
      </c>
      <c r="K95" s="66">
        <f t="shared" si="15"/>
        <v>8.0357142857142849E-3</v>
      </c>
      <c r="L95" s="66">
        <f t="shared" si="15"/>
        <v>1.607142857142857E-2</v>
      </c>
      <c r="M95" s="61"/>
    </row>
    <row r="96" spans="3:13" ht="14.25" customHeight="1">
      <c r="C96" s="65" t="s">
        <v>551</v>
      </c>
      <c r="D96" s="63">
        <v>11</v>
      </c>
      <c r="E96" s="63">
        <v>7</v>
      </c>
      <c r="F96" s="63">
        <v>14</v>
      </c>
      <c r="G96" s="65">
        <v>32</v>
      </c>
      <c r="I96" s="65" t="s">
        <v>551</v>
      </c>
      <c r="J96" s="63"/>
      <c r="K96" s="63"/>
      <c r="L96" s="63"/>
      <c r="M96" s="65"/>
    </row>
    <row r="97" spans="3:6" ht="14.25" customHeight="1"/>
    <row r="98" spans="3:6" ht="14.25" customHeight="1"/>
    <row r="99" spans="3:6" ht="14.25" customHeight="1"/>
    <row r="100" spans="3:6" ht="14.25" customHeight="1">
      <c r="C100" s="2" t="s">
        <v>554</v>
      </c>
      <c r="F100" s="3">
        <f>SUM(J93:L95)</f>
        <v>18.036363636363639</v>
      </c>
    </row>
    <row r="101" spans="3:6" ht="14.25" customHeight="1"/>
    <row r="102" spans="3:6" ht="14.25" customHeight="1">
      <c r="C102" s="2" t="s">
        <v>585</v>
      </c>
      <c r="F102" s="2">
        <f>(3-1)*(3-1)</f>
        <v>4</v>
      </c>
    </row>
    <row r="103" spans="3:6" ht="14.25" customHeight="1"/>
    <row r="104" spans="3:6" ht="14.25" customHeight="1">
      <c r="C104" s="2" t="s">
        <v>586</v>
      </c>
      <c r="F104" s="2">
        <v>9.4879999999999995</v>
      </c>
    </row>
    <row r="105" spans="3:6" ht="14.25" customHeight="1"/>
    <row r="106" spans="3:6" ht="14.25" customHeight="1">
      <c r="C106" s="2" t="s">
        <v>587</v>
      </c>
    </row>
    <row r="107" spans="3:6" ht="14.25" customHeight="1"/>
    <row r="108" spans="3:6" ht="14.25" customHeight="1">
      <c r="C108" s="2" t="s">
        <v>588</v>
      </c>
    </row>
    <row r="109" spans="3:6" ht="14.25" customHeight="1">
      <c r="C109" s="2" t="s">
        <v>589</v>
      </c>
    </row>
    <row r="110" spans="3:6" ht="14.25" customHeight="1"/>
    <row r="111" spans="3:6" ht="14.25" customHeight="1"/>
    <row r="112" spans="3:6" ht="14.25" customHeight="1"/>
    <row r="113" spans="2:14" ht="14.25" customHeight="1"/>
    <row r="114" spans="2:14" ht="14.25" customHeight="1"/>
    <row r="115" spans="2:14" ht="14.25" customHeight="1"/>
    <row r="116" spans="2:14" ht="14.25" customHeight="1"/>
    <row r="117" spans="2:14" ht="14.25" customHeight="1"/>
    <row r="118" spans="2:14" ht="14.25" customHeight="1"/>
    <row r="119" spans="2:14" ht="14.25" customHeight="1">
      <c r="B119" s="115" t="s">
        <v>562</v>
      </c>
      <c r="C119" s="98"/>
      <c r="D119" s="98"/>
      <c r="E119" s="98"/>
      <c r="F119" s="98"/>
      <c r="G119" s="98"/>
      <c r="H119" s="99"/>
    </row>
    <row r="120" spans="2:14" ht="14.25" customHeight="1">
      <c r="B120" s="79"/>
      <c r="C120" s="80"/>
      <c r="D120" s="116" t="s">
        <v>564</v>
      </c>
      <c r="E120" s="98"/>
      <c r="F120" s="98"/>
      <c r="G120" s="99"/>
      <c r="H120" s="79"/>
    </row>
    <row r="121" spans="2:14" ht="14.25" customHeight="1">
      <c r="B121" s="83"/>
      <c r="C121" s="84"/>
      <c r="D121" s="81" t="s">
        <v>566</v>
      </c>
      <c r="E121" s="81" t="s">
        <v>567</v>
      </c>
      <c r="F121" s="81" t="s">
        <v>568</v>
      </c>
      <c r="G121" s="81" t="s">
        <v>569</v>
      </c>
      <c r="H121" s="83" t="s">
        <v>551</v>
      </c>
    </row>
    <row r="122" spans="2:14" ht="14.25" customHeight="1">
      <c r="B122" s="117" t="s">
        <v>570</v>
      </c>
      <c r="C122" s="85" t="s">
        <v>571</v>
      </c>
      <c r="D122" s="80">
        <v>48</v>
      </c>
      <c r="E122" s="80">
        <v>22</v>
      </c>
      <c r="F122" s="80">
        <v>33</v>
      </c>
      <c r="G122" s="80">
        <v>47</v>
      </c>
      <c r="H122" s="79">
        <v>150</v>
      </c>
    </row>
    <row r="123" spans="2:14" ht="14.25" customHeight="1">
      <c r="B123" s="102"/>
      <c r="C123" s="86" t="s">
        <v>573</v>
      </c>
      <c r="D123" s="80">
        <v>35</v>
      </c>
      <c r="E123" s="80">
        <v>36</v>
      </c>
      <c r="F123" s="80">
        <v>42</v>
      </c>
      <c r="G123" s="80">
        <v>27</v>
      </c>
      <c r="H123" s="79">
        <v>140</v>
      </c>
    </row>
    <row r="124" spans="2:14" ht="14.25" customHeight="1">
      <c r="B124" s="88"/>
      <c r="C124" s="86" t="s">
        <v>551</v>
      </c>
      <c r="D124" s="81">
        <v>83</v>
      </c>
      <c r="E124" s="81">
        <v>58</v>
      </c>
      <c r="F124" s="81">
        <v>75</v>
      </c>
      <c r="G124" s="81">
        <v>74</v>
      </c>
      <c r="H124" s="83">
        <v>290</v>
      </c>
    </row>
    <row r="125" spans="2:14" ht="14.25" customHeight="1"/>
    <row r="126" spans="2:14" ht="14.25" customHeight="1"/>
    <row r="127" spans="2:14" ht="14.25" customHeight="1">
      <c r="D127" s="108" t="s">
        <v>562</v>
      </c>
      <c r="E127" s="98"/>
      <c r="F127" s="98"/>
      <c r="G127" s="98"/>
      <c r="H127" s="99"/>
      <c r="J127" s="108" t="s">
        <v>575</v>
      </c>
      <c r="K127" s="98"/>
      <c r="L127" s="98"/>
      <c r="M127" s="98"/>
      <c r="N127" s="99"/>
    </row>
    <row r="128" spans="2:14" ht="14.25" customHeight="1">
      <c r="D128" s="65"/>
      <c r="E128" s="108" t="s">
        <v>590</v>
      </c>
      <c r="F128" s="98"/>
      <c r="G128" s="99"/>
      <c r="H128" s="65"/>
      <c r="J128" s="65"/>
      <c r="K128" s="108" t="s">
        <v>590</v>
      </c>
      <c r="L128" s="98"/>
      <c r="M128" s="99"/>
      <c r="N128" s="65"/>
    </row>
    <row r="129" spans="4:14" ht="14.25" customHeight="1">
      <c r="D129" s="61" t="s">
        <v>591</v>
      </c>
      <c r="E129" s="62" t="s">
        <v>592</v>
      </c>
      <c r="F129" s="63" t="s">
        <v>593</v>
      </c>
      <c r="G129" s="64" t="s">
        <v>594</v>
      </c>
      <c r="H129" s="61" t="s">
        <v>551</v>
      </c>
      <c r="J129" s="61" t="s">
        <v>591</v>
      </c>
      <c r="K129" s="62" t="s">
        <v>592</v>
      </c>
      <c r="L129" s="63" t="s">
        <v>593</v>
      </c>
      <c r="M129" s="64" t="s">
        <v>594</v>
      </c>
      <c r="N129" s="61" t="s">
        <v>551</v>
      </c>
    </row>
    <row r="130" spans="4:14" ht="14.25" customHeight="1">
      <c r="D130" s="61">
        <v>1</v>
      </c>
      <c r="E130" s="60">
        <v>135</v>
      </c>
      <c r="F130" s="60">
        <v>3</v>
      </c>
      <c r="G130" s="60">
        <v>162</v>
      </c>
      <c r="H130" s="61">
        <v>300</v>
      </c>
      <c r="J130" s="61">
        <v>1</v>
      </c>
      <c r="K130" s="66">
        <f t="shared" ref="K130:M130" si="16">($H130*E$133)/$H$133</f>
        <v>61.097852028639615</v>
      </c>
      <c r="L130" s="66">
        <f t="shared" si="16"/>
        <v>28.400954653937948</v>
      </c>
      <c r="M130" s="66">
        <f t="shared" si="16"/>
        <v>210.50119331742243</v>
      </c>
      <c r="N130" s="61">
        <v>300</v>
      </c>
    </row>
    <row r="131" spans="4:14" ht="14.25" customHeight="1">
      <c r="D131" s="61">
        <v>2</v>
      </c>
      <c r="E131" s="60">
        <v>28</v>
      </c>
      <c r="F131" s="60">
        <v>5</v>
      </c>
      <c r="G131" s="60">
        <v>234</v>
      </c>
      <c r="H131" s="61">
        <v>267</v>
      </c>
      <c r="J131" s="61">
        <v>2</v>
      </c>
      <c r="K131" s="66">
        <f t="shared" ref="K131:M131" si="17">($H131*E$133)/$H$133</f>
        <v>54.377088305489259</v>
      </c>
      <c r="L131" s="66">
        <f t="shared" si="17"/>
        <v>25.276849642004773</v>
      </c>
      <c r="M131" s="66">
        <f t="shared" si="17"/>
        <v>187.34606205250597</v>
      </c>
      <c r="N131" s="61">
        <v>267</v>
      </c>
    </row>
    <row r="132" spans="4:14" ht="14.25" customHeight="1">
      <c r="D132" s="61">
        <v>3</v>
      </c>
      <c r="E132" s="60">
        <v>93</v>
      </c>
      <c r="F132" s="60">
        <v>111</v>
      </c>
      <c r="G132" s="60">
        <v>486</v>
      </c>
      <c r="H132" s="61">
        <v>690</v>
      </c>
      <c r="J132" s="61">
        <v>3</v>
      </c>
      <c r="K132" s="66">
        <f t="shared" ref="K132:M132" si="18">($H132*E$133)/$H$133</f>
        <v>140.52505966587111</v>
      </c>
      <c r="L132" s="66">
        <f t="shared" si="18"/>
        <v>65.322195704057279</v>
      </c>
      <c r="M132" s="66">
        <f t="shared" si="18"/>
        <v>484.1527446300716</v>
      </c>
      <c r="N132" s="61">
        <v>690</v>
      </c>
    </row>
    <row r="133" spans="4:14" ht="14.25" customHeight="1">
      <c r="D133" s="65" t="s">
        <v>551</v>
      </c>
      <c r="E133" s="63">
        <f t="shared" ref="E133:G133" si="19">SUM(E130:E132)</f>
        <v>256</v>
      </c>
      <c r="F133" s="63">
        <f t="shared" si="19"/>
        <v>119</v>
      </c>
      <c r="G133" s="63">
        <f t="shared" si="19"/>
        <v>882</v>
      </c>
      <c r="H133" s="92">
        <f>SUM(E133:G133)</f>
        <v>1257</v>
      </c>
      <c r="J133" s="65" t="s">
        <v>551</v>
      </c>
      <c r="K133" s="93">
        <f t="shared" ref="K133:M133" si="20">SUM(K130:K132)</f>
        <v>256</v>
      </c>
      <c r="L133" s="93">
        <f t="shared" si="20"/>
        <v>119</v>
      </c>
      <c r="M133" s="93">
        <f t="shared" si="20"/>
        <v>882</v>
      </c>
      <c r="N133" s="94">
        <f>SUM(K133:M133)</f>
        <v>1257</v>
      </c>
    </row>
    <row r="134" spans="4:14" ht="14.25" customHeight="1"/>
    <row r="135" spans="4:14" ht="14.25" customHeight="1"/>
    <row r="136" spans="4:14" ht="14.25" customHeight="1">
      <c r="D136" s="108" t="s">
        <v>553</v>
      </c>
      <c r="E136" s="98"/>
      <c r="F136" s="98"/>
      <c r="G136" s="98"/>
      <c r="H136" s="99"/>
    </row>
    <row r="137" spans="4:14" ht="14.25" customHeight="1">
      <c r="D137" s="65"/>
      <c r="E137" s="108" t="s">
        <v>590</v>
      </c>
      <c r="F137" s="98"/>
      <c r="G137" s="99"/>
      <c r="H137" s="65"/>
    </row>
    <row r="138" spans="4:14" ht="14.25" customHeight="1">
      <c r="D138" s="61" t="s">
        <v>591</v>
      </c>
      <c r="E138" s="62" t="s">
        <v>592</v>
      </c>
      <c r="F138" s="63" t="s">
        <v>593</v>
      </c>
      <c r="G138" s="64" t="s">
        <v>594</v>
      </c>
      <c r="H138" s="61"/>
    </row>
    <row r="139" spans="4:14" ht="14.25" customHeight="1">
      <c r="D139" s="61">
        <v>1</v>
      </c>
      <c r="E139" s="66">
        <f t="shared" ref="E139:G139" si="21">((E130-K130)^2)/K130</f>
        <v>89.38984421613965</v>
      </c>
      <c r="F139" s="66">
        <f t="shared" si="21"/>
        <v>22.717845410240468</v>
      </c>
      <c r="G139" s="66">
        <f t="shared" si="21"/>
        <v>11.175070868442843</v>
      </c>
      <c r="H139" s="61"/>
    </row>
    <row r="140" spans="4:14" ht="14.25" customHeight="1">
      <c r="D140" s="61">
        <v>2</v>
      </c>
      <c r="E140" s="66">
        <f t="shared" ref="E140:G140" si="22">((E131-K131)^2)/K131</f>
        <v>12.794925384140946</v>
      </c>
      <c r="F140" s="66">
        <f t="shared" si="22"/>
        <v>16.265896946319756</v>
      </c>
      <c r="G140" s="66">
        <f t="shared" si="22"/>
        <v>11.618018025906562</v>
      </c>
      <c r="H140" s="61"/>
    </row>
    <row r="141" spans="4:14" ht="14.25" customHeight="1">
      <c r="D141" s="61">
        <v>3</v>
      </c>
      <c r="E141" s="66">
        <f t="shared" ref="E141:G141" si="23">((E132-K132)^2)/K132</f>
        <v>16.072800834349376</v>
      </c>
      <c r="F141" s="66">
        <f t="shared" si="23"/>
        <v>31.941084998905655</v>
      </c>
      <c r="G141" s="66">
        <f t="shared" si="23"/>
        <v>7.0480905862397138E-3</v>
      </c>
      <c r="H141" s="61"/>
    </row>
    <row r="142" spans="4:14" ht="14.25" customHeight="1">
      <c r="D142" s="65"/>
      <c r="E142" s="63"/>
      <c r="F142" s="63"/>
      <c r="G142" s="63"/>
      <c r="H142" s="92"/>
    </row>
    <row r="143" spans="4:14" ht="14.25" customHeight="1"/>
    <row r="144" spans="4:14" ht="14.25" customHeight="1">
      <c r="D144" s="2" t="s">
        <v>554</v>
      </c>
      <c r="G144" s="3">
        <f>SUM(E139:G141)</f>
        <v>211.9825347750315</v>
      </c>
    </row>
    <row r="145" spans="4:7" ht="14.25" customHeight="1"/>
    <row r="146" spans="4:7" ht="14.25" customHeight="1">
      <c r="D146" s="2" t="s">
        <v>585</v>
      </c>
      <c r="G146" s="2">
        <f>(3-1)*(3-1)</f>
        <v>4</v>
      </c>
    </row>
    <row r="147" spans="4:7" ht="14.25" customHeight="1"/>
    <row r="148" spans="4:7" ht="14.25" customHeight="1">
      <c r="D148" s="2" t="s">
        <v>595</v>
      </c>
      <c r="G148" s="2">
        <v>9.4879999999999995</v>
      </c>
    </row>
    <row r="149" spans="4:7" ht="14.25" customHeight="1"/>
    <row r="150" spans="4:7" ht="14.25" customHeight="1">
      <c r="D150" s="2" t="s">
        <v>596</v>
      </c>
    </row>
    <row r="151" spans="4:7" ht="14.25" customHeight="1"/>
    <row r="152" spans="4:7" ht="14.25" customHeight="1"/>
    <row r="153" spans="4:7" ht="14.25" customHeight="1"/>
    <row r="154" spans="4:7" ht="14.25" customHeight="1"/>
    <row r="155" spans="4:7" ht="14.25" customHeight="1"/>
    <row r="156" spans="4:7" ht="14.25" customHeight="1"/>
    <row r="157" spans="4:7" ht="14.25" customHeight="1"/>
    <row r="158" spans="4:7" ht="14.25" customHeight="1"/>
    <row r="159" spans="4:7" ht="14.25" customHeight="1"/>
    <row r="160" spans="4:7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J127:N127"/>
    <mergeCell ref="E128:G128"/>
    <mergeCell ref="K128:M128"/>
    <mergeCell ref="D136:H136"/>
    <mergeCell ref="E137:G137"/>
    <mergeCell ref="B119:H119"/>
    <mergeCell ref="D120:G120"/>
    <mergeCell ref="B122:B123"/>
    <mergeCell ref="D127:H127"/>
    <mergeCell ref="C82:G82"/>
    <mergeCell ref="D83:F83"/>
    <mergeCell ref="C90:G90"/>
    <mergeCell ref="I90:M90"/>
    <mergeCell ref="D91:F91"/>
    <mergeCell ref="J91:L91"/>
    <mergeCell ref="D52:G52"/>
    <mergeCell ref="B54:B55"/>
    <mergeCell ref="B59:H59"/>
    <mergeCell ref="B62:B63"/>
    <mergeCell ref="D60:G60"/>
    <mergeCell ref="C21:H21"/>
    <mergeCell ref="B43:H43"/>
    <mergeCell ref="D44:G44"/>
    <mergeCell ref="B46:B47"/>
    <mergeCell ref="B51:H51"/>
    <mergeCell ref="B2:I2"/>
    <mergeCell ref="C3:H3"/>
    <mergeCell ref="B11:I11"/>
    <mergeCell ref="C12:H12"/>
    <mergeCell ref="B20:H20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3:C12"/>
  <sheetViews>
    <sheetView tabSelected="1" workbookViewId="0">
      <selection activeCell="F8" sqref="F8"/>
    </sheetView>
  </sheetViews>
  <sheetFormatPr defaultColWidth="14.44140625" defaultRowHeight="15" customHeight="1"/>
  <sheetData>
    <row r="3" spans="1:3">
      <c r="A3" s="2" t="s">
        <v>597</v>
      </c>
    </row>
    <row r="5" spans="1:3">
      <c r="A5" s="2">
        <v>1</v>
      </c>
      <c r="B5" s="2">
        <v>2</v>
      </c>
      <c r="C5" s="2">
        <v>1</v>
      </c>
    </row>
    <row r="6" spans="1:3">
      <c r="A6" s="2">
        <v>2</v>
      </c>
      <c r="B6" s="2">
        <v>1</v>
      </c>
      <c r="C6" s="2">
        <v>1</v>
      </c>
    </row>
    <row r="9" spans="1:3">
      <c r="A9" s="2" t="s">
        <v>598</v>
      </c>
      <c r="B9" s="2" t="s">
        <v>599</v>
      </c>
      <c r="C9" s="2" t="s">
        <v>600</v>
      </c>
    </row>
    <row r="10" spans="1:3">
      <c r="A10" s="2">
        <v>7</v>
      </c>
      <c r="B10" s="2">
        <v>14</v>
      </c>
      <c r="C10" s="2">
        <v>8</v>
      </c>
    </row>
    <row r="11" spans="1:3">
      <c r="A11" s="2">
        <v>6</v>
      </c>
      <c r="B11" s="2">
        <v>12</v>
      </c>
      <c r="C11" s="2">
        <v>8</v>
      </c>
    </row>
    <row r="12" spans="1:3">
      <c r="A12" s="2">
        <v>4</v>
      </c>
      <c r="B12" s="2">
        <v>8</v>
      </c>
      <c r="C12" s="2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1:E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3:5" ht="14.25" customHeight="1"/>
    <row r="2" spans="3:5" ht="14.25" customHeight="1"/>
    <row r="3" spans="3:5" ht="14.25" customHeight="1"/>
    <row r="4" spans="3:5" ht="14.25" customHeight="1">
      <c r="C4" s="2" t="s">
        <v>601</v>
      </c>
    </row>
    <row r="5" spans="3:5" ht="14.25" customHeight="1"/>
    <row r="6" spans="3:5" ht="14.25" customHeight="1">
      <c r="C6" s="2" t="s">
        <v>602</v>
      </c>
    </row>
    <row r="7" spans="3:5" ht="14.25" customHeight="1">
      <c r="C7" s="2" t="s">
        <v>603</v>
      </c>
    </row>
    <row r="8" spans="3:5" ht="14.25" customHeight="1">
      <c r="C8" s="2" t="s">
        <v>604</v>
      </c>
    </row>
    <row r="9" spans="3:5" ht="14.25" customHeight="1">
      <c r="C9" s="2" t="s">
        <v>605</v>
      </c>
    </row>
    <row r="10" spans="3:5" ht="14.25" customHeight="1"/>
    <row r="11" spans="3:5" ht="14.25" customHeight="1"/>
    <row r="12" spans="3:5" ht="14.25" customHeight="1"/>
    <row r="13" spans="3:5" ht="14.25" customHeight="1">
      <c r="C13" s="2">
        <v>15</v>
      </c>
      <c r="D13" s="2">
        <v>16</v>
      </c>
    </row>
    <row r="14" spans="3:5" ht="14.25" customHeight="1"/>
    <row r="15" spans="3:5" ht="14.25" customHeight="1"/>
    <row r="16" spans="3:5" ht="14.25" customHeight="1">
      <c r="C16" s="2">
        <v>15</v>
      </c>
      <c r="D16" s="2">
        <v>30</v>
      </c>
      <c r="E16" s="2">
        <v>16</v>
      </c>
    </row>
    <row r="17" spans="3:5" ht="14.25" customHeight="1">
      <c r="C17" s="2">
        <v>14</v>
      </c>
      <c r="D17" s="2">
        <v>28</v>
      </c>
      <c r="E17" s="2">
        <v>16</v>
      </c>
    </row>
    <row r="18" spans="3:5" ht="14.25" customHeight="1">
      <c r="C18" s="2">
        <v>12</v>
      </c>
      <c r="D18" s="2">
        <v>24</v>
      </c>
      <c r="E18" s="2">
        <v>16</v>
      </c>
    </row>
    <row r="19" spans="3:5" ht="14.25" customHeight="1">
      <c r="C19" s="2">
        <v>8</v>
      </c>
      <c r="D19" s="2">
        <v>16</v>
      </c>
      <c r="E19" s="2">
        <v>16</v>
      </c>
    </row>
    <row r="20" spans="3:5" ht="14.25" customHeight="1"/>
    <row r="21" spans="3:5" ht="14.25" customHeight="1"/>
    <row r="22" spans="3:5" ht="14.25" customHeight="1"/>
    <row r="23" spans="3:5" ht="14.25" customHeight="1">
      <c r="C23" s="2">
        <v>3.75</v>
      </c>
      <c r="D23" s="2">
        <f>2*3.75</f>
        <v>7.5</v>
      </c>
      <c r="E23" s="2">
        <v>4</v>
      </c>
    </row>
    <row r="24" spans="3:5" ht="14.25" customHeight="1">
      <c r="C24" s="2">
        <v>3.5</v>
      </c>
      <c r="D24" s="2">
        <v>7</v>
      </c>
      <c r="E24" s="2">
        <v>4</v>
      </c>
    </row>
    <row r="25" spans="3:5" ht="14.25" customHeight="1">
      <c r="C25" s="2">
        <v>3</v>
      </c>
      <c r="D25" s="2">
        <v>6</v>
      </c>
      <c r="E25" s="2">
        <v>4</v>
      </c>
    </row>
    <row r="26" spans="3:5" ht="14.25" customHeight="1">
      <c r="C26" s="2">
        <v>2</v>
      </c>
      <c r="D26" s="2">
        <v>4</v>
      </c>
      <c r="E26" s="2">
        <v>4</v>
      </c>
    </row>
    <row r="27" spans="3:5" ht="14.25" customHeight="1"/>
    <row r="28" spans="3:5" ht="14.25" customHeight="1"/>
    <row r="29" spans="3:5" ht="14.25" customHeight="1"/>
    <row r="30" spans="3:5" ht="14.25" customHeight="1">
      <c r="C30" s="2">
        <v>120</v>
      </c>
      <c r="D30" s="2">
        <v>128</v>
      </c>
    </row>
    <row r="31" spans="3:5" ht="14.25" customHeight="1"/>
    <row r="32" spans="3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Measures of Statistics</vt:lpstr>
      <vt:lpstr>Measures of Central Tendencies</vt:lpstr>
      <vt:lpstr>Difference Betwn Variance &amp; SD</vt:lpstr>
      <vt:lpstr>Measures of DispersionSpread</vt:lpstr>
      <vt:lpstr>Histogram</vt:lpstr>
      <vt:lpstr>Empirical Rule</vt:lpstr>
      <vt:lpstr>Boxplot Interpretation</vt:lpstr>
      <vt:lpstr>Quantiles</vt:lpstr>
      <vt:lpstr>Stock Data</vt:lpstr>
      <vt:lpstr>Probability Concept</vt:lpstr>
      <vt:lpstr>Probability</vt:lpstr>
      <vt:lpstr>Continuous Data</vt:lpstr>
      <vt:lpstr>Continuous Prob Distribution</vt:lpstr>
      <vt:lpstr>Sheet1</vt:lpstr>
      <vt:lpstr>Iris Data</vt:lpstr>
      <vt:lpstr>Practice Exercises</vt:lpstr>
      <vt:lpstr>Confidence Intervals</vt:lpstr>
      <vt:lpstr>Type 1 &amp; Type 2 Errors</vt:lpstr>
      <vt:lpstr>ANOVA</vt:lpstr>
      <vt:lpstr>Chi-Square</vt:lpstr>
      <vt:lpstr>Sheet2</vt:lpstr>
      <vt:lpstr>Sheet6</vt:lpstr>
      <vt:lpstr>_xlcn.WorksheetConnection_BinomialDistBoxplotJ39Q581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Excelr</dc:creator>
  <cp:lastModifiedBy>Excelr Solutions</cp:lastModifiedBy>
  <dcterms:created xsi:type="dcterms:W3CDTF">2015-06-05T18:17:20Z</dcterms:created>
  <dcterms:modified xsi:type="dcterms:W3CDTF">2024-07-12T09:02:54Z</dcterms:modified>
</cp:coreProperties>
</file>