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Sheet2" sheetId="2" r:id="rId1"/>
    <sheet name="Sheet3" sheetId="3" r:id="rId2"/>
  </sheets>
  <definedNames>
    <definedName name="solver_adj" localSheetId="0" hidden="1">Sheet2!$B$5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Sheet2!$B$5</definedName>
    <definedName name="solver_lhs2" localSheetId="0" hidden="1">Sheet2!$B$5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Sheet2!$F$5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2000000</definedName>
    <definedName name="solver_rhs2" localSheetId="0" hidden="1">2000000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2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O10" i="2" l="1"/>
  <c r="O11" i="2" s="1"/>
  <c r="C3" i="2" l="1"/>
  <c r="D14" i="2" l="1"/>
  <c r="B13" i="2"/>
  <c r="B15" i="2" s="1"/>
  <c r="A15" i="2"/>
  <c r="A13" i="2"/>
  <c r="A14" i="2" s="1"/>
  <c r="D12" i="2"/>
  <c r="B1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O3" i="2" s="1"/>
  <c r="O4" i="2" s="1"/>
  <c r="I4" i="2"/>
  <c r="R7" i="2" l="1"/>
  <c r="K4" i="2"/>
  <c r="L4" i="2" s="1"/>
  <c r="K19" i="2"/>
  <c r="L19" i="2" s="1"/>
  <c r="K20" i="2"/>
  <c r="L20" i="2" s="1"/>
  <c r="K22" i="2"/>
  <c r="L22" i="2" s="1"/>
  <c r="K23" i="2"/>
  <c r="L23" i="2" s="1"/>
  <c r="K24" i="2"/>
  <c r="L2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21" i="2"/>
  <c r="L21" i="2" s="1"/>
  <c r="F3" i="2"/>
  <c r="F4" i="2" s="1"/>
  <c r="F5" i="2" s="1"/>
</calcChain>
</file>

<file path=xl/sharedStrings.xml><?xml version="1.0" encoding="utf-8"?>
<sst xmlns="http://schemas.openxmlformats.org/spreadsheetml/2006/main" count="34" uniqueCount="27">
  <si>
    <t>[MHz]</t>
  </si>
  <si>
    <t>[bps]</t>
  </si>
  <si>
    <t>Actual Baud rate</t>
  </si>
  <si>
    <t>Error</t>
  </si>
  <si>
    <t>Fp</t>
  </si>
  <si>
    <t>Fp (Fosc/2)</t>
  </si>
  <si>
    <t>UxBRG</t>
  </si>
  <si>
    <t>BRGH</t>
  </si>
  <si>
    <t>Actual BR</t>
  </si>
  <si>
    <t>Custom BR</t>
  </si>
  <si>
    <t>Baud Rate</t>
  </si>
  <si>
    <t>B/s</t>
  </si>
  <si>
    <t>MB/s</t>
  </si>
  <si>
    <t>bits/mensaje</t>
  </si>
  <si>
    <t>bits/PID</t>
  </si>
  <si>
    <t>UART</t>
  </si>
  <si>
    <t>CAN</t>
  </si>
  <si>
    <t>bps</t>
  </si>
  <si>
    <t>kB/s</t>
  </si>
  <si>
    <t>PID/s</t>
  </si>
  <si>
    <t>U1BRG</t>
  </si>
  <si>
    <t>BR</t>
  </si>
  <si>
    <t>Selección manual</t>
  </si>
  <si>
    <t>MCP2200</t>
  </si>
  <si>
    <t>x</t>
  </si>
  <si>
    <t>dsPIC33</t>
  </si>
  <si>
    <t>error entre Baudios del mcp2200 y el 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</si>
</sst>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2" fontId="0" fillId="0" borderId="1" xfId="0" applyNumberFormat="1" applyBorder="1"/>
    <xf numFmtId="10" fontId="0" fillId="0" borderId="1" xfId="1" applyNumberFormat="1" applyFon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1" fontId="0" fillId="0" borderId="0" xfId="0" applyNumberFormat="1"/>
    <xf numFmtId="0" fontId="0" fillId="3" borderId="1" xfId="0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1" fontId="0" fillId="0" borderId="3" xfId="0" applyNumberFormat="1" applyBorder="1"/>
    <xf numFmtId="0" fontId="0" fillId="4" borderId="1" xfId="0" applyFill="1" applyBorder="1"/>
    <xf numFmtId="0" fontId="0" fillId="0" borderId="2" xfId="0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showGridLines="0" tabSelected="1" workbookViewId="0">
      <selection activeCell="B6" sqref="B6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6.28515625" bestFit="1" customWidth="1"/>
    <col min="4" max="4" width="5" bestFit="1" customWidth="1"/>
    <col min="5" max="5" width="16.7109375" customWidth="1"/>
    <col min="6" max="6" width="11.5703125" bestFit="1" customWidth="1"/>
    <col min="11" max="11" width="11.5703125" bestFit="1" customWidth="1"/>
    <col min="14" max="14" width="11.5703125" bestFit="1" customWidth="1"/>
    <col min="15" max="15" width="10.5703125" bestFit="1" customWidth="1"/>
  </cols>
  <sheetData>
    <row r="2" spans="1:18" x14ac:dyDescent="0.25">
      <c r="A2" s="21" t="s">
        <v>25</v>
      </c>
      <c r="B2" s="21"/>
      <c r="C2" s="21"/>
      <c r="D2" s="21"/>
      <c r="E2" s="21"/>
      <c r="F2" s="21"/>
      <c r="N2" s="20" t="s">
        <v>22</v>
      </c>
      <c r="O2" s="20"/>
    </row>
    <row r="3" spans="1:18" x14ac:dyDescent="0.25">
      <c r="A3" s="15" t="s">
        <v>7</v>
      </c>
      <c r="B3" s="16">
        <v>1</v>
      </c>
      <c r="C3" s="17" t="str">
        <f>IF(B3=1,"/4","/16")</f>
        <v>/4</v>
      </c>
      <c r="E3" s="15" t="s">
        <v>6</v>
      </c>
      <c r="F3" s="18">
        <f>ROUND(((B4*1000000)/((IF(B3=0,16,4))*B5))-1,0)</f>
        <v>37</v>
      </c>
      <c r="I3" s="11" t="s">
        <v>6</v>
      </c>
      <c r="J3" s="11" t="s">
        <v>4</v>
      </c>
      <c r="K3" s="11" t="s">
        <v>8</v>
      </c>
      <c r="L3" s="11" t="s">
        <v>3</v>
      </c>
      <c r="N3" s="14" t="s">
        <v>20</v>
      </c>
      <c r="O3" s="6">
        <f>I24</f>
        <v>37</v>
      </c>
    </row>
    <row r="4" spans="1:18" x14ac:dyDescent="0.25">
      <c r="A4" s="4" t="s">
        <v>5</v>
      </c>
      <c r="B4" s="1">
        <v>70</v>
      </c>
      <c r="C4" s="1" t="s">
        <v>0</v>
      </c>
      <c r="E4" s="5" t="s">
        <v>2</v>
      </c>
      <c r="F4" s="2">
        <f>(B4*1000000)/((IF(B3=0,16,4))*F3+1)</f>
        <v>469798.65771812078</v>
      </c>
      <c r="I4" s="8">
        <f>ROUND(((J4*1000000)/((IF($B$3=0,16,4))*$B$6))-1,0)</f>
        <v>26</v>
      </c>
      <c r="J4" s="7">
        <v>50</v>
      </c>
      <c r="K4" s="9">
        <f>(J4*1000000)/((IF($B$3=0,16,4))*I4+1)</f>
        <v>476190.47619047621</v>
      </c>
      <c r="L4" s="10">
        <f>($K4-$B$6)/$B$6</f>
        <v>3.339947089947095E-2</v>
      </c>
      <c r="N4" s="14" t="s">
        <v>21</v>
      </c>
      <c r="O4" s="2">
        <f>(B4*1000000)/((IF(B3=0,16,4))*O3+1)</f>
        <v>469798.65771812078</v>
      </c>
    </row>
    <row r="5" spans="1:18" x14ac:dyDescent="0.25">
      <c r="A5" s="4" t="s">
        <v>9</v>
      </c>
      <c r="B5" s="1">
        <v>460800</v>
      </c>
      <c r="C5" s="1" t="s">
        <v>1</v>
      </c>
      <c r="E5" s="4" t="s">
        <v>3</v>
      </c>
      <c r="F5" s="3">
        <f>($F$4-$B$5)/$B$5</f>
        <v>1.9528337061894059E-2</v>
      </c>
      <c r="I5" s="8">
        <f t="shared" ref="I5:I24" si="0">ROUND(((J5*1000000)/((IF($B$3=0,16,4))*$B$6))-1,0)</f>
        <v>27</v>
      </c>
      <c r="J5" s="7">
        <v>51</v>
      </c>
      <c r="K5" s="9">
        <f t="shared" ref="K5:K24" si="1">(J5*1000000)/((IF($B$3=0,16,4))*I5+1)</f>
        <v>467889.90825688071</v>
      </c>
      <c r="L5" s="10">
        <f t="shared" ref="L5:L24" si="2">($K5-$B$6)/$B$6</f>
        <v>1.5386085626911255E-2</v>
      </c>
      <c r="N5" s="14" t="s">
        <v>3</v>
      </c>
      <c r="O5" s="3"/>
    </row>
    <row r="6" spans="1:18" x14ac:dyDescent="0.25">
      <c r="A6" s="4" t="s">
        <v>10</v>
      </c>
      <c r="B6" s="12">
        <v>460800</v>
      </c>
      <c r="C6" s="1" t="s">
        <v>1</v>
      </c>
      <c r="I6" s="8">
        <f t="shared" si="0"/>
        <v>27</v>
      </c>
      <c r="J6" s="7">
        <v>52</v>
      </c>
      <c r="K6" s="9">
        <f t="shared" si="1"/>
        <v>477064.22018348624</v>
      </c>
      <c r="L6" s="10">
        <f t="shared" si="2"/>
        <v>3.5295616717635057E-2</v>
      </c>
      <c r="Q6" t="s">
        <v>26</v>
      </c>
    </row>
    <row r="7" spans="1:18" x14ac:dyDescent="0.25">
      <c r="I7" s="8">
        <f t="shared" si="0"/>
        <v>28</v>
      </c>
      <c r="J7" s="7">
        <v>53</v>
      </c>
      <c r="K7" s="9">
        <f t="shared" si="1"/>
        <v>469026.54867256636</v>
      </c>
      <c r="L7" s="10">
        <f t="shared" si="2"/>
        <v>1.7852753195673535E-2</v>
      </c>
      <c r="Q7" s="19" t="s">
        <v>3</v>
      </c>
      <c r="R7" s="3">
        <f>ABS((O4-O11)/O11)</f>
        <v>1.7897091722594981E-2</v>
      </c>
    </row>
    <row r="8" spans="1:18" x14ac:dyDescent="0.25">
      <c r="I8" s="8">
        <f t="shared" si="0"/>
        <v>28</v>
      </c>
      <c r="J8" s="7">
        <v>54</v>
      </c>
      <c r="K8" s="9">
        <f t="shared" si="1"/>
        <v>477876.10619469028</v>
      </c>
      <c r="L8" s="10">
        <f t="shared" si="2"/>
        <v>3.7057522123893828E-2</v>
      </c>
    </row>
    <row r="9" spans="1:18" x14ac:dyDescent="0.25">
      <c r="I9" s="8">
        <f t="shared" si="0"/>
        <v>29</v>
      </c>
      <c r="J9" s="7">
        <v>55</v>
      </c>
      <c r="K9" s="9">
        <f t="shared" si="1"/>
        <v>470085.47008547006</v>
      </c>
      <c r="L9" s="10">
        <f t="shared" si="2"/>
        <v>2.015075973409302E-2</v>
      </c>
      <c r="N9" s="21" t="s">
        <v>23</v>
      </c>
      <c r="O9" s="21"/>
    </row>
    <row r="10" spans="1:18" x14ac:dyDescent="0.25">
      <c r="I10" s="8">
        <f t="shared" si="0"/>
        <v>29</v>
      </c>
      <c r="J10" s="7">
        <v>56</v>
      </c>
      <c r="K10" s="9">
        <f t="shared" si="1"/>
        <v>478632.47863247863</v>
      </c>
      <c r="L10" s="10">
        <f t="shared" si="2"/>
        <v>3.8698955365622019E-2</v>
      </c>
      <c r="N10" s="14" t="s">
        <v>24</v>
      </c>
      <c r="O10" s="1">
        <f>ROUND(12000000/B6,0)</f>
        <v>26</v>
      </c>
    </row>
    <row r="11" spans="1:18" x14ac:dyDescent="0.25">
      <c r="A11" s="4" t="s">
        <v>16</v>
      </c>
      <c r="B11" s="4" t="s">
        <v>15</v>
      </c>
      <c r="I11" s="8">
        <f t="shared" si="0"/>
        <v>30</v>
      </c>
      <c r="J11" s="7">
        <v>57</v>
      </c>
      <c r="K11" s="9">
        <f t="shared" si="1"/>
        <v>471074.38016528927</v>
      </c>
      <c r="L11" s="10">
        <f t="shared" si="2"/>
        <v>2.2296831955922899E-2</v>
      </c>
      <c r="N11" s="14" t="s">
        <v>21</v>
      </c>
      <c r="O11" s="1">
        <f>12000000/O10</f>
        <v>461538.46153846156</v>
      </c>
    </row>
    <row r="12" spans="1:18" x14ac:dyDescent="0.25">
      <c r="A12" s="1">
        <v>250000</v>
      </c>
      <c r="B12" s="6">
        <v>1000000</v>
      </c>
      <c r="C12" s="1" t="s">
        <v>17</v>
      </c>
      <c r="D12">
        <f>39+16</f>
        <v>55</v>
      </c>
      <c r="E12" t="s">
        <v>13</v>
      </c>
      <c r="I12" s="8">
        <f t="shared" si="0"/>
        <v>30</v>
      </c>
      <c r="J12" s="7">
        <v>58</v>
      </c>
      <c r="K12" s="9">
        <f t="shared" si="1"/>
        <v>479338.84297520661</v>
      </c>
      <c r="L12" s="10">
        <f t="shared" si="2"/>
        <v>4.0231864095500468E-2</v>
      </c>
      <c r="N12" s="14" t="s">
        <v>3</v>
      </c>
      <c r="O12" s="1"/>
    </row>
    <row r="13" spans="1:18" x14ac:dyDescent="0.25">
      <c r="A13" s="1">
        <f>A12/8</f>
        <v>31250</v>
      </c>
      <c r="B13" s="1">
        <f>B12/8</f>
        <v>125000</v>
      </c>
      <c r="C13" s="1" t="s">
        <v>11</v>
      </c>
      <c r="D13">
        <v>110</v>
      </c>
      <c r="E13" t="s">
        <v>14</v>
      </c>
      <c r="I13" s="8">
        <f t="shared" si="0"/>
        <v>31</v>
      </c>
      <c r="J13" s="7">
        <v>59</v>
      </c>
      <c r="K13" s="9">
        <f t="shared" si="1"/>
        <v>472000</v>
      </c>
      <c r="L13" s="10">
        <f t="shared" si="2"/>
        <v>2.4305555555555556E-2</v>
      </c>
    </row>
    <row r="14" spans="1:18" x14ac:dyDescent="0.25">
      <c r="A14" s="1">
        <f>A13/1000</f>
        <v>31.25</v>
      </c>
      <c r="B14" s="1">
        <f>B13/1000</f>
        <v>125</v>
      </c>
      <c r="C14" s="1" t="s">
        <v>18</v>
      </c>
      <c r="D14" s="13">
        <f>A12/D13</f>
        <v>2272.7272727272725</v>
      </c>
      <c r="E14" t="s">
        <v>19</v>
      </c>
      <c r="I14" s="8">
        <f t="shared" si="0"/>
        <v>32</v>
      </c>
      <c r="J14" s="7">
        <v>60</v>
      </c>
      <c r="K14" s="9">
        <f t="shared" si="1"/>
        <v>465116.27906976745</v>
      </c>
      <c r="L14" s="10">
        <f t="shared" si="2"/>
        <v>9.366925064599501E-3</v>
      </c>
    </row>
    <row r="15" spans="1:18" x14ac:dyDescent="0.25">
      <c r="A15" s="1">
        <f>A13/1000000</f>
        <v>3.125E-2</v>
      </c>
      <c r="B15" s="1">
        <f>B13/1000000</f>
        <v>0.125</v>
      </c>
      <c r="C15" s="1" t="s">
        <v>12</v>
      </c>
      <c r="I15" s="8">
        <f t="shared" si="0"/>
        <v>32</v>
      </c>
      <c r="J15" s="7">
        <v>61</v>
      </c>
      <c r="K15" s="9">
        <f t="shared" si="1"/>
        <v>472868.21705426357</v>
      </c>
      <c r="L15" s="10">
        <f t="shared" si="2"/>
        <v>2.6189707149009488E-2</v>
      </c>
    </row>
    <row r="16" spans="1:18" x14ac:dyDescent="0.25">
      <c r="I16" s="8">
        <f t="shared" si="0"/>
        <v>33</v>
      </c>
      <c r="J16" s="7">
        <v>62</v>
      </c>
      <c r="K16" s="9">
        <f t="shared" si="1"/>
        <v>466165.41353383457</v>
      </c>
      <c r="L16" s="10">
        <f t="shared" si="2"/>
        <v>1.1643692564745152E-2</v>
      </c>
    </row>
    <row r="17" spans="9:12" x14ac:dyDescent="0.25">
      <c r="I17" s="8">
        <f t="shared" si="0"/>
        <v>33</v>
      </c>
      <c r="J17" s="7">
        <v>63</v>
      </c>
      <c r="K17" s="9">
        <f t="shared" si="1"/>
        <v>473684.21052631579</v>
      </c>
      <c r="L17" s="10">
        <f t="shared" si="2"/>
        <v>2.7960526315789467E-2</v>
      </c>
    </row>
    <row r="18" spans="9:12" x14ac:dyDescent="0.25">
      <c r="I18" s="8">
        <f t="shared" si="0"/>
        <v>34</v>
      </c>
      <c r="J18" s="7">
        <v>64</v>
      </c>
      <c r="K18" s="9">
        <f t="shared" si="1"/>
        <v>467153.28467153286</v>
      </c>
      <c r="L18" s="10">
        <f t="shared" si="2"/>
        <v>1.3787510137875138E-2</v>
      </c>
    </row>
    <row r="19" spans="9:12" x14ac:dyDescent="0.25">
      <c r="I19" s="8">
        <f t="shared" si="0"/>
        <v>34</v>
      </c>
      <c r="J19" s="7">
        <v>65</v>
      </c>
      <c r="K19" s="9">
        <f t="shared" si="1"/>
        <v>474452.55474452552</v>
      </c>
      <c r="L19" s="10">
        <f t="shared" si="2"/>
        <v>2.9627939983779345E-2</v>
      </c>
    </row>
    <row r="20" spans="9:12" x14ac:dyDescent="0.25">
      <c r="I20" s="8">
        <f t="shared" si="0"/>
        <v>35</v>
      </c>
      <c r="J20" s="7">
        <v>66</v>
      </c>
      <c r="K20" s="9">
        <f t="shared" si="1"/>
        <v>468085.10638297873</v>
      </c>
      <c r="L20" s="10">
        <f t="shared" si="2"/>
        <v>1.5809692671394815E-2</v>
      </c>
    </row>
    <row r="21" spans="9:12" x14ac:dyDescent="0.25">
      <c r="I21" s="8">
        <f t="shared" si="0"/>
        <v>35</v>
      </c>
      <c r="J21" s="7">
        <v>67</v>
      </c>
      <c r="K21" s="9">
        <f t="shared" si="1"/>
        <v>475177.30496453901</v>
      </c>
      <c r="L21" s="10">
        <f t="shared" si="2"/>
        <v>3.1200748620961401E-2</v>
      </c>
    </row>
    <row r="22" spans="9:12" x14ac:dyDescent="0.25">
      <c r="I22" s="8">
        <f t="shared" si="0"/>
        <v>36</v>
      </c>
      <c r="J22" s="7">
        <v>68</v>
      </c>
      <c r="K22" s="9">
        <f t="shared" si="1"/>
        <v>468965.5172413793</v>
      </c>
      <c r="L22" s="10">
        <f t="shared" si="2"/>
        <v>1.7720306513409948E-2</v>
      </c>
    </row>
    <row r="23" spans="9:12" x14ac:dyDescent="0.25">
      <c r="I23" s="8">
        <f t="shared" si="0"/>
        <v>36</v>
      </c>
      <c r="J23" s="7">
        <v>69</v>
      </c>
      <c r="K23" s="9">
        <f t="shared" si="1"/>
        <v>475862.06896551722</v>
      </c>
      <c r="L23" s="10">
        <f t="shared" si="2"/>
        <v>3.2686781609195352E-2</v>
      </c>
    </row>
    <row r="24" spans="9:12" x14ac:dyDescent="0.25">
      <c r="I24" s="8">
        <f t="shared" si="0"/>
        <v>37</v>
      </c>
      <c r="J24" s="7">
        <v>70</v>
      </c>
      <c r="K24" s="9">
        <f t="shared" si="1"/>
        <v>469798.65771812078</v>
      </c>
      <c r="L24" s="10">
        <f t="shared" si="2"/>
        <v>1.9528337061894059E-2</v>
      </c>
    </row>
  </sheetData>
  <mergeCells count="3">
    <mergeCell ref="N2:O2"/>
    <mergeCell ref="N9:O9"/>
    <mergeCell ref="A2:F2"/>
  </mergeCells>
  <dataValidations count="2">
    <dataValidation type="list" allowBlank="1" showInputMessage="1" showErrorMessage="1" sqref="B3">
      <formula1>"0,1"</formula1>
    </dataValidation>
    <dataValidation type="list" allowBlank="1" showInputMessage="1" showErrorMessage="1" sqref="B6">
      <formula1>"300,1200,2400,4800,9600,19200,38400,57600,115200,230400,460800,921600"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2015-01-02T14:29:07Z</dcterms:modified>
</cp:coreProperties>
</file>