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mmorris\Desktop\FIscal Rankings Files\"/>
    </mc:Choice>
  </mc:AlternateContent>
  <workbookProtection workbookAlgorithmName="SHA-512" workbookHashValue="Mp3Nd8tKWQ0wmVjiLWs26DizNrApDGNlYwtfFWtF6x/sbVr0Cck+ZPh0BJwDT3GTIsTtFiKP6iuQKVx+P6nc4g==" workbookSaltValue="Vmi7mZeRj9E+0CV+6NHPoA==" workbookSpinCount="100000" lockStructure="1"/>
  <bookViews>
    <workbookView xWindow="0" yWindow="0" windowWidth="20490" windowHeight="7620" tabRatio="501" activeTab="1"/>
  </bookViews>
  <sheets>
    <sheet name="Dataset" sheetId="1" r:id="rId1"/>
    <sheet name="standardized values" sheetId="9" r:id="rId2"/>
    <sheet name="cash outliers" sheetId="12" r:id="rId3"/>
  </sheets>
  <definedNames>
    <definedName name="_xlnm._FilterDatabase" localSheetId="0" hidden="1">Dataset!$B$1:$B$54</definedName>
    <definedName name="_xlnm._FilterDatabase" localSheetId="1" hidden="1">'standardized values'!$B$1:$B$52</definedName>
  </definedNames>
  <calcPr calcId="162913"/>
</workbook>
</file>

<file path=xl/calcChain.xml><?xml version="1.0" encoding="utf-8"?>
<calcChain xmlns="http://schemas.openxmlformats.org/spreadsheetml/2006/main">
  <c r="D8" i="12" l="1"/>
  <c r="D10" i="12"/>
  <c r="D19" i="12"/>
  <c r="A3" i="9" l="1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2" i="9"/>
  <c r="H51" i="1" l="1"/>
  <c r="H27" i="1" l="1"/>
  <c r="D37" i="1" l="1"/>
  <c r="N51" i="12" l="1"/>
  <c r="I51" i="12"/>
  <c r="D51" i="12"/>
  <c r="N50" i="12"/>
  <c r="I50" i="12"/>
  <c r="D50" i="12"/>
  <c r="N49" i="12"/>
  <c r="I49" i="12"/>
  <c r="D49" i="12"/>
  <c r="N48" i="12"/>
  <c r="I48" i="12"/>
  <c r="D48" i="12"/>
  <c r="N47" i="12"/>
  <c r="I47" i="12"/>
  <c r="N11" i="12"/>
  <c r="I11" i="12"/>
  <c r="D11" i="12"/>
  <c r="N10" i="12"/>
  <c r="I10" i="12"/>
  <c r="N9" i="12"/>
  <c r="I9" i="12"/>
  <c r="D9" i="12"/>
  <c r="N8" i="12"/>
  <c r="I8" i="12"/>
  <c r="N7" i="12"/>
  <c r="I7" i="12"/>
  <c r="D7" i="12"/>
  <c r="D4" i="12"/>
  <c r="N3" i="12"/>
  <c r="N4" i="12" s="1"/>
  <c r="I3" i="12"/>
  <c r="I4" i="12" s="1"/>
  <c r="D3" i="12"/>
  <c r="N2" i="12"/>
  <c r="I2" i="12"/>
  <c r="D2" i="12"/>
  <c r="AF2" i="9"/>
  <c r="W52" i="1"/>
  <c r="U52" i="1"/>
  <c r="T52" i="1"/>
  <c r="S52" i="1"/>
  <c r="AQ51" i="1"/>
  <c r="AJ51" i="1"/>
  <c r="AI51" i="1"/>
  <c r="AP51" i="1" s="1"/>
  <c r="V51" i="1"/>
  <c r="R51" i="1"/>
  <c r="AB51" i="1" s="1"/>
  <c r="P51" i="1"/>
  <c r="AH51" i="1" s="1"/>
  <c r="O51" i="1"/>
  <c r="AG51" i="1" s="1"/>
  <c r="N51" i="1"/>
  <c r="AF51" i="1" s="1"/>
  <c r="M51" i="1"/>
  <c r="G51" i="1" s="1"/>
  <c r="L51" i="1"/>
  <c r="AD51" i="1" s="1"/>
  <c r="K51" i="1"/>
  <c r="I51" i="1"/>
  <c r="J51" i="1" s="1"/>
  <c r="Q51" i="1"/>
  <c r="AE51" i="1" s="1"/>
  <c r="F51" i="1"/>
  <c r="D51" i="1"/>
  <c r="E51" i="1" s="1"/>
  <c r="AK50" i="1"/>
  <c r="AJ50" i="1"/>
  <c r="AQ50" i="1" s="1"/>
  <c r="AI50" i="1"/>
  <c r="AP50" i="1" s="1"/>
  <c r="AG50" i="1"/>
  <c r="AD50" i="1"/>
  <c r="V50" i="1"/>
  <c r="R50" i="1"/>
  <c r="AB50" i="1" s="1"/>
  <c r="Q50" i="1"/>
  <c r="AE50" i="1" s="1"/>
  <c r="P50" i="1"/>
  <c r="AH50" i="1" s="1"/>
  <c r="AO50" i="1" s="1"/>
  <c r="O50" i="1"/>
  <c r="N50" i="1"/>
  <c r="AF50" i="1" s="1"/>
  <c r="M50" i="1"/>
  <c r="G50" i="1" s="1"/>
  <c r="L50" i="1"/>
  <c r="K50" i="1"/>
  <c r="J50" i="1"/>
  <c r="AC50" i="1" s="1"/>
  <c r="I50" i="1"/>
  <c r="H50" i="1"/>
  <c r="D50" i="1"/>
  <c r="AJ49" i="1"/>
  <c r="AQ49" i="1" s="1"/>
  <c r="AI49" i="1"/>
  <c r="AP49" i="1" s="1"/>
  <c r="AB49" i="1"/>
  <c r="V49" i="1"/>
  <c r="R49" i="1"/>
  <c r="Q49" i="1"/>
  <c r="AE49" i="1" s="1"/>
  <c r="P49" i="1"/>
  <c r="AH49" i="1" s="1"/>
  <c r="AO49" i="1" s="1"/>
  <c r="N49" i="1"/>
  <c r="O49" i="1" s="1"/>
  <c r="M49" i="1"/>
  <c r="L49" i="1"/>
  <c r="K49" i="1"/>
  <c r="I49" i="1"/>
  <c r="H49" i="1"/>
  <c r="G49" i="1"/>
  <c r="Y49" i="1" s="1"/>
  <c r="F49" i="1"/>
  <c r="E49" i="1"/>
  <c r="D49" i="1"/>
  <c r="AJ48" i="1"/>
  <c r="AQ48" i="1" s="1"/>
  <c r="AI48" i="1"/>
  <c r="AP48" i="1" s="1"/>
  <c r="V48" i="1"/>
  <c r="R48" i="1"/>
  <c r="AB48" i="1" s="1"/>
  <c r="P48" i="1"/>
  <c r="AH48" i="1" s="1"/>
  <c r="N48" i="1"/>
  <c r="M48" i="1"/>
  <c r="L48" i="1"/>
  <c r="K48" i="1"/>
  <c r="I48" i="1"/>
  <c r="H48" i="1"/>
  <c r="D48" i="1"/>
  <c r="E48" i="1" s="1"/>
  <c r="AJ47" i="1"/>
  <c r="AQ47" i="1" s="1"/>
  <c r="AI47" i="1"/>
  <c r="AP47" i="1" s="1"/>
  <c r="V47" i="1"/>
  <c r="R47" i="1"/>
  <c r="AB47" i="1" s="1"/>
  <c r="P47" i="1"/>
  <c r="AH47" i="1" s="1"/>
  <c r="O47" i="1"/>
  <c r="AG47" i="1" s="1"/>
  <c r="N47" i="1"/>
  <c r="AF47" i="1" s="1"/>
  <c r="AM47" i="1" s="1"/>
  <c r="M47" i="1"/>
  <c r="L47" i="1"/>
  <c r="K47" i="1"/>
  <c r="J47" i="1" s="1"/>
  <c r="I47" i="1"/>
  <c r="H47" i="1"/>
  <c r="D47" i="1"/>
  <c r="E47" i="1" s="1"/>
  <c r="AJ46" i="1"/>
  <c r="AQ46" i="1" s="1"/>
  <c r="AI46" i="1"/>
  <c r="AP46" i="1" s="1"/>
  <c r="AH46" i="1"/>
  <c r="V46" i="1"/>
  <c r="R46" i="1"/>
  <c r="AB46" i="1" s="1"/>
  <c r="P46" i="1"/>
  <c r="N46" i="1"/>
  <c r="M46" i="1"/>
  <c r="L46" i="1"/>
  <c r="K46" i="1"/>
  <c r="J46" i="1"/>
  <c r="I46" i="1"/>
  <c r="H46" i="1"/>
  <c r="Q46" i="1" s="1"/>
  <c r="AE46" i="1" s="1"/>
  <c r="G46" i="1"/>
  <c r="F46" i="1"/>
  <c r="Z46" i="1" s="1"/>
  <c r="E46" i="1"/>
  <c r="Y46" i="1" s="1"/>
  <c r="D46" i="1"/>
  <c r="X46" i="1" s="1"/>
  <c r="AJ45" i="1"/>
  <c r="AQ45" i="1" s="1"/>
  <c r="AI45" i="1"/>
  <c r="AP45" i="1" s="1"/>
  <c r="AB45" i="1"/>
  <c r="V45" i="1"/>
  <c r="R45" i="1"/>
  <c r="P45" i="1"/>
  <c r="AH45" i="1" s="1"/>
  <c r="O45" i="1"/>
  <c r="AG45" i="1" s="1"/>
  <c r="AN45" i="1" s="1"/>
  <c r="N45" i="1"/>
  <c r="AF45" i="1" s="1"/>
  <c r="M45" i="1"/>
  <c r="L45" i="1"/>
  <c r="K45" i="1"/>
  <c r="I45" i="1"/>
  <c r="H45" i="1"/>
  <c r="D45" i="1"/>
  <c r="AJ44" i="1"/>
  <c r="AQ44" i="1" s="1"/>
  <c r="AI44" i="1"/>
  <c r="AP44" i="1" s="1"/>
  <c r="AB44" i="1"/>
  <c r="V44" i="1"/>
  <c r="R44" i="1"/>
  <c r="P44" i="1"/>
  <c r="AH44" i="1" s="1"/>
  <c r="AO44" i="1" s="1"/>
  <c r="O44" i="1"/>
  <c r="AG44" i="1" s="1"/>
  <c r="N44" i="1"/>
  <c r="AF44" i="1" s="1"/>
  <c r="AM44" i="1" s="1"/>
  <c r="M44" i="1"/>
  <c r="L44" i="1"/>
  <c r="K44" i="1"/>
  <c r="J44" i="1" s="1"/>
  <c r="I44" i="1"/>
  <c r="H44" i="1"/>
  <c r="AD44" i="1" s="1"/>
  <c r="G44" i="1"/>
  <c r="F44" i="1"/>
  <c r="Z44" i="1" s="1"/>
  <c r="D44" i="1"/>
  <c r="AJ43" i="1"/>
  <c r="AQ43" i="1" s="1"/>
  <c r="AI43" i="1"/>
  <c r="AP43" i="1" s="1"/>
  <c r="AB43" i="1"/>
  <c r="V43" i="1"/>
  <c r="R43" i="1"/>
  <c r="P43" i="1"/>
  <c r="AH43" i="1" s="1"/>
  <c r="O43" i="1"/>
  <c r="AG43" i="1" s="1"/>
  <c r="N43" i="1"/>
  <c r="AF43" i="1" s="1"/>
  <c r="M43" i="1"/>
  <c r="L43" i="1"/>
  <c r="K43" i="1"/>
  <c r="J43" i="1" s="1"/>
  <c r="I43" i="1"/>
  <c r="H43" i="1"/>
  <c r="D43" i="1"/>
  <c r="E43" i="1" s="1"/>
  <c r="F43" i="1" s="1"/>
  <c r="AJ42" i="1"/>
  <c r="AQ42" i="1" s="1"/>
  <c r="AI42" i="1"/>
  <c r="AP42" i="1" s="1"/>
  <c r="AB42" i="1"/>
  <c r="V42" i="1"/>
  <c r="R42" i="1"/>
  <c r="P42" i="1"/>
  <c r="AH42" i="1" s="1"/>
  <c r="O42" i="1"/>
  <c r="AA42" i="1" s="1"/>
  <c r="N42" i="1"/>
  <c r="AF42" i="1" s="1"/>
  <c r="M42" i="1"/>
  <c r="L42" i="1"/>
  <c r="K42" i="1"/>
  <c r="J42" i="1" s="1"/>
  <c r="I42" i="1"/>
  <c r="H42" i="1"/>
  <c r="D42" i="1"/>
  <c r="E42" i="1" s="1"/>
  <c r="AQ41" i="1"/>
  <c r="AJ41" i="1"/>
  <c r="AI41" i="1"/>
  <c r="AP41" i="1" s="1"/>
  <c r="V41" i="1"/>
  <c r="R41" i="1"/>
  <c r="AB41" i="1" s="1"/>
  <c r="P41" i="1"/>
  <c r="AH41" i="1" s="1"/>
  <c r="O41" i="1"/>
  <c r="AG41" i="1" s="1"/>
  <c r="N41" i="1"/>
  <c r="AF41" i="1" s="1"/>
  <c r="M41" i="1"/>
  <c r="G41" i="1" s="1"/>
  <c r="L41" i="1"/>
  <c r="K41" i="1"/>
  <c r="J41" i="1" s="1"/>
  <c r="I41" i="1"/>
  <c r="H41" i="1"/>
  <c r="AD41" i="1" s="1"/>
  <c r="E41" i="1"/>
  <c r="F41" i="1" s="1"/>
  <c r="Z41" i="1" s="1"/>
  <c r="D41" i="1"/>
  <c r="AJ40" i="1"/>
  <c r="AQ40" i="1" s="1"/>
  <c r="AI40" i="1"/>
  <c r="AP40" i="1" s="1"/>
  <c r="V40" i="1"/>
  <c r="R40" i="1"/>
  <c r="AB40" i="1" s="1"/>
  <c r="P40" i="1"/>
  <c r="AH40" i="1" s="1"/>
  <c r="N40" i="1"/>
  <c r="M40" i="1"/>
  <c r="L40" i="1"/>
  <c r="K40" i="1"/>
  <c r="J40" i="1" s="1"/>
  <c r="I40" i="1"/>
  <c r="H40" i="1"/>
  <c r="G40" i="1"/>
  <c r="F40" i="1"/>
  <c r="D40" i="1"/>
  <c r="E40" i="1" s="1"/>
  <c r="Y40" i="1" s="1"/>
  <c r="AO39" i="1"/>
  <c r="AJ39" i="1"/>
  <c r="AQ39" i="1" s="1"/>
  <c r="AI39" i="1"/>
  <c r="AP39" i="1" s="1"/>
  <c r="AB39" i="1"/>
  <c r="V39" i="1"/>
  <c r="R39" i="1"/>
  <c r="P39" i="1"/>
  <c r="AH39" i="1" s="1"/>
  <c r="N39" i="1"/>
  <c r="AF39" i="1" s="1"/>
  <c r="M39" i="1"/>
  <c r="L39" i="1"/>
  <c r="K39" i="1"/>
  <c r="I39" i="1"/>
  <c r="H39" i="1"/>
  <c r="G39" i="1"/>
  <c r="F39" i="1"/>
  <c r="E39" i="1"/>
  <c r="D39" i="1"/>
  <c r="AJ38" i="1"/>
  <c r="AQ38" i="1" s="1"/>
  <c r="AI38" i="1"/>
  <c r="AP38" i="1" s="1"/>
  <c r="AB38" i="1"/>
  <c r="V38" i="1"/>
  <c r="R38" i="1"/>
  <c r="P38" i="1"/>
  <c r="AH38" i="1" s="1"/>
  <c r="O38" i="1"/>
  <c r="N38" i="1"/>
  <c r="AF38" i="1" s="1"/>
  <c r="M38" i="1"/>
  <c r="L38" i="1"/>
  <c r="K38" i="1"/>
  <c r="J38" i="1"/>
  <c r="I38" i="1"/>
  <c r="H38" i="1"/>
  <c r="G38" i="1"/>
  <c r="F38" i="1"/>
  <c r="Z38" i="1" s="1"/>
  <c r="D38" i="1"/>
  <c r="E38" i="1" s="1"/>
  <c r="AJ37" i="1"/>
  <c r="AQ37" i="1" s="1"/>
  <c r="AI37" i="1"/>
  <c r="AP37" i="1" s="1"/>
  <c r="AH37" i="1"/>
  <c r="AO37" i="1" s="1"/>
  <c r="V37" i="1"/>
  <c r="R37" i="1"/>
  <c r="AB37" i="1" s="1"/>
  <c r="P37" i="1"/>
  <c r="O37" i="1"/>
  <c r="AG37" i="1" s="1"/>
  <c r="N37" i="1"/>
  <c r="AF37" i="1" s="1"/>
  <c r="M37" i="1"/>
  <c r="L37" i="1"/>
  <c r="K37" i="1"/>
  <c r="J37" i="1" s="1"/>
  <c r="I37" i="1"/>
  <c r="H37" i="1"/>
  <c r="Q37" i="1" s="1"/>
  <c r="AE37" i="1" s="1"/>
  <c r="G37" i="1"/>
  <c r="F37" i="1"/>
  <c r="Z37" i="1" s="1"/>
  <c r="E37" i="1"/>
  <c r="X37" i="1"/>
  <c r="AJ36" i="1"/>
  <c r="AQ36" i="1" s="1"/>
  <c r="AI36" i="1"/>
  <c r="AP36" i="1" s="1"/>
  <c r="V36" i="1"/>
  <c r="R36" i="1"/>
  <c r="AB36" i="1" s="1"/>
  <c r="P36" i="1"/>
  <c r="AH36" i="1" s="1"/>
  <c r="N36" i="1"/>
  <c r="L36" i="1"/>
  <c r="K36" i="1"/>
  <c r="I36" i="1"/>
  <c r="H36" i="1"/>
  <c r="Q36" i="1" s="1"/>
  <c r="AE36" i="1" s="1"/>
  <c r="AL36" i="1" s="1"/>
  <c r="E36" i="1"/>
  <c r="D36" i="1"/>
  <c r="AJ35" i="1"/>
  <c r="AQ35" i="1" s="1"/>
  <c r="AI35" i="1"/>
  <c r="AP35" i="1" s="1"/>
  <c r="V35" i="1"/>
  <c r="R35" i="1"/>
  <c r="AB35" i="1" s="1"/>
  <c r="P35" i="1"/>
  <c r="AH35" i="1" s="1"/>
  <c r="O35" i="1"/>
  <c r="N35" i="1"/>
  <c r="AF35" i="1" s="1"/>
  <c r="M35" i="1"/>
  <c r="L35" i="1"/>
  <c r="K35" i="1"/>
  <c r="J35" i="1"/>
  <c r="I35" i="1"/>
  <c r="H35" i="1"/>
  <c r="D35" i="1"/>
  <c r="E35" i="1" s="1"/>
  <c r="F35" i="1" s="1"/>
  <c r="AJ34" i="1"/>
  <c r="AQ34" i="1" s="1"/>
  <c r="AI34" i="1"/>
  <c r="AP34" i="1" s="1"/>
  <c r="AH34" i="1"/>
  <c r="AO34" i="1" s="1"/>
  <c r="V34" i="1"/>
  <c r="R34" i="1"/>
  <c r="AB34" i="1" s="1"/>
  <c r="P34" i="1"/>
  <c r="O34" i="1"/>
  <c r="AG34" i="1" s="1"/>
  <c r="N34" i="1"/>
  <c r="AF34" i="1" s="1"/>
  <c r="M34" i="1"/>
  <c r="G34" i="1" s="1"/>
  <c r="L34" i="1"/>
  <c r="K34" i="1"/>
  <c r="J34" i="1" s="1"/>
  <c r="I34" i="1"/>
  <c r="H34" i="1"/>
  <c r="Q34" i="1" s="1"/>
  <c r="AE34" i="1" s="1"/>
  <c r="E34" i="1"/>
  <c r="F34" i="1" s="1"/>
  <c r="D34" i="1"/>
  <c r="AJ33" i="1"/>
  <c r="AQ33" i="1" s="1"/>
  <c r="AI33" i="1"/>
  <c r="AP33" i="1" s="1"/>
  <c r="AD33" i="1"/>
  <c r="V33" i="1"/>
  <c r="R33" i="1"/>
  <c r="AB33" i="1" s="1"/>
  <c r="P33" i="1"/>
  <c r="AH33" i="1" s="1"/>
  <c r="O33" i="1"/>
  <c r="AA33" i="1" s="1"/>
  <c r="N33" i="1"/>
  <c r="AF33" i="1" s="1"/>
  <c r="M33" i="1"/>
  <c r="L33" i="1"/>
  <c r="K33" i="1"/>
  <c r="J33" i="1" s="1"/>
  <c r="I33" i="1"/>
  <c r="H33" i="1"/>
  <c r="Q33" i="1" s="1"/>
  <c r="AE33" i="1" s="1"/>
  <c r="D33" i="1"/>
  <c r="E33" i="1" s="1"/>
  <c r="F33" i="1" s="1"/>
  <c r="AJ32" i="1"/>
  <c r="AQ32" i="1" s="1"/>
  <c r="AI32" i="1"/>
  <c r="AP32" i="1" s="1"/>
  <c r="AG32" i="1"/>
  <c r="AB32" i="1"/>
  <c r="V32" i="1"/>
  <c r="R32" i="1"/>
  <c r="P32" i="1"/>
  <c r="AH32" i="1" s="1"/>
  <c r="AO32" i="1" s="1"/>
  <c r="O32" i="1"/>
  <c r="N32" i="1"/>
  <c r="AF32" i="1" s="1"/>
  <c r="AM32" i="1" s="1"/>
  <c r="M32" i="1"/>
  <c r="L32" i="1"/>
  <c r="K32" i="1"/>
  <c r="I32" i="1"/>
  <c r="H32" i="1"/>
  <c r="G32" i="1"/>
  <c r="F32" i="1"/>
  <c r="E32" i="1"/>
  <c r="D32" i="1"/>
  <c r="AP31" i="1"/>
  <c r="AJ31" i="1"/>
  <c r="AQ31" i="1" s="1"/>
  <c r="AI31" i="1"/>
  <c r="V31" i="1"/>
  <c r="R31" i="1"/>
  <c r="AB31" i="1" s="1"/>
  <c r="P31" i="1"/>
  <c r="AH31" i="1" s="1"/>
  <c r="O31" i="1"/>
  <c r="AA31" i="1" s="1"/>
  <c r="N31" i="1"/>
  <c r="AF31" i="1" s="1"/>
  <c r="L31" i="1"/>
  <c r="K31" i="1"/>
  <c r="J31" i="1"/>
  <c r="I31" i="1"/>
  <c r="H31" i="1"/>
  <c r="Q31" i="1" s="1"/>
  <c r="AE31" i="1" s="1"/>
  <c r="AL31" i="1" s="1"/>
  <c r="G31" i="1"/>
  <c r="F31" i="1"/>
  <c r="Z31" i="1" s="1"/>
  <c r="D31" i="1"/>
  <c r="E31" i="1" s="1"/>
  <c r="AJ30" i="1"/>
  <c r="AQ30" i="1" s="1"/>
  <c r="AI30" i="1"/>
  <c r="AP30" i="1" s="1"/>
  <c r="AH30" i="1"/>
  <c r="AO30" i="1" s="1"/>
  <c r="V30" i="1"/>
  <c r="R30" i="1"/>
  <c r="AB30" i="1" s="1"/>
  <c r="P30" i="1"/>
  <c r="O30" i="1"/>
  <c r="AA30" i="1" s="1"/>
  <c r="N30" i="1"/>
  <c r="AF30" i="1" s="1"/>
  <c r="M30" i="1"/>
  <c r="L30" i="1"/>
  <c r="K30" i="1"/>
  <c r="I30" i="1"/>
  <c r="H30" i="1"/>
  <c r="Q30" i="1" s="1"/>
  <c r="AE30" i="1" s="1"/>
  <c r="F30" i="1"/>
  <c r="E30" i="1"/>
  <c r="D30" i="1"/>
  <c r="AP29" i="1"/>
  <c r="AJ29" i="1"/>
  <c r="AQ29" i="1" s="1"/>
  <c r="AI29" i="1"/>
  <c r="AG29" i="1"/>
  <c r="AN29" i="1" s="1"/>
  <c r="AF29" i="1"/>
  <c r="V29" i="1"/>
  <c r="R29" i="1"/>
  <c r="AB29" i="1" s="1"/>
  <c r="P29" i="1"/>
  <c r="AH29" i="1" s="1"/>
  <c r="O29" i="1"/>
  <c r="AA29" i="1" s="1"/>
  <c r="N29" i="1"/>
  <c r="M29" i="1"/>
  <c r="L29" i="1"/>
  <c r="K29" i="1"/>
  <c r="I29" i="1"/>
  <c r="H29" i="1"/>
  <c r="Q29" i="1" s="1"/>
  <c r="AE29" i="1" s="1"/>
  <c r="D29" i="1"/>
  <c r="E29" i="1" s="1"/>
  <c r="AJ28" i="1"/>
  <c r="AQ28" i="1" s="1"/>
  <c r="AI28" i="1"/>
  <c r="AP28" i="1" s="1"/>
  <c r="AB28" i="1"/>
  <c r="V28" i="1"/>
  <c r="R28" i="1"/>
  <c r="P28" i="1"/>
  <c r="AH28" i="1" s="1"/>
  <c r="O28" i="1"/>
  <c r="AA28" i="1" s="1"/>
  <c r="N28" i="1"/>
  <c r="AF28" i="1" s="1"/>
  <c r="M28" i="1"/>
  <c r="G28" i="1" s="1"/>
  <c r="L28" i="1"/>
  <c r="K28" i="1"/>
  <c r="J28" i="1" s="1"/>
  <c r="AC28" i="1" s="1"/>
  <c r="I28" i="1"/>
  <c r="H28" i="1"/>
  <c r="AD28" i="1" s="1"/>
  <c r="D28" i="1"/>
  <c r="E28" i="1" s="1"/>
  <c r="AQ27" i="1"/>
  <c r="AJ27" i="1"/>
  <c r="AI27" i="1"/>
  <c r="AP27" i="1" s="1"/>
  <c r="AD27" i="1"/>
  <c r="V27" i="1"/>
  <c r="R27" i="1"/>
  <c r="AB27" i="1" s="1"/>
  <c r="P27" i="1"/>
  <c r="AH27" i="1" s="1"/>
  <c r="O27" i="1"/>
  <c r="AG27" i="1" s="1"/>
  <c r="N27" i="1"/>
  <c r="AF27" i="1" s="1"/>
  <c r="M27" i="1"/>
  <c r="G27" i="1" s="1"/>
  <c r="L27" i="1"/>
  <c r="K27" i="1"/>
  <c r="I27" i="1"/>
  <c r="Q27" i="1"/>
  <c r="AE27" i="1" s="1"/>
  <c r="D27" i="1"/>
  <c r="E27" i="1" s="1"/>
  <c r="AJ26" i="1"/>
  <c r="AQ26" i="1" s="1"/>
  <c r="AI26" i="1"/>
  <c r="AP26" i="1" s="1"/>
  <c r="AD26" i="1"/>
  <c r="AK26" i="1" s="1"/>
  <c r="V26" i="1"/>
  <c r="R26" i="1"/>
  <c r="AB26" i="1" s="1"/>
  <c r="P26" i="1"/>
  <c r="AH26" i="1" s="1"/>
  <c r="AO26" i="1" s="1"/>
  <c r="O26" i="1"/>
  <c r="AG26" i="1" s="1"/>
  <c r="N26" i="1"/>
  <c r="AF26" i="1" s="1"/>
  <c r="M26" i="1"/>
  <c r="L26" i="1"/>
  <c r="K26" i="1"/>
  <c r="I26" i="1"/>
  <c r="H26" i="1"/>
  <c r="Q26" i="1" s="1"/>
  <c r="AE26" i="1" s="1"/>
  <c r="E26" i="1"/>
  <c r="D26" i="1"/>
  <c r="AJ25" i="1"/>
  <c r="AQ25" i="1" s="1"/>
  <c r="AI25" i="1"/>
  <c r="AP25" i="1" s="1"/>
  <c r="V25" i="1"/>
  <c r="R25" i="1"/>
  <c r="AB25" i="1" s="1"/>
  <c r="P25" i="1"/>
  <c r="AH25" i="1" s="1"/>
  <c r="N25" i="1"/>
  <c r="O25" i="1" s="1"/>
  <c r="M25" i="1"/>
  <c r="L25" i="1"/>
  <c r="K25" i="1"/>
  <c r="I25" i="1"/>
  <c r="J25" i="1" s="1"/>
  <c r="H25" i="1"/>
  <c r="F25" i="1"/>
  <c r="D25" i="1"/>
  <c r="AQ24" i="1"/>
  <c r="AJ24" i="1"/>
  <c r="AI24" i="1"/>
  <c r="AP24" i="1" s="1"/>
  <c r="AF24" i="1"/>
  <c r="AM24" i="1" s="1"/>
  <c r="V24" i="1"/>
  <c r="R24" i="1"/>
  <c r="AB24" i="1" s="1"/>
  <c r="P24" i="1"/>
  <c r="AH24" i="1" s="1"/>
  <c r="O24" i="1"/>
  <c r="AA24" i="1" s="1"/>
  <c r="N24" i="1"/>
  <c r="M24" i="1"/>
  <c r="G24" i="1" s="1"/>
  <c r="L24" i="1"/>
  <c r="K24" i="1"/>
  <c r="J24" i="1"/>
  <c r="I24" i="1"/>
  <c r="AC24" i="1" s="1"/>
  <c r="H24" i="1"/>
  <c r="AD24" i="1" s="1"/>
  <c r="F24" i="1"/>
  <c r="D24" i="1"/>
  <c r="E24" i="1" s="1"/>
  <c r="Y24" i="1" s="1"/>
  <c r="AQ23" i="1"/>
  <c r="AJ23" i="1"/>
  <c r="AI23" i="1"/>
  <c r="AP23" i="1" s="1"/>
  <c r="AD23" i="1"/>
  <c r="V23" i="1"/>
  <c r="R23" i="1"/>
  <c r="AB23" i="1" s="1"/>
  <c r="P23" i="1"/>
  <c r="AH23" i="1" s="1"/>
  <c r="O23" i="1"/>
  <c r="AG23" i="1" s="1"/>
  <c r="N23" i="1"/>
  <c r="AF23" i="1" s="1"/>
  <c r="M23" i="1"/>
  <c r="G23" i="1" s="1"/>
  <c r="L23" i="1"/>
  <c r="K23" i="1"/>
  <c r="J23" i="1" s="1"/>
  <c r="I23" i="1"/>
  <c r="H23" i="1"/>
  <c r="Q23" i="1" s="1"/>
  <c r="AE23" i="1" s="1"/>
  <c r="F23" i="1"/>
  <c r="D23" i="1"/>
  <c r="E23" i="1" s="1"/>
  <c r="Y23" i="1" s="1"/>
  <c r="AP22" i="1"/>
  <c r="AJ22" i="1"/>
  <c r="AQ22" i="1" s="1"/>
  <c r="AI22" i="1"/>
  <c r="AD22" i="1"/>
  <c r="AK22" i="1" s="1"/>
  <c r="V22" i="1"/>
  <c r="R22" i="1"/>
  <c r="AB22" i="1" s="1"/>
  <c r="P22" i="1"/>
  <c r="AH22" i="1" s="1"/>
  <c r="AO22" i="1" s="1"/>
  <c r="O22" i="1"/>
  <c r="AG22" i="1" s="1"/>
  <c r="N22" i="1"/>
  <c r="AF22" i="1" s="1"/>
  <c r="M22" i="1"/>
  <c r="L22" i="1"/>
  <c r="K22" i="1"/>
  <c r="I22" i="1"/>
  <c r="H22" i="1"/>
  <c r="Q22" i="1" s="1"/>
  <c r="AE22" i="1" s="1"/>
  <c r="F22" i="1"/>
  <c r="D22" i="1"/>
  <c r="E22" i="1" s="1"/>
  <c r="AJ21" i="1"/>
  <c r="AQ21" i="1" s="1"/>
  <c r="AI21" i="1"/>
  <c r="AP21" i="1" s="1"/>
  <c r="AF21" i="1"/>
  <c r="AB21" i="1"/>
  <c r="V21" i="1"/>
  <c r="R21" i="1"/>
  <c r="P21" i="1"/>
  <c r="AH21" i="1" s="1"/>
  <c r="O21" i="1"/>
  <c r="AG21" i="1" s="1"/>
  <c r="AN21" i="1" s="1"/>
  <c r="N21" i="1"/>
  <c r="M21" i="1"/>
  <c r="L21" i="1"/>
  <c r="K21" i="1"/>
  <c r="I21" i="1"/>
  <c r="J21" i="1" s="1"/>
  <c r="H21" i="1"/>
  <c r="D21" i="1"/>
  <c r="E21" i="1" s="1"/>
  <c r="AJ20" i="1"/>
  <c r="AQ20" i="1" s="1"/>
  <c r="AI20" i="1"/>
  <c r="AP20" i="1" s="1"/>
  <c r="AF20" i="1"/>
  <c r="AM20" i="1" s="1"/>
  <c r="AB20" i="1"/>
  <c r="V20" i="1"/>
  <c r="R20" i="1"/>
  <c r="P20" i="1"/>
  <c r="AH20" i="1" s="1"/>
  <c r="O20" i="1"/>
  <c r="N20" i="1"/>
  <c r="M20" i="1"/>
  <c r="L20" i="1"/>
  <c r="K20" i="1"/>
  <c r="I20" i="1"/>
  <c r="H20" i="1"/>
  <c r="G20" i="1"/>
  <c r="F20" i="1"/>
  <c r="D20" i="1"/>
  <c r="E20" i="1" s="1"/>
  <c r="AP19" i="1"/>
  <c r="AJ19" i="1"/>
  <c r="AQ19" i="1" s="1"/>
  <c r="AI19" i="1"/>
  <c r="AD19" i="1"/>
  <c r="V19" i="1"/>
  <c r="R19" i="1"/>
  <c r="AB19" i="1" s="1"/>
  <c r="P19" i="1"/>
  <c r="AH19" i="1" s="1"/>
  <c r="O19" i="1"/>
  <c r="AG19" i="1" s="1"/>
  <c r="N19" i="1"/>
  <c r="AF19" i="1" s="1"/>
  <c r="M19" i="1"/>
  <c r="L19" i="1"/>
  <c r="K19" i="1"/>
  <c r="J19" i="1" s="1"/>
  <c r="I19" i="1"/>
  <c r="H19" i="1"/>
  <c r="Q19" i="1" s="1"/>
  <c r="AE19" i="1" s="1"/>
  <c r="G19" i="1"/>
  <c r="D19" i="1"/>
  <c r="E19" i="1" s="1"/>
  <c r="AO18" i="1"/>
  <c r="AJ18" i="1"/>
  <c r="AQ18" i="1" s="1"/>
  <c r="AI18" i="1"/>
  <c r="AP18" i="1" s="1"/>
  <c r="AH18" i="1"/>
  <c r="AG18" i="1"/>
  <c r="V18" i="1"/>
  <c r="R18" i="1"/>
  <c r="AB18" i="1" s="1"/>
  <c r="P18" i="1"/>
  <c r="O18" i="1"/>
  <c r="N18" i="1"/>
  <c r="AF18" i="1" s="1"/>
  <c r="M18" i="1"/>
  <c r="L18" i="1"/>
  <c r="AD18" i="1" s="1"/>
  <c r="AK18" i="1" s="1"/>
  <c r="K18" i="1"/>
  <c r="I18" i="1"/>
  <c r="H18" i="1"/>
  <c r="Q18" i="1" s="1"/>
  <c r="AE18" i="1" s="1"/>
  <c r="E18" i="1"/>
  <c r="F18" i="1" s="1"/>
  <c r="D18" i="1"/>
  <c r="AP17" i="1"/>
  <c r="AJ17" i="1"/>
  <c r="AQ17" i="1" s="1"/>
  <c r="AI17" i="1"/>
  <c r="AB17" i="1"/>
  <c r="V17" i="1"/>
  <c r="R17" i="1"/>
  <c r="P17" i="1"/>
  <c r="AH17" i="1" s="1"/>
  <c r="N17" i="1"/>
  <c r="M17" i="1"/>
  <c r="L17" i="1"/>
  <c r="K17" i="1"/>
  <c r="I17" i="1"/>
  <c r="J17" i="1" s="1"/>
  <c r="H17" i="1"/>
  <c r="D17" i="1"/>
  <c r="E17" i="1" s="1"/>
  <c r="AJ16" i="1"/>
  <c r="AQ16" i="1" s="1"/>
  <c r="AI16" i="1"/>
  <c r="AP16" i="1" s="1"/>
  <c r="AB16" i="1"/>
  <c r="V16" i="1"/>
  <c r="R16" i="1"/>
  <c r="P16" i="1"/>
  <c r="AH16" i="1" s="1"/>
  <c r="O16" i="1"/>
  <c r="AA16" i="1" s="1"/>
  <c r="N16" i="1"/>
  <c r="AF16" i="1" s="1"/>
  <c r="AM16" i="1" s="1"/>
  <c r="M16" i="1"/>
  <c r="G16" i="1" s="1"/>
  <c r="Z16" i="1" s="1"/>
  <c r="L16" i="1"/>
  <c r="K16" i="1"/>
  <c r="J16" i="1" s="1"/>
  <c r="I16" i="1"/>
  <c r="H16" i="1"/>
  <c r="AD16" i="1" s="1"/>
  <c r="D16" i="1"/>
  <c r="E16" i="1" s="1"/>
  <c r="AK15" i="1"/>
  <c r="AJ15" i="1"/>
  <c r="AQ15" i="1" s="1"/>
  <c r="AI15" i="1"/>
  <c r="AP15" i="1" s="1"/>
  <c r="AH15" i="1"/>
  <c r="AO15" i="1" s="1"/>
  <c r="AG15" i="1"/>
  <c r="V15" i="1"/>
  <c r="R15" i="1"/>
  <c r="AB15" i="1" s="1"/>
  <c r="P15" i="1"/>
  <c r="O15" i="1"/>
  <c r="AA15" i="1" s="1"/>
  <c r="N15" i="1"/>
  <c r="AF15" i="1" s="1"/>
  <c r="M15" i="1"/>
  <c r="L15" i="1"/>
  <c r="K15" i="1"/>
  <c r="I15" i="1"/>
  <c r="H15" i="1"/>
  <c r="AD15" i="1" s="1"/>
  <c r="D15" i="1"/>
  <c r="AP14" i="1"/>
  <c r="AJ14" i="1"/>
  <c r="AQ14" i="1" s="1"/>
  <c r="AI14" i="1"/>
  <c r="AF14" i="1"/>
  <c r="AB14" i="1"/>
  <c r="V14" i="1"/>
  <c r="R14" i="1"/>
  <c r="P14" i="1"/>
  <c r="AH14" i="1" s="1"/>
  <c r="N14" i="1"/>
  <c r="O14" i="1" s="1"/>
  <c r="M14" i="1"/>
  <c r="L14" i="1"/>
  <c r="K14" i="1"/>
  <c r="I14" i="1"/>
  <c r="H14" i="1"/>
  <c r="D14" i="1"/>
  <c r="AJ13" i="1"/>
  <c r="AQ13" i="1" s="1"/>
  <c r="AI13" i="1"/>
  <c r="AP13" i="1" s="1"/>
  <c r="AB13" i="1"/>
  <c r="V13" i="1"/>
  <c r="R13" i="1"/>
  <c r="P13" i="1"/>
  <c r="AH13" i="1" s="1"/>
  <c r="O13" i="1"/>
  <c r="AG13" i="1" s="1"/>
  <c r="N13" i="1"/>
  <c r="AF13" i="1" s="1"/>
  <c r="AM13" i="1" s="1"/>
  <c r="M13" i="1"/>
  <c r="L13" i="1"/>
  <c r="K13" i="1"/>
  <c r="I13" i="1"/>
  <c r="H13" i="1"/>
  <c r="G13" i="1"/>
  <c r="D13" i="1"/>
  <c r="E13" i="1" s="1"/>
  <c r="AQ12" i="1"/>
  <c r="AJ12" i="1"/>
  <c r="AI12" i="1"/>
  <c r="AP12" i="1" s="1"/>
  <c r="AH12" i="1"/>
  <c r="V12" i="1"/>
  <c r="R12" i="1"/>
  <c r="AB12" i="1" s="1"/>
  <c r="P12" i="1"/>
  <c r="N12" i="1"/>
  <c r="M12" i="1"/>
  <c r="L12" i="1"/>
  <c r="K12" i="1"/>
  <c r="J12" i="1" s="1"/>
  <c r="I12" i="1"/>
  <c r="H12" i="1"/>
  <c r="Q12" i="1" s="1"/>
  <c r="AE12" i="1" s="1"/>
  <c r="AL12" i="1" s="1"/>
  <c r="G12" i="1"/>
  <c r="D12" i="1"/>
  <c r="E12" i="1" s="1"/>
  <c r="AJ11" i="1"/>
  <c r="AQ11" i="1" s="1"/>
  <c r="AI11" i="1"/>
  <c r="AP11" i="1" s="1"/>
  <c r="AG11" i="1"/>
  <c r="AC11" i="1"/>
  <c r="V11" i="1"/>
  <c r="R11" i="1"/>
  <c r="AB11" i="1" s="1"/>
  <c r="P11" i="1"/>
  <c r="AH11" i="1" s="1"/>
  <c r="AO11" i="1" s="1"/>
  <c r="O11" i="1"/>
  <c r="N11" i="1"/>
  <c r="AF11" i="1" s="1"/>
  <c r="M11" i="1"/>
  <c r="L11" i="1"/>
  <c r="K11" i="1"/>
  <c r="I11" i="1"/>
  <c r="J11" i="1" s="1"/>
  <c r="H11" i="1"/>
  <c r="AD11" i="1" s="1"/>
  <c r="AK11" i="1" s="1"/>
  <c r="E11" i="1"/>
  <c r="F11" i="1" s="1"/>
  <c r="D11" i="1"/>
  <c r="AP10" i="1"/>
  <c r="AJ10" i="1"/>
  <c r="AQ10" i="1" s="1"/>
  <c r="AI10" i="1"/>
  <c r="AF10" i="1"/>
  <c r="AB10" i="1"/>
  <c r="V10" i="1"/>
  <c r="R10" i="1"/>
  <c r="P10" i="1"/>
  <c r="AH10" i="1" s="1"/>
  <c r="O10" i="1"/>
  <c r="AG10" i="1" s="1"/>
  <c r="AN10" i="1" s="1"/>
  <c r="N10" i="1"/>
  <c r="M10" i="1"/>
  <c r="L10" i="1"/>
  <c r="K10" i="1"/>
  <c r="I10" i="1"/>
  <c r="H10" i="1"/>
  <c r="D10" i="1"/>
  <c r="E10" i="1" s="1"/>
  <c r="AQ9" i="1"/>
  <c r="AJ9" i="1"/>
  <c r="AI9" i="1"/>
  <c r="AP9" i="1" s="1"/>
  <c r="AF9" i="1"/>
  <c r="AM9" i="1" s="1"/>
  <c r="V9" i="1"/>
  <c r="R9" i="1"/>
  <c r="AB9" i="1" s="1"/>
  <c r="P9" i="1"/>
  <c r="AH9" i="1" s="1"/>
  <c r="N9" i="1"/>
  <c r="O9" i="1" s="1"/>
  <c r="AG9" i="1" s="1"/>
  <c r="M9" i="1"/>
  <c r="L9" i="1"/>
  <c r="K9" i="1"/>
  <c r="I9" i="1"/>
  <c r="H9" i="1"/>
  <c r="G9" i="1"/>
  <c r="D9" i="1"/>
  <c r="E9" i="1" s="1"/>
  <c r="AP8" i="1"/>
  <c r="AJ8" i="1"/>
  <c r="AQ8" i="1" s="1"/>
  <c r="AI8" i="1"/>
  <c r="V8" i="1"/>
  <c r="R8" i="1"/>
  <c r="AB8" i="1" s="1"/>
  <c r="P8" i="1"/>
  <c r="AH8" i="1" s="1"/>
  <c r="O8" i="1"/>
  <c r="AG8" i="1" s="1"/>
  <c r="N8" i="1"/>
  <c r="AF8" i="1" s="1"/>
  <c r="M8" i="1"/>
  <c r="L8" i="1"/>
  <c r="K8" i="1"/>
  <c r="J8" i="1"/>
  <c r="I8" i="1"/>
  <c r="H8" i="1"/>
  <c r="Q8" i="1" s="1"/>
  <c r="AE8" i="1" s="1"/>
  <c r="F8" i="1"/>
  <c r="D8" i="1"/>
  <c r="E8" i="1" s="1"/>
  <c r="AJ7" i="1"/>
  <c r="AQ7" i="1" s="1"/>
  <c r="AI7" i="1"/>
  <c r="AP7" i="1" s="1"/>
  <c r="AH7" i="1"/>
  <c r="AO7" i="1" s="1"/>
  <c r="V7" i="1"/>
  <c r="R7" i="1"/>
  <c r="AB7" i="1" s="1"/>
  <c r="P7" i="1"/>
  <c r="O7" i="1"/>
  <c r="N7" i="1"/>
  <c r="AF7" i="1" s="1"/>
  <c r="M7" i="1"/>
  <c r="L7" i="1"/>
  <c r="K7" i="1"/>
  <c r="I7" i="1"/>
  <c r="H7" i="1"/>
  <c r="Q7" i="1" s="1"/>
  <c r="AE7" i="1" s="1"/>
  <c r="F7" i="1"/>
  <c r="E7" i="1"/>
  <c r="D7" i="1"/>
  <c r="AP6" i="1"/>
  <c r="AJ6" i="1"/>
  <c r="AQ6" i="1" s="1"/>
  <c r="AI6" i="1"/>
  <c r="V6" i="1"/>
  <c r="R6" i="1"/>
  <c r="AB6" i="1" s="1"/>
  <c r="P6" i="1"/>
  <c r="AH6" i="1" s="1"/>
  <c r="O6" i="1"/>
  <c r="AA6" i="1" s="1"/>
  <c r="N6" i="1"/>
  <c r="AF6" i="1" s="1"/>
  <c r="M6" i="1"/>
  <c r="L6" i="1"/>
  <c r="K6" i="1"/>
  <c r="I6" i="1"/>
  <c r="H6" i="1"/>
  <c r="F6" i="1"/>
  <c r="D6" i="1"/>
  <c r="E6" i="1" s="1"/>
  <c r="AJ5" i="1"/>
  <c r="AQ5" i="1" s="1"/>
  <c r="AI5" i="1"/>
  <c r="AP5" i="1" s="1"/>
  <c r="V5" i="1"/>
  <c r="R5" i="1"/>
  <c r="AB5" i="1" s="1"/>
  <c r="P5" i="1"/>
  <c r="AH5" i="1" s="1"/>
  <c r="O5" i="1"/>
  <c r="AG5" i="1" s="1"/>
  <c r="N5" i="1"/>
  <c r="AF5" i="1" s="1"/>
  <c r="AM5" i="1" s="1"/>
  <c r="M5" i="1"/>
  <c r="L5" i="1"/>
  <c r="K5" i="1"/>
  <c r="J5" i="1" s="1"/>
  <c r="I5" i="1"/>
  <c r="H5" i="1"/>
  <c r="AD5" i="1" s="1"/>
  <c r="F5" i="1"/>
  <c r="D5" i="1"/>
  <c r="E5" i="1" s="1"/>
  <c r="AJ4" i="1"/>
  <c r="AQ4" i="1" s="1"/>
  <c r="AI4" i="1"/>
  <c r="AP4" i="1" s="1"/>
  <c r="AH4" i="1"/>
  <c r="V4" i="1"/>
  <c r="R4" i="1"/>
  <c r="AB4" i="1" s="1"/>
  <c r="P4" i="1"/>
  <c r="O4" i="1"/>
  <c r="AG4" i="1" s="1"/>
  <c r="N4" i="1"/>
  <c r="AF4" i="1" s="1"/>
  <c r="M4" i="1"/>
  <c r="L4" i="1"/>
  <c r="K4" i="1"/>
  <c r="I4" i="1"/>
  <c r="H4" i="1"/>
  <c r="Q4" i="1" s="1"/>
  <c r="AE4" i="1" s="1"/>
  <c r="G4" i="1"/>
  <c r="Z4" i="1" s="1"/>
  <c r="F4" i="1"/>
  <c r="D4" i="1"/>
  <c r="E4" i="1" s="1"/>
  <c r="Y4" i="1" s="1"/>
  <c r="AP3" i="1"/>
  <c r="AJ3" i="1"/>
  <c r="AQ3" i="1" s="1"/>
  <c r="AI3" i="1"/>
  <c r="AH3" i="1"/>
  <c r="AO3" i="1" s="1"/>
  <c r="V3" i="1"/>
  <c r="R3" i="1"/>
  <c r="AB3" i="1" s="1"/>
  <c r="Q3" i="1"/>
  <c r="AE3" i="1" s="1"/>
  <c r="P3" i="1"/>
  <c r="O3" i="1"/>
  <c r="AA3" i="1" s="1"/>
  <c r="N3" i="1"/>
  <c r="AF3" i="1" s="1"/>
  <c r="M3" i="1"/>
  <c r="G3" i="1" s="1"/>
  <c r="K3" i="1"/>
  <c r="I3" i="1"/>
  <c r="J3" i="1" s="1"/>
  <c r="AC3" i="1" s="1"/>
  <c r="H3" i="1"/>
  <c r="AD3" i="1" s="1"/>
  <c r="D3" i="1"/>
  <c r="AJ2" i="1"/>
  <c r="AI2" i="1"/>
  <c r="V2" i="1"/>
  <c r="R2" i="1"/>
  <c r="AB2" i="1" s="1"/>
  <c r="P2" i="1"/>
  <c r="O2" i="1"/>
  <c r="N2" i="1"/>
  <c r="AF2" i="1" s="1"/>
  <c r="AM2" i="1" s="1"/>
  <c r="M2" i="1"/>
  <c r="G2" i="1" s="1"/>
  <c r="L2" i="1"/>
  <c r="K2" i="1"/>
  <c r="I2" i="1"/>
  <c r="H2" i="1"/>
  <c r="Q2" i="1" s="1"/>
  <c r="AE2" i="1" s="1"/>
  <c r="D2" i="1"/>
  <c r="G5" i="1" l="1"/>
  <c r="Q40" i="1"/>
  <c r="AE40" i="1" s="1"/>
  <c r="AL40" i="1" s="1"/>
  <c r="AD40" i="1"/>
  <c r="AK40" i="1" s="1"/>
  <c r="AF48" i="1"/>
  <c r="AM48" i="1" s="1"/>
  <c r="O48" i="1"/>
  <c r="AG48" i="1" s="1"/>
  <c r="AC26" i="9"/>
  <c r="J4" i="1"/>
  <c r="AD7" i="1"/>
  <c r="AK7" i="1" s="1"/>
  <c r="G15" i="1"/>
  <c r="X15" i="1" s="1"/>
  <c r="Q15" i="1"/>
  <c r="AE15" i="1" s="1"/>
  <c r="AL15" i="1" s="1"/>
  <c r="Y16" i="1"/>
  <c r="J27" i="1"/>
  <c r="AD30" i="1"/>
  <c r="AK30" i="1" s="1"/>
  <c r="AC4" i="1"/>
  <c r="AA7" i="1"/>
  <c r="AG7" i="1"/>
  <c r="AC2" i="1"/>
  <c r="O17" i="1"/>
  <c r="AG17" i="1" s="1"/>
  <c r="AF17" i="1"/>
  <c r="G30" i="1"/>
  <c r="Q47" i="1"/>
  <c r="AE47" i="1" s="1"/>
  <c r="AD47" i="1"/>
  <c r="G47" i="1"/>
  <c r="AC27" i="1"/>
  <c r="G7" i="1"/>
  <c r="Y7" i="1" s="1"/>
  <c r="AQ2" i="1"/>
  <c r="AG3" i="1"/>
  <c r="Z5" i="1"/>
  <c r="AG6" i="1"/>
  <c r="AN6" i="1" s="1"/>
  <c r="AC23" i="1"/>
  <c r="AD45" i="1"/>
  <c r="AK45" i="1" s="1"/>
  <c r="X50" i="1"/>
  <c r="E50" i="1"/>
  <c r="G8" i="1"/>
  <c r="Z8" i="1" s="1"/>
  <c r="AD8" i="1"/>
  <c r="AK8" i="1" s="1"/>
  <c r="AD9" i="1"/>
  <c r="G11" i="1"/>
  <c r="Q11" i="1"/>
  <c r="AE11" i="1" s="1"/>
  <c r="AL11" i="1" s="1"/>
  <c r="J13" i="1"/>
  <c r="AC13" i="1" s="1"/>
  <c r="J14" i="1"/>
  <c r="J15" i="1"/>
  <c r="AA18" i="1"/>
  <c r="AD20" i="1"/>
  <c r="AK20" i="1" s="1"/>
  <c r="AD21" i="1"/>
  <c r="G21" i="1"/>
  <c r="G22" i="1"/>
  <c r="X22" i="1" s="1"/>
  <c r="Z23" i="1"/>
  <c r="Z24" i="1"/>
  <c r="AD25" i="1"/>
  <c r="G25" i="1"/>
  <c r="Z25" i="1" s="1"/>
  <c r="G26" i="1"/>
  <c r="Y26" i="1" s="1"/>
  <c r="AG30" i="1"/>
  <c r="Y31" i="1"/>
  <c r="AD32" i="1"/>
  <c r="Q32" i="1"/>
  <c r="AE32" i="1" s="1"/>
  <c r="AL32" i="1" s="1"/>
  <c r="AD34" i="1"/>
  <c r="AK34" i="1" s="1"/>
  <c r="AA35" i="1"/>
  <c r="G36" i="1"/>
  <c r="X36" i="1" s="1"/>
  <c r="AD37" i="1"/>
  <c r="AK37" i="1" s="1"/>
  <c r="X39" i="1"/>
  <c r="AD39" i="1"/>
  <c r="AK39" i="1" s="1"/>
  <c r="Q39" i="1"/>
  <c r="AE39" i="1" s="1"/>
  <c r="AC40" i="1"/>
  <c r="G45" i="1"/>
  <c r="Q45" i="1"/>
  <c r="AE45" i="1" s="1"/>
  <c r="AD46" i="1"/>
  <c r="AK46" i="1" s="1"/>
  <c r="J48" i="1"/>
  <c r="X49" i="1"/>
  <c r="AF49" i="1"/>
  <c r="AA50" i="1"/>
  <c r="Y51" i="1"/>
  <c r="Y12" i="1"/>
  <c r="AC19" i="1"/>
  <c r="Y20" i="1"/>
  <c r="Y30" i="1"/>
  <c r="Y32" i="1"/>
  <c r="AD36" i="1"/>
  <c r="Y39" i="1"/>
  <c r="Z40" i="1"/>
  <c r="Q41" i="1"/>
  <c r="AE41" i="1" s="1"/>
  <c r="AL41" i="1" s="1"/>
  <c r="J49" i="1"/>
  <c r="AA49" i="1"/>
  <c r="Z51" i="1"/>
  <c r="AD4" i="1"/>
  <c r="AK4" i="1" s="1"/>
  <c r="J7" i="1"/>
  <c r="AC7" i="1" s="1"/>
  <c r="J9" i="1"/>
  <c r="AC9" i="1" s="1"/>
  <c r="J10" i="1"/>
  <c r="AC10" i="1" s="1"/>
  <c r="AA11" i="1"/>
  <c r="F12" i="1"/>
  <c r="Z12" i="1" s="1"/>
  <c r="AD12" i="1"/>
  <c r="AD13" i="1"/>
  <c r="AK13" i="1" s="1"/>
  <c r="E15" i="1"/>
  <c r="AD17" i="1"/>
  <c r="G17" i="1"/>
  <c r="X17" i="1" s="1"/>
  <c r="G18" i="1"/>
  <c r="Y18" i="1" s="1"/>
  <c r="Z20" i="1"/>
  <c r="J20" i="1"/>
  <c r="AC20" i="1" s="1"/>
  <c r="AA20" i="1"/>
  <c r="AA21" i="1"/>
  <c r="AA22" i="1"/>
  <c r="AF25" i="1"/>
  <c r="AM25" i="1" s="1"/>
  <c r="X26" i="1"/>
  <c r="AA26" i="1"/>
  <c r="Z32" i="1"/>
  <c r="AA32" i="1"/>
  <c r="AG33" i="1"/>
  <c r="AN33" i="1" s="1"/>
  <c r="AC34" i="1"/>
  <c r="Y37" i="1"/>
  <c r="Y38" i="1"/>
  <c r="Z39" i="1"/>
  <c r="O39" i="1"/>
  <c r="AC44" i="1"/>
  <c r="AA45" i="1"/>
  <c r="Z49" i="1"/>
  <c r="AA51" i="1"/>
  <c r="Z34" i="1"/>
  <c r="X41" i="1"/>
  <c r="AC41" i="1"/>
  <c r="AC37" i="1"/>
  <c r="AC46" i="1"/>
  <c r="AG49" i="1"/>
  <c r="AN49" i="1" s="1"/>
  <c r="AL2" i="1"/>
  <c r="AA5" i="1"/>
  <c r="AL7" i="1"/>
  <c r="AM8" i="1"/>
  <c r="AO14" i="1"/>
  <c r="F17" i="1"/>
  <c r="Y17" i="1"/>
  <c r="AM28" i="1"/>
  <c r="F29" i="1"/>
  <c r="AO31" i="1"/>
  <c r="V52" i="1"/>
  <c r="AD28" i="9"/>
  <c r="AF28" i="9"/>
  <c r="AE28" i="9"/>
  <c r="AC28" i="9"/>
  <c r="AB28" i="9"/>
  <c r="P2" i="9" s="1"/>
  <c r="AQ52" i="1"/>
  <c r="AM4" i="1"/>
  <c r="AO5" i="1"/>
  <c r="AO6" i="1"/>
  <c r="AM7" i="1"/>
  <c r="AN8" i="1"/>
  <c r="AA10" i="1"/>
  <c r="AM11" i="1"/>
  <c r="AK12" i="1"/>
  <c r="F13" i="1"/>
  <c r="Z13" i="1" s="1"/>
  <c r="Y13" i="1"/>
  <c r="AN13" i="1"/>
  <c r="AA13" i="1"/>
  <c r="E14" i="1"/>
  <c r="AC16" i="1"/>
  <c r="AK17" i="1"/>
  <c r="AL18" i="1"/>
  <c r="Y19" i="1"/>
  <c r="F19" i="1"/>
  <c r="Z19" i="1" s="1"/>
  <c r="AM19" i="1"/>
  <c r="AM22" i="1"/>
  <c r="AM23" i="1"/>
  <c r="F28" i="1"/>
  <c r="Z28" i="1" s="1"/>
  <c r="Y28" i="1"/>
  <c r="AL29" i="1"/>
  <c r="AM33" i="1"/>
  <c r="AN34" i="1"/>
  <c r="AO25" i="1"/>
  <c r="AL27" i="1"/>
  <c r="K52" i="1"/>
  <c r="J2" i="1"/>
  <c r="AG2" i="1"/>
  <c r="AA2" i="1"/>
  <c r="AD25" i="9"/>
  <c r="AC25" i="9"/>
  <c r="AF25" i="9"/>
  <c r="AB25" i="9"/>
  <c r="AE25" i="9"/>
  <c r="AI52" i="1"/>
  <c r="AP2" i="1"/>
  <c r="X3" i="1"/>
  <c r="E3" i="1"/>
  <c r="AL3" i="1"/>
  <c r="AN4" i="1"/>
  <c r="AK5" i="1"/>
  <c r="Q6" i="1"/>
  <c r="AE6" i="1" s="1"/>
  <c r="AD6" i="1"/>
  <c r="G6" i="1"/>
  <c r="Y6" i="1" s="1"/>
  <c r="AM6" i="1"/>
  <c r="AN7" i="1"/>
  <c r="AL8" i="1"/>
  <c r="F9" i="1"/>
  <c r="Z9" i="1" s="1"/>
  <c r="Y9" i="1"/>
  <c r="AN9" i="1"/>
  <c r="AA9" i="1"/>
  <c r="F10" i="1"/>
  <c r="AO10" i="1"/>
  <c r="X11" i="1"/>
  <c r="AN11" i="1"/>
  <c r="AO12" i="1"/>
  <c r="AO13" i="1"/>
  <c r="AD14" i="1"/>
  <c r="Q14" i="1"/>
  <c r="AE14" i="1" s="1"/>
  <c r="G14" i="1"/>
  <c r="X14" i="1" s="1"/>
  <c r="AA17" i="1"/>
  <c r="AM18" i="1"/>
  <c r="AN19" i="1"/>
  <c r="AO20" i="1"/>
  <c r="Y22" i="1"/>
  <c r="AN23" i="1"/>
  <c r="AK25" i="1"/>
  <c r="AL26" i="1"/>
  <c r="Y27" i="1"/>
  <c r="F27" i="1"/>
  <c r="Z27" i="1" s="1"/>
  <c r="AM27" i="1"/>
  <c r="AL30" i="1"/>
  <c r="AM31" i="1"/>
  <c r="AM35" i="1"/>
  <c r="AO4" i="1"/>
  <c r="AN5" i="1"/>
  <c r="AK9" i="1"/>
  <c r="AF12" i="1"/>
  <c r="O12" i="1"/>
  <c r="AK16" i="1"/>
  <c r="AK21" i="1"/>
  <c r="AL22" i="1"/>
  <c r="AM3" i="1"/>
  <c r="AN3" i="1"/>
  <c r="AK3" i="1"/>
  <c r="AL4" i="1"/>
  <c r="Y5" i="1"/>
  <c r="AC5" i="1"/>
  <c r="AC8" i="1"/>
  <c r="AO8" i="1"/>
  <c r="AO9" i="1"/>
  <c r="AD10" i="1"/>
  <c r="Q10" i="1"/>
  <c r="AE10" i="1" s="1"/>
  <c r="G10" i="1"/>
  <c r="X10" i="1" s="1"/>
  <c r="AM10" i="1"/>
  <c r="Z11" i="1"/>
  <c r="Y11" i="1"/>
  <c r="AC12" i="1"/>
  <c r="AA14" i="1"/>
  <c r="AG14" i="1"/>
  <c r="AM15" i="1"/>
  <c r="AO16" i="1"/>
  <c r="AO17" i="1"/>
  <c r="X18" i="1"/>
  <c r="AL19" i="1"/>
  <c r="F21" i="1"/>
  <c r="Z21" i="1" s="1"/>
  <c r="Y21" i="1"/>
  <c r="AO21" i="1"/>
  <c r="AL23" i="1"/>
  <c r="AK24" i="1"/>
  <c r="AO24" i="1"/>
  <c r="AA25" i="1"/>
  <c r="AG25" i="1"/>
  <c r="AM26" i="1"/>
  <c r="AN27" i="1"/>
  <c r="AO33" i="1"/>
  <c r="AC15" i="1"/>
  <c r="X21" i="1"/>
  <c r="AO29" i="1"/>
  <c r="AN30" i="1"/>
  <c r="AK47" i="1"/>
  <c r="L52" i="1"/>
  <c r="X5" i="1"/>
  <c r="AA8" i="1"/>
  <c r="P8" i="9"/>
  <c r="X9" i="1"/>
  <c r="X13" i="1"/>
  <c r="AC14" i="1"/>
  <c r="F15" i="1"/>
  <c r="X16" i="1"/>
  <c r="Q17" i="1"/>
  <c r="AE17" i="1" s="1"/>
  <c r="AC17" i="1"/>
  <c r="J18" i="1"/>
  <c r="AC18" i="1" s="1"/>
  <c r="AA19" i="1"/>
  <c r="P19" i="9"/>
  <c r="X20" i="1"/>
  <c r="Q21" i="1"/>
  <c r="AE21" i="1" s="1"/>
  <c r="AC21" i="1"/>
  <c r="J22" i="1"/>
  <c r="AC22" i="1" s="1"/>
  <c r="AA23" i="1"/>
  <c r="X24" i="1"/>
  <c r="E25" i="1"/>
  <c r="Y25" i="1" s="1"/>
  <c r="Q25" i="1"/>
  <c r="AE25" i="1" s="1"/>
  <c r="AC25" i="1"/>
  <c r="F26" i="1"/>
  <c r="J26" i="1"/>
  <c r="AC26" i="1" s="1"/>
  <c r="AA27" i="1"/>
  <c r="X28" i="1"/>
  <c r="AD29" i="1"/>
  <c r="AM30" i="1"/>
  <c r="AC31" i="1"/>
  <c r="AD31" i="1"/>
  <c r="P31" i="9"/>
  <c r="J32" i="1"/>
  <c r="AC32" i="1" s="1"/>
  <c r="Y34" i="1"/>
  <c r="AL34" i="1"/>
  <c r="G35" i="1"/>
  <c r="X35" i="1" s="1"/>
  <c r="AD35" i="1"/>
  <c r="Q35" i="1"/>
  <c r="AE35" i="1" s="1"/>
  <c r="AO35" i="1"/>
  <c r="AK36" i="1"/>
  <c r="AL37" i="1"/>
  <c r="AC38" i="1"/>
  <c r="AM38" i="1"/>
  <c r="J39" i="1"/>
  <c r="AC39" i="1" s="1"/>
  <c r="AF40" i="1"/>
  <c r="O40" i="1"/>
  <c r="F42" i="1"/>
  <c r="AM43" i="1"/>
  <c r="AN44" i="1"/>
  <c r="AF46" i="1"/>
  <c r="O46" i="1"/>
  <c r="AL49" i="1"/>
  <c r="AN50" i="1"/>
  <c r="AL51" i="1"/>
  <c r="AG28" i="1"/>
  <c r="X30" i="1"/>
  <c r="AK33" i="1"/>
  <c r="AF36" i="1"/>
  <c r="O36" i="1"/>
  <c r="AO38" i="1"/>
  <c r="AM39" i="1"/>
  <c r="AK41" i="1"/>
  <c r="X44" i="1"/>
  <c r="E44" i="1"/>
  <c r="Y44" i="1" s="1"/>
  <c r="J45" i="1"/>
  <c r="AC45" i="1" s="1"/>
  <c r="P52" i="1"/>
  <c r="AD13" i="9"/>
  <c r="H42" i="9" s="1"/>
  <c r="AC13" i="9"/>
  <c r="AF13" i="9"/>
  <c r="AB13" i="9"/>
  <c r="H5" i="9" s="1"/>
  <c r="AE13" i="9"/>
  <c r="AB52" i="1"/>
  <c r="I52" i="1"/>
  <c r="P3" i="9"/>
  <c r="J6" i="1"/>
  <c r="AC6" i="1" s="1"/>
  <c r="X12" i="1"/>
  <c r="Q13" i="1"/>
  <c r="AE13" i="1" s="1"/>
  <c r="Q16" i="1"/>
  <c r="AE16" i="1" s="1"/>
  <c r="AG16" i="1"/>
  <c r="X19" i="1"/>
  <c r="Q20" i="1"/>
  <c r="AE20" i="1" s="1"/>
  <c r="AG20" i="1"/>
  <c r="X23" i="1"/>
  <c r="Q24" i="1"/>
  <c r="AE24" i="1" s="1"/>
  <c r="AG24" i="1"/>
  <c r="X27" i="1"/>
  <c r="Q28" i="1"/>
  <c r="AE28" i="1" s="1"/>
  <c r="AO28" i="1"/>
  <c r="G29" i="1"/>
  <c r="X29" i="1" s="1"/>
  <c r="AM29" i="1"/>
  <c r="Z30" i="1"/>
  <c r="J30" i="1"/>
  <c r="AC30" i="1" s="1"/>
  <c r="X31" i="1"/>
  <c r="P32" i="9"/>
  <c r="AL33" i="1"/>
  <c r="AA34" i="1"/>
  <c r="AC35" i="1"/>
  <c r="Y36" i="1"/>
  <c r="F36" i="1"/>
  <c r="Z36" i="1" s="1"/>
  <c r="J36" i="1"/>
  <c r="AC36" i="1" s="1"/>
  <c r="AO36" i="1"/>
  <c r="AN37" i="1"/>
  <c r="AM37" i="1"/>
  <c r="AN41" i="1"/>
  <c r="G42" i="1"/>
  <c r="Y42" i="1" s="1"/>
  <c r="AD42" i="1"/>
  <c r="Q42" i="1"/>
  <c r="AE42" i="1" s="1"/>
  <c r="AO42" i="1"/>
  <c r="X45" i="1"/>
  <c r="E45" i="1"/>
  <c r="AO45" i="1"/>
  <c r="AL47" i="1"/>
  <c r="AM51" i="1"/>
  <c r="AN32" i="1"/>
  <c r="AD38" i="1"/>
  <c r="Q38" i="1"/>
  <c r="AE38" i="1" s="1"/>
  <c r="P41" i="9"/>
  <c r="AM45" i="1"/>
  <c r="Y47" i="1"/>
  <c r="F47" i="1"/>
  <c r="Z47" i="1" s="1"/>
  <c r="P48" i="9"/>
  <c r="D52" i="1"/>
  <c r="H52" i="1"/>
  <c r="X2" i="1"/>
  <c r="AF26" i="9"/>
  <c r="AB26" i="9"/>
  <c r="AE26" i="9"/>
  <c r="AD26" i="9"/>
  <c r="AJ52" i="1"/>
  <c r="AA4" i="1"/>
  <c r="E2" i="1"/>
  <c r="X4" i="1"/>
  <c r="Q5" i="1"/>
  <c r="AE5" i="1" s="1"/>
  <c r="Q9" i="1"/>
  <c r="AE9" i="1" s="1"/>
  <c r="N52" i="1"/>
  <c r="R52" i="1"/>
  <c r="AD2" i="1"/>
  <c r="AH2" i="1"/>
  <c r="AM14" i="1"/>
  <c r="AN15" i="1"/>
  <c r="AM17" i="1"/>
  <c r="AN18" i="1"/>
  <c r="AK19" i="1"/>
  <c r="AO19" i="1"/>
  <c r="AM21" i="1"/>
  <c r="AN22" i="1"/>
  <c r="AK23" i="1"/>
  <c r="AO23" i="1"/>
  <c r="AN26" i="1"/>
  <c r="AK27" i="1"/>
  <c r="AO27" i="1"/>
  <c r="AK28" i="1"/>
  <c r="J29" i="1"/>
  <c r="AC29" i="1" s="1"/>
  <c r="P30" i="9"/>
  <c r="M31" i="1"/>
  <c r="M52" i="1" s="1"/>
  <c r="X32" i="1"/>
  <c r="AK32" i="1"/>
  <c r="AC33" i="1"/>
  <c r="G33" i="1"/>
  <c r="X33" i="1" s="1"/>
  <c r="X34" i="1"/>
  <c r="AM34" i="1"/>
  <c r="AA37" i="1"/>
  <c r="AA38" i="1"/>
  <c r="X38" i="1"/>
  <c r="AL39" i="1"/>
  <c r="AO40" i="1"/>
  <c r="AO41" i="1"/>
  <c r="AA41" i="1"/>
  <c r="AM41" i="1"/>
  <c r="AC42" i="1"/>
  <c r="AM42" i="1"/>
  <c r="Q43" i="1"/>
  <c r="AE43" i="1" s="1"/>
  <c r="AD43" i="1"/>
  <c r="G43" i="1"/>
  <c r="Z43" i="1" s="1"/>
  <c r="AO43" i="1"/>
  <c r="AK44" i="1"/>
  <c r="Q44" i="1"/>
  <c r="AE44" i="1" s="1"/>
  <c r="AL45" i="1"/>
  <c r="AL46" i="1"/>
  <c r="AC47" i="1"/>
  <c r="AD48" i="1"/>
  <c r="Q48" i="1"/>
  <c r="AE48" i="1" s="1"/>
  <c r="G48" i="1"/>
  <c r="Y48" i="1" s="1"/>
  <c r="AG31" i="1"/>
  <c r="AG35" i="1"/>
  <c r="AG38" i="1"/>
  <c r="AG42" i="1"/>
  <c r="AC43" i="1"/>
  <c r="AA43" i="1"/>
  <c r="AA44" i="1"/>
  <c r="AC48" i="1"/>
  <c r="AD49" i="1"/>
  <c r="AL50" i="1"/>
  <c r="AN51" i="1"/>
  <c r="AO51" i="1"/>
  <c r="X40" i="1"/>
  <c r="Y41" i="1"/>
  <c r="P42" i="9"/>
  <c r="AN47" i="1"/>
  <c r="AO47" i="1"/>
  <c r="F48" i="1"/>
  <c r="AN48" i="1"/>
  <c r="AC49" i="1"/>
  <c r="P49" i="9"/>
  <c r="AM50" i="1"/>
  <c r="AN43" i="1"/>
  <c r="AO46" i="1"/>
  <c r="AA47" i="1"/>
  <c r="AO48" i="1"/>
  <c r="AA48" i="1"/>
  <c r="AM49" i="1"/>
  <c r="AC51" i="1"/>
  <c r="AK51" i="1"/>
  <c r="P46" i="9"/>
  <c r="X47" i="1"/>
  <c r="X51" i="1"/>
  <c r="I13" i="12"/>
  <c r="I18" i="12" s="1"/>
  <c r="N13" i="12"/>
  <c r="N18" i="12" s="1"/>
  <c r="D13" i="12"/>
  <c r="P51" i="9" l="1"/>
  <c r="P45" i="9"/>
  <c r="P11" i="9"/>
  <c r="P12" i="9"/>
  <c r="Z18" i="1"/>
  <c r="P38" i="9"/>
  <c r="P24" i="9"/>
  <c r="P29" i="9"/>
  <c r="P40" i="9"/>
  <c r="Z26" i="1"/>
  <c r="Z7" i="1"/>
  <c r="P50" i="9"/>
  <c r="X48" i="1"/>
  <c r="H45" i="9"/>
  <c r="P39" i="9"/>
  <c r="H49" i="9"/>
  <c r="P7" i="9"/>
  <c r="P15" i="9"/>
  <c r="X8" i="1"/>
  <c r="P4" i="9"/>
  <c r="AC17" i="9"/>
  <c r="P20" i="9"/>
  <c r="P35" i="9"/>
  <c r="P33" i="9"/>
  <c r="P27" i="9"/>
  <c r="P23" i="9"/>
  <c r="Z15" i="1"/>
  <c r="P36" i="9"/>
  <c r="P28" i="9"/>
  <c r="Z22" i="1"/>
  <c r="P5" i="9"/>
  <c r="P25" i="9"/>
  <c r="P21" i="9"/>
  <c r="P14" i="9"/>
  <c r="P10" i="9"/>
  <c r="Y15" i="1"/>
  <c r="X7" i="1"/>
  <c r="Z17" i="1"/>
  <c r="X25" i="1"/>
  <c r="Y8" i="1"/>
  <c r="F50" i="1"/>
  <c r="Z50" i="1" s="1"/>
  <c r="Y50" i="1"/>
  <c r="P44" i="9"/>
  <c r="P37" i="9"/>
  <c r="P43" i="9"/>
  <c r="P26" i="9"/>
  <c r="P22" i="9"/>
  <c r="P18" i="9"/>
  <c r="P16" i="9"/>
  <c r="P47" i="9"/>
  <c r="P34" i="9"/>
  <c r="P6" i="9"/>
  <c r="AA39" i="1"/>
  <c r="AG39" i="1"/>
  <c r="AN39" i="1" s="1"/>
  <c r="Z29" i="1"/>
  <c r="Z35" i="1"/>
  <c r="J52" i="1"/>
  <c r="X43" i="1"/>
  <c r="Y43" i="1"/>
  <c r="Y35" i="1"/>
  <c r="H21" i="9"/>
  <c r="P13" i="9"/>
  <c r="P17" i="9"/>
  <c r="P9" i="9"/>
  <c r="H36" i="9"/>
  <c r="H19" i="9"/>
  <c r="H51" i="9"/>
  <c r="H50" i="9"/>
  <c r="H40" i="9"/>
  <c r="H34" i="9"/>
  <c r="H28" i="9"/>
  <c r="AF16" i="9"/>
  <c r="AE16" i="9"/>
  <c r="N19" i="12"/>
  <c r="AT20" i="1" s="1"/>
  <c r="AT32" i="1"/>
  <c r="AT44" i="1"/>
  <c r="N16" i="12"/>
  <c r="N15" i="12"/>
  <c r="AT16" i="1"/>
  <c r="D15" i="12"/>
  <c r="D18" i="12"/>
  <c r="D16" i="12"/>
  <c r="AR10" i="1"/>
  <c r="AR15" i="1"/>
  <c r="AR25" i="1"/>
  <c r="AR37" i="1"/>
  <c r="AR49" i="1"/>
  <c r="AR50" i="1"/>
  <c r="AR46" i="1"/>
  <c r="AR41" i="1"/>
  <c r="AR39" i="1"/>
  <c r="AR26" i="1"/>
  <c r="AR36" i="1"/>
  <c r="AR33" i="1"/>
  <c r="AR14" i="1"/>
  <c r="I16" i="12"/>
  <c r="AR51" i="1"/>
  <c r="Q43" i="9"/>
  <c r="AK43" i="1"/>
  <c r="AR38" i="1"/>
  <c r="AD15" i="9"/>
  <c r="AC15" i="9"/>
  <c r="AF15" i="9"/>
  <c r="AB15" i="9"/>
  <c r="AD52" i="1"/>
  <c r="AE15" i="9"/>
  <c r="AK2" i="1"/>
  <c r="AR4" i="1"/>
  <c r="AT47" i="1"/>
  <c r="AR19" i="1"/>
  <c r="AR12" i="1"/>
  <c r="AR30" i="1"/>
  <c r="H14" i="9"/>
  <c r="AG40" i="1"/>
  <c r="AA40" i="1"/>
  <c r="H37" i="9"/>
  <c r="Q35" i="9"/>
  <c r="AK35" i="1"/>
  <c r="H30" i="9"/>
  <c r="AL25" i="1"/>
  <c r="AR24" i="1"/>
  <c r="AR20" i="1"/>
  <c r="AL17" i="1"/>
  <c r="AT35" i="1"/>
  <c r="H26" i="9"/>
  <c r="AT22" i="1"/>
  <c r="AG12" i="1"/>
  <c r="AA12" i="1"/>
  <c r="H13" i="9"/>
  <c r="F3" i="1"/>
  <c r="Z3" i="1" s="1"/>
  <c r="Y3" i="1"/>
  <c r="AT13" i="1"/>
  <c r="H7" i="9"/>
  <c r="Z6" i="1"/>
  <c r="I15" i="12"/>
  <c r="AR40" i="1"/>
  <c r="AK49" i="1"/>
  <c r="AN35" i="1"/>
  <c r="AL48" i="1"/>
  <c r="AL44" i="1"/>
  <c r="AL43" i="1"/>
  <c r="Q38" i="9"/>
  <c r="AK38" i="1"/>
  <c r="AT34" i="1"/>
  <c r="AR45" i="1"/>
  <c r="AR31" i="1"/>
  <c r="AL28" i="1"/>
  <c r="AN24" i="1"/>
  <c r="AR44" i="1"/>
  <c r="AM36" i="1"/>
  <c r="H29" i="9"/>
  <c r="H17" i="9"/>
  <c r="H48" i="9"/>
  <c r="AM46" i="1"/>
  <c r="X42" i="1"/>
  <c r="AM40" i="1"/>
  <c r="AR35" i="1"/>
  <c r="AR28" i="1"/>
  <c r="AL21" i="1"/>
  <c r="AR5" i="1"/>
  <c r="AE17" i="9"/>
  <c r="AD17" i="9"/>
  <c r="AR21" i="1"/>
  <c r="AR17" i="1"/>
  <c r="AN14" i="1"/>
  <c r="Q10" i="9"/>
  <c r="AK10" i="1"/>
  <c r="H33" i="9"/>
  <c r="AM12" i="1"/>
  <c r="H18" i="9"/>
  <c r="AN17" i="1"/>
  <c r="Y10" i="1"/>
  <c r="Q6" i="9"/>
  <c r="AK6" i="1"/>
  <c r="AR3" i="1"/>
  <c r="AT5" i="1"/>
  <c r="H35" i="9"/>
  <c r="AT28" i="1"/>
  <c r="H22" i="9"/>
  <c r="AR22" i="1"/>
  <c r="F14" i="1"/>
  <c r="Z14" i="1" s="1"/>
  <c r="Y14" i="1"/>
  <c r="H6" i="9"/>
  <c r="AT17" i="1"/>
  <c r="AT8" i="1"/>
  <c r="AD16" i="9"/>
  <c r="F45" i="1"/>
  <c r="Z45" i="1" s="1"/>
  <c r="Y45" i="1"/>
  <c r="AL16" i="1"/>
  <c r="H2" i="9"/>
  <c r="AG36" i="1"/>
  <c r="AA36" i="1"/>
  <c r="AF12" i="9" s="1"/>
  <c r="AA46" i="1"/>
  <c r="AG46" i="1"/>
  <c r="Z42" i="1"/>
  <c r="AL10" i="1"/>
  <c r="G52" i="1"/>
  <c r="AT9" i="1"/>
  <c r="I19" i="12"/>
  <c r="AT49" i="1"/>
  <c r="H32" i="9"/>
  <c r="H43" i="9"/>
  <c r="AN31" i="1"/>
  <c r="Q48" i="9"/>
  <c r="AK48" i="1"/>
  <c r="AR34" i="1"/>
  <c r="H47" i="9"/>
  <c r="AL42" i="1"/>
  <c r="AT38" i="1"/>
  <c r="AT36" i="1"/>
  <c r="AT30" i="1"/>
  <c r="AR29" i="1"/>
  <c r="AR27" i="1"/>
  <c r="AL24" i="1"/>
  <c r="AN20" i="1"/>
  <c r="AR8" i="1"/>
  <c r="Y33" i="1"/>
  <c r="AN28" i="1"/>
  <c r="AT46" i="1"/>
  <c r="H41" i="9"/>
  <c r="AT26" i="1"/>
  <c r="H16" i="9"/>
  <c r="AR13" i="1"/>
  <c r="H9" i="9"/>
  <c r="AB17" i="9"/>
  <c r="H38" i="9"/>
  <c r="H25" i="9"/>
  <c r="AT40" i="1"/>
  <c r="AT31" i="1"/>
  <c r="H15" i="9"/>
  <c r="AT18" i="1"/>
  <c r="AS22" i="1"/>
  <c r="AL14" i="1"/>
  <c r="H12" i="9"/>
  <c r="H10" i="9"/>
  <c r="Z10" i="1"/>
  <c r="AL6" i="1"/>
  <c r="AT4" i="1"/>
  <c r="AD27" i="9"/>
  <c r="O2" i="9" s="1"/>
  <c r="AM2" i="9" s="1"/>
  <c r="AC27" i="9"/>
  <c r="AF27" i="9"/>
  <c r="AB27" i="9"/>
  <c r="AP52" i="1"/>
  <c r="AE27" i="9"/>
  <c r="AB18" i="9"/>
  <c r="AN2" i="1"/>
  <c r="H4" i="9"/>
  <c r="H31" i="9"/>
  <c r="H27" i="9"/>
  <c r="AT25" i="1"/>
  <c r="AE52" i="1"/>
  <c r="AT12" i="1"/>
  <c r="AR48" i="1"/>
  <c r="AN38" i="1"/>
  <c r="AR32" i="1"/>
  <c r="AL9" i="1"/>
  <c r="AL38" i="1"/>
  <c r="AN25" i="1"/>
  <c r="AT21" i="1"/>
  <c r="AT7" i="1"/>
  <c r="H3" i="9"/>
  <c r="Z33" i="1"/>
  <c r="AR11" i="1"/>
  <c r="AT29" i="1"/>
  <c r="AC16" i="9"/>
  <c r="AR47" i="1"/>
  <c r="H39" i="9"/>
  <c r="Z48" i="1"/>
  <c r="H44" i="9"/>
  <c r="AN42" i="1"/>
  <c r="AT51" i="1"/>
  <c r="AT43" i="1"/>
  <c r="AD19" i="9"/>
  <c r="AC19" i="9"/>
  <c r="AF19" i="9"/>
  <c r="AB19" i="9"/>
  <c r="AH52" i="1"/>
  <c r="AE19" i="9"/>
  <c r="AO2" i="1"/>
  <c r="AL5" i="1"/>
  <c r="E52" i="1"/>
  <c r="F2" i="1"/>
  <c r="Y2" i="1"/>
  <c r="AR2" i="1"/>
  <c r="AT50" i="1"/>
  <c r="Q42" i="9"/>
  <c r="AK42" i="1"/>
  <c r="AT41" i="1"/>
  <c r="AT37" i="1"/>
  <c r="AS36" i="1"/>
  <c r="AR23" i="1"/>
  <c r="AL20" i="1"/>
  <c r="AN16" i="1"/>
  <c r="AL13" i="1"/>
  <c r="H46" i="9"/>
  <c r="AT39" i="1"/>
  <c r="AL35" i="1"/>
  <c r="Q31" i="9"/>
  <c r="AK31" i="1"/>
  <c r="Q29" i="9"/>
  <c r="AK29" i="1"/>
  <c r="H24" i="9"/>
  <c r="H20" i="9"/>
  <c r="AR16" i="1"/>
  <c r="AT15" i="1"/>
  <c r="AR9" i="1"/>
  <c r="AF52" i="1"/>
  <c r="AF17" i="9"/>
  <c r="AS21" i="1"/>
  <c r="AR18" i="1"/>
  <c r="AT11" i="1"/>
  <c r="H8" i="9"/>
  <c r="X6" i="1"/>
  <c r="AE9" i="9" s="1"/>
  <c r="AT27" i="1"/>
  <c r="Q14" i="9"/>
  <c r="AK14" i="1"/>
  <c r="AS9" i="1"/>
  <c r="O52" i="1"/>
  <c r="H23" i="9"/>
  <c r="Q52" i="1"/>
  <c r="AT24" i="1"/>
  <c r="AT23" i="1"/>
  <c r="AT19" i="1"/>
  <c r="AS13" i="1"/>
  <c r="H11" i="9"/>
  <c r="AR7" i="1"/>
  <c r="Y29" i="1"/>
  <c r="AB16" i="9"/>
  <c r="AM52" i="1" l="1"/>
  <c r="Q2" i="9"/>
  <c r="AE18" i="9"/>
  <c r="AD9" i="9"/>
  <c r="AD12" i="9"/>
  <c r="AC18" i="9"/>
  <c r="AR43" i="1"/>
  <c r="AG52" i="1"/>
  <c r="AD22" i="9"/>
  <c r="AE22" i="9"/>
  <c r="AC12" i="9"/>
  <c r="R5" i="9"/>
  <c r="U2" i="9"/>
  <c r="S36" i="9"/>
  <c r="Q49" i="9"/>
  <c r="AD10" i="9"/>
  <c r="AC10" i="9"/>
  <c r="Y52" i="1"/>
  <c r="AF10" i="9"/>
  <c r="AB10" i="9"/>
  <c r="E14" i="9" s="1"/>
  <c r="AE10" i="9"/>
  <c r="AS2" i="1"/>
  <c r="R2" i="9"/>
  <c r="R18" i="9"/>
  <c r="R27" i="9"/>
  <c r="R3" i="9"/>
  <c r="R12" i="9"/>
  <c r="R15" i="9"/>
  <c r="R11" i="9"/>
  <c r="R23" i="9"/>
  <c r="R41" i="9"/>
  <c r="R37" i="9"/>
  <c r="R32" i="9"/>
  <c r="R36" i="9"/>
  <c r="R39" i="9"/>
  <c r="R45" i="9"/>
  <c r="R8" i="9"/>
  <c r="R49" i="9"/>
  <c r="R26" i="9"/>
  <c r="R22" i="9"/>
  <c r="R51" i="9"/>
  <c r="R31" i="9"/>
  <c r="R30" i="9"/>
  <c r="R7" i="9"/>
  <c r="R29" i="9"/>
  <c r="R19" i="9"/>
  <c r="R40" i="9"/>
  <c r="R46" i="9"/>
  <c r="R50" i="9"/>
  <c r="R4" i="9"/>
  <c r="R34" i="9"/>
  <c r="R33" i="9"/>
  <c r="R47" i="9"/>
  <c r="R44" i="9"/>
  <c r="R16" i="9"/>
  <c r="R17" i="9"/>
  <c r="R28" i="9"/>
  <c r="R24" i="9"/>
  <c r="R25" i="9"/>
  <c r="R48" i="9"/>
  <c r="R42" i="9"/>
  <c r="R9" i="9"/>
  <c r="R43" i="9"/>
  <c r="R21" i="9"/>
  <c r="R10" i="9"/>
  <c r="R14" i="9"/>
  <c r="R35" i="9"/>
  <c r="R13" i="9"/>
  <c r="R20" i="9"/>
  <c r="F52" i="1"/>
  <c r="Z2" i="1"/>
  <c r="AF24" i="9"/>
  <c r="AB24" i="9"/>
  <c r="AE24" i="9"/>
  <c r="AD24" i="9"/>
  <c r="AO52" i="1"/>
  <c r="AC24" i="9"/>
  <c r="U9" i="9"/>
  <c r="U16" i="9"/>
  <c r="U24" i="9"/>
  <c r="U19" i="9"/>
  <c r="U23" i="9"/>
  <c r="U26" i="9"/>
  <c r="U36" i="9"/>
  <c r="U45" i="9"/>
  <c r="U40" i="9"/>
  <c r="U30" i="9"/>
  <c r="U44" i="9"/>
  <c r="U48" i="9"/>
  <c r="U10" i="9"/>
  <c r="U4" i="9"/>
  <c r="U32" i="9"/>
  <c r="U37" i="9"/>
  <c r="U5" i="9"/>
  <c r="U6" i="9"/>
  <c r="U13" i="9"/>
  <c r="U20" i="9"/>
  <c r="U8" i="9"/>
  <c r="U21" i="9"/>
  <c r="U33" i="9"/>
  <c r="U29" i="9"/>
  <c r="U28" i="9"/>
  <c r="U35" i="9"/>
  <c r="U7" i="9"/>
  <c r="U43" i="9"/>
  <c r="U47" i="9"/>
  <c r="U34" i="9"/>
  <c r="U22" i="9"/>
  <c r="U25" i="9"/>
  <c r="U12" i="9"/>
  <c r="U17" i="9"/>
  <c r="U11" i="9"/>
  <c r="U15" i="9"/>
  <c r="U38" i="9"/>
  <c r="U3" i="9"/>
  <c r="U39" i="9"/>
  <c r="U42" i="9"/>
  <c r="U49" i="9"/>
  <c r="U14" i="9"/>
  <c r="U31" i="9"/>
  <c r="U27" i="9"/>
  <c r="U18" i="9"/>
  <c r="U41" i="9"/>
  <c r="U46" i="9"/>
  <c r="U50" i="9"/>
  <c r="U51" i="9"/>
  <c r="AT33" i="1"/>
  <c r="R6" i="9"/>
  <c r="AS29" i="1"/>
  <c r="AR6" i="1"/>
  <c r="AB9" i="9"/>
  <c r="X52" i="1"/>
  <c r="AC9" i="9"/>
  <c r="AF9" i="9"/>
  <c r="AD21" i="9"/>
  <c r="AL52" i="1"/>
  <c r="AC21" i="9"/>
  <c r="AE21" i="9"/>
  <c r="AF21" i="9"/>
  <c r="AB21" i="9"/>
  <c r="R38" i="9"/>
  <c r="AT10" i="1"/>
  <c r="AS7" i="1"/>
  <c r="AS23" i="1"/>
  <c r="AS12" i="1"/>
  <c r="AS37" i="1"/>
  <c r="AS24" i="1"/>
  <c r="AS26" i="1"/>
  <c r="AS20" i="1"/>
  <c r="AS40" i="1"/>
  <c r="AS39" i="1"/>
  <c r="AS51" i="1"/>
  <c r="AS49" i="1"/>
  <c r="AS38" i="1"/>
  <c r="AS4" i="1"/>
  <c r="AS30" i="1"/>
  <c r="AS8" i="1"/>
  <c r="AS31" i="1"/>
  <c r="AS50" i="1"/>
  <c r="AS46" i="1"/>
  <c r="AS16" i="1"/>
  <c r="AS32" i="1"/>
  <c r="AN46" i="1"/>
  <c r="AB22" i="9"/>
  <c r="L12" i="9" s="1"/>
  <c r="AS47" i="1"/>
  <c r="AT6" i="1"/>
  <c r="AS19" i="1"/>
  <c r="AT3" i="1"/>
  <c r="AN40" i="1"/>
  <c r="AT48" i="1"/>
  <c r="AS41" i="1"/>
  <c r="AF18" i="9"/>
  <c r="O13" i="9"/>
  <c r="AM13" i="9" s="1"/>
  <c r="O9" i="9"/>
  <c r="AM9" i="9" s="1"/>
  <c r="O12" i="9"/>
  <c r="AM12" i="9" s="1"/>
  <c r="O18" i="9"/>
  <c r="AM18" i="9" s="1"/>
  <c r="O22" i="9"/>
  <c r="AM22" i="9" s="1"/>
  <c r="O27" i="9"/>
  <c r="AM27" i="9" s="1"/>
  <c r="O33" i="9"/>
  <c r="AM33" i="9" s="1"/>
  <c r="O10" i="9"/>
  <c r="AM10" i="9" s="1"/>
  <c r="O38" i="9"/>
  <c r="AM38" i="9" s="1"/>
  <c r="O8" i="9"/>
  <c r="AM8" i="9" s="1"/>
  <c r="O30" i="9"/>
  <c r="AM30" i="9" s="1"/>
  <c r="O39" i="9"/>
  <c r="AM39" i="9" s="1"/>
  <c r="O19" i="9"/>
  <c r="AM19" i="9" s="1"/>
  <c r="O48" i="9"/>
  <c r="AM48" i="9" s="1"/>
  <c r="O50" i="9"/>
  <c r="AM50" i="9" s="1"/>
  <c r="O16" i="9"/>
  <c r="AM16" i="9" s="1"/>
  <c r="O24" i="9"/>
  <c r="AM24" i="9" s="1"/>
  <c r="O3" i="9"/>
  <c r="AM3" i="9" s="1"/>
  <c r="O7" i="9"/>
  <c r="AM7" i="9" s="1"/>
  <c r="O26" i="9"/>
  <c r="AM26" i="9" s="1"/>
  <c r="O29" i="9"/>
  <c r="AM29" i="9" s="1"/>
  <c r="O32" i="9"/>
  <c r="AM32" i="9" s="1"/>
  <c r="O23" i="9"/>
  <c r="AM23" i="9" s="1"/>
  <c r="O34" i="9"/>
  <c r="AM34" i="9" s="1"/>
  <c r="O42" i="9"/>
  <c r="AM42" i="9" s="1"/>
  <c r="O14" i="9"/>
  <c r="AM14" i="9" s="1"/>
  <c r="O17" i="9"/>
  <c r="AM17" i="9" s="1"/>
  <c r="O6" i="9"/>
  <c r="AM6" i="9" s="1"/>
  <c r="O37" i="9"/>
  <c r="AM37" i="9" s="1"/>
  <c r="O35" i="9"/>
  <c r="AM35" i="9" s="1"/>
  <c r="O45" i="9"/>
  <c r="AM45" i="9" s="1"/>
  <c r="O44" i="9"/>
  <c r="AM44" i="9" s="1"/>
  <c r="O49" i="9"/>
  <c r="AM49" i="9" s="1"/>
  <c r="O5" i="9"/>
  <c r="AM5" i="9" s="1"/>
  <c r="O20" i="9"/>
  <c r="AM20" i="9" s="1"/>
  <c r="O41" i="9"/>
  <c r="AM41" i="9" s="1"/>
  <c r="O21" i="9"/>
  <c r="AM21" i="9" s="1"/>
  <c r="O36" i="9"/>
  <c r="AM36" i="9" s="1"/>
  <c r="O46" i="9"/>
  <c r="AM46" i="9" s="1"/>
  <c r="O47" i="9"/>
  <c r="AM47" i="9" s="1"/>
  <c r="O31" i="9"/>
  <c r="AM31" i="9" s="1"/>
  <c r="O40" i="9"/>
  <c r="AM40" i="9" s="1"/>
  <c r="O4" i="9"/>
  <c r="AM4" i="9" s="1"/>
  <c r="O11" i="9"/>
  <c r="AM11" i="9" s="1"/>
  <c r="O15" i="9"/>
  <c r="AM15" i="9" s="1"/>
  <c r="O28" i="9"/>
  <c r="AM28" i="9" s="1"/>
  <c r="O25" i="9"/>
  <c r="AM25" i="9" s="1"/>
  <c r="O43" i="9"/>
  <c r="AM43" i="9" s="1"/>
  <c r="O51" i="9"/>
  <c r="AM51" i="9" s="1"/>
  <c r="AS11" i="1"/>
  <c r="S8" i="9"/>
  <c r="S22" i="9"/>
  <c r="S6" i="9"/>
  <c r="S18" i="9"/>
  <c r="S35" i="9"/>
  <c r="S41" i="9"/>
  <c r="S39" i="9"/>
  <c r="S5" i="9"/>
  <c r="S25" i="9"/>
  <c r="S42" i="9"/>
  <c r="S47" i="9"/>
  <c r="S48" i="9"/>
  <c r="S28" i="9"/>
  <c r="S7" i="9"/>
  <c r="S19" i="9"/>
  <c r="S23" i="9"/>
  <c r="S27" i="9"/>
  <c r="S31" i="9"/>
  <c r="S3" i="9"/>
  <c r="S10" i="9"/>
  <c r="S26" i="9"/>
  <c r="S20" i="9"/>
  <c r="S24" i="9"/>
  <c r="S38" i="9"/>
  <c r="S17" i="9"/>
  <c r="S44" i="9"/>
  <c r="S50" i="9"/>
  <c r="S45" i="9"/>
  <c r="S49" i="9"/>
  <c r="S11" i="9"/>
  <c r="S33" i="9"/>
  <c r="S14" i="9"/>
  <c r="S9" i="9"/>
  <c r="S13" i="9"/>
  <c r="S16" i="9"/>
  <c r="S30" i="9"/>
  <c r="S37" i="9"/>
  <c r="S21" i="9"/>
  <c r="S29" i="9"/>
  <c r="S51" i="9"/>
  <c r="S34" i="9"/>
  <c r="S32" i="9"/>
  <c r="S4" i="9"/>
  <c r="S15" i="9"/>
  <c r="S2" i="9"/>
  <c r="S43" i="9"/>
  <c r="AF22" i="9"/>
  <c r="S12" i="9"/>
  <c r="AS25" i="1"/>
  <c r="AS18" i="1"/>
  <c r="AD18" i="9"/>
  <c r="T3" i="9" s="1"/>
  <c r="AS45" i="1"/>
  <c r="AS14" i="1"/>
  <c r="AA52" i="1"/>
  <c r="AE12" i="9"/>
  <c r="AC22" i="9"/>
  <c r="AS34" i="1"/>
  <c r="S40" i="9"/>
  <c r="S46" i="9"/>
  <c r="AS17" i="1"/>
  <c r="AS15" i="1"/>
  <c r="T12" i="9"/>
  <c r="AN12" i="1"/>
  <c r="AS44" i="1"/>
  <c r="AS6" i="1"/>
  <c r="AS48" i="1"/>
  <c r="AS33" i="1"/>
  <c r="AS35" i="1"/>
  <c r="AS43" i="1"/>
  <c r="AT42" i="1"/>
  <c r="AN36" i="1"/>
  <c r="AN52" i="1" s="1"/>
  <c r="AT45" i="1"/>
  <c r="AT14" i="1"/>
  <c r="AB12" i="9"/>
  <c r="G46" i="9" s="1"/>
  <c r="AK46" i="9" s="1"/>
  <c r="AS10" i="1"/>
  <c r="AR42" i="1"/>
  <c r="V31" i="9" s="1"/>
  <c r="AF14" i="9"/>
  <c r="AB14" i="9"/>
  <c r="AE14" i="9"/>
  <c r="AD14" i="9"/>
  <c r="AC14" i="9"/>
  <c r="AC52" i="1"/>
  <c r="AS28" i="1"/>
  <c r="AS3" i="1"/>
  <c r="AS27" i="1"/>
  <c r="AS5" i="1"/>
  <c r="AF20" i="9"/>
  <c r="AB20" i="9"/>
  <c r="AE20" i="9"/>
  <c r="AD20" i="9"/>
  <c r="AC20" i="9"/>
  <c r="AK52" i="1"/>
  <c r="Q8" i="9"/>
  <c r="Q3" i="9"/>
  <c r="Q4" i="9"/>
  <c r="Q20" i="9"/>
  <c r="Q7" i="9"/>
  <c r="Q28" i="9"/>
  <c r="Q19" i="9"/>
  <c r="Q40" i="9"/>
  <c r="Q32" i="9"/>
  <c r="Q44" i="9"/>
  <c r="Q34" i="9"/>
  <c r="Q51" i="9"/>
  <c r="Q21" i="9"/>
  <c r="Q41" i="9"/>
  <c r="Q39" i="9"/>
  <c r="Q12" i="9"/>
  <c r="Q17" i="9"/>
  <c r="Q11" i="9"/>
  <c r="Q15" i="9"/>
  <c r="Q36" i="9"/>
  <c r="Q46" i="9"/>
  <c r="Q30" i="9"/>
  <c r="Q5" i="9"/>
  <c r="Q25" i="9"/>
  <c r="Q9" i="9"/>
  <c r="Q16" i="9"/>
  <c r="Q13" i="9"/>
  <c r="Q24" i="9"/>
  <c r="Q18" i="9"/>
  <c r="Q22" i="9"/>
  <c r="Q33" i="9"/>
  <c r="Q45" i="9"/>
  <c r="Q23" i="9"/>
  <c r="Q27" i="9"/>
  <c r="Q37" i="9"/>
  <c r="Q50" i="9"/>
  <c r="Q47" i="9"/>
  <c r="Q26" i="9"/>
  <c r="AS42" i="1"/>
  <c r="I2" i="9" l="1"/>
  <c r="E33" i="9"/>
  <c r="AF23" i="9"/>
  <c r="E45" i="9"/>
  <c r="D42" i="9"/>
  <c r="AC23" i="9"/>
  <c r="E3" i="9"/>
  <c r="E10" i="9"/>
  <c r="T46" i="9"/>
  <c r="K17" i="9"/>
  <c r="L36" i="9"/>
  <c r="AS2" i="9"/>
  <c r="AS25" i="9"/>
  <c r="AS4" i="9"/>
  <c r="AS46" i="9"/>
  <c r="K48" i="9"/>
  <c r="G40" i="9"/>
  <c r="AK40" i="9" s="1"/>
  <c r="T40" i="9"/>
  <c r="T36" i="9"/>
  <c r="V9" i="9"/>
  <c r="V41" i="9"/>
  <c r="V22" i="9"/>
  <c r="V50" i="9"/>
  <c r="V30" i="9"/>
  <c r="V26" i="9"/>
  <c r="V46" i="9"/>
  <c r="V24" i="9"/>
  <c r="V43" i="9"/>
  <c r="V20" i="9"/>
  <c r="V42" i="9"/>
  <c r="V36" i="9"/>
  <c r="V3" i="9"/>
  <c r="V15" i="9"/>
  <c r="V51" i="9"/>
  <c r="V45" i="9"/>
  <c r="V21" i="9"/>
  <c r="V8" i="9"/>
  <c r="V33" i="9"/>
  <c r="V35" i="9"/>
  <c r="J6" i="9"/>
  <c r="J43" i="9"/>
  <c r="K10" i="9"/>
  <c r="K21" i="9"/>
  <c r="K14" i="9"/>
  <c r="K43" i="9"/>
  <c r="K44" i="9"/>
  <c r="K16" i="9"/>
  <c r="K38" i="9"/>
  <c r="K28" i="9"/>
  <c r="K6" i="9"/>
  <c r="K24" i="9"/>
  <c r="K35" i="9"/>
  <c r="W27" i="9"/>
  <c r="W21" i="9"/>
  <c r="E29" i="9"/>
  <c r="AS20" i="9"/>
  <c r="AS23" i="9"/>
  <c r="AS30" i="9"/>
  <c r="J46" i="9"/>
  <c r="J50" i="9"/>
  <c r="J15" i="9"/>
  <c r="J30" i="9"/>
  <c r="J11" i="9"/>
  <c r="J26" i="9"/>
  <c r="J18" i="9"/>
  <c r="J7" i="9"/>
  <c r="J39" i="9"/>
  <c r="J34" i="9"/>
  <c r="J37" i="9"/>
  <c r="J22" i="9"/>
  <c r="J36" i="9"/>
  <c r="J51" i="9"/>
  <c r="J27" i="9"/>
  <c r="J40" i="9"/>
  <c r="J20" i="9"/>
  <c r="J4" i="9"/>
  <c r="J8" i="9"/>
  <c r="J5" i="9"/>
  <c r="J23" i="9"/>
  <c r="J24" i="9"/>
  <c r="J3" i="9"/>
  <c r="J16" i="9"/>
  <c r="J44" i="9"/>
  <c r="J19" i="9"/>
  <c r="J33" i="9"/>
  <c r="J13" i="9"/>
  <c r="J9" i="9"/>
  <c r="J41" i="9"/>
  <c r="J28" i="9"/>
  <c r="J17" i="9"/>
  <c r="J12" i="9"/>
  <c r="J45" i="9"/>
  <c r="J32" i="9"/>
  <c r="J47" i="9"/>
  <c r="J25" i="9"/>
  <c r="J21" i="9"/>
  <c r="W5" i="9"/>
  <c r="W28" i="9"/>
  <c r="I27" i="9"/>
  <c r="I28" i="9"/>
  <c r="I40" i="9"/>
  <c r="I23" i="9"/>
  <c r="I19" i="9"/>
  <c r="I7" i="9"/>
  <c r="I24" i="9"/>
  <c r="I37" i="9"/>
  <c r="I50" i="9"/>
  <c r="I46" i="9"/>
  <c r="I41" i="9"/>
  <c r="I3" i="9"/>
  <c r="I11" i="9"/>
  <c r="I34" i="9"/>
  <c r="I13" i="9"/>
  <c r="I4" i="9"/>
  <c r="I20" i="9"/>
  <c r="I44" i="9"/>
  <c r="I39" i="9"/>
  <c r="I31" i="9"/>
  <c r="I10" i="9"/>
  <c r="I9" i="9"/>
  <c r="I12" i="9"/>
  <c r="I26" i="9"/>
  <c r="I36" i="9"/>
  <c r="I6" i="9"/>
  <c r="AJ6" i="9" s="1"/>
  <c r="I22" i="9"/>
  <c r="I49" i="9"/>
  <c r="I18" i="9"/>
  <c r="I29" i="9"/>
  <c r="I45" i="9"/>
  <c r="I21" i="9"/>
  <c r="I8" i="9"/>
  <c r="I35" i="9"/>
  <c r="I48" i="9"/>
  <c r="I42" i="9"/>
  <c r="I32" i="9"/>
  <c r="I14" i="9"/>
  <c r="I51" i="9"/>
  <c r="I43" i="9"/>
  <c r="AJ43" i="9" s="1"/>
  <c r="I33" i="9"/>
  <c r="I47" i="9"/>
  <c r="I17" i="9"/>
  <c r="I38" i="9"/>
  <c r="I25" i="9"/>
  <c r="I16" i="9"/>
  <c r="I30" i="9"/>
  <c r="I15" i="9"/>
  <c r="I5" i="9"/>
  <c r="W33" i="9"/>
  <c r="W44" i="9"/>
  <c r="W15" i="9"/>
  <c r="J38" i="9"/>
  <c r="W45" i="9"/>
  <c r="AE23" i="9"/>
  <c r="V37" i="9"/>
  <c r="L40" i="9"/>
  <c r="AS43" i="9"/>
  <c r="AS11" i="9"/>
  <c r="AS47" i="9"/>
  <c r="AS41" i="9"/>
  <c r="AS44" i="9"/>
  <c r="AS6" i="9"/>
  <c r="AS34" i="9"/>
  <c r="AS26" i="9"/>
  <c r="AS16" i="9"/>
  <c r="AS39" i="9"/>
  <c r="AS10" i="9"/>
  <c r="AS18" i="9"/>
  <c r="V39" i="9"/>
  <c r="W47" i="9"/>
  <c r="J10" i="9"/>
  <c r="W46" i="9"/>
  <c r="W30" i="9"/>
  <c r="W51" i="9"/>
  <c r="W26" i="9"/>
  <c r="W23" i="9"/>
  <c r="AC29" i="9"/>
  <c r="AF29" i="9"/>
  <c r="W9" i="9"/>
  <c r="T14" i="9"/>
  <c r="T28" i="9"/>
  <c r="T32" i="9"/>
  <c r="T29" i="9"/>
  <c r="T4" i="9"/>
  <c r="T51" i="9"/>
  <c r="T44" i="9"/>
  <c r="T13" i="9"/>
  <c r="T49" i="9"/>
  <c r="T30" i="9"/>
  <c r="T34" i="9"/>
  <c r="N7" i="9"/>
  <c r="N15" i="9"/>
  <c r="N22" i="9"/>
  <c r="N30" i="9"/>
  <c r="N50" i="9"/>
  <c r="N3" i="9"/>
  <c r="N39" i="9"/>
  <c r="N49" i="9"/>
  <c r="N26" i="9"/>
  <c r="N37" i="9"/>
  <c r="N11" i="9"/>
  <c r="N32" i="9"/>
  <c r="N18" i="9"/>
  <c r="N44" i="9"/>
  <c r="N34" i="9"/>
  <c r="N27" i="9"/>
  <c r="N8" i="9"/>
  <c r="N25" i="9"/>
  <c r="N46" i="9"/>
  <c r="N47" i="9"/>
  <c r="N23" i="9"/>
  <c r="N35" i="9"/>
  <c r="N40" i="9"/>
  <c r="N45" i="9"/>
  <c r="N16" i="9"/>
  <c r="N17" i="9"/>
  <c r="N38" i="9"/>
  <c r="N43" i="9"/>
  <c r="N19" i="9"/>
  <c r="N29" i="9"/>
  <c r="N21" i="9"/>
  <c r="N20" i="9"/>
  <c r="N13" i="9"/>
  <c r="N48" i="9"/>
  <c r="N36" i="9"/>
  <c r="N24" i="9"/>
  <c r="N12" i="9"/>
  <c r="N41" i="9"/>
  <c r="N33" i="9"/>
  <c r="N5" i="9"/>
  <c r="N28" i="9"/>
  <c r="N9" i="9"/>
  <c r="N6" i="9"/>
  <c r="N14" i="9"/>
  <c r="N10" i="9"/>
  <c r="N42" i="9"/>
  <c r="N4" i="9"/>
  <c r="N51" i="9"/>
  <c r="N31" i="9"/>
  <c r="W36" i="9"/>
  <c r="V16" i="9"/>
  <c r="K5" i="9"/>
  <c r="J29" i="9"/>
  <c r="D25" i="9"/>
  <c r="D37" i="9"/>
  <c r="D49" i="9"/>
  <c r="D50" i="9"/>
  <c r="D41" i="9"/>
  <c r="D39" i="9"/>
  <c r="D26" i="9"/>
  <c r="D36" i="9"/>
  <c r="D46" i="9"/>
  <c r="D15" i="9"/>
  <c r="D19" i="9"/>
  <c r="D24" i="9"/>
  <c r="D22" i="9"/>
  <c r="D38" i="9"/>
  <c r="D4" i="9"/>
  <c r="D44" i="9"/>
  <c r="D17" i="9"/>
  <c r="D3" i="9"/>
  <c r="D34" i="9"/>
  <c r="D29" i="9"/>
  <c r="D8" i="9"/>
  <c r="D10" i="9"/>
  <c r="D33" i="9"/>
  <c r="D14" i="9"/>
  <c r="D12" i="9"/>
  <c r="D43" i="9"/>
  <c r="D40" i="9"/>
  <c r="D35" i="9"/>
  <c r="D28" i="9"/>
  <c r="D5" i="9"/>
  <c r="D47" i="9"/>
  <c r="D51" i="9"/>
  <c r="D30" i="9"/>
  <c r="D20" i="9"/>
  <c r="D45" i="9"/>
  <c r="D31" i="9"/>
  <c r="D21" i="9"/>
  <c r="D27" i="9"/>
  <c r="D13" i="9"/>
  <c r="D11" i="9"/>
  <c r="D23" i="9"/>
  <c r="D18" i="9"/>
  <c r="D7" i="9"/>
  <c r="D48" i="9"/>
  <c r="D32" i="9"/>
  <c r="D16" i="9"/>
  <c r="D9" i="9"/>
  <c r="D2" i="9"/>
  <c r="V11" i="9"/>
  <c r="AD29" i="9"/>
  <c r="J42" i="9"/>
  <c r="T24" i="9"/>
  <c r="T31" i="9"/>
  <c r="T6" i="9"/>
  <c r="T48" i="9"/>
  <c r="T18" i="9"/>
  <c r="T22" i="9"/>
  <c r="T5" i="9"/>
  <c r="T33" i="9"/>
  <c r="T15" i="9"/>
  <c r="T27" i="9"/>
  <c r="T8" i="9"/>
  <c r="AD30" i="9"/>
  <c r="AC30" i="9"/>
  <c r="AF30" i="9"/>
  <c r="AB30" i="9"/>
  <c r="AE30" i="9"/>
  <c r="W2" i="9"/>
  <c r="K20" i="9"/>
  <c r="W17" i="9"/>
  <c r="W18" i="9"/>
  <c r="W25" i="9"/>
  <c r="AS17" i="9"/>
  <c r="AS50" i="9"/>
  <c r="AS12" i="9"/>
  <c r="W50" i="9"/>
  <c r="W4" i="9"/>
  <c r="W39" i="9"/>
  <c r="W24" i="9"/>
  <c r="W42" i="9"/>
  <c r="W3" i="9"/>
  <c r="G3" i="9"/>
  <c r="AK3" i="9" s="1"/>
  <c r="G26" i="9"/>
  <c r="AK26" i="9" s="1"/>
  <c r="G11" i="9"/>
  <c r="AK11" i="9" s="1"/>
  <c r="G16" i="9"/>
  <c r="AK16" i="9" s="1"/>
  <c r="G29" i="9"/>
  <c r="AK29" i="9" s="1"/>
  <c r="G30" i="9"/>
  <c r="AK30" i="9" s="1"/>
  <c r="G6" i="9"/>
  <c r="AK6" i="9" s="1"/>
  <c r="G32" i="9"/>
  <c r="AK32" i="9" s="1"/>
  <c r="G20" i="9"/>
  <c r="AK20" i="9" s="1"/>
  <c r="G28" i="9"/>
  <c r="AK28" i="9" s="1"/>
  <c r="G24" i="9"/>
  <c r="AK24" i="9" s="1"/>
  <c r="G15" i="9"/>
  <c r="AK15" i="9" s="1"/>
  <c r="G18" i="9"/>
  <c r="AK18" i="9" s="1"/>
  <c r="G42" i="9"/>
  <c r="AK42" i="9" s="1"/>
  <c r="G31" i="9"/>
  <c r="AK31" i="9" s="1"/>
  <c r="G51" i="9"/>
  <c r="AK51" i="9" s="1"/>
  <c r="G50" i="9"/>
  <c r="AK50" i="9" s="1"/>
  <c r="G21" i="9"/>
  <c r="AK21" i="9" s="1"/>
  <c r="G22" i="9"/>
  <c r="AK22" i="9" s="1"/>
  <c r="G39" i="9"/>
  <c r="AK39" i="9" s="1"/>
  <c r="G45" i="9"/>
  <c r="AK45" i="9" s="1"/>
  <c r="G49" i="9"/>
  <c r="AK49" i="9" s="1"/>
  <c r="G7" i="9"/>
  <c r="AK7" i="9" s="1"/>
  <c r="G35" i="9"/>
  <c r="AK35" i="9" s="1"/>
  <c r="G33" i="9"/>
  <c r="AK33" i="9" s="1"/>
  <c r="G48" i="9"/>
  <c r="AK48" i="9" s="1"/>
  <c r="G27" i="9"/>
  <c r="AK27" i="9" s="1"/>
  <c r="G2" i="9"/>
  <c r="AK2" i="9" s="1"/>
  <c r="G41" i="9"/>
  <c r="AK41" i="9" s="1"/>
  <c r="G23" i="9"/>
  <c r="AK23" i="9" s="1"/>
  <c r="G47" i="9"/>
  <c r="AK47" i="9" s="1"/>
  <c r="G4" i="9"/>
  <c r="AK4" i="9" s="1"/>
  <c r="G8" i="9"/>
  <c r="AK8" i="9" s="1"/>
  <c r="G25" i="9"/>
  <c r="AK25" i="9" s="1"/>
  <c r="G34" i="9"/>
  <c r="AK34" i="9" s="1"/>
  <c r="G19" i="9"/>
  <c r="AK19" i="9" s="1"/>
  <c r="G17" i="9"/>
  <c r="AK17" i="9" s="1"/>
  <c r="G9" i="9"/>
  <c r="AK9" i="9" s="1"/>
  <c r="G13" i="9"/>
  <c r="AK13" i="9" s="1"/>
  <c r="G38" i="9"/>
  <c r="AK38" i="9" s="1"/>
  <c r="G43" i="9"/>
  <c r="AK43" i="9" s="1"/>
  <c r="G14" i="9"/>
  <c r="AK14" i="9" s="1"/>
  <c r="G44" i="9"/>
  <c r="AK44" i="9" s="1"/>
  <c r="G10" i="9"/>
  <c r="AK10" i="9" s="1"/>
  <c r="G5" i="9"/>
  <c r="AK5" i="9" s="1"/>
  <c r="G37" i="9"/>
  <c r="AK37" i="9" s="1"/>
  <c r="J48" i="9"/>
  <c r="V27" i="9"/>
  <c r="V13" i="9"/>
  <c r="W48" i="9"/>
  <c r="W6" i="9"/>
  <c r="W14" i="9"/>
  <c r="AD23" i="9"/>
  <c r="V38" i="9"/>
  <c r="G12" i="9"/>
  <c r="AK12" i="9" s="1"/>
  <c r="V44" i="9"/>
  <c r="V17" i="9"/>
  <c r="V34" i="9"/>
  <c r="AS28" i="9"/>
  <c r="AS40" i="9"/>
  <c r="AS36" i="9"/>
  <c r="AS5" i="9"/>
  <c r="AS35" i="9"/>
  <c r="AS14" i="9"/>
  <c r="AS32" i="9"/>
  <c r="AS3" i="9"/>
  <c r="AS48" i="9"/>
  <c r="AS8" i="9"/>
  <c r="AS27" i="9"/>
  <c r="AS9" i="9"/>
  <c r="W41" i="9"/>
  <c r="V10" i="9"/>
  <c r="V14" i="9"/>
  <c r="J35" i="9"/>
  <c r="W19" i="9"/>
  <c r="V40" i="9"/>
  <c r="V28" i="9"/>
  <c r="W32" i="9"/>
  <c r="W31" i="9"/>
  <c r="W38" i="9"/>
  <c r="W40" i="9"/>
  <c r="W37" i="9"/>
  <c r="K42" i="9"/>
  <c r="W22" i="9"/>
  <c r="V6" i="9"/>
  <c r="W29" i="9"/>
  <c r="V47" i="9"/>
  <c r="AE29" i="9"/>
  <c r="J31" i="9"/>
  <c r="V7" i="9"/>
  <c r="K13" i="9"/>
  <c r="T2" i="9"/>
  <c r="T17" i="9"/>
  <c r="T23" i="9"/>
  <c r="T50" i="9"/>
  <c r="T39" i="9"/>
  <c r="T41" i="9"/>
  <c r="T11" i="9"/>
  <c r="T47" i="9"/>
  <c r="T21" i="9"/>
  <c r="V48" i="9"/>
  <c r="AF11" i="9"/>
  <c r="AB11" i="9"/>
  <c r="Z52" i="1"/>
  <c r="AE11" i="9"/>
  <c r="AD11" i="9"/>
  <c r="AC11" i="9"/>
  <c r="AT2" i="1"/>
  <c r="X33" i="9" s="1"/>
  <c r="W43" i="9"/>
  <c r="W11" i="9"/>
  <c r="AS45" i="9"/>
  <c r="AS7" i="9"/>
  <c r="AS33" i="9"/>
  <c r="L5" i="9"/>
  <c r="L13" i="9"/>
  <c r="L48" i="9"/>
  <c r="L9" i="9"/>
  <c r="L16" i="9"/>
  <c r="L20" i="9"/>
  <c r="L44" i="9"/>
  <c r="L2" i="9"/>
  <c r="L47" i="9"/>
  <c r="L32" i="9"/>
  <c r="L24" i="9"/>
  <c r="L17" i="9"/>
  <c r="L50" i="9"/>
  <c r="L26" i="9"/>
  <c r="L27" i="9"/>
  <c r="L28" i="9"/>
  <c r="L18" i="9"/>
  <c r="L51" i="9"/>
  <c r="L11" i="9"/>
  <c r="L41" i="9"/>
  <c r="L10" i="9"/>
  <c r="L7" i="9"/>
  <c r="L35" i="9"/>
  <c r="L22" i="9"/>
  <c r="L25" i="9"/>
  <c r="L37" i="9"/>
  <c r="L33" i="9"/>
  <c r="L23" i="9"/>
  <c r="L19" i="9"/>
  <c r="L6" i="9"/>
  <c r="L29" i="9"/>
  <c r="L38" i="9"/>
  <c r="L3" i="9"/>
  <c r="L31" i="9"/>
  <c r="L21" i="9"/>
  <c r="L42" i="9"/>
  <c r="L14" i="9"/>
  <c r="L39" i="9"/>
  <c r="L34" i="9"/>
  <c r="L4" i="9"/>
  <c r="L8" i="9"/>
  <c r="L49" i="9"/>
  <c r="L45" i="9"/>
  <c r="L43" i="9"/>
  <c r="L30" i="9"/>
  <c r="L15" i="9"/>
  <c r="W7" i="9"/>
  <c r="J2" i="9"/>
  <c r="W10" i="9"/>
  <c r="W35" i="9"/>
  <c r="V25" i="9"/>
  <c r="V19" i="9"/>
  <c r="W34" i="9"/>
  <c r="G36" i="9"/>
  <c r="AK36" i="9" s="1"/>
  <c r="T16" i="9"/>
  <c r="T42" i="9"/>
  <c r="T38" i="9"/>
  <c r="AB23" i="9"/>
  <c r="V4" i="9"/>
  <c r="J49" i="9"/>
  <c r="L46" i="9"/>
  <c r="V29" i="9"/>
  <c r="AS51" i="9"/>
  <c r="AS15" i="9"/>
  <c r="AS31" i="9"/>
  <c r="AS21" i="9"/>
  <c r="AS49" i="9"/>
  <c r="AS37" i="9"/>
  <c r="AS42" i="9"/>
  <c r="AS29" i="9"/>
  <c r="AS24" i="9"/>
  <c r="AS19" i="9"/>
  <c r="AS38" i="9"/>
  <c r="AS22" i="9"/>
  <c r="AS13" i="9"/>
  <c r="V23" i="9"/>
  <c r="V49" i="9"/>
  <c r="V12" i="9"/>
  <c r="K25" i="9"/>
  <c r="V5" i="9"/>
  <c r="W16" i="9"/>
  <c r="W8" i="9"/>
  <c r="W49" i="9"/>
  <c r="W20" i="9"/>
  <c r="W12" i="9"/>
  <c r="K31" i="9"/>
  <c r="K36" i="9"/>
  <c r="K40" i="9"/>
  <c r="K12" i="9"/>
  <c r="K19" i="9"/>
  <c r="K4" i="9"/>
  <c r="K22" i="9"/>
  <c r="K26" i="9"/>
  <c r="K45" i="9"/>
  <c r="K37" i="9"/>
  <c r="K46" i="9"/>
  <c r="K8" i="9"/>
  <c r="K2" i="9"/>
  <c r="K29" i="9"/>
  <c r="K39" i="9"/>
  <c r="K32" i="9"/>
  <c r="K15" i="9"/>
  <c r="K3" i="9"/>
  <c r="K27" i="9"/>
  <c r="K18" i="9"/>
  <c r="K50" i="9"/>
  <c r="K34" i="9"/>
  <c r="K51" i="9"/>
  <c r="K41" i="9"/>
  <c r="K23" i="9"/>
  <c r="K11" i="9"/>
  <c r="K47" i="9"/>
  <c r="K30" i="9"/>
  <c r="K49" i="9"/>
  <c r="K7" i="9"/>
  <c r="K33" i="9"/>
  <c r="D6" i="9"/>
  <c r="V2" i="9"/>
  <c r="AB29" i="9"/>
  <c r="V18" i="9"/>
  <c r="K9" i="9"/>
  <c r="T20" i="9"/>
  <c r="T25" i="9"/>
  <c r="T35" i="9"/>
  <c r="T19" i="9"/>
  <c r="T26" i="9"/>
  <c r="T43" i="9"/>
  <c r="T37" i="9"/>
  <c r="T9" i="9"/>
  <c r="T45" i="9"/>
  <c r="T10" i="9"/>
  <c r="T7" i="9"/>
  <c r="V32" i="9"/>
  <c r="N2" i="9"/>
  <c r="J14" i="9"/>
  <c r="E39" i="9"/>
  <c r="E46" i="9"/>
  <c r="E51" i="9"/>
  <c r="E4" i="9"/>
  <c r="E30" i="9"/>
  <c r="E8" i="9"/>
  <c r="E31" i="9"/>
  <c r="E49" i="9"/>
  <c r="E50" i="9"/>
  <c r="E7" i="9"/>
  <c r="E37" i="9"/>
  <c r="E24" i="9"/>
  <c r="E26" i="9"/>
  <c r="E20" i="9"/>
  <c r="E16" i="9"/>
  <c r="E32" i="9"/>
  <c r="E40" i="9"/>
  <c r="E38" i="9"/>
  <c r="E23" i="9"/>
  <c r="E12" i="9"/>
  <c r="E48" i="9"/>
  <c r="E6" i="9"/>
  <c r="E44" i="9"/>
  <c r="E15" i="9"/>
  <c r="E17" i="9"/>
  <c r="E34" i="9"/>
  <c r="E18" i="9"/>
  <c r="E25" i="9"/>
  <c r="E11" i="9"/>
  <c r="E41" i="9"/>
  <c r="E19" i="9"/>
  <c r="E47" i="9"/>
  <c r="E22" i="9"/>
  <c r="E36" i="9"/>
  <c r="E42" i="9"/>
  <c r="E5" i="9"/>
  <c r="E27" i="9"/>
  <c r="E28" i="9"/>
  <c r="E43" i="9"/>
  <c r="E35" i="9"/>
  <c r="E9" i="9"/>
  <c r="E21" i="9"/>
  <c r="E13" i="9"/>
  <c r="E2" i="9"/>
  <c r="W13" i="9"/>
  <c r="M46" i="9" l="1"/>
  <c r="AJ17" i="9"/>
  <c r="M36" i="9"/>
  <c r="AL36" i="9" s="1"/>
  <c r="F2" i="9"/>
  <c r="AJ2" i="9"/>
  <c r="AQ46" i="9"/>
  <c r="M40" i="9"/>
  <c r="AQ44" i="9"/>
  <c r="AQ13" i="9"/>
  <c r="AL46" i="9"/>
  <c r="AJ16" i="9"/>
  <c r="AJ44" i="9"/>
  <c r="AJ28" i="9"/>
  <c r="AJ5" i="9"/>
  <c r="AJ25" i="9"/>
  <c r="AJ33" i="9"/>
  <c r="AJ32" i="9"/>
  <c r="AJ8" i="9"/>
  <c r="AJ18" i="9"/>
  <c r="AJ10" i="9"/>
  <c r="AJ20" i="9"/>
  <c r="AJ50" i="9"/>
  <c r="AJ19" i="9"/>
  <c r="AJ27" i="9"/>
  <c r="AI33" i="9"/>
  <c r="AQ34" i="9"/>
  <c r="AQ22" i="9"/>
  <c r="AQ6" i="9"/>
  <c r="AQ27" i="9"/>
  <c r="AQ24" i="9"/>
  <c r="AQ11" i="9"/>
  <c r="AJ11" i="9"/>
  <c r="X6" i="9"/>
  <c r="AI6" i="9" s="1"/>
  <c r="X14" i="9"/>
  <c r="AI14" i="9" s="1"/>
  <c r="AQ37" i="9"/>
  <c r="AQ14" i="9"/>
  <c r="AQ9" i="9"/>
  <c r="AQ25" i="9"/>
  <c r="AQ23" i="9"/>
  <c r="AQ48" i="9"/>
  <c r="AQ49" i="9"/>
  <c r="AQ21" i="9"/>
  <c r="AQ42" i="9"/>
  <c r="AQ28" i="9"/>
  <c r="AQ30" i="9"/>
  <c r="AQ26" i="9"/>
  <c r="AJ15" i="9"/>
  <c r="AJ38" i="9"/>
  <c r="AJ42" i="9"/>
  <c r="AJ21" i="9"/>
  <c r="AJ49" i="9"/>
  <c r="AJ26" i="9"/>
  <c r="AJ31" i="9"/>
  <c r="AJ4" i="9"/>
  <c r="AJ3" i="9"/>
  <c r="AJ37" i="9"/>
  <c r="AJ23" i="9"/>
  <c r="AC31" i="9"/>
  <c r="AF31" i="9"/>
  <c r="AB31" i="9"/>
  <c r="AE31" i="9"/>
  <c r="AD31" i="9"/>
  <c r="X2" i="9"/>
  <c r="AI2" i="9" s="1"/>
  <c r="X20" i="9"/>
  <c r="AI20" i="9" s="1"/>
  <c r="X32" i="9"/>
  <c r="AI32" i="9" s="1"/>
  <c r="X44" i="9"/>
  <c r="AI44" i="9" s="1"/>
  <c r="X16" i="9"/>
  <c r="X29" i="9"/>
  <c r="X11" i="9"/>
  <c r="AI11" i="9" s="1"/>
  <c r="X25" i="9"/>
  <c r="AI25" i="9" s="1"/>
  <c r="X46" i="9"/>
  <c r="AI46" i="9" s="1"/>
  <c r="X8" i="9"/>
  <c r="AI8" i="9" s="1"/>
  <c r="X17" i="9"/>
  <c r="AI17" i="9" s="1"/>
  <c r="X31" i="9"/>
  <c r="AI31" i="9" s="1"/>
  <c r="X22" i="9"/>
  <c r="AI22" i="9" s="1"/>
  <c r="X13" i="9"/>
  <c r="X27" i="9"/>
  <c r="AI27" i="9" s="1"/>
  <c r="X15" i="9"/>
  <c r="AI15" i="9" s="1"/>
  <c r="X7" i="9"/>
  <c r="X51" i="9"/>
  <c r="AI51" i="9" s="1"/>
  <c r="X18" i="9"/>
  <c r="AI18" i="9" s="1"/>
  <c r="X5" i="9"/>
  <c r="AI5" i="9" s="1"/>
  <c r="X4" i="9"/>
  <c r="X35" i="9"/>
  <c r="AI35" i="9" s="1"/>
  <c r="X47" i="9"/>
  <c r="AI47" i="9" s="1"/>
  <c r="X40" i="9"/>
  <c r="AI40" i="9" s="1"/>
  <c r="X39" i="9"/>
  <c r="AI39" i="9" s="1"/>
  <c r="X12" i="9"/>
  <c r="AI12" i="9" s="1"/>
  <c r="X38" i="9"/>
  <c r="X43" i="9"/>
  <c r="AI43" i="9" s="1"/>
  <c r="X24" i="9"/>
  <c r="AI24" i="9" s="1"/>
  <c r="X37" i="9"/>
  <c r="AI37" i="9" s="1"/>
  <c r="X23" i="9"/>
  <c r="AI23" i="9" s="1"/>
  <c r="X21" i="9"/>
  <c r="AI21" i="9" s="1"/>
  <c r="X50" i="9"/>
  <c r="AI50" i="9" s="1"/>
  <c r="X19" i="9"/>
  <c r="AI19" i="9" s="1"/>
  <c r="X41" i="9"/>
  <c r="AI41" i="9" s="1"/>
  <c r="X26" i="9"/>
  <c r="AI26" i="9" s="1"/>
  <c r="X34" i="9"/>
  <c r="AI34" i="9" s="1"/>
  <c r="X49" i="9"/>
  <c r="AI49" i="9" s="1"/>
  <c r="X28" i="9"/>
  <c r="AI28" i="9" s="1"/>
  <c r="X36" i="9"/>
  <c r="AI36" i="9" s="1"/>
  <c r="X9" i="9"/>
  <c r="AI9" i="9" s="1"/>
  <c r="X30" i="9"/>
  <c r="AI30" i="9" s="1"/>
  <c r="AI38" i="9"/>
  <c r="AQ47" i="9"/>
  <c r="AQ31" i="9"/>
  <c r="AJ36" i="9"/>
  <c r="X10" i="9"/>
  <c r="AI10" i="9" s="1"/>
  <c r="AI4" i="9"/>
  <c r="F12" i="9"/>
  <c r="F4" i="9"/>
  <c r="F18" i="9"/>
  <c r="F31" i="9"/>
  <c r="F40" i="9"/>
  <c r="F46" i="9"/>
  <c r="F38" i="9"/>
  <c r="F49" i="9"/>
  <c r="F5" i="9"/>
  <c r="F8" i="9"/>
  <c r="F51" i="9"/>
  <c r="F34" i="9"/>
  <c r="F23" i="9"/>
  <c r="F41" i="9"/>
  <c r="F50" i="9"/>
  <c r="F16" i="9"/>
  <c r="F32" i="9"/>
  <c r="F44" i="9"/>
  <c r="F20" i="9"/>
  <c r="F24" i="9"/>
  <c r="F39" i="9"/>
  <c r="F37" i="9"/>
  <c r="F28" i="9"/>
  <c r="F17" i="9"/>
  <c r="F26" i="9"/>
  <c r="F29" i="9"/>
  <c r="F47" i="9"/>
  <c r="F35" i="9"/>
  <c r="F22" i="9"/>
  <c r="F13" i="9"/>
  <c r="F9" i="9"/>
  <c r="F36" i="9"/>
  <c r="F30" i="9"/>
  <c r="F21" i="9"/>
  <c r="F43" i="9"/>
  <c r="F27" i="9"/>
  <c r="F25" i="9"/>
  <c r="F7" i="9"/>
  <c r="F19" i="9"/>
  <c r="F15" i="9"/>
  <c r="F11" i="9"/>
  <c r="F3" i="9"/>
  <c r="F33" i="9"/>
  <c r="F42" i="9"/>
  <c r="F45" i="9"/>
  <c r="F48" i="9"/>
  <c r="F10" i="9"/>
  <c r="F6" i="9"/>
  <c r="F14" i="9"/>
  <c r="AI13" i="9"/>
  <c r="AQ5" i="9"/>
  <c r="AQ43" i="9"/>
  <c r="AQ17" i="9"/>
  <c r="AQ8" i="9"/>
  <c r="AQ41" i="9"/>
  <c r="AQ33" i="9"/>
  <c r="AQ45" i="9"/>
  <c r="AQ50" i="9"/>
  <c r="AQ18" i="9"/>
  <c r="AQ20" i="9"/>
  <c r="AQ29" i="9"/>
  <c r="AQ3" i="9"/>
  <c r="AI16" i="9"/>
  <c r="X48" i="9"/>
  <c r="AI48" i="9" s="1"/>
  <c r="AJ30" i="9"/>
  <c r="AJ51" i="9"/>
  <c r="AJ48" i="9"/>
  <c r="AJ45" i="9"/>
  <c r="AJ22" i="9"/>
  <c r="AJ12" i="9"/>
  <c r="AJ39" i="9"/>
  <c r="AJ13" i="9"/>
  <c r="AJ41" i="9"/>
  <c r="AJ24" i="9"/>
  <c r="AJ40" i="9"/>
  <c r="AQ7" i="9"/>
  <c r="AI29" i="9"/>
  <c r="M29" i="9"/>
  <c r="AL29" i="9" s="1"/>
  <c r="M33" i="9"/>
  <c r="AL33" i="9" s="1"/>
  <c r="M10" i="9"/>
  <c r="AL10" i="9" s="1"/>
  <c r="M6" i="9"/>
  <c r="AL6" i="9" s="1"/>
  <c r="M45" i="9"/>
  <c r="AL45" i="9" s="1"/>
  <c r="M49" i="9"/>
  <c r="AL49" i="9" s="1"/>
  <c r="M21" i="9"/>
  <c r="AL21" i="9" s="1"/>
  <c r="M51" i="9"/>
  <c r="AL51" i="9" s="1"/>
  <c r="M5" i="9"/>
  <c r="AL5" i="9" s="1"/>
  <c r="M43" i="9"/>
  <c r="AL43" i="9" s="1"/>
  <c r="M48" i="9"/>
  <c r="AL48" i="9" s="1"/>
  <c r="M41" i="9"/>
  <c r="AL41" i="9" s="1"/>
  <c r="M9" i="9"/>
  <c r="AL9" i="9" s="1"/>
  <c r="M30" i="9"/>
  <c r="AL30" i="9" s="1"/>
  <c r="M27" i="9"/>
  <c r="AL27" i="9" s="1"/>
  <c r="M3" i="9"/>
  <c r="AL3" i="9" s="1"/>
  <c r="M7" i="9"/>
  <c r="AL7" i="9" s="1"/>
  <c r="M4" i="9"/>
  <c r="AL4" i="9" s="1"/>
  <c r="M50" i="9"/>
  <c r="AL50" i="9" s="1"/>
  <c r="M37" i="9"/>
  <c r="AL37" i="9" s="1"/>
  <c r="M13" i="9"/>
  <c r="AL13" i="9" s="1"/>
  <c r="M22" i="9"/>
  <c r="AL22" i="9" s="1"/>
  <c r="M32" i="9"/>
  <c r="AL32" i="9" s="1"/>
  <c r="M15" i="9"/>
  <c r="AL15" i="9" s="1"/>
  <c r="M44" i="9"/>
  <c r="AL44" i="9" s="1"/>
  <c r="M11" i="9"/>
  <c r="AL11" i="9" s="1"/>
  <c r="M34" i="9"/>
  <c r="AL34" i="9" s="1"/>
  <c r="M19" i="9"/>
  <c r="AL19" i="9" s="1"/>
  <c r="M39" i="9"/>
  <c r="AL39" i="9" s="1"/>
  <c r="M23" i="9"/>
  <c r="AL23" i="9" s="1"/>
  <c r="M8" i="9"/>
  <c r="AL8" i="9" s="1"/>
  <c r="M47" i="9"/>
  <c r="AL47" i="9" s="1"/>
  <c r="M26" i="9"/>
  <c r="AL26" i="9" s="1"/>
  <c r="M18" i="9"/>
  <c r="AL18" i="9" s="1"/>
  <c r="M25" i="9"/>
  <c r="AL25" i="9" s="1"/>
  <c r="M20" i="9"/>
  <c r="AL20" i="9" s="1"/>
  <c r="M31" i="9"/>
  <c r="AL31" i="9" s="1"/>
  <c r="M28" i="9"/>
  <c r="AL28" i="9" s="1"/>
  <c r="M2" i="9"/>
  <c r="M35" i="9"/>
  <c r="AL35" i="9" s="1"/>
  <c r="M14" i="9"/>
  <c r="AL14" i="9" s="1"/>
  <c r="M17" i="9"/>
  <c r="AL17" i="9" s="1"/>
  <c r="M42" i="9"/>
  <c r="AL42" i="9" s="1"/>
  <c r="M38" i="9"/>
  <c r="AL38" i="9" s="1"/>
  <c r="M16" i="9"/>
  <c r="AL16" i="9" s="1"/>
  <c r="M24" i="9"/>
  <c r="AL24" i="9" s="1"/>
  <c r="AQ36" i="9"/>
  <c r="AL2" i="9"/>
  <c r="AI7" i="9"/>
  <c r="AQ12" i="9"/>
  <c r="M12" i="9"/>
  <c r="AL12" i="9" s="1"/>
  <c r="AQ10" i="9"/>
  <c r="AQ38" i="9"/>
  <c r="AQ19" i="9"/>
  <c r="AQ4" i="9"/>
  <c r="AQ2" i="9"/>
  <c r="AQ35" i="9"/>
  <c r="AQ39" i="9"/>
  <c r="AQ51" i="9"/>
  <c r="AQ15" i="9"/>
  <c r="AQ32" i="9"/>
  <c r="AQ16" i="9"/>
  <c r="X42" i="9"/>
  <c r="AI42" i="9" s="1"/>
  <c r="X3" i="9"/>
  <c r="AI3" i="9" s="1"/>
  <c r="AL40" i="9"/>
  <c r="AJ47" i="9"/>
  <c r="AJ14" i="9"/>
  <c r="AJ35" i="9"/>
  <c r="AJ29" i="9"/>
  <c r="AJ9" i="9"/>
  <c r="AJ34" i="9"/>
  <c r="AJ46" i="9"/>
  <c r="AJ7" i="9"/>
  <c r="AQ40" i="9"/>
  <c r="X45" i="9"/>
  <c r="AI45" i="9" s="1"/>
  <c r="AR16" i="9" l="1"/>
  <c r="AR14" i="9"/>
  <c r="AP7" i="9"/>
  <c r="AP10" i="9"/>
  <c r="AP43" i="9"/>
  <c r="AR31" i="9"/>
  <c r="AR39" i="9"/>
  <c r="AR13" i="9"/>
  <c r="AR7" i="9"/>
  <c r="AR9" i="9"/>
  <c r="AR5" i="9"/>
  <c r="AR45" i="9"/>
  <c r="AR29" i="9"/>
  <c r="AO36" i="9"/>
  <c r="AN36" i="9"/>
  <c r="AO26" i="9"/>
  <c r="AN26" i="9"/>
  <c r="AO43" i="9"/>
  <c r="AN43" i="9"/>
  <c r="AO5" i="9"/>
  <c r="AN5" i="9"/>
  <c r="AN15" i="9"/>
  <c r="AO15" i="9"/>
  <c r="AO14" i="9"/>
  <c r="AN14" i="9"/>
  <c r="AR38" i="9"/>
  <c r="AR35" i="9"/>
  <c r="AR20" i="9"/>
  <c r="AR47" i="9"/>
  <c r="AR19" i="9"/>
  <c r="AR15" i="9"/>
  <c r="AR37" i="9"/>
  <c r="AR3" i="9"/>
  <c r="AR41" i="9"/>
  <c r="AR51" i="9"/>
  <c r="AR6" i="9"/>
  <c r="AN10" i="9"/>
  <c r="AO10" i="9"/>
  <c r="AN28" i="9"/>
  <c r="AO28" i="9"/>
  <c r="AN23" i="9"/>
  <c r="AO23" i="9"/>
  <c r="AN17" i="9"/>
  <c r="AO17" i="9"/>
  <c r="AO6" i="9"/>
  <c r="AN6" i="9"/>
  <c r="AR26" i="9"/>
  <c r="AR44" i="9"/>
  <c r="AO42" i="9"/>
  <c r="AN42" i="9"/>
  <c r="AR42" i="9"/>
  <c r="AR25" i="9"/>
  <c r="AR8" i="9"/>
  <c r="AR34" i="9"/>
  <c r="AR32" i="9"/>
  <c r="AR50" i="9"/>
  <c r="AR48" i="9"/>
  <c r="AR21" i="9"/>
  <c r="AR10" i="9"/>
  <c r="AN49" i="9"/>
  <c r="AO49" i="9"/>
  <c r="AN19" i="9"/>
  <c r="AO19" i="9"/>
  <c r="AO37" i="9"/>
  <c r="AN37" i="9"/>
  <c r="AO35" i="9"/>
  <c r="AN35" i="9"/>
  <c r="AN8" i="9"/>
  <c r="AO8" i="9"/>
  <c r="AO20" i="9"/>
  <c r="AN20" i="9"/>
  <c r="AR36" i="9"/>
  <c r="AR24" i="9"/>
  <c r="AR18" i="9"/>
  <c r="AR11" i="9"/>
  <c r="AR30" i="9"/>
  <c r="AR49" i="9"/>
  <c r="AR33" i="9"/>
  <c r="AN33" i="9"/>
  <c r="AO9" i="9"/>
  <c r="AN9" i="9"/>
  <c r="AO50" i="9"/>
  <c r="AN50" i="9"/>
  <c r="AO39" i="9"/>
  <c r="AN39" i="9"/>
  <c r="AO22" i="9"/>
  <c r="AN22" i="9"/>
  <c r="AO46" i="9"/>
  <c r="AN46" i="9"/>
  <c r="AO2" i="9"/>
  <c r="AN2" i="9"/>
  <c r="AO33" i="9"/>
  <c r="AP9" i="9"/>
  <c r="AP46" i="9"/>
  <c r="AP6" i="9"/>
  <c r="AR17" i="9"/>
  <c r="AP34" i="9"/>
  <c r="AP29" i="9"/>
  <c r="AP16" i="9"/>
  <c r="AO7" i="9"/>
  <c r="AN7" i="9"/>
  <c r="AR28" i="9"/>
  <c r="AO12" i="9"/>
  <c r="AN12" i="9"/>
  <c r="AP13" i="9"/>
  <c r="AP45" i="9"/>
  <c r="AP30" i="9"/>
  <c r="AN44" i="9"/>
  <c r="AO44" i="9"/>
  <c r="AP36" i="9"/>
  <c r="AN30" i="9"/>
  <c r="AO30" i="9"/>
  <c r="AO51" i="9"/>
  <c r="AN51" i="9"/>
  <c r="AP37" i="9"/>
  <c r="AP26" i="9"/>
  <c r="AP27" i="9"/>
  <c r="AP20" i="9"/>
  <c r="AP5" i="9"/>
  <c r="AN45" i="9"/>
  <c r="AO45" i="9"/>
  <c r="AP47" i="9"/>
  <c r="AO11" i="9"/>
  <c r="AN11" i="9"/>
  <c r="AR43" i="9"/>
  <c r="AP28" i="9"/>
  <c r="AP44" i="9"/>
  <c r="AP35" i="9"/>
  <c r="AR40" i="9"/>
  <c r="AN27" i="9"/>
  <c r="AO27" i="9"/>
  <c r="AO18" i="9"/>
  <c r="AN18" i="9"/>
  <c r="AN34" i="9"/>
  <c r="AO34" i="9"/>
  <c r="AP40" i="9"/>
  <c r="AP39" i="9"/>
  <c r="AP48" i="9"/>
  <c r="AN25" i="9"/>
  <c r="AO25" i="9"/>
  <c r="AO24" i="9"/>
  <c r="AN24" i="9"/>
  <c r="AP3" i="9"/>
  <c r="AP49" i="9"/>
  <c r="AP38" i="9"/>
  <c r="AP19" i="9"/>
  <c r="AP8" i="9"/>
  <c r="AP25" i="9"/>
  <c r="AO3" i="9"/>
  <c r="AN3" i="9"/>
  <c r="AR12" i="9"/>
  <c r="AR2" i="9"/>
  <c r="AR22" i="9"/>
  <c r="AR4" i="9"/>
  <c r="AO32" i="9"/>
  <c r="AN32" i="9"/>
  <c r="AN48" i="9"/>
  <c r="AO48" i="9"/>
  <c r="AP24" i="9"/>
  <c r="AP12" i="9"/>
  <c r="AP51" i="9"/>
  <c r="AO16" i="9"/>
  <c r="AN16" i="9"/>
  <c r="AO40" i="9"/>
  <c r="AN40" i="9"/>
  <c r="AN4" i="9"/>
  <c r="AO4" i="9"/>
  <c r="AN21" i="9"/>
  <c r="AO21" i="9"/>
  <c r="AO31" i="9"/>
  <c r="AN31" i="9"/>
  <c r="AP4" i="9"/>
  <c r="AP21" i="9"/>
  <c r="AP15" i="9"/>
  <c r="AP50" i="9"/>
  <c r="AP32" i="9"/>
  <c r="AR46" i="9"/>
  <c r="AP2" i="9"/>
  <c r="AP14" i="9"/>
  <c r="AR23" i="9"/>
  <c r="AO29" i="9"/>
  <c r="AN29" i="9"/>
  <c r="AP18" i="9"/>
  <c r="AR27" i="9"/>
  <c r="AP41" i="9"/>
  <c r="AP22" i="9"/>
  <c r="AP17" i="9"/>
  <c r="AN13" i="9"/>
  <c r="AO13" i="9"/>
  <c r="AO47" i="9"/>
  <c r="AN47" i="9"/>
  <c r="AN38" i="9"/>
  <c r="AO38" i="9"/>
  <c r="AO41" i="9"/>
  <c r="AN41" i="9"/>
  <c r="AP23" i="9"/>
  <c r="AP31" i="9"/>
  <c r="AP42" i="9"/>
  <c r="AP11" i="9"/>
  <c r="AP33" i="9"/>
  <c r="AT38" i="9" l="1"/>
  <c r="AT13" i="9"/>
  <c r="AT41" i="9"/>
  <c r="AT47" i="9"/>
  <c r="AT31" i="9"/>
  <c r="AT16" i="9"/>
  <c r="AT11" i="9"/>
  <c r="AT45" i="9"/>
  <c r="AT44" i="9"/>
  <c r="AT12" i="9"/>
  <c r="AT46" i="9"/>
  <c r="AT39" i="9"/>
  <c r="AT9" i="9"/>
  <c r="AT37" i="9"/>
  <c r="AT23" i="9"/>
  <c r="AT10" i="9"/>
  <c r="AT14" i="9"/>
  <c r="AT5" i="9"/>
  <c r="AT26" i="9"/>
  <c r="AT29" i="9"/>
  <c r="AT4" i="9"/>
  <c r="AT25" i="9"/>
  <c r="AT30" i="9"/>
  <c r="AT2" i="9"/>
  <c r="AT8" i="9"/>
  <c r="AT49" i="9"/>
  <c r="AT40" i="9"/>
  <c r="AT48" i="9"/>
  <c r="AT3" i="9"/>
  <c r="AT24" i="9"/>
  <c r="AT34" i="9"/>
  <c r="AT27" i="9"/>
  <c r="AT51" i="9"/>
  <c r="AT22" i="9"/>
  <c r="AT50" i="9"/>
  <c r="AT33" i="9"/>
  <c r="AT20" i="9"/>
  <c r="AT35" i="9"/>
  <c r="AT17" i="9"/>
  <c r="AT28" i="9"/>
  <c r="AT43" i="9"/>
  <c r="AT36" i="9"/>
  <c r="AT21" i="9"/>
  <c r="AT32" i="9"/>
  <c r="AT18" i="9"/>
  <c r="AT7" i="9"/>
  <c r="AT19" i="9"/>
  <c r="AT42" i="9"/>
  <c r="AT6" i="9"/>
  <c r="AT15" i="9"/>
</calcChain>
</file>

<file path=xl/comments1.xml><?xml version="1.0" encoding="utf-8"?>
<comments xmlns="http://schemas.openxmlformats.org/spreadsheetml/2006/main">
  <authors>
    <author>Eileen Norcross</author>
    <author>Olivia Gonzalez</author>
  </authors>
  <commentList>
    <comment ref="D1" authorId="0" shapeId="0">
      <text>
        <r>
          <rPr>
            <b/>
            <sz val="9"/>
            <color indexed="81"/>
            <rFont val="Verdana"/>
            <family val="2"/>
          </rPr>
          <t>Eileen Norcross:</t>
        </r>
        <r>
          <rPr>
            <sz val="9"/>
            <color indexed="81"/>
            <rFont val="Verdana"/>
            <family val="2"/>
          </rPr>
          <t xml:space="preserve">
Units are expressed in thousands for columns D through M, for the purpose of calculating ratios; per capita figures are expressed literally (columns, N through S, for ease of interpretation of per capita dollar amounts.</t>
        </r>
      </text>
    </comment>
    <comment ref="N1" authorId="0" shapeId="0">
      <text>
        <r>
          <rPr>
            <b/>
            <sz val="9"/>
            <color indexed="81"/>
            <rFont val="Verdana"/>
            <family val="2"/>
          </rPr>
          <t>Eileen Norcross:</t>
        </r>
        <r>
          <rPr>
            <sz val="9"/>
            <color indexed="81"/>
            <rFont val="Verdana"/>
            <family val="2"/>
          </rPr>
          <t xml:space="preserve">
Expressed in literal units for per capita calculations</t>
        </r>
      </text>
    </comment>
    <comment ref="V1" authorId="1" shapeId="0">
      <text>
        <r>
          <rPr>
            <b/>
            <sz val="9"/>
            <color indexed="81"/>
            <rFont val="Tahoma"/>
            <family val="2"/>
          </rPr>
          <t>Olivia Gonzalez:</t>
        </r>
        <r>
          <rPr>
            <sz val="9"/>
            <color indexed="81"/>
            <rFont val="Tahoma"/>
            <family val="2"/>
          </rPr>
          <t xml:space="preserve">
Not included in rankings</t>
        </r>
      </text>
    </comment>
    <comment ref="P32" authorId="1" shapeId="0">
      <text>
        <r>
          <rPr>
            <b/>
            <sz val="9"/>
            <color indexed="81"/>
            <rFont val="Tahoma"/>
            <family val="2"/>
          </rPr>
          <t>Olivia Gonzalez:</t>
        </r>
        <r>
          <rPr>
            <sz val="9"/>
            <color indexed="81"/>
            <rFont val="Tahoma"/>
            <family val="2"/>
          </rPr>
          <t xml:space="preserve">
Went with the "total expenses" on the statement of activities (pg 30). The condensed statement of activities in the MD&amp;A reports a different number of 19,371,215,000.</t>
        </r>
      </text>
    </comment>
    <comment ref="P42" authorId="1" shapeId="0">
      <text>
        <r>
          <rPr>
            <b/>
            <sz val="9"/>
            <color indexed="81"/>
            <rFont val="Tahoma"/>
            <family val="2"/>
          </rPr>
          <t>Olivia Gonzalez:</t>
        </r>
        <r>
          <rPr>
            <sz val="9"/>
            <color indexed="81"/>
            <rFont val="Tahoma"/>
            <family val="2"/>
          </rPr>
          <t xml:space="preserve">
Went with the number on the statement of activities (p. 37). The condensed statement in the MD&amp;A reports a slightly different number of 3,828,050,000.</t>
        </r>
      </text>
    </comment>
  </commentList>
</comments>
</file>

<file path=xl/comments2.xml><?xml version="1.0" encoding="utf-8"?>
<comments xmlns="http://schemas.openxmlformats.org/spreadsheetml/2006/main">
  <authors>
    <author>Olivia Gonzalez</author>
    <author>User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Olivia Gonzalez:</t>
        </r>
        <r>
          <rPr>
            <sz val="9"/>
            <color indexed="81"/>
            <rFont val="Tahoma"/>
            <family val="2"/>
          </rPr>
          <t xml:space="preserve">
Standardized non-inverses (up to 6)</t>
        </r>
      </text>
    </comment>
    <comment ref="J1" authorId="1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Standardized inverses (up to 11)</t>
        </r>
      </text>
    </comment>
    <comment ref="Q1" authorId="1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Standardized non-inverses up to 11</t>
        </r>
      </text>
    </comment>
    <comment ref="AI1" authorId="1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Sum of Standardized values of the cash, quick and current ratios.</t>
        </r>
      </text>
    </comment>
    <comment ref="AJ1" authorId="0" shapeId="0">
      <text>
        <r>
          <rPr>
            <b/>
            <sz val="9"/>
            <color indexed="81"/>
            <rFont val="Tahoma"/>
            <family val="2"/>
          </rPr>
          <t>Olivia Gonzalez:</t>
        </r>
        <r>
          <rPr>
            <sz val="9"/>
            <color indexed="81"/>
            <rFont val="Tahoma"/>
            <family val="2"/>
          </rPr>
          <t xml:space="preserve">
Sum of the standardized values of the net asset ratio(6), and inverses of long-term liability ratio (7), and long-term liability per capita ratio (8).</t>
        </r>
      </text>
    </comment>
    <comment ref="AK1" authorId="0" shapeId="0">
      <text>
        <r>
          <rPr>
            <b/>
            <sz val="9"/>
            <color indexed="81"/>
            <rFont val="Tahoma"/>
            <family val="2"/>
          </rPr>
          <t>Olivia Gonzalez:</t>
        </r>
        <r>
          <rPr>
            <sz val="9"/>
            <color indexed="81"/>
            <rFont val="Tahoma"/>
            <family val="2"/>
          </rPr>
          <t xml:space="preserve">
User:
Sum of standardized values of: change in net assets per capita aka surplus (5), and operating ratio (4)</t>
        </r>
      </text>
    </comment>
    <comment ref="AL1" authorId="0" shapeId="0">
      <text>
        <r>
          <rPr>
            <b/>
            <sz val="9"/>
            <color indexed="81"/>
            <rFont val="Tahoma"/>
            <family val="2"/>
          </rPr>
          <t>Olivia Gonzalez:</t>
        </r>
        <r>
          <rPr>
            <sz val="9"/>
            <color indexed="81"/>
            <rFont val="Tahoma"/>
            <family val="2"/>
          </rPr>
          <t xml:space="preserve">
Sum of the inverse (blue heather) standardized values of tax per capita (9), revenue per capita (10), expenses per capita (11)</t>
        </r>
      </text>
    </comment>
    <comment ref="Z2" authorId="0" shapeId="0">
      <text>
        <r>
          <rPr>
            <b/>
            <sz val="9"/>
            <color indexed="81"/>
            <rFont val="Tahoma"/>
            <family val="2"/>
          </rPr>
          <t>Olivia Gonzalez: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2" authorId="0" shapeId="0">
      <text>
        <r>
          <rPr>
            <b/>
            <sz val="9"/>
            <color indexed="81"/>
            <rFont val="Tahoma"/>
            <family val="2"/>
          </rPr>
          <t>Olivia Gonzalez:</t>
        </r>
        <r>
          <rPr>
            <sz val="9"/>
            <color indexed="81"/>
            <rFont val="Tahoma"/>
            <family val="2"/>
          </rPr>
          <t xml:space="preserve">
Sum of weights must equal 1.</t>
        </r>
      </text>
    </comment>
  </commentList>
</comments>
</file>

<file path=xl/sharedStrings.xml><?xml version="1.0" encoding="utf-8"?>
<sst xmlns="http://schemas.openxmlformats.org/spreadsheetml/2006/main" count="536" uniqueCount="238">
  <si>
    <t>Link to CAFR</t>
  </si>
  <si>
    <t>State</t>
    <phoneticPr fontId="1" type="noConversion"/>
  </si>
  <si>
    <t xml:space="preserve">Year </t>
    <phoneticPr fontId="1" type="noConversion"/>
  </si>
  <si>
    <t>C_CE_I</t>
  </si>
  <si>
    <t>C_CE_I_R</t>
    <phoneticPr fontId="1" type="noConversion"/>
  </si>
  <si>
    <t>Total Current Assets</t>
  </si>
  <si>
    <t>Current Liabilities</t>
    <phoneticPr fontId="1" type="noConversion"/>
  </si>
  <si>
    <t>Noncurrent Liabilities</t>
    <phoneticPr fontId="1" type="noConversion"/>
  </si>
  <si>
    <t>Unrestricted Net Assets</t>
    <phoneticPr fontId="1" type="noConversion"/>
  </si>
  <si>
    <t>Restricted Net Assets</t>
    <phoneticPr fontId="1" type="noConversion"/>
  </si>
  <si>
    <t>Total Net Assets</t>
    <phoneticPr fontId="1" type="noConversion"/>
  </si>
  <si>
    <t>Total Assets</t>
    <phoneticPr fontId="1" type="noConversion"/>
  </si>
  <si>
    <t>Total Liabilities</t>
    <phoneticPr fontId="1" type="noConversion"/>
  </si>
  <si>
    <t>Total Taxes</t>
    <phoneticPr fontId="1" type="noConversion"/>
  </si>
  <si>
    <t xml:space="preserve">Total Revenue </t>
    <phoneticPr fontId="1" type="noConversion"/>
  </si>
  <si>
    <t>Total Expenses</t>
    <phoneticPr fontId="1" type="noConversion"/>
  </si>
  <si>
    <t>NonCurrent Liability</t>
    <phoneticPr fontId="1" type="noConversion"/>
  </si>
  <si>
    <t>Change in Net Assets</t>
    <phoneticPr fontId="1" type="noConversion"/>
  </si>
  <si>
    <t>Population</t>
    <phoneticPr fontId="1" type="noConversion"/>
  </si>
  <si>
    <t>1.Cash_ratio</t>
    <phoneticPr fontId="1" type="noConversion"/>
  </si>
  <si>
    <t>2.quick_ratio</t>
    <phoneticPr fontId="1" type="noConversion"/>
  </si>
  <si>
    <t>3.current_ratio</t>
    <phoneticPr fontId="1" type="noConversion"/>
  </si>
  <si>
    <t>4.op_ratio</t>
    <phoneticPr fontId="1" type="noConversion"/>
  </si>
  <si>
    <t>5. surplus_percap</t>
    <phoneticPr fontId="1" type="noConversion"/>
  </si>
  <si>
    <t>6.net_asst_rat</t>
    <phoneticPr fontId="1" type="noConversion"/>
  </si>
  <si>
    <t>7.long_term_liab</t>
    <phoneticPr fontId="1" type="noConversion"/>
  </si>
  <si>
    <t>8.lt_percapita</t>
    <phoneticPr fontId="1" type="noConversion"/>
  </si>
  <si>
    <t>7.long_term_liab (inv)</t>
  </si>
  <si>
    <t>8.lt_percapita (inv)</t>
  </si>
  <si>
    <t>Alabama</t>
    <phoneticPr fontId="1" type="noConversion"/>
  </si>
  <si>
    <t>N</t>
  </si>
  <si>
    <t>Mean</t>
  </si>
  <si>
    <t>Median</t>
  </si>
  <si>
    <t>S.D.</t>
  </si>
  <si>
    <t>Max</t>
  </si>
  <si>
    <t>Min</t>
  </si>
  <si>
    <t>Alaska</t>
    <phoneticPr fontId="1" type="noConversion"/>
  </si>
  <si>
    <t>1. Cash Ratio</t>
  </si>
  <si>
    <t>Arizona</t>
    <phoneticPr fontId="1" type="noConversion"/>
  </si>
  <si>
    <t>2. Quick Ratio</t>
  </si>
  <si>
    <t>Arkansas</t>
    <phoneticPr fontId="1" type="noConversion"/>
  </si>
  <si>
    <t>3. Current Ratio</t>
  </si>
  <si>
    <t>California</t>
    <phoneticPr fontId="1" type="noConversion"/>
  </si>
  <si>
    <t>Colorado</t>
    <phoneticPr fontId="1" type="noConversion"/>
  </si>
  <si>
    <t>5. Surplus (deficit) per capita</t>
  </si>
  <si>
    <t>Connecticut</t>
    <phoneticPr fontId="1" type="noConversion"/>
  </si>
  <si>
    <t>6. Net asset ratio</t>
  </si>
  <si>
    <t>Delaware</t>
    <phoneticPr fontId="1" type="noConversion"/>
  </si>
  <si>
    <t>7. Long-term liability ratio</t>
  </si>
  <si>
    <t xml:space="preserve">Florida </t>
    <phoneticPr fontId="1" type="noConversion"/>
  </si>
  <si>
    <t>8. Long-term liability per capita</t>
  </si>
  <si>
    <t>Georgia</t>
    <phoneticPr fontId="1" type="noConversion"/>
  </si>
  <si>
    <t>Hawaii</t>
    <phoneticPr fontId="1" type="noConversion"/>
  </si>
  <si>
    <t>Idaho</t>
  </si>
  <si>
    <t>Illinois</t>
  </si>
  <si>
    <t>7. Long-term liability ratio (inv)</t>
  </si>
  <si>
    <t>Indiana</t>
  </si>
  <si>
    <t>8. Long-term liability per capita (inv)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</si>
  <si>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</si>
  <si>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</si>
  <si>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</si>
  <si>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</si>
  <si>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</si>
  <si>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</si>
  <si>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</si>
  <si>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</si>
  <si>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</si>
  <si>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</si>
  <si>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</si>
  <si>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</si>
  <si>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</si>
  <si>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</si>
  <si>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</si>
  <si>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</si>
  <si>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</si>
  <si>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</si>
  <si>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</si>
  <si>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</si>
  <si>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</si>
  <si>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</si>
  <si>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</si>
  <si>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</si>
  <si>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</si>
  <si>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</si>
  <si>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</si>
  <si>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</si>
  <si>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</si>
  <si>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</si>
  <si>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</si>
  <si>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</si>
  <si>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</si>
  <si>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</si>
  <si>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</si>
  <si>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</si>
  <si>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7.long_term_liab</t>
  </si>
  <si>
    <t>State</t>
  </si>
  <si>
    <t>Cash Index</t>
  </si>
  <si>
    <t>LR SolvencyIndex</t>
  </si>
  <si>
    <t>Budgt Solv.</t>
  </si>
  <si>
    <t>Ser. Lvl. Solv.</t>
  </si>
  <si>
    <t>Trust Fund Solv.</t>
  </si>
  <si>
    <t>UAAL OPEB</t>
  </si>
  <si>
    <t>Primary gov debt</t>
  </si>
  <si>
    <t>Personal income</t>
  </si>
  <si>
    <t>UAAL pension (risk-free)</t>
  </si>
  <si>
    <t>9.tax_income_ratio</t>
  </si>
  <si>
    <t>10.rev_income_ratio</t>
  </si>
  <si>
    <t>11.exp_income_ratio</t>
  </si>
  <si>
    <t>9.tax_income_ratio (inv)</t>
  </si>
  <si>
    <t>10.rev_income_ratio (inv)</t>
  </si>
  <si>
    <t>11.exp_income_ratio (inv)</t>
  </si>
  <si>
    <t>9. Tax income ratio (inv)</t>
  </si>
  <si>
    <t>10. Revenue income ratio (inv)</t>
  </si>
  <si>
    <t>11. Expenses income ratio (inv)</t>
  </si>
  <si>
    <t>9. Tax income ratio</t>
  </si>
  <si>
    <t>10. Revenue income ratio</t>
  </si>
  <si>
    <t>11. Expenses income ratio</t>
  </si>
  <si>
    <t>9.tax_ratio_income</t>
  </si>
  <si>
    <t>4. Operating ratio</t>
  </si>
  <si>
    <t>Average</t>
  </si>
  <si>
    <t>Descriptive statistics</t>
  </si>
  <si>
    <t>Sum of weights</t>
  </si>
  <si>
    <t>Assigned Weights</t>
  </si>
  <si>
    <t>LR solvency</t>
  </si>
  <si>
    <t>Alabama</t>
    <phoneticPr fontId="2" type="noConversion"/>
  </si>
  <si>
    <t>Alaska</t>
    <phoneticPr fontId="2" type="noConversion"/>
  </si>
  <si>
    <t>Arizona</t>
    <phoneticPr fontId="2" type="noConversion"/>
  </si>
  <si>
    <t>Arkansas</t>
    <phoneticPr fontId="2" type="noConversion"/>
  </si>
  <si>
    <t>California</t>
    <phoneticPr fontId="2" type="noConversion"/>
  </si>
  <si>
    <t>Colorado</t>
    <phoneticPr fontId="2" type="noConversion"/>
  </si>
  <si>
    <t>Connecticut</t>
    <phoneticPr fontId="2" type="noConversion"/>
  </si>
  <si>
    <t>Delaware</t>
    <phoneticPr fontId="2" type="noConversion"/>
  </si>
  <si>
    <t xml:space="preserve">Florida </t>
    <phoneticPr fontId="2" type="noConversion"/>
  </si>
  <si>
    <t>Hawaii</t>
    <phoneticPr fontId="2" type="noConversion"/>
  </si>
  <si>
    <t>12. pension_income ratio (inv)</t>
  </si>
  <si>
    <t>13. OPEB_income (inv)</t>
  </si>
  <si>
    <t>12. pension_income(inv)</t>
  </si>
  <si>
    <t>2 std dev</t>
  </si>
  <si>
    <t>12. Pension income ratio</t>
  </si>
  <si>
    <t>12. pension income ratio (inv)</t>
  </si>
  <si>
    <t>13. OPEB income ratio</t>
  </si>
  <si>
    <t>13. OPEB income ratio (inv)</t>
  </si>
  <si>
    <t>1.Cash_ratio</t>
  </si>
  <si>
    <t>2.quick_ratio</t>
  </si>
  <si>
    <t>3.current_ratio</t>
  </si>
  <si>
    <t>Q2 (median)</t>
  </si>
  <si>
    <t>Q1</t>
  </si>
  <si>
    <t>Q3</t>
  </si>
  <si>
    <t>IQR</t>
  </si>
  <si>
    <t>lower boundary</t>
  </si>
  <si>
    <t>upper boundary</t>
  </si>
  <si>
    <t>inner fence</t>
  </si>
  <si>
    <t>outer fence</t>
  </si>
  <si>
    <t>minor outlier</t>
  </si>
  <si>
    <t>major outlier</t>
  </si>
  <si>
    <t>Averages w/ each outlier</t>
  </si>
  <si>
    <t>Std dev</t>
  </si>
  <si>
    <t xml:space="preserve">Overall fiscal condition index </t>
  </si>
  <si>
    <t>1.Cash_ratio (cap)</t>
  </si>
  <si>
    <t>2.quick_ratio (cap)</t>
  </si>
  <si>
    <t>3.current_ratio (cap)</t>
  </si>
  <si>
    <t>14. Cash ratio (capped)</t>
  </si>
  <si>
    <t>16. Current ratio (capped)</t>
  </si>
  <si>
    <t>15. Quick ratio (capped)</t>
  </si>
  <si>
    <t>1. cash_ratio (cap)</t>
  </si>
  <si>
    <t>2. quick_ratio (cap)</t>
  </si>
  <si>
    <t>3. current_ratio (cap)</t>
  </si>
  <si>
    <t>6.net_asst_ratio</t>
  </si>
  <si>
    <t>12. pension_income_ratio</t>
  </si>
  <si>
    <t>13. OPEB_income_ratio</t>
  </si>
  <si>
    <t>4.op_ratio</t>
  </si>
  <si>
    <t>http://doa.alaska.gov/dof/reports/resource/fy16/2016cafr.pdf</t>
  </si>
  <si>
    <t>https://gao.az.gov/sites/default/files/16%20CAFR%206-08-17%20wosig.pdf</t>
  </si>
  <si>
    <t>http://www.dfa.arkansas.gov/offices/accounting/Documents/cafr2016.pdf</t>
  </si>
  <si>
    <t>https://www.colorado.gov/pacific/sites/default/files/CAFR16_1.pdf</t>
  </si>
  <si>
    <t>http://www.osc.ct.gov/2016cafr/CAFR2016rev.pdf</t>
  </si>
  <si>
    <t>http://accounting.delaware.gov/2016cafr.pdf</t>
  </si>
  <si>
    <t>http://www.myfloridacfo.com/Division/AA/Reports/documents/2016CAFR.pdf</t>
  </si>
  <si>
    <t>https://sao.georgia.gov/sites/sao.georgia.gov/files/related_files/site_page/sao-16-cafr.pdf</t>
  </si>
  <si>
    <t>https://ags.hawaii.gov/wp-content/uploads/2012/09/SOHCAFRFY2016Final.pdf</t>
  </si>
  <si>
    <t>http://www.sco.idaho.gov/web/DSADoc.nsf/82AC9DED2BF6E1978725809600700F8F/$FILE/CAFR%20Complete.pdf</t>
  </si>
  <si>
    <t>http://illinoiscomptroller.gov/ioc-pdf/CAFR_2016.pdf</t>
  </si>
  <si>
    <t>http://www.in.gov/auditor/files/Entire%202016%20CAFR.pdf</t>
  </si>
  <si>
    <t>https://das.iowa.gov/sites/default/files/acct_sae/cafr/fy16_cafr.pdf</t>
  </si>
  <si>
    <t>http://admin.ks.gov/docs/default-source/cfo/cafr/2016-cafr.pdf?sfvrsn=12</t>
  </si>
  <si>
    <t>https://finance.ky.gov/Office%20of%20the%20Controller/ControllerDocuments/2016%20CAFR.pdf</t>
  </si>
  <si>
    <t>http://www.doa.la.gov/osrap/library/Publications/CAFR2016.pdf</t>
  </si>
  <si>
    <t>http://www.maine.gov/osc/pdf/finanrept/cafr/cafr2016.pdf</t>
  </si>
  <si>
    <t>http://finances.marylandtaxes.com/static_files/revenue/cafr/cafr2016.pdf</t>
  </si>
  <si>
    <t>http://www.mass.gov/comptroller/docs/reports-audits/cafr/2016-cafr.pdf</t>
  </si>
  <si>
    <t>http://www.michigan.gov/documents/budget/CAFR_FY_2016_550912_7.pdf</t>
  </si>
  <si>
    <t>https://mn.gov/mmb/assets/2016-cafr-accessible_tcm1059-268792.pdf</t>
  </si>
  <si>
    <t>http://www.dfa.ms.gov/media/5221/2016-comprehensive-annual-financial-report-1.pdf</t>
  </si>
  <si>
    <t>https://oa.mo.gov/sites/default/files/CAFR_2016_0.pdf</t>
  </si>
  <si>
    <t>http://sfsd.mt.gov/Portals/24/Final%20CAFR%20Web%20Version%20-%20Protected_1.pdf</t>
  </si>
  <si>
    <t>http://das.nebraska.gov/accounting/cafr/cafr2016.pdf</t>
  </si>
  <si>
    <t>http://controller.nv.gov/FinancialReports/CAFR_pdf_files/FY16All.pdf</t>
  </si>
  <si>
    <t>https://das.nh.gov/accounting/FY%2016/CAFR%20FY16.pdf</t>
  </si>
  <si>
    <t>http://www.state.nj.us/treasury/omb/publications/16cafr/pdf/fullcafr.pdf</t>
  </si>
  <si>
    <t>http://www.nmdfa.state.nm.us/uploads/files/FCD/State%20General%20Fund/Final%20Version%20341-A%20State%20of%20New%20Mexico%20CAFR.pdf</t>
  </si>
  <si>
    <t>http://www.osc.state.ny.us/finance/finreports/cafr/2016cafr.pdf</t>
  </si>
  <si>
    <t>https://ncosc.s3.amazonaws.com/s3fs-public/documents/files/2016_comprehensive_annual_financial_report_bookmarked.pdf</t>
  </si>
  <si>
    <t>https://www.nd.gov/omb/sites/omb/files/documents/agency/financial/cafr/2016-cafr-toc.pdf</t>
  </si>
  <si>
    <t>https://www.ok.gov/OSF/documents/cafr16.pdf</t>
  </si>
  <si>
    <t>http://obm.ohio.gov/stateaccounting/financialreporting/doc/cafr/2016/cafr_2016.pdf</t>
  </si>
  <si>
    <t>http://www.oregon.gov/das/Financial/Acctng/Documents/2016_CAFR.pdf</t>
  </si>
  <si>
    <t>http://www.budget.pa.gov/PublicationsAndReports/AnnualFinancialReport/Documents/2016/june-30-2016-cafr.pdf</t>
  </si>
  <si>
    <t>http://controller.admin.ri.gov/documents/Financial%20Reports//118_Comprehensive%20Annual%20Financial%20Report_06-30-2016.pdf</t>
  </si>
  <si>
    <t>http://www.cg.sc.gov/publicationsandreports/Documents/Comprehensive%20Annaul%20Financial%20Report/Sections/FY2016/CompleteCAFRFY16before503b_edited.pdf</t>
  </si>
  <si>
    <t>https://bfm.sd.gov/cafr/SD_CAFR_2016.PDF#view=fit</t>
  </si>
  <si>
    <t>http://www.tennessee.gov/assets/entities/finance/accounts/attachments/cafr_fy16.pdf</t>
  </si>
  <si>
    <t>https://comptroller.texas.gov/transparency/reports/comprehensive-annual-financial/2016/</t>
  </si>
  <si>
    <t>http://apps.finance.utah.gov/nxt/gateway.dll?f=templates&amp;fn=default.htm&amp;vid=nxtpub:cafr</t>
  </si>
  <si>
    <t>http://finance.vermont.gov/sites/finance/files/documents/Rpts_Pubs/CAFR/FIN-2016_CAFR_FINAL.pdf</t>
  </si>
  <si>
    <t>http://www.doa.virginia.gov/reports/CAFR/2016/2016CAFR.pdf</t>
  </si>
  <si>
    <t>http://www.ofm.wa.gov/cafr/2016/CAFR16.pdf</t>
  </si>
  <si>
    <t>http://www.finance.wv.gov/FARS/CAFR/Documents/CAFR2016.pdf</t>
  </si>
  <si>
    <t>http://www.doa.state.wi.us/Documents/DEBF/Financial%20Reporting/CAFR/CAFR2016%20Links.pdf</t>
  </si>
  <si>
    <t>https://drive.google.com/file/d/0B78Yf4yTSYVYcWtQazExOEhUazQ/view</t>
  </si>
  <si>
    <t>Connecticut</t>
  </si>
  <si>
    <t>California</t>
  </si>
  <si>
    <t>Arizona</t>
  </si>
  <si>
    <t>Colorado</t>
  </si>
  <si>
    <t>Delaware</t>
  </si>
  <si>
    <t>Georgia</t>
  </si>
  <si>
    <t>Arkansas</t>
  </si>
  <si>
    <t>Hawaii</t>
  </si>
  <si>
    <t>Alabama</t>
  </si>
  <si>
    <t xml:space="preserve">Florida </t>
  </si>
  <si>
    <t>Alaska</t>
  </si>
  <si>
    <t>Cash rank</t>
  </si>
  <si>
    <t>LR rank</t>
  </si>
  <si>
    <t>Budget rank</t>
  </si>
  <si>
    <t>Service lvl. Rank</t>
  </si>
  <si>
    <t>Trust rank</t>
  </si>
  <si>
    <t>Overal fiscal condition rank</t>
  </si>
  <si>
    <t>https://www.sco.ca.gov/Files-ARD/CAFR/cafr16web.pdf</t>
  </si>
  <si>
    <t>http://comptroller.alabama.gov/pdfs/CAFR/CAFR%202016.Alabama.pdf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</si>
</sst>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0000"/>
    <numFmt numFmtId="166" formatCode="_(&quot;$&quot;* #,##0_);_(&quot;$&quot;* \(#,##0\);_(&quot;$&quot;* &quot;-&quot;??_);_(@_)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Verdana"/>
      <family val="2"/>
    </font>
    <font>
      <b/>
      <sz val="9"/>
      <color indexed="81"/>
      <name val="Verdana"/>
      <family val="2"/>
    </font>
    <font>
      <sz val="9"/>
      <color indexed="81"/>
      <name val="Verdan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333333"/>
      <name val="Segoe UI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121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1" fillId="0" borderId="0"/>
  </cellStyleXfs>
  <cellXfs count="100">
    <xf numFmtId="0" fontId="0" fillId="0" borderId="0" xfId="0"/>
    <xf numFmtId="0" fontId="0" fillId="2" borderId="0" xfId="0" applyFill="1"/>
    <xf numFmtId="1" fontId="0" fillId="2" borderId="0" xfId="0" applyNumberFormat="1" applyFill="1"/>
    <xf numFmtId="1" fontId="0" fillId="3" borderId="0" xfId="0" applyNumberFormat="1" applyFill="1"/>
    <xf numFmtId="1" fontId="0" fillId="3" borderId="0" xfId="0" applyNumberFormat="1" applyFill="1" applyBorder="1"/>
    <xf numFmtId="0" fontId="0" fillId="0" borderId="0" xfId="0" applyBorder="1"/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0" borderId="0" xfId="0" applyFill="1" applyBorder="1"/>
    <xf numFmtId="0" fontId="0" fillId="3" borderId="0" xfId="0" applyFill="1"/>
    <xf numFmtId="0" fontId="0" fillId="6" borderId="0" xfId="0" applyFill="1"/>
    <xf numFmtId="164" fontId="0" fillId="0" borderId="0" xfId="1" applyNumberFormat="1" applyFont="1" applyFill="1"/>
    <xf numFmtId="37" fontId="0" fillId="0" borderId="0" xfId="1" applyNumberFormat="1" applyFont="1" applyFill="1"/>
    <xf numFmtId="2" fontId="0" fillId="0" borderId="0" xfId="0" applyNumberFormat="1" applyBorder="1"/>
    <xf numFmtId="2" fontId="0" fillId="0" borderId="0" xfId="0" applyNumberFormat="1"/>
    <xf numFmtId="43" fontId="0" fillId="0" borderId="0" xfId="1" applyFont="1"/>
    <xf numFmtId="0" fontId="0" fillId="0" borderId="1" xfId="0" applyFill="1" applyBorder="1"/>
    <xf numFmtId="43" fontId="0" fillId="0" borderId="1" xfId="1" applyFont="1" applyFill="1" applyBorder="1"/>
    <xf numFmtId="43" fontId="0" fillId="0" borderId="0" xfId="1" applyFont="1" applyFill="1" applyBorder="1"/>
    <xf numFmtId="43" fontId="0" fillId="0" borderId="2" xfId="1" applyFont="1" applyFill="1" applyBorder="1"/>
    <xf numFmtId="43" fontId="0" fillId="0" borderId="1" xfId="1" applyFont="1" applyBorder="1"/>
    <xf numFmtId="1" fontId="0" fillId="0" borderId="0" xfId="0" applyNumberFormat="1"/>
    <xf numFmtId="1" fontId="0" fillId="0" borderId="0" xfId="0" applyNumberFormat="1" applyFill="1"/>
    <xf numFmtId="0" fontId="0" fillId="7" borderId="0" xfId="0" applyFill="1"/>
    <xf numFmtId="0" fontId="0" fillId="7" borderId="0" xfId="0" applyFill="1" applyAlignment="1"/>
    <xf numFmtId="0" fontId="2" fillId="7" borderId="0" xfId="0" applyFont="1" applyFill="1" applyAlignment="1"/>
    <xf numFmtId="0" fontId="2" fillId="0" borderId="0" xfId="0" applyFont="1" applyFill="1"/>
    <xf numFmtId="2" fontId="0" fillId="0" borderId="0" xfId="0" applyNumberFormat="1" applyFill="1"/>
    <xf numFmtId="0" fontId="0" fillId="8" borderId="0" xfId="0" applyFill="1"/>
    <xf numFmtId="0" fontId="0" fillId="0" borderId="0" xfId="0" applyAlignment="1">
      <alignment wrapText="1"/>
    </xf>
    <xf numFmtId="1" fontId="0" fillId="3" borderId="0" xfId="0" applyNumberFormat="1" applyFill="1" applyBorder="1" applyAlignment="1">
      <alignment wrapText="1"/>
    </xf>
    <xf numFmtId="0" fontId="0" fillId="0" borderId="0" xfId="0" applyFont="1" applyFill="1"/>
    <xf numFmtId="0" fontId="0" fillId="9" borderId="0" xfId="0" applyFill="1" applyAlignment="1"/>
    <xf numFmtId="0" fontId="0" fillId="10" borderId="0" xfId="0" applyFill="1" applyAlignment="1">
      <alignment wrapText="1"/>
    </xf>
    <xf numFmtId="2" fontId="0" fillId="0" borderId="2" xfId="0" applyNumberFormat="1" applyBorder="1"/>
    <xf numFmtId="0" fontId="0" fillId="0" borderId="2" xfId="0" applyBorder="1"/>
    <xf numFmtId="0" fontId="0" fillId="0" borderId="0" xfId="0" applyFont="1" applyFill="1" applyBorder="1"/>
    <xf numFmtId="0" fontId="0" fillId="0" borderId="2" xfId="0" applyFont="1" applyFill="1" applyBorder="1"/>
    <xf numFmtId="3" fontId="0" fillId="0" borderId="0" xfId="0" applyNumberFormat="1" applyFill="1" applyAlignment="1"/>
    <xf numFmtId="5" fontId="0" fillId="0" borderId="0" xfId="0" applyNumberFormat="1" applyBorder="1"/>
    <xf numFmtId="2" fontId="0" fillId="0" borderId="0" xfId="0" applyNumberFormat="1" applyFill="1" applyBorder="1"/>
    <xf numFmtId="44" fontId="0" fillId="0" borderId="0" xfId="0" applyNumberFormat="1" applyBorder="1"/>
    <xf numFmtId="164" fontId="0" fillId="0" borderId="0" xfId="1" applyNumberFormat="1" applyFon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Fill="1" applyAlignment="1">
      <alignment horizontal="right"/>
    </xf>
    <xf numFmtId="0" fontId="10" fillId="0" borderId="0" xfId="0" applyFont="1" applyAlignment="1">
      <alignment horizontal="left" vertical="top" wrapText="1"/>
    </xf>
    <xf numFmtId="0" fontId="10" fillId="0" borderId="0" xfId="0" applyFont="1" applyAlignment="1">
      <alignment vertical="top" wrapText="1"/>
    </xf>
    <xf numFmtId="37" fontId="2" fillId="0" borderId="2" xfId="1" applyNumberFormat="1" applyFont="1" applyFill="1" applyBorder="1"/>
    <xf numFmtId="164" fontId="0" fillId="0" borderId="0" xfId="0" applyNumberFormat="1"/>
    <xf numFmtId="0" fontId="11" fillId="0" borderId="0" xfId="120"/>
    <xf numFmtId="43" fontId="0" fillId="0" borderId="0" xfId="1" applyFont="1" applyFill="1"/>
    <xf numFmtId="0" fontId="0" fillId="0" borderId="0" xfId="0" applyAlignment="1">
      <alignment horizontal="right"/>
    </xf>
    <xf numFmtId="0" fontId="0" fillId="0" borderId="2" xfId="0" applyFill="1" applyBorder="1"/>
    <xf numFmtId="2" fontId="0" fillId="0" borderId="2" xfId="0" applyNumberFormat="1" applyFill="1" applyBorder="1"/>
    <xf numFmtId="164" fontId="0" fillId="0" borderId="0" xfId="1" applyNumberFormat="1" applyFont="1" applyBorder="1" applyAlignment="1">
      <alignment horizontal="right"/>
    </xf>
    <xf numFmtId="0" fontId="0" fillId="0" borderId="2" xfId="0" applyFill="1" applyBorder="1" applyAlignment="1">
      <alignment horizontal="right"/>
    </xf>
    <xf numFmtId="43" fontId="0" fillId="0" borderId="0" xfId="0" applyNumberFormat="1"/>
    <xf numFmtId="0" fontId="0" fillId="11" borderId="0" xfId="0" applyFill="1"/>
    <xf numFmtId="164" fontId="0" fillId="0" borderId="0" xfId="1" applyNumberFormat="1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1" fontId="0" fillId="3" borderId="5" xfId="0" applyNumberFormat="1" applyFill="1" applyBorder="1"/>
    <xf numFmtId="0" fontId="8" fillId="0" borderId="0" xfId="119" applyFill="1"/>
    <xf numFmtId="164" fontId="2" fillId="0" borderId="0" xfId="1" applyNumberFormat="1" applyFont="1" applyFill="1"/>
    <xf numFmtId="37" fontId="2" fillId="0" borderId="0" xfId="1" applyNumberFormat="1" applyFont="1" applyFill="1"/>
    <xf numFmtId="3" fontId="0" fillId="0" borderId="0" xfId="0" applyNumberFormat="1" applyFill="1"/>
    <xf numFmtId="164" fontId="2" fillId="0" borderId="0" xfId="1" applyNumberFormat="1" applyFont="1" applyFill="1" applyBorder="1"/>
    <xf numFmtId="164" fontId="0" fillId="0" borderId="0" xfId="1" applyNumberFormat="1" applyFont="1" applyFill="1" applyAlignment="1">
      <alignment horizontal="right"/>
    </xf>
    <xf numFmtId="164" fontId="2" fillId="0" borderId="2" xfId="1" applyNumberFormat="1" applyFont="1" applyFill="1" applyBorder="1"/>
    <xf numFmtId="164" fontId="0" fillId="0" borderId="2" xfId="1" applyNumberFormat="1" applyFont="1" applyFill="1" applyBorder="1"/>
    <xf numFmtId="3" fontId="0" fillId="0" borderId="2" xfId="0" applyNumberFormat="1" applyFill="1" applyBorder="1"/>
    <xf numFmtId="0" fontId="0" fillId="12" borderId="0" xfId="0" applyFill="1"/>
    <xf numFmtId="0" fontId="8" fillId="0" borderId="0" xfId="119" applyFill="1" applyAlignment="1"/>
    <xf numFmtId="0" fontId="0" fillId="12" borderId="2" xfId="0" applyFill="1" applyBorder="1"/>
    <xf numFmtId="0" fontId="0" fillId="0" borderId="0" xfId="0" applyFont="1"/>
    <xf numFmtId="0" fontId="0" fillId="0" borderId="0" xfId="0" applyFont="1" applyAlignment="1"/>
    <xf numFmtId="164" fontId="1" fillId="0" borderId="0" xfId="1" applyNumberFormat="1" applyFont="1" applyFill="1"/>
    <xf numFmtId="3" fontId="0" fillId="0" borderId="0" xfId="1" applyNumberFormat="1" applyFont="1" applyFill="1"/>
    <xf numFmtId="164" fontId="0" fillId="0" borderId="0" xfId="0" applyNumberFormat="1" applyFill="1"/>
    <xf numFmtId="37" fontId="0" fillId="0" borderId="5" xfId="1" applyNumberFormat="1" applyFont="1" applyFill="1" applyBorder="1"/>
    <xf numFmtId="37" fontId="2" fillId="0" borderId="5" xfId="1" applyNumberFormat="1" applyFont="1" applyFill="1" applyBorder="1"/>
    <xf numFmtId="37" fontId="2" fillId="0" borderId="4" xfId="1" applyNumberFormat="1" applyFont="1" applyFill="1" applyBorder="1"/>
    <xf numFmtId="165" fontId="0" fillId="0" borderId="0" xfId="0" applyNumberFormat="1" applyBorder="1"/>
    <xf numFmtId="0" fontId="0" fillId="0" borderId="0" xfId="0" applyBorder="1" applyAlignment="1">
      <alignment wrapText="1"/>
    </xf>
    <xf numFmtId="2" fontId="0" fillId="3" borderId="3" xfId="0" applyNumberFormat="1" applyFill="1" applyBorder="1" applyProtection="1">
      <protection locked="0"/>
    </xf>
    <xf numFmtId="2" fontId="0" fillId="3" borderId="7" xfId="0" applyNumberFormat="1" applyFill="1" applyBorder="1" applyProtection="1">
      <protection locked="0"/>
    </xf>
    <xf numFmtId="166" fontId="0" fillId="0" borderId="0" xfId="0" applyNumberFormat="1" applyFill="1" applyBorder="1"/>
    <xf numFmtId="1" fontId="0" fillId="0" borderId="0" xfId="0" applyNumberFormat="1" applyFill="1" applyBorder="1"/>
    <xf numFmtId="2" fontId="7" fillId="0" borderId="0" xfId="0" applyNumberFormat="1" applyFont="1" applyFill="1" applyBorder="1"/>
    <xf numFmtId="3" fontId="0" fillId="0" borderId="6" xfId="0" applyNumberFormat="1" applyFont="1" applyFill="1" applyBorder="1"/>
    <xf numFmtId="166" fontId="0" fillId="0" borderId="2" xfId="0" applyNumberFormat="1" applyFill="1" applyBorder="1"/>
    <xf numFmtId="1" fontId="0" fillId="0" borderId="2" xfId="0" applyNumberFormat="1" applyFill="1" applyBorder="1"/>
    <xf numFmtId="2" fontId="7" fillId="0" borderId="2" xfId="0" applyNumberFormat="1" applyFont="1" applyFill="1" applyBorder="1"/>
    <xf numFmtId="0" fontId="8" fillId="3" borderId="0" xfId="119" applyFill="1" applyBorder="1"/>
    <xf numFmtId="1" fontId="8" fillId="3" borderId="9" xfId="119" applyNumberFormat="1" applyFill="1" applyBorder="1"/>
    <xf numFmtId="166" fontId="0" fillId="0" borderId="9" xfId="0" applyNumberFormat="1" applyFill="1" applyBorder="1"/>
    <xf numFmtId="166" fontId="0" fillId="0" borderId="8" xfId="0" applyNumberFormat="1" applyFill="1" applyBorder="1"/>
    <xf numFmtId="43" fontId="0" fillId="0" borderId="0" xfId="0" applyNumberFormat="1" applyFill="1"/>
    <xf numFmtId="0" fontId="12" fillId="0" borderId="0" xfId="0" applyFont="1" applyFill="1"/>
    <xf numFmtId="2" fontId="12" fillId="0" borderId="0" xfId="0" applyNumberFormat="1" applyFont="1" applyFill="1"/>
  </cellXfs>
  <cellStyles count="121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119" builtinId="8"/>
    <cellStyle name="Normal" xfId="0" builtinId="0"/>
    <cellStyle name="Normal 2" xfId="12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</a:t>
            </a:r>
            <a:r>
              <a:rPr lang="en-US" baseline="0"/>
              <a:t> Ratio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4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733-422C-A476-0EE5918C15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'cash outliers'!$A$2:$A$51</c:f>
              <c:strCache>
                <c:ptCount val="50"/>
                <c:pt idx="0">
                  <c:v>Connecticut</c:v>
                </c:pt>
                <c:pt idx="1">
                  <c:v>Massachusetts</c:v>
                </c:pt>
                <c:pt idx="2">
                  <c:v>Illinois</c:v>
                </c:pt>
                <c:pt idx="3">
                  <c:v>Maine</c:v>
                </c:pt>
                <c:pt idx="4">
                  <c:v>Pennsylvania</c:v>
                </c:pt>
                <c:pt idx="5">
                  <c:v>New York</c:v>
                </c:pt>
                <c:pt idx="6">
                  <c:v>Maryland</c:v>
                </c:pt>
                <c:pt idx="7">
                  <c:v>New Hampshire</c:v>
                </c:pt>
                <c:pt idx="8">
                  <c:v>Kansas</c:v>
                </c:pt>
                <c:pt idx="9">
                  <c:v>California</c:v>
                </c:pt>
                <c:pt idx="10">
                  <c:v>Kentucky</c:v>
                </c:pt>
                <c:pt idx="11">
                  <c:v>Arizona</c:v>
                </c:pt>
                <c:pt idx="12">
                  <c:v>Wisconsin</c:v>
                </c:pt>
                <c:pt idx="13">
                  <c:v>New Jersey</c:v>
                </c:pt>
                <c:pt idx="14">
                  <c:v>Michigan</c:v>
                </c:pt>
                <c:pt idx="15">
                  <c:v>Rhode Island</c:v>
                </c:pt>
                <c:pt idx="16">
                  <c:v>Louisiana</c:v>
                </c:pt>
                <c:pt idx="17">
                  <c:v>West Virginia</c:v>
                </c:pt>
                <c:pt idx="18">
                  <c:v>Texas</c:v>
                </c:pt>
                <c:pt idx="19">
                  <c:v>Colorado</c:v>
                </c:pt>
                <c:pt idx="20">
                  <c:v>Washington</c:v>
                </c:pt>
                <c:pt idx="21">
                  <c:v>Delaware</c:v>
                </c:pt>
                <c:pt idx="22">
                  <c:v>Indiana</c:v>
                </c:pt>
                <c:pt idx="23">
                  <c:v>Iowa</c:v>
                </c:pt>
                <c:pt idx="24">
                  <c:v>Nevada</c:v>
                </c:pt>
                <c:pt idx="25">
                  <c:v>Virginia</c:v>
                </c:pt>
                <c:pt idx="26">
                  <c:v>Utah</c:v>
                </c:pt>
                <c:pt idx="27">
                  <c:v>Vermont</c:v>
                </c:pt>
                <c:pt idx="28">
                  <c:v>North Carolina</c:v>
                </c:pt>
                <c:pt idx="29">
                  <c:v>South Carolina</c:v>
                </c:pt>
                <c:pt idx="30">
                  <c:v>Missouri</c:v>
                </c:pt>
                <c:pt idx="31">
                  <c:v>New Mexico</c:v>
                </c:pt>
                <c:pt idx="32">
                  <c:v>Oklahoma</c:v>
                </c:pt>
                <c:pt idx="33">
                  <c:v>Georgia</c:v>
                </c:pt>
                <c:pt idx="34">
                  <c:v>Mississippi</c:v>
                </c:pt>
                <c:pt idx="35">
                  <c:v>Hawaii</c:v>
                </c:pt>
                <c:pt idx="36">
                  <c:v>Minnesota</c:v>
                </c:pt>
                <c:pt idx="37">
                  <c:v>Oregon</c:v>
                </c:pt>
                <c:pt idx="38">
                  <c:v>Nebraska</c:v>
                </c:pt>
                <c:pt idx="39">
                  <c:v>Tennessee</c:v>
                </c:pt>
                <c:pt idx="40">
                  <c:v>Arkansas</c:v>
                </c:pt>
                <c:pt idx="41">
                  <c:v>North Dakota</c:v>
                </c:pt>
                <c:pt idx="42">
                  <c:v>Ohio</c:v>
                </c:pt>
                <c:pt idx="43">
                  <c:v>Idaho</c:v>
                </c:pt>
                <c:pt idx="44">
                  <c:v>Alabama</c:v>
                </c:pt>
                <c:pt idx="45">
                  <c:v>Montana</c:v>
                </c:pt>
                <c:pt idx="46">
                  <c:v>South Dakota</c:v>
                </c:pt>
                <c:pt idx="47">
                  <c:v>Florida </c:v>
                </c:pt>
                <c:pt idx="48">
                  <c:v>Wyoming</c:v>
                </c:pt>
                <c:pt idx="49">
                  <c:v>Alaska</c:v>
                </c:pt>
              </c:strCache>
            </c:strRef>
          </c:xVal>
          <c:yVal>
            <c:numRef>
              <c:f>'cash outliers'!$B$2:$B$51</c:f>
              <c:numCache>
                <c:formatCode>0.00</c:formatCode>
                <c:ptCount val="50"/>
                <c:pt idx="0">
                  <c:v>0.42054752414552299</c:v>
                </c:pt>
                <c:pt idx="1">
                  <c:v>0.48263502715411682</c:v>
                </c:pt>
                <c:pt idx="2">
                  <c:v>0.55128067945488701</c:v>
                </c:pt>
                <c:pt idx="3">
                  <c:v>0.65373044935423585</c:v>
                </c:pt>
                <c:pt idx="4">
                  <c:v>0.68892823981488727</c:v>
                </c:pt>
                <c:pt idx="5">
                  <c:v>0.70585277273362201</c:v>
                </c:pt>
                <c:pt idx="6">
                  <c:v>0.74898007355480767</c:v>
                </c:pt>
                <c:pt idx="7">
                  <c:v>0.75072692139587316</c:v>
                </c:pt>
                <c:pt idx="8">
                  <c:v>0.79951696438520758</c:v>
                </c:pt>
                <c:pt idx="9">
                  <c:v>0.82410858896909511</c:v>
                </c:pt>
                <c:pt idx="10">
                  <c:v>0.87223826541951355</c:v>
                </c:pt>
                <c:pt idx="11">
                  <c:v>0.87672783245615615</c:v>
                </c:pt>
                <c:pt idx="12">
                  <c:v>0.88569576983335707</c:v>
                </c:pt>
                <c:pt idx="13">
                  <c:v>0.93370240445022423</c:v>
                </c:pt>
                <c:pt idx="14">
                  <c:v>1.0386444930390921</c:v>
                </c:pt>
                <c:pt idx="15">
                  <c:v>1.1312474319993426</c:v>
                </c:pt>
                <c:pt idx="16">
                  <c:v>1.2731100305621981</c:v>
                </c:pt>
                <c:pt idx="17">
                  <c:v>1.2743179806043432</c:v>
                </c:pt>
                <c:pt idx="18">
                  <c:v>1.282263507430331</c:v>
                </c:pt>
                <c:pt idx="19">
                  <c:v>1.3214773030757831</c:v>
                </c:pt>
                <c:pt idx="20">
                  <c:v>1.3312907898529163</c:v>
                </c:pt>
                <c:pt idx="21">
                  <c:v>1.3416957861030281</c:v>
                </c:pt>
                <c:pt idx="22">
                  <c:v>1.3695296805733379</c:v>
                </c:pt>
                <c:pt idx="23">
                  <c:v>1.3905377880925396</c:v>
                </c:pt>
                <c:pt idx="24">
                  <c:v>1.462966163381193</c:v>
                </c:pt>
                <c:pt idx="25">
                  <c:v>1.5459914903708027</c:v>
                </c:pt>
                <c:pt idx="26">
                  <c:v>1.609244931121687</c:v>
                </c:pt>
                <c:pt idx="27">
                  <c:v>1.6199966652563218</c:v>
                </c:pt>
                <c:pt idx="28">
                  <c:v>1.6685956981424916</c:v>
                </c:pt>
                <c:pt idx="29">
                  <c:v>1.9023951862888691</c:v>
                </c:pt>
                <c:pt idx="30">
                  <c:v>1.9693269861126734</c:v>
                </c:pt>
                <c:pt idx="31">
                  <c:v>2.0080669743543345</c:v>
                </c:pt>
                <c:pt idx="32">
                  <c:v>2.0637518175708029</c:v>
                </c:pt>
                <c:pt idx="33">
                  <c:v>2.1334718209023982</c:v>
                </c:pt>
                <c:pt idx="34">
                  <c:v>2.1351479206256427</c:v>
                </c:pt>
                <c:pt idx="35">
                  <c:v>2.2155235545447987</c:v>
                </c:pt>
                <c:pt idx="36">
                  <c:v>2.3172656511214025</c:v>
                </c:pt>
                <c:pt idx="37">
                  <c:v>2.6972725258808952</c:v>
                </c:pt>
                <c:pt idx="38">
                  <c:v>2.9481161058176317</c:v>
                </c:pt>
                <c:pt idx="39">
                  <c:v>3.0286651632196548</c:v>
                </c:pt>
                <c:pt idx="40">
                  <c:v>3.1674485766711262</c:v>
                </c:pt>
                <c:pt idx="41">
                  <c:v>3.2278426672750751</c:v>
                </c:pt>
                <c:pt idx="42">
                  <c:v>3.4308784206789262</c:v>
                </c:pt>
                <c:pt idx="43">
                  <c:v>3.5700397925099834</c:v>
                </c:pt>
                <c:pt idx="44">
                  <c:v>3.6637176245472562</c:v>
                </c:pt>
                <c:pt idx="45">
                  <c:v>3.9752676628892178</c:v>
                </c:pt>
                <c:pt idx="46">
                  <c:v>4.7584533124617581</c:v>
                </c:pt>
                <c:pt idx="47">
                  <c:v>4.8029367142449342</c:v>
                </c:pt>
                <c:pt idx="48">
                  <c:v>7.1988955427234336</c:v>
                </c:pt>
                <c:pt idx="49">
                  <c:v>17.073011489391259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33-422C-A476-0EE5918C1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928784"/>
        <c:axId val="339929344"/>
      </c:scatterChart>
      <c:valAx>
        <c:axId val="33992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929344"/>
        <c:crosses val="autoZero"/>
        <c:crossBetween val="midCat"/>
      </c:valAx>
      <c:valAx>
        <c:axId val="33992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92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</a:t>
            </a:r>
            <a:r>
              <a:rPr lang="en-US" baseline="0"/>
              <a:t> Ratio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4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399-4B99-A346-56A556D1E6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'cash outliers'!$G$2:$G$51</c:f>
              <c:numCache>
                <c:formatCode>0.00</c:formatCode>
                <c:ptCount val="50"/>
                <c:pt idx="0">
                  <c:v>0.91653359231151732</c:v>
                </c:pt>
                <c:pt idx="1">
                  <c:v>0.99861883140826846</c:v>
                </c:pt>
                <c:pt idx="2">
                  <c:v>1.0840988229101636</c:v>
                </c:pt>
                <c:pt idx="3">
                  <c:v>1.1055373169188329</c:v>
                </c:pt>
                <c:pt idx="4">
                  <c:v>1.1354580034777342</c:v>
                </c:pt>
                <c:pt idx="5">
                  <c:v>1.1925859568394712</c:v>
                </c:pt>
                <c:pt idx="6">
                  <c:v>1.3008653575709912</c:v>
                </c:pt>
                <c:pt idx="7">
                  <c:v>1.4628223413310022</c:v>
                </c:pt>
                <c:pt idx="8">
                  <c:v>1.5104064813521441</c:v>
                </c:pt>
                <c:pt idx="9">
                  <c:v>1.5229917954588819</c:v>
                </c:pt>
                <c:pt idx="10">
                  <c:v>1.5358485641274913</c:v>
                </c:pt>
                <c:pt idx="11">
                  <c:v>1.5955148576198996</c:v>
                </c:pt>
                <c:pt idx="12">
                  <c:v>1.597738404965044</c:v>
                </c:pt>
                <c:pt idx="13">
                  <c:v>1.7254003489045657</c:v>
                </c:pt>
                <c:pt idx="14">
                  <c:v>1.7353914447134786</c:v>
                </c:pt>
                <c:pt idx="15">
                  <c:v>1.759024630096935</c:v>
                </c:pt>
                <c:pt idx="16">
                  <c:v>1.8419360670556331</c:v>
                </c:pt>
                <c:pt idx="17">
                  <c:v>1.9299342018649543</c:v>
                </c:pt>
                <c:pt idx="18">
                  <c:v>1.9539245796452096</c:v>
                </c:pt>
                <c:pt idx="19">
                  <c:v>2.0081150134489922</c:v>
                </c:pt>
                <c:pt idx="20">
                  <c:v>2.0491825939664832</c:v>
                </c:pt>
                <c:pt idx="21">
                  <c:v>2.0596325317898057</c:v>
                </c:pt>
                <c:pt idx="22">
                  <c:v>2.2250235998558927</c:v>
                </c:pt>
                <c:pt idx="23">
                  <c:v>2.3632789787004089</c:v>
                </c:pt>
                <c:pt idx="24">
                  <c:v>2.4387603798417898</c:v>
                </c:pt>
                <c:pt idx="25">
                  <c:v>2.458651673864094</c:v>
                </c:pt>
                <c:pt idx="26">
                  <c:v>2.4814038947005583</c:v>
                </c:pt>
                <c:pt idx="27">
                  <c:v>2.5315236472780915</c:v>
                </c:pt>
                <c:pt idx="28">
                  <c:v>2.5508137884984561</c:v>
                </c:pt>
                <c:pt idx="29">
                  <c:v>2.5522951943485199</c:v>
                </c:pt>
                <c:pt idx="30">
                  <c:v>2.558734571741347</c:v>
                </c:pt>
                <c:pt idx="31">
                  <c:v>2.6547971037318612</c:v>
                </c:pt>
                <c:pt idx="32">
                  <c:v>2.765514432276706</c:v>
                </c:pt>
                <c:pt idx="33">
                  <c:v>2.9903864705795344</c:v>
                </c:pt>
                <c:pt idx="34">
                  <c:v>3.1318611938579588</c:v>
                </c:pt>
                <c:pt idx="35">
                  <c:v>3.2494897477245277</c:v>
                </c:pt>
                <c:pt idx="36">
                  <c:v>3.650872034370817</c:v>
                </c:pt>
                <c:pt idx="37">
                  <c:v>3.6839838987279601</c:v>
                </c:pt>
                <c:pt idx="38">
                  <c:v>3.8584627475432409</c:v>
                </c:pt>
                <c:pt idx="39">
                  <c:v>3.8631176525049367</c:v>
                </c:pt>
                <c:pt idx="40">
                  <c:v>4.0481792828230958</c:v>
                </c:pt>
                <c:pt idx="41">
                  <c:v>4.1172444057934188</c:v>
                </c:pt>
                <c:pt idx="42">
                  <c:v>4.2272151985238846</c:v>
                </c:pt>
                <c:pt idx="43">
                  <c:v>4.3600581016891669</c:v>
                </c:pt>
                <c:pt idx="44">
                  <c:v>4.5910634756795519</c:v>
                </c:pt>
                <c:pt idx="45">
                  <c:v>4.8205553283814506</c:v>
                </c:pt>
                <c:pt idx="46">
                  <c:v>5.7952313246992126</c:v>
                </c:pt>
                <c:pt idx="47">
                  <c:v>6.6295180006529577</c:v>
                </c:pt>
                <c:pt idx="48">
                  <c:v>7.5927409915010653</c:v>
                </c:pt>
                <c:pt idx="49">
                  <c:v>17.377246070769175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99-4B99-A346-56A556D1E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007360"/>
        <c:axId val="351007920"/>
      </c:scatterChart>
      <c:valAx>
        <c:axId val="35100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007920"/>
        <c:crosses val="autoZero"/>
        <c:crossBetween val="midCat"/>
      </c:valAx>
      <c:valAx>
        <c:axId val="35100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00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4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3B6-484B-8D30-E28152E8103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'cash outliers'!$L$2:$L$51</c:f>
              <c:numCache>
                <c:formatCode>0.00</c:formatCode>
                <c:ptCount val="50"/>
                <c:pt idx="0">
                  <c:v>1.0465068208022437</c:v>
                </c:pt>
                <c:pt idx="1">
                  <c:v>1.134754492161973</c:v>
                </c:pt>
                <c:pt idx="2">
                  <c:v>1.1578763300445158</c:v>
                </c:pt>
                <c:pt idx="3">
                  <c:v>1.3884657041884001</c:v>
                </c:pt>
                <c:pt idx="4">
                  <c:v>1.4034605261686159</c:v>
                </c:pt>
                <c:pt idx="5">
                  <c:v>1.5243749126973041</c:v>
                </c:pt>
                <c:pt idx="6">
                  <c:v>1.6194802473682206</c:v>
                </c:pt>
                <c:pt idx="7">
                  <c:v>1.6199439930621164</c:v>
                </c:pt>
                <c:pt idx="8">
                  <c:v>1.7547225003281293</c:v>
                </c:pt>
                <c:pt idx="9">
                  <c:v>1.7548191589620405</c:v>
                </c:pt>
                <c:pt idx="10">
                  <c:v>1.7595412571808384</c:v>
                </c:pt>
                <c:pt idx="11">
                  <c:v>1.7811101101948026</c:v>
                </c:pt>
                <c:pt idx="12">
                  <c:v>1.9793969841598382</c:v>
                </c:pt>
                <c:pt idx="13">
                  <c:v>2.0178206919220973</c:v>
                </c:pt>
                <c:pt idx="14">
                  <c:v>2.021968449538103</c:v>
                </c:pt>
                <c:pt idx="15">
                  <c:v>2.0912808477112099</c:v>
                </c:pt>
                <c:pt idx="16">
                  <c:v>2.1080605301465858</c:v>
                </c:pt>
                <c:pt idx="17">
                  <c:v>2.274670139820675</c:v>
                </c:pt>
                <c:pt idx="18">
                  <c:v>2.30619743616638</c:v>
                </c:pt>
                <c:pt idx="19">
                  <c:v>2.4448379534956604</c:v>
                </c:pt>
                <c:pt idx="20">
                  <c:v>2.4729850937021571</c:v>
                </c:pt>
                <c:pt idx="21">
                  <c:v>2.4751627656831654</c:v>
                </c:pt>
                <c:pt idx="22">
                  <c:v>2.4789270887063002</c:v>
                </c:pt>
                <c:pt idx="23">
                  <c:v>2.4989564763189525</c:v>
                </c:pt>
                <c:pt idx="24">
                  <c:v>2.5997061565469166</c:v>
                </c:pt>
                <c:pt idx="25">
                  <c:v>2.6650736473099954</c:v>
                </c:pt>
                <c:pt idx="26">
                  <c:v>2.6785957262016935</c:v>
                </c:pt>
                <c:pt idx="27">
                  <c:v>2.6916227870408602</c:v>
                </c:pt>
                <c:pt idx="28">
                  <c:v>2.7004983539470166</c:v>
                </c:pt>
                <c:pt idx="29">
                  <c:v>2.7210001189354616</c:v>
                </c:pt>
                <c:pt idx="30">
                  <c:v>2.7785227540241695</c:v>
                </c:pt>
                <c:pt idx="31">
                  <c:v>2.818368567550781</c:v>
                </c:pt>
                <c:pt idx="32">
                  <c:v>2.9124750198356293</c:v>
                </c:pt>
                <c:pt idx="33">
                  <c:v>3.0066748881653491</c:v>
                </c:pt>
                <c:pt idx="34">
                  <c:v>3.2449442296750726</c:v>
                </c:pt>
                <c:pt idx="35">
                  <c:v>3.4172384865720717</c:v>
                </c:pt>
                <c:pt idx="36">
                  <c:v>3.718818619228156</c:v>
                </c:pt>
                <c:pt idx="37">
                  <c:v>3.7489179571030107</c:v>
                </c:pt>
                <c:pt idx="38">
                  <c:v>3.9510453810331052</c:v>
                </c:pt>
                <c:pt idx="39">
                  <c:v>4.1384909254222988</c:v>
                </c:pt>
                <c:pt idx="40">
                  <c:v>4.1694156235088293</c:v>
                </c:pt>
                <c:pt idx="41">
                  <c:v>4.2000943568433415</c:v>
                </c:pt>
                <c:pt idx="42">
                  <c:v>4.6302796406484825</c:v>
                </c:pt>
                <c:pt idx="43">
                  <c:v>4.6605479580675651</c:v>
                </c:pt>
                <c:pt idx="44">
                  <c:v>4.886231121437846</c:v>
                </c:pt>
                <c:pt idx="45">
                  <c:v>5.2593147793113824</c:v>
                </c:pt>
                <c:pt idx="46">
                  <c:v>5.8057327635718616</c:v>
                </c:pt>
                <c:pt idx="47">
                  <c:v>6.7809565610331433</c:v>
                </c:pt>
                <c:pt idx="48">
                  <c:v>7.8099506475225597</c:v>
                </c:pt>
                <c:pt idx="49">
                  <c:v>17.922461381525956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B6-484B-8D30-E28152E81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010160"/>
        <c:axId val="352257056"/>
      </c:scatterChart>
      <c:valAx>
        <c:axId val="35101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257056"/>
        <c:crosses val="autoZero"/>
        <c:crossBetween val="midCat"/>
      </c:valAx>
      <c:valAx>
        <c:axId val="35225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01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71997</xdr:colOff>
      <xdr:row>52</xdr:row>
      <xdr:rowOff>11206</xdr:rowOff>
    </xdr:from>
    <xdr:to>
      <xdr:col>5</xdr:col>
      <xdr:colOff>806543</xdr:colOff>
      <xdr:row>65</xdr:row>
      <xdr:rowOff>155762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946897</xdr:colOff>
      <xdr:row>52</xdr:row>
      <xdr:rowOff>57150</xdr:rowOff>
    </xdr:from>
    <xdr:to>
      <xdr:col>10</xdr:col>
      <xdr:colOff>644338</xdr:colOff>
      <xdr:row>65</xdr:row>
      <xdr:rowOff>178174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789213</xdr:colOff>
      <xdr:row>52</xdr:row>
      <xdr:rowOff>84364</xdr:rowOff>
    </xdr:from>
    <xdr:to>
      <xdr:col>15</xdr:col>
      <xdr:colOff>435428</xdr:colOff>
      <xdr:row>65</xdr:row>
      <xdr:rowOff>174171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sco.idaho.gov/web/DSADoc.nsf/82AC9DED2BF6E1978725809600700F8F/$FILE/CAFR%20Complete.pdf" TargetMode="External"/><Relationship Id="rId18" Type="http://schemas.openxmlformats.org/officeDocument/2006/relationships/hyperlink" Target="https://finance.ky.gov/Office%20of%20the%20Controller/ControllerDocuments/2016%20CAFR.pdf" TargetMode="External"/><Relationship Id="rId26" Type="http://schemas.openxmlformats.org/officeDocument/2006/relationships/hyperlink" Target="https://oa.mo.gov/sites/default/files/CAFR_2016_0.pdf" TargetMode="External"/><Relationship Id="rId39" Type="http://schemas.openxmlformats.org/officeDocument/2006/relationships/hyperlink" Target="http://controller.admin.ri.gov/documents/Financial%20Reports/118_Comprehensive%20Annual%20Financial%20Report_06-30-2016.pdf" TargetMode="External"/><Relationship Id="rId21" Type="http://schemas.openxmlformats.org/officeDocument/2006/relationships/hyperlink" Target="http://finances.marylandtaxes.com/static_files/revenue/cafr/cafr2016.pdf" TargetMode="External"/><Relationship Id="rId34" Type="http://schemas.openxmlformats.org/officeDocument/2006/relationships/hyperlink" Target="https://www.nd.gov/omb/sites/omb/files/documents/agency/financial/cafr/2016-cafr-toc.pdf" TargetMode="External"/><Relationship Id="rId42" Type="http://schemas.openxmlformats.org/officeDocument/2006/relationships/hyperlink" Target="http://www.tennessee.gov/assets/entities/finance/accounts/attachments/cafr_fy16.pdf" TargetMode="External"/><Relationship Id="rId47" Type="http://schemas.openxmlformats.org/officeDocument/2006/relationships/hyperlink" Target="http://www.ofm.wa.gov/cafr/2016/CAFR16.pdf" TargetMode="External"/><Relationship Id="rId50" Type="http://schemas.openxmlformats.org/officeDocument/2006/relationships/hyperlink" Target="https://drive.google.com/file/d/0B78Yf4yTSYVYcWtQazExOEhUazQ/view" TargetMode="External"/><Relationship Id="rId7" Type="http://schemas.openxmlformats.org/officeDocument/2006/relationships/hyperlink" Target="https://www.colorado.gov/pacific/sites/default/files/CAFR16_1.pdf" TargetMode="External"/><Relationship Id="rId2" Type="http://schemas.openxmlformats.org/officeDocument/2006/relationships/hyperlink" Target="http://www.bea.gov/iTable/iTable.cfm?reqid=70&amp;step=1&amp;isuri=1&amp;acrdn=5" TargetMode="External"/><Relationship Id="rId16" Type="http://schemas.openxmlformats.org/officeDocument/2006/relationships/hyperlink" Target="https://das.iowa.gov/sites/default/files/acct_sae/cafr/fy16_cafr.pdf" TargetMode="External"/><Relationship Id="rId29" Type="http://schemas.openxmlformats.org/officeDocument/2006/relationships/hyperlink" Target="http://controller.nv.gov/FinancialReports/CAFR_pdf_files/FY16All.pdf" TargetMode="External"/><Relationship Id="rId11" Type="http://schemas.openxmlformats.org/officeDocument/2006/relationships/hyperlink" Target="https://sao.georgia.gov/sites/sao.georgia.gov/files/related_files/site_page/sao-16-cafr.pdf" TargetMode="External"/><Relationship Id="rId24" Type="http://schemas.openxmlformats.org/officeDocument/2006/relationships/hyperlink" Target="https://mn.gov/mmb/assets/2016-cafr-accessible_tcm1059-268792.pdf" TargetMode="External"/><Relationship Id="rId32" Type="http://schemas.openxmlformats.org/officeDocument/2006/relationships/hyperlink" Target="http://www.osc.state.ny.us/finance/finreports/cafr/2016cafr.pdf" TargetMode="External"/><Relationship Id="rId37" Type="http://schemas.openxmlformats.org/officeDocument/2006/relationships/hyperlink" Target="http://www.oregon.gov/das/Financial/Acctng/Documents/2016_CAFR.pdf" TargetMode="External"/><Relationship Id="rId40" Type="http://schemas.openxmlformats.org/officeDocument/2006/relationships/hyperlink" Target="http://www.cg.sc.gov/publicationsandreports/Documents/Comprehensive%20Annaul%20Financial%20Report/Sections/FY2016/CompleteCAFRFY16before503b_edited.pdf" TargetMode="External"/><Relationship Id="rId45" Type="http://schemas.openxmlformats.org/officeDocument/2006/relationships/hyperlink" Target="http://finance.vermont.gov/sites/finance/files/documents/Rpts_Pubs/CAFR/FIN-2016_CAFR_FINAL.pdf" TargetMode="External"/><Relationship Id="rId53" Type="http://schemas.openxmlformats.org/officeDocument/2006/relationships/comments" Target="../comments1.xml"/><Relationship Id="rId5" Type="http://schemas.openxmlformats.org/officeDocument/2006/relationships/hyperlink" Target="https://gao.az.gov/sites/default/files/16%20CAFR%206-08-17%20wosig.pdf" TargetMode="External"/><Relationship Id="rId10" Type="http://schemas.openxmlformats.org/officeDocument/2006/relationships/hyperlink" Target="http://www.myfloridacfo.com/Division/AA/Reports/documents/2016CAFR.pdf" TargetMode="External"/><Relationship Id="rId19" Type="http://schemas.openxmlformats.org/officeDocument/2006/relationships/hyperlink" Target="http://www.doa.la.gov/osrap/library/Publications/CAFR2016.pdf" TargetMode="External"/><Relationship Id="rId31" Type="http://schemas.openxmlformats.org/officeDocument/2006/relationships/hyperlink" Target="http://www.nmdfa.state.nm.us/uploads/files/FCD/State%20General%20Fund/Final%20Version%20341-A%20State%20of%20New%20Mexico%20CAFR.pdf" TargetMode="External"/><Relationship Id="rId44" Type="http://schemas.openxmlformats.org/officeDocument/2006/relationships/hyperlink" Target="http://apps.finance.utah.gov/nxt/gateway.dll?f=templates&amp;fn=default.htm&amp;vid=nxtpub:cafr" TargetMode="External"/><Relationship Id="rId52" Type="http://schemas.openxmlformats.org/officeDocument/2006/relationships/vmlDrawing" Target="../drawings/vmlDrawing1.vml"/><Relationship Id="rId4" Type="http://schemas.openxmlformats.org/officeDocument/2006/relationships/hyperlink" Target="http://doa.alaska.gov/dof/reports/resource/fy16/2016cafr.pdf" TargetMode="External"/><Relationship Id="rId9" Type="http://schemas.openxmlformats.org/officeDocument/2006/relationships/hyperlink" Target="http://accounting.delaware.gov/2016cafr.pdf" TargetMode="External"/><Relationship Id="rId14" Type="http://schemas.openxmlformats.org/officeDocument/2006/relationships/hyperlink" Target="http://illinoiscomptroller.gov/ioc-pdf/CAFR_2016.pdf" TargetMode="External"/><Relationship Id="rId22" Type="http://schemas.openxmlformats.org/officeDocument/2006/relationships/hyperlink" Target="http://www.mass.gov/comptroller/docs/reports-audits/cafr/2016-cafr.pdf" TargetMode="External"/><Relationship Id="rId27" Type="http://schemas.openxmlformats.org/officeDocument/2006/relationships/hyperlink" Target="http://sfsd.mt.gov/Portals/24/Final%20CAFR%20Web%20Version%20-%20Protected_1.pdf" TargetMode="External"/><Relationship Id="rId30" Type="http://schemas.openxmlformats.org/officeDocument/2006/relationships/hyperlink" Target="https://das.nh.gov/accounting/FY%2016/CAFR%20FY16.pdf" TargetMode="External"/><Relationship Id="rId35" Type="http://schemas.openxmlformats.org/officeDocument/2006/relationships/hyperlink" Target="http://obm.ohio.gov/stateaccounting/financialreporting/doc/cafr/2016/cafr_2016.pdf" TargetMode="External"/><Relationship Id="rId43" Type="http://schemas.openxmlformats.org/officeDocument/2006/relationships/hyperlink" Target="https://comptroller.texas.gov/transparency/reports/comprehensive-annual-financial/2016/" TargetMode="External"/><Relationship Id="rId48" Type="http://schemas.openxmlformats.org/officeDocument/2006/relationships/hyperlink" Target="http://www.finance.wv.gov/FARS/CAFR/Documents/CAFR2016.pdf" TargetMode="External"/><Relationship Id="rId8" Type="http://schemas.openxmlformats.org/officeDocument/2006/relationships/hyperlink" Target="http://www.osc.ct.gov/2016cafr/CAFR2016rev.pdf" TargetMode="External"/><Relationship Id="rId51" Type="http://schemas.openxmlformats.org/officeDocument/2006/relationships/printerSettings" Target="../printerSettings/printerSettings1.bin"/><Relationship Id="rId3" Type="http://schemas.openxmlformats.org/officeDocument/2006/relationships/hyperlink" Target="http://www.state.nj.us/treasury/omb/publications/16cafr/pdf/fullcafr.pdf" TargetMode="External"/><Relationship Id="rId12" Type="http://schemas.openxmlformats.org/officeDocument/2006/relationships/hyperlink" Target="https://ags.hawaii.gov/wp-content/uploads/2012/09/SOHCAFRFY2016Final.pdf" TargetMode="External"/><Relationship Id="rId17" Type="http://schemas.openxmlformats.org/officeDocument/2006/relationships/hyperlink" Target="http://admin.ks.gov/docs/default-source/cfo/cafr/2016-cafr.pdf?sfvrsn=12" TargetMode="External"/><Relationship Id="rId25" Type="http://schemas.openxmlformats.org/officeDocument/2006/relationships/hyperlink" Target="http://www.dfa.ms.gov/media/5221/2016-comprehensive-annual-financial-report-1.pdf" TargetMode="External"/><Relationship Id="rId33" Type="http://schemas.openxmlformats.org/officeDocument/2006/relationships/hyperlink" Target="https://ncosc.s3.amazonaws.com/s3fs-public/documents/files/2016_comprehensive_annual_financial_report_bookmarked.pdf" TargetMode="External"/><Relationship Id="rId38" Type="http://schemas.openxmlformats.org/officeDocument/2006/relationships/hyperlink" Target="http://www.budget.pa.gov/PublicationsAndReports/AnnualFinancialReport/Documents/2016/june-30-2016-cafr.pdf" TargetMode="External"/><Relationship Id="rId46" Type="http://schemas.openxmlformats.org/officeDocument/2006/relationships/hyperlink" Target="http://www.doa.virginia.gov/reports/CAFR/2016/2016CAFR.pdf" TargetMode="External"/><Relationship Id="rId20" Type="http://schemas.openxmlformats.org/officeDocument/2006/relationships/hyperlink" Target="http://www.maine.gov/osc/pdf/finanrept/cafr/cafr2016.pdf" TargetMode="External"/><Relationship Id="rId41" Type="http://schemas.openxmlformats.org/officeDocument/2006/relationships/hyperlink" Target="https://bfm.sd.gov/cafr/SD_CAFR_2016.PDF" TargetMode="External"/><Relationship Id="rId1" Type="http://schemas.openxmlformats.org/officeDocument/2006/relationships/hyperlink" Target="http://www.census.gov/popest/data/state/totals/2014/index.html" TargetMode="External"/><Relationship Id="rId6" Type="http://schemas.openxmlformats.org/officeDocument/2006/relationships/hyperlink" Target="http://www.dfa.arkansas.gov/offices/accounting/Documents/cafr2016.pdf" TargetMode="External"/><Relationship Id="rId15" Type="http://schemas.openxmlformats.org/officeDocument/2006/relationships/hyperlink" Target="http://www.in.gov/auditor/files/Entire%202016%20CAFR.pdf" TargetMode="External"/><Relationship Id="rId23" Type="http://schemas.openxmlformats.org/officeDocument/2006/relationships/hyperlink" Target="http://www.michigan.gov/documents/budget/CAFR_FY_2016_550912_7.pdf" TargetMode="External"/><Relationship Id="rId28" Type="http://schemas.openxmlformats.org/officeDocument/2006/relationships/hyperlink" Target="http://das.nebraska.gov/accounting/cafr/cafr2016.pdf" TargetMode="External"/><Relationship Id="rId36" Type="http://schemas.openxmlformats.org/officeDocument/2006/relationships/hyperlink" Target="https://www.ok.gov/OSF/documents/cafr16.pdf" TargetMode="External"/><Relationship Id="rId49" Type="http://schemas.openxmlformats.org/officeDocument/2006/relationships/hyperlink" Target="http://www.doa.state.wi.us/Documents/DEBF/Financial%20Reporting/CAFR/CAFR2016%20Links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X63"/>
  <sheetViews>
    <sheetView zoomScale="115" zoomScaleNormal="115" zoomScalePageLayoutView="11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0" sqref="D10"/>
    </sheetView>
  </sheetViews>
  <sheetFormatPr defaultColWidth="12.875" defaultRowHeight="15.75" outlineLevelRow="4" x14ac:dyDescent="0.25"/>
  <cols>
    <col min="1" max="1" width="12.875" style="8"/>
    <col min="2" max="2" width="15.5" customWidth="1"/>
    <col min="3" max="3" width="9" customWidth="1"/>
    <col min="4" max="4" width="22.375" bestFit="1" customWidth="1"/>
    <col min="5" max="5" width="21.125" bestFit="1" customWidth="1"/>
    <col min="6" max="6" width="22.125" customWidth="1"/>
    <col min="7" max="7" width="20" customWidth="1"/>
    <col min="8" max="8" width="20.625" style="23" customWidth="1"/>
    <col min="9" max="9" width="24.25" customWidth="1"/>
    <col min="10" max="10" width="20" customWidth="1"/>
    <col min="11" max="11" width="24.5" style="8" customWidth="1"/>
    <col min="12" max="12" width="21.125" style="22" customWidth="1"/>
    <col min="13" max="13" width="20" style="23" customWidth="1"/>
    <col min="14" max="14" width="22.625" customWidth="1"/>
    <col min="15" max="15" width="20.125" customWidth="1"/>
    <col min="16" max="16" width="20" customWidth="1"/>
    <col min="17" max="17" width="22.5" customWidth="1"/>
    <col min="18" max="18" width="22" style="5" customWidth="1"/>
    <col min="19" max="19" width="16.125" style="5" customWidth="1"/>
    <col min="20" max="20" width="21.5" style="5" customWidth="1"/>
    <col min="21" max="21" width="21.875" style="5" customWidth="1"/>
    <col min="22" max="22" width="19.375" style="5" customWidth="1"/>
    <col min="23" max="23" width="20" style="5" customWidth="1"/>
    <col min="24" max="24" width="11" style="5" customWidth="1"/>
    <col min="25" max="26" width="12.875" customWidth="1"/>
    <col min="27" max="27" width="15.875" customWidth="1"/>
    <col min="28" max="28" width="16" customWidth="1"/>
    <col min="30" max="30" width="19.125" customWidth="1"/>
    <col min="32" max="32" width="15.875" customWidth="1"/>
    <col min="33" max="33" width="17.75" bestFit="1" customWidth="1"/>
    <col min="34" max="34" width="21" customWidth="1"/>
    <col min="35" max="35" width="15.25" customWidth="1"/>
    <col min="36" max="36" width="21" customWidth="1"/>
    <col min="37" max="37" width="33.125" customWidth="1"/>
    <col min="44" max="44" width="11.125" customWidth="1"/>
    <col min="45" max="45" width="13.5" customWidth="1"/>
    <col min="46" max="46" width="14.125" customWidth="1"/>
  </cols>
  <sheetData>
    <row r="1" spans="1:50" x14ac:dyDescent="0.25">
      <c r="A1" s="8" t="s">
        <v>0</v>
      </c>
      <c r="B1" t="s">
        <v>95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61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93" t="s">
        <v>18</v>
      </c>
      <c r="T1" s="31" t="s">
        <v>104</v>
      </c>
      <c r="U1" s="4" t="s">
        <v>101</v>
      </c>
      <c r="V1" s="4" t="s">
        <v>102</v>
      </c>
      <c r="W1" s="94" t="s">
        <v>103</v>
      </c>
      <c r="X1" s="5" t="s">
        <v>19</v>
      </c>
      <c r="Y1" t="s">
        <v>20</v>
      </c>
      <c r="Z1" t="s">
        <v>21</v>
      </c>
      <c r="AA1" t="s">
        <v>170</v>
      </c>
      <c r="AB1" t="s">
        <v>23</v>
      </c>
      <c r="AC1" t="s">
        <v>167</v>
      </c>
      <c r="AD1" s="6" t="s">
        <v>25</v>
      </c>
      <c r="AE1" s="6" t="s">
        <v>26</v>
      </c>
      <c r="AF1" s="6" t="s">
        <v>105</v>
      </c>
      <c r="AG1" s="6" t="s">
        <v>106</v>
      </c>
      <c r="AH1" s="6" t="s">
        <v>107</v>
      </c>
      <c r="AI1" s="29" t="s">
        <v>168</v>
      </c>
      <c r="AJ1" s="29" t="s">
        <v>169</v>
      </c>
      <c r="AK1" s="7" t="s">
        <v>27</v>
      </c>
      <c r="AL1" s="7" t="s">
        <v>28</v>
      </c>
      <c r="AM1" s="7" t="s">
        <v>108</v>
      </c>
      <c r="AN1" s="7" t="s">
        <v>109</v>
      </c>
      <c r="AO1" s="7" t="s">
        <v>110</v>
      </c>
      <c r="AP1" s="7" t="s">
        <v>134</v>
      </c>
      <c r="AQ1" s="7" t="s">
        <v>135</v>
      </c>
      <c r="AR1" s="58" t="s">
        <v>164</v>
      </c>
      <c r="AS1" s="58" t="s">
        <v>165</v>
      </c>
      <c r="AT1" s="58" t="s">
        <v>166</v>
      </c>
    </row>
    <row r="2" spans="1:50" x14ac:dyDescent="0.25">
      <c r="A2" s="62" t="s">
        <v>237</v>
      </c>
      <c r="B2" s="71" t="s">
        <v>124</v>
      </c>
      <c r="C2" s="8">
        <v>2016</v>
      </c>
      <c r="D2" s="12">
        <f>3614923+4426754</f>
        <v>8041677</v>
      </c>
      <c r="E2" s="12">
        <f>D2+31981+201258+1003550+60</f>
        <v>9278526</v>
      </c>
      <c r="F2" s="12">
        <f>E2+45683+1034479+254207+86781+25357</f>
        <v>10725033</v>
      </c>
      <c r="G2" s="12">
        <f t="shared" ref="G2:G30" si="0">M2-H2</f>
        <v>2194950</v>
      </c>
      <c r="H2" s="12">
        <f>10300300</f>
        <v>10300300</v>
      </c>
      <c r="I2" s="12">
        <f>-7664866</f>
        <v>-7664866</v>
      </c>
      <c r="J2" s="12">
        <f>K2-(I2+21390364)</f>
        <v>7895231</v>
      </c>
      <c r="K2" s="63">
        <f>21620729</f>
        <v>21620729</v>
      </c>
      <c r="L2" s="12">
        <f>33615834</f>
        <v>33615834</v>
      </c>
      <c r="M2" s="63">
        <f>12495250</f>
        <v>12495250</v>
      </c>
      <c r="N2" s="79">
        <f>(2663197+3803755+581415+595498+320046+353137+192682+193992)*1000</f>
        <v>8703722000</v>
      </c>
      <c r="O2" s="64">
        <f>22319659*1000</f>
        <v>22319659000</v>
      </c>
      <c r="P2" s="13">
        <f>21630932*1000</f>
        <v>21630932000</v>
      </c>
      <c r="Q2" s="39">
        <f>H2*1000</f>
        <v>10300300000</v>
      </c>
      <c r="R2" s="13">
        <f>688731*1000</f>
        <v>688731000</v>
      </c>
      <c r="S2" s="65">
        <v>4863300</v>
      </c>
      <c r="T2" s="86">
        <v>86970850243.817245</v>
      </c>
      <c r="U2" s="86">
        <v>9478603285</v>
      </c>
      <c r="V2" s="86">
        <f>5191977*1000</f>
        <v>5191977000</v>
      </c>
      <c r="W2" s="95">
        <v>190791463000</v>
      </c>
      <c r="X2" s="41">
        <f>D2/G2</f>
        <v>3.6637176245472562</v>
      </c>
      <c r="Y2" s="41">
        <f>E2/G2</f>
        <v>4.2272151985238846</v>
      </c>
      <c r="Z2" s="41">
        <f>F2/G2</f>
        <v>4.886231121437846</v>
      </c>
      <c r="AA2" s="41">
        <f>O2/P2</f>
        <v>1.0318399133241232</v>
      </c>
      <c r="AB2" s="41">
        <f>R2/S2</f>
        <v>141.61803713527851</v>
      </c>
      <c r="AC2" s="41">
        <f>(I2+J2)/L2</f>
        <v>6.8528717746523856E-3</v>
      </c>
      <c r="AD2" s="41">
        <f>H2/L2</f>
        <v>0.30641215089293933</v>
      </c>
      <c r="AE2" s="87">
        <f>Q2/S2</f>
        <v>2117.9651676844942</v>
      </c>
      <c r="AF2" s="41">
        <f>N2/W2</f>
        <v>4.5619032755150057E-2</v>
      </c>
      <c r="AG2" s="41">
        <f>O2/W2</f>
        <v>0.11698457912658283</v>
      </c>
      <c r="AH2" s="41">
        <f>P2/W2</f>
        <v>0.11337473731725617</v>
      </c>
      <c r="AI2" s="88">
        <f>T2/$W2</f>
        <v>0.45584246211172064</v>
      </c>
      <c r="AJ2" s="88">
        <f>U2/$W2</f>
        <v>4.9680437143039255E-2</v>
      </c>
      <c r="AK2" s="5">
        <f t="shared" ref="AK2:AQ2" si="1">1/AD2</f>
        <v>3.2635781482092754</v>
      </c>
      <c r="AL2" s="5">
        <f t="shared" si="1"/>
        <v>4.721512965641777E-4</v>
      </c>
      <c r="AM2" s="5">
        <f t="shared" si="1"/>
        <v>21.920675200793408</v>
      </c>
      <c r="AN2" s="5">
        <f t="shared" si="1"/>
        <v>8.548135211205512</v>
      </c>
      <c r="AO2" s="5">
        <f t="shared" si="1"/>
        <v>8.8203070954131793</v>
      </c>
      <c r="AP2" s="5">
        <f t="shared" si="1"/>
        <v>2.1937403447836634</v>
      </c>
      <c r="AQ2" s="5">
        <f t="shared" si="1"/>
        <v>20.128647361149689</v>
      </c>
      <c r="AR2" s="14">
        <f>IF(X2&gt;'cash outliers'!$D$19,'cash outliers'!$D$19,Dataset!X2)</f>
        <v>3.6637176245472562</v>
      </c>
      <c r="AS2" s="14">
        <f>IF(Y2&gt;'cash outliers'!$I$19,'cash outliers'!$I$19,Dataset!Y2)</f>
        <v>4.2272151985238846</v>
      </c>
      <c r="AT2" s="14">
        <f>IF(Z2&gt;'cash outliers'!$N$19,'cash outliers'!$N$19,Dataset!Z2)</f>
        <v>4.886231121437846</v>
      </c>
    </row>
    <row r="3" spans="1:50" x14ac:dyDescent="0.25">
      <c r="A3" s="72" t="s">
        <v>171</v>
      </c>
      <c r="B3" s="71" t="s">
        <v>125</v>
      </c>
      <c r="C3" s="8">
        <v>2016</v>
      </c>
      <c r="D3" s="12">
        <f>65876488</f>
        <v>65876488</v>
      </c>
      <c r="E3" s="12">
        <f>D3+547848+147990+478056</f>
        <v>67050382</v>
      </c>
      <c r="F3" s="12">
        <f>E3+23051+1262+161726+1022398+22296+872989</f>
        <v>69154104</v>
      </c>
      <c r="G3" s="12">
        <f t="shared" si="0"/>
        <v>3858516</v>
      </c>
      <c r="H3" s="12">
        <f>233740+14308+2007091+4176289+523</f>
        <v>6431951</v>
      </c>
      <c r="I3" s="12">
        <f>14337160</f>
        <v>14337160</v>
      </c>
      <c r="J3" s="12">
        <f>K3-(I3+7599887)</f>
        <v>46140624</v>
      </c>
      <c r="K3" s="63">
        <f>68077671</f>
        <v>68077671</v>
      </c>
      <c r="L3" s="12">
        <v>78124537</v>
      </c>
      <c r="M3" s="63">
        <f>10290467</f>
        <v>10290467</v>
      </c>
      <c r="N3" s="79">
        <f>(-318546+265992+65795+111137+2576)*1000</f>
        <v>126954000</v>
      </c>
      <c r="O3" s="13">
        <f>5639*1000000</f>
        <v>5639000000</v>
      </c>
      <c r="P3" s="13">
        <f>10791109*1000</f>
        <v>10791109000</v>
      </c>
      <c r="Q3" s="39">
        <f>H3*1000</f>
        <v>6431951000</v>
      </c>
      <c r="R3" s="13">
        <f>-5153059*1000</f>
        <v>-5153059000</v>
      </c>
      <c r="S3" s="65">
        <v>741894</v>
      </c>
      <c r="T3" s="86">
        <v>37334622084.898293</v>
      </c>
      <c r="U3" s="86">
        <v>8484662103</v>
      </c>
      <c r="V3" s="86">
        <f>2093079*1000</f>
        <v>2093079000</v>
      </c>
      <c r="W3" s="95">
        <v>41032003000</v>
      </c>
      <c r="X3" s="41">
        <f t="shared" ref="X3:X51" si="2">D3/G3</f>
        <v>17.073011489391259</v>
      </c>
      <c r="Y3" s="41">
        <f t="shared" ref="Y3:Y51" si="3">E3/G3</f>
        <v>17.377246070769175</v>
      </c>
      <c r="Z3" s="41">
        <f t="shared" ref="Z3:Z51" si="4">F3/G3</f>
        <v>17.922461381525956</v>
      </c>
      <c r="AA3" s="41">
        <f t="shared" ref="AA3:AA51" si="5">O3/P3</f>
        <v>0.52255982216470986</v>
      </c>
      <c r="AB3" s="41">
        <f t="shared" ref="AB3:AB50" si="6">R3/S3</f>
        <v>-6945.8157095218457</v>
      </c>
      <c r="AC3" s="41">
        <f t="shared" ref="AC3:AC51" si="7">(I3+J3)/L3</f>
        <v>0.77412022294608929</v>
      </c>
      <c r="AD3" s="41">
        <f t="shared" ref="AD3:AD51" si="8">H3/L3</f>
        <v>8.2329460717315991E-2</v>
      </c>
      <c r="AE3" s="87">
        <f t="shared" ref="AE3:AE51" si="9">Q3/S3</f>
        <v>8669.6360935659268</v>
      </c>
      <c r="AF3" s="41">
        <f t="shared" ref="AF3:AF51" si="10">N3/W3</f>
        <v>3.0940239500372429E-3</v>
      </c>
      <c r="AG3" s="41">
        <f t="shared" ref="AG3:AG51" si="11">O3/W3</f>
        <v>0.1374293134069034</v>
      </c>
      <c r="AH3" s="41">
        <f t="shared" ref="AH3:AH51" si="12">P3/W3</f>
        <v>0.26299249880635855</v>
      </c>
      <c r="AI3" s="88">
        <f t="shared" ref="AI3:AI51" si="13">T3/$W3</f>
        <v>0.90989031378503005</v>
      </c>
      <c r="AJ3" s="88">
        <f t="shared" ref="AJ3:AJ51" si="14">U3/$W3</f>
        <v>0.20678157249598564</v>
      </c>
      <c r="AK3" s="5">
        <f t="shared" ref="AK3:AK51" si="15">1/AD3</f>
        <v>12.146320300014724</v>
      </c>
      <c r="AL3" s="5">
        <f t="shared" ref="AL3:AL51" si="16">1/AE3</f>
        <v>1.1534509513520859E-4</v>
      </c>
      <c r="AM3" s="5">
        <f t="shared" ref="AM3:AM51" si="17">1/AF3</f>
        <v>323.2037037037037</v>
      </c>
      <c r="AN3" s="5">
        <f t="shared" ref="AN3:AN51" si="18">1/AG3</f>
        <v>7.2764679907785066</v>
      </c>
      <c r="AO3" s="5">
        <f t="shared" ref="AO3:AO51" si="19">1/AH3</f>
        <v>3.80238981924842</v>
      </c>
      <c r="AP3" s="5">
        <f t="shared" ref="AP3:AP51" si="20">1/AI3</f>
        <v>1.099033570145532</v>
      </c>
      <c r="AQ3" s="5">
        <f t="shared" ref="AQ3:AQ51" si="21">1/AJ3</f>
        <v>4.8360208694099835</v>
      </c>
      <c r="AR3" s="14">
        <f>IF(X3&gt;'cash outliers'!$D$19,'cash outliers'!$D$19,Dataset!X3)</f>
        <v>7.7159909433013656</v>
      </c>
      <c r="AS3" s="14">
        <f>IF(Y3&gt;'cash outliers'!$I$19,'cash outliers'!$I$19,Dataset!Y3)</f>
        <v>9.8138620577049238</v>
      </c>
      <c r="AT3" s="14">
        <f>IF(Z3&gt;'cash outliers'!$N$19,'cash outliers'!$N$19,Dataset!Z3)</f>
        <v>8.9985637572359778</v>
      </c>
      <c r="AU3" s="15"/>
      <c r="AV3" s="15"/>
      <c r="AW3" s="15"/>
      <c r="AX3" s="15"/>
    </row>
    <row r="4" spans="1:50" outlineLevel="1" x14ac:dyDescent="0.25">
      <c r="A4" s="62" t="s">
        <v>172</v>
      </c>
      <c r="B4" s="71" t="s">
        <v>126</v>
      </c>
      <c r="C4" s="8">
        <v>2016</v>
      </c>
      <c r="D4" s="12">
        <f>306545+332677+3588703+451068+415896</f>
        <v>5094889</v>
      </c>
      <c r="E4" s="12">
        <f>D4+608696+172665+245933+476253</f>
        <v>6598436</v>
      </c>
      <c r="F4" s="12">
        <f>8155867</f>
        <v>8155867</v>
      </c>
      <c r="G4" s="12">
        <f t="shared" si="0"/>
        <v>5811255</v>
      </c>
      <c r="H4" s="12">
        <f>15206716</f>
        <v>15206716</v>
      </c>
      <c r="I4" s="12">
        <f>-4930868</f>
        <v>-4930868</v>
      </c>
      <c r="J4" s="12">
        <f>K4-(I4+21484424)</f>
        <v>8047876</v>
      </c>
      <c r="K4" s="63">
        <f>24601432</f>
        <v>24601432</v>
      </c>
      <c r="L4" s="12">
        <f>45179803</f>
        <v>45179803</v>
      </c>
      <c r="M4" s="63">
        <f>21017971</f>
        <v>21017971</v>
      </c>
      <c r="N4" s="79">
        <f>(6525764+4511674+318902+51735+1823998+616580)*1000</f>
        <v>13848653000</v>
      </c>
      <c r="O4" s="13">
        <f>35524610*1000</f>
        <v>35524610000</v>
      </c>
      <c r="P4" s="13">
        <f>33957150*1000</f>
        <v>33957150000</v>
      </c>
      <c r="Q4" s="39">
        <f>H4*1000</f>
        <v>15206716000</v>
      </c>
      <c r="R4" s="64">
        <f>1572932*1000</f>
        <v>1572932000</v>
      </c>
      <c r="S4" s="65">
        <v>6931071</v>
      </c>
      <c r="T4" s="86">
        <v>110431449232.41</v>
      </c>
      <c r="U4" s="86">
        <v>36236435</v>
      </c>
      <c r="V4" s="86">
        <f>9502194*1000</f>
        <v>9502194000</v>
      </c>
      <c r="W4" s="95">
        <v>278924877000</v>
      </c>
      <c r="X4" s="41">
        <f t="shared" si="2"/>
        <v>0.87672783245615615</v>
      </c>
      <c r="Y4" s="41">
        <f t="shared" si="3"/>
        <v>1.1354580034777342</v>
      </c>
      <c r="Z4" s="41">
        <f t="shared" si="4"/>
        <v>1.4034605261686159</v>
      </c>
      <c r="AA4" s="41">
        <f t="shared" si="5"/>
        <v>1.0461599398064914</v>
      </c>
      <c r="AB4" s="41">
        <f t="shared" si="6"/>
        <v>226.93924214598292</v>
      </c>
      <c r="AC4" s="41">
        <f t="shared" si="7"/>
        <v>6.8991181745524655E-2</v>
      </c>
      <c r="AD4" s="41">
        <f t="shared" si="8"/>
        <v>0.33658216703600941</v>
      </c>
      <c r="AE4" s="87">
        <f t="shared" si="9"/>
        <v>2193.9922416030654</v>
      </c>
      <c r="AF4" s="41">
        <f t="shared" si="10"/>
        <v>4.965011779856409E-2</v>
      </c>
      <c r="AG4" s="41">
        <f t="shared" si="11"/>
        <v>0.12736264467367678</v>
      </c>
      <c r="AH4" s="41">
        <f t="shared" si="12"/>
        <v>0.12174299533705629</v>
      </c>
      <c r="AI4" s="88">
        <f t="shared" si="13"/>
        <v>0.39591825017605009</v>
      </c>
      <c r="AJ4" s="88">
        <f t="shared" si="14"/>
        <v>1.2991467591469083E-4</v>
      </c>
      <c r="AK4" s="5">
        <f t="shared" si="15"/>
        <v>2.9710427287522174</v>
      </c>
      <c r="AL4" s="5">
        <f t="shared" si="16"/>
        <v>4.5579012588911372E-4</v>
      </c>
      <c r="AM4" s="5">
        <f t="shared" si="17"/>
        <v>20.140939122382516</v>
      </c>
      <c r="AN4" s="5">
        <f t="shared" si="18"/>
        <v>7.8515957529160767</v>
      </c>
      <c r="AO4" s="5">
        <f t="shared" si="19"/>
        <v>8.2140249402555874</v>
      </c>
      <c r="AP4" s="5">
        <f t="shared" si="20"/>
        <v>2.5257739433717372</v>
      </c>
      <c r="AQ4" s="5">
        <f t="shared" si="21"/>
        <v>7697.35977062865</v>
      </c>
      <c r="AR4" s="14">
        <f>IF(X4&gt;'cash outliers'!$D$19,'cash outliers'!$D$19,Dataset!X4)</f>
        <v>0.87672783245615615</v>
      </c>
      <c r="AS4" s="14">
        <f>IF(Y4&gt;'cash outliers'!$I$19,'cash outliers'!$I$19,Dataset!Y4)</f>
        <v>1.1354580034777342</v>
      </c>
      <c r="AT4" s="14">
        <f>IF(Z4&gt;'cash outliers'!$N$19,'cash outliers'!$N$19,Dataset!Z4)</f>
        <v>1.4034605261686159</v>
      </c>
    </row>
    <row r="5" spans="1:50" outlineLevel="1" x14ac:dyDescent="0.25">
      <c r="A5" s="62" t="s">
        <v>173</v>
      </c>
      <c r="B5" s="71" t="s">
        <v>127</v>
      </c>
      <c r="C5" s="8">
        <v>2016</v>
      </c>
      <c r="D5" s="12">
        <f>3533729+2316463</f>
        <v>5850192</v>
      </c>
      <c r="E5" s="12">
        <f>D5+511730+425756+270374+30312+89+10715+35906</f>
        <v>7135074</v>
      </c>
      <c r="F5" s="12">
        <f>7643681</f>
        <v>7643681</v>
      </c>
      <c r="G5" s="12">
        <f t="shared" si="0"/>
        <v>1846973</v>
      </c>
      <c r="H5" s="12">
        <f>8922322</f>
        <v>8922322</v>
      </c>
      <c r="I5" s="12">
        <f>-315903</f>
        <v>-315903</v>
      </c>
      <c r="J5" s="12">
        <f>K5-(I5+12570820)</f>
        <v>3189721</v>
      </c>
      <c r="K5" s="63">
        <f>15444638</f>
        <v>15444638</v>
      </c>
      <c r="L5" s="12">
        <f>25786372</f>
        <v>25786372</v>
      </c>
      <c r="M5" s="63">
        <f>10769295</f>
        <v>10769295</v>
      </c>
      <c r="N5" s="79">
        <f>7735598*1000</f>
        <v>7735598000</v>
      </c>
      <c r="O5" s="13">
        <f>(4386981+8160183+604281+8283640)*1000</f>
        <v>21435085000</v>
      </c>
      <c r="P5" s="13">
        <f>20693711*1000</f>
        <v>20693711000</v>
      </c>
      <c r="Q5" s="39">
        <f t="shared" ref="Q5:Q49" si="22">H5*1000</f>
        <v>8922322000</v>
      </c>
      <c r="R5" s="64">
        <f>741374*1000</f>
        <v>741374000</v>
      </c>
      <c r="S5" s="65">
        <v>2988248</v>
      </c>
      <c r="T5" s="86">
        <v>48170513173.272438</v>
      </c>
      <c r="U5" s="86">
        <v>124710971</v>
      </c>
      <c r="V5" s="86">
        <f>3959545*1000</f>
        <v>3959545000</v>
      </c>
      <c r="W5" s="95">
        <v>117572045000</v>
      </c>
      <c r="X5" s="41">
        <f t="shared" si="2"/>
        <v>3.1674485766711262</v>
      </c>
      <c r="Y5" s="41">
        <f t="shared" si="3"/>
        <v>3.8631176525049367</v>
      </c>
      <c r="Z5" s="41">
        <f t="shared" si="4"/>
        <v>4.1384909254222988</v>
      </c>
      <c r="AA5" s="41">
        <f t="shared" si="5"/>
        <v>1.0358260536256643</v>
      </c>
      <c r="AB5" s="41">
        <f t="shared" si="6"/>
        <v>248.09654352650784</v>
      </c>
      <c r="AC5" s="41">
        <f t="shared" si="7"/>
        <v>0.11144716286571837</v>
      </c>
      <c r="AD5" s="41">
        <f t="shared" si="8"/>
        <v>0.34600920206999264</v>
      </c>
      <c r="AE5" s="87">
        <f t="shared" si="9"/>
        <v>2985.8037217794508</v>
      </c>
      <c r="AF5" s="41">
        <f t="shared" si="10"/>
        <v>6.5794534746758893E-2</v>
      </c>
      <c r="AG5" s="41">
        <f t="shared" si="11"/>
        <v>0.18231446939619023</v>
      </c>
      <c r="AH5" s="41">
        <f t="shared" si="12"/>
        <v>0.17600876977175994</v>
      </c>
      <c r="AI5" s="88">
        <f t="shared" si="13"/>
        <v>0.40971060062170761</v>
      </c>
      <c r="AJ5" s="88">
        <f t="shared" si="14"/>
        <v>1.0607195868711818E-3</v>
      </c>
      <c r="AK5" s="5">
        <f t="shared" si="15"/>
        <v>2.8900965466164523</v>
      </c>
      <c r="AL5" s="5">
        <f t="shared" si="16"/>
        <v>3.3491819730334773E-4</v>
      </c>
      <c r="AM5" s="5">
        <f t="shared" si="17"/>
        <v>15.1988307820546</v>
      </c>
      <c r="AN5" s="5">
        <f t="shared" si="18"/>
        <v>5.4850281676046535</v>
      </c>
      <c r="AO5" s="5">
        <f t="shared" si="19"/>
        <v>5.6815350808755376</v>
      </c>
      <c r="AP5" s="5">
        <f t="shared" si="20"/>
        <v>2.4407471968813326</v>
      </c>
      <c r="AQ5" s="5">
        <f t="shared" si="21"/>
        <v>942.75623112580854</v>
      </c>
      <c r="AR5" s="14">
        <f>IF(X5&gt;'cash outliers'!$D$19,'cash outliers'!$D$19,Dataset!X5)</f>
        <v>3.1674485766711262</v>
      </c>
      <c r="AS5" s="14">
        <f>IF(Y5&gt;'cash outliers'!$I$19,'cash outliers'!$I$19,Dataset!Y5)</f>
        <v>3.8631176525049367</v>
      </c>
      <c r="AT5" s="14">
        <f>IF(Z5&gt;'cash outliers'!$N$19,'cash outliers'!$N$19,Dataset!Z5)</f>
        <v>4.1384909254222988</v>
      </c>
    </row>
    <row r="6" spans="1:50" outlineLevel="1" x14ac:dyDescent="0.25">
      <c r="A6" s="62" t="s">
        <v>236</v>
      </c>
      <c r="B6" s="71" t="s">
        <v>128</v>
      </c>
      <c r="C6" s="8">
        <v>2016</v>
      </c>
      <c r="D6" s="12">
        <f>39677577+11711+3076933+66279</f>
        <v>42832500</v>
      </c>
      <c r="E6" s="12">
        <f>D6+19151368</f>
        <v>61983868</v>
      </c>
      <c r="F6" s="12">
        <f>84171417</f>
        <v>84171417</v>
      </c>
      <c r="G6" s="12">
        <f t="shared" si="0"/>
        <v>51974340</v>
      </c>
      <c r="H6" s="12">
        <f>221444193</f>
        <v>221444193</v>
      </c>
      <c r="I6" s="12">
        <f>-172250267</f>
        <v>-172250267</v>
      </c>
      <c r="J6" s="12">
        <f>K6-(I6+107117538)</f>
        <v>34820258</v>
      </c>
      <c r="K6" s="63">
        <f>-30312471</f>
        <v>-30312471</v>
      </c>
      <c r="L6" s="12">
        <f>240386369</f>
        <v>240386369</v>
      </c>
      <c r="M6" s="63">
        <f>273418533</f>
        <v>273418533</v>
      </c>
      <c r="N6" s="79">
        <f>(80303076+39121061+9213173+5028589+4203885+2158874)*1000</f>
        <v>140028658000</v>
      </c>
      <c r="O6" s="13">
        <f>283255*1000000</f>
        <v>283255000000</v>
      </c>
      <c r="P6" s="13">
        <f>272668114*1000</f>
        <v>272668114000</v>
      </c>
      <c r="Q6" s="39">
        <f t="shared" si="22"/>
        <v>221444193000</v>
      </c>
      <c r="R6" s="13">
        <f>10628*1000000</f>
        <v>10628000000</v>
      </c>
      <c r="S6" s="65">
        <v>39250017</v>
      </c>
      <c r="T6" s="86">
        <v>1190838633150.7053</v>
      </c>
      <c r="U6" s="86">
        <v>106061100000</v>
      </c>
      <c r="V6" s="86">
        <f>112554735*1000</f>
        <v>112554735000</v>
      </c>
      <c r="W6" s="95">
        <v>2197492012000</v>
      </c>
      <c r="X6" s="41">
        <f t="shared" si="2"/>
        <v>0.82410858896909511</v>
      </c>
      <c r="Y6" s="41">
        <f t="shared" si="3"/>
        <v>1.1925859568394712</v>
      </c>
      <c r="Z6" s="41">
        <f t="shared" si="4"/>
        <v>1.6194802473682206</v>
      </c>
      <c r="AA6" s="41">
        <f t="shared" si="5"/>
        <v>1.0388270041725525</v>
      </c>
      <c r="AB6" s="41">
        <f t="shared" si="6"/>
        <v>270.77695278450454</v>
      </c>
      <c r="AC6" s="41">
        <f t="shared" si="7"/>
        <v>-0.57170466683158727</v>
      </c>
      <c r="AD6" s="41">
        <f t="shared" si="8"/>
        <v>0.92120112268096199</v>
      </c>
      <c r="AE6" s="87">
        <f t="shared" si="9"/>
        <v>5641.8878238957195</v>
      </c>
      <c r="AF6" s="41">
        <f t="shared" si="10"/>
        <v>6.3722032769782833E-2</v>
      </c>
      <c r="AG6" s="41">
        <f t="shared" si="11"/>
        <v>0.12889921713171623</v>
      </c>
      <c r="AH6" s="41">
        <f t="shared" si="12"/>
        <v>0.12408150405599745</v>
      </c>
      <c r="AI6" s="88">
        <f t="shared" si="13"/>
        <v>0.54190806002834535</v>
      </c>
      <c r="AJ6" s="88">
        <f t="shared" si="14"/>
        <v>4.8264612303855786E-2</v>
      </c>
      <c r="AK6" s="5">
        <f t="shared" si="15"/>
        <v>1.0855392762545821</v>
      </c>
      <c r="AL6" s="5">
        <f t="shared" si="16"/>
        <v>1.7724563678217563E-4</v>
      </c>
      <c r="AM6" s="5">
        <f t="shared" si="17"/>
        <v>15.693159124612905</v>
      </c>
      <c r="AN6" s="5">
        <f t="shared" si="18"/>
        <v>7.757999018552189</v>
      </c>
      <c r="AO6" s="5">
        <f t="shared" si="19"/>
        <v>8.0592188788161714</v>
      </c>
      <c r="AP6" s="5">
        <f t="shared" si="20"/>
        <v>1.8453314755047072</v>
      </c>
      <c r="AQ6" s="5">
        <f t="shared" si="21"/>
        <v>20.719113906983804</v>
      </c>
      <c r="AR6" s="14">
        <f>IF(X6&gt;'cash outliers'!$D$19,'cash outliers'!$D$19,Dataset!X6)</f>
        <v>0.82410858896909511</v>
      </c>
      <c r="AS6" s="14">
        <f>IF(Y6&gt;'cash outliers'!$I$19,'cash outliers'!$I$19,Dataset!Y6)</f>
        <v>1.1925859568394712</v>
      </c>
      <c r="AT6" s="14">
        <f>IF(Z6&gt;'cash outliers'!$N$19,'cash outliers'!$N$19,Dataset!Z6)</f>
        <v>1.6194802473682206</v>
      </c>
    </row>
    <row r="7" spans="1:50" outlineLevel="2" x14ac:dyDescent="0.25">
      <c r="A7" s="62" t="s">
        <v>174</v>
      </c>
      <c r="B7" s="71" t="s">
        <v>129</v>
      </c>
      <c r="C7" s="8">
        <v>2016</v>
      </c>
      <c r="D7" s="12">
        <f>5228869+392188</f>
        <v>5621057</v>
      </c>
      <c r="E7" s="12">
        <f>D7+1374823+1213319</f>
        <v>8209199</v>
      </c>
      <c r="F7" s="12">
        <f>8966880</f>
        <v>8966880</v>
      </c>
      <c r="G7" s="12">
        <f t="shared" si="0"/>
        <v>4253616</v>
      </c>
      <c r="H7" s="12">
        <f>17588909</f>
        <v>17588909</v>
      </c>
      <c r="I7" s="12">
        <f>-5711391</f>
        <v>-5711391</v>
      </c>
      <c r="J7" s="12">
        <f>K7-(I7+16381819)</f>
        <v>4900491</v>
      </c>
      <c r="K7" s="63">
        <f>15570919</f>
        <v>15570919</v>
      </c>
      <c r="L7" s="12">
        <f>36328263</f>
        <v>36328263</v>
      </c>
      <c r="M7" s="63">
        <f>21842525</f>
        <v>21842525</v>
      </c>
      <c r="N7" s="79">
        <f>(10346832+1132687)*1000</f>
        <v>11479519000</v>
      </c>
      <c r="O7" s="64">
        <f>31602685*1000</f>
        <v>31602685000</v>
      </c>
      <c r="P7" s="13">
        <f>31387906*1000</f>
        <v>31387906000</v>
      </c>
      <c r="Q7" s="39">
        <f t="shared" si="22"/>
        <v>17588909000</v>
      </c>
      <c r="R7" s="64">
        <f>223459*1000</f>
        <v>223459000</v>
      </c>
      <c r="S7" s="65">
        <v>5540545</v>
      </c>
      <c r="T7" s="86">
        <v>122812501020.67755</v>
      </c>
      <c r="U7" s="86">
        <v>1845893098</v>
      </c>
      <c r="V7" s="86">
        <f>6301318*1000</f>
        <v>6301318000</v>
      </c>
      <c r="W7" s="95">
        <v>288432728000</v>
      </c>
      <c r="X7" s="41">
        <f t="shared" si="2"/>
        <v>1.3214773030757831</v>
      </c>
      <c r="Y7" s="41">
        <f t="shared" si="3"/>
        <v>1.9299342018649543</v>
      </c>
      <c r="Z7" s="41">
        <f t="shared" si="4"/>
        <v>2.1080605301465858</v>
      </c>
      <c r="AA7" s="41">
        <f t="shared" si="5"/>
        <v>1.0068427310824748</v>
      </c>
      <c r="AB7" s="41">
        <f t="shared" si="6"/>
        <v>40.331591928230885</v>
      </c>
      <c r="AC7" s="41">
        <f t="shared" si="7"/>
        <v>-2.2321463594337003E-2</v>
      </c>
      <c r="AD7" s="41">
        <f t="shared" si="8"/>
        <v>0.48416597842842085</v>
      </c>
      <c r="AE7" s="87">
        <f t="shared" si="9"/>
        <v>3174.5810204591785</v>
      </c>
      <c r="AF7" s="41">
        <f t="shared" si="10"/>
        <v>3.9799640906215052E-2</v>
      </c>
      <c r="AG7" s="41">
        <f t="shared" si="11"/>
        <v>0.10956691780136685</v>
      </c>
      <c r="AH7" s="41">
        <f t="shared" si="12"/>
        <v>0.10882227622934662</v>
      </c>
      <c r="AI7" s="88">
        <f t="shared" si="13"/>
        <v>0.42579253010663043</v>
      </c>
      <c r="AJ7" s="88">
        <f t="shared" si="14"/>
        <v>6.3997352547315641E-3</v>
      </c>
      <c r="AK7" s="5">
        <f t="shared" si="15"/>
        <v>2.0654074109997387</v>
      </c>
      <c r="AL7" s="5">
        <f t="shared" si="16"/>
        <v>3.1500219826027868E-4</v>
      </c>
      <c r="AM7" s="5">
        <f t="shared" si="17"/>
        <v>25.125854837646074</v>
      </c>
      <c r="AN7" s="5">
        <f t="shared" si="18"/>
        <v>9.1268424818967109</v>
      </c>
      <c r="AO7" s="5">
        <f t="shared" si="19"/>
        <v>9.1892950106324385</v>
      </c>
      <c r="AP7" s="5">
        <f t="shared" si="20"/>
        <v>2.3485616334076407</v>
      </c>
      <c r="AQ7" s="5">
        <f t="shared" si="21"/>
        <v>156.25646377491358</v>
      </c>
      <c r="AR7" s="14">
        <f>IF(X7&gt;'cash outliers'!$D$19,'cash outliers'!$D$19,Dataset!X7)</f>
        <v>1.3214773030757831</v>
      </c>
      <c r="AS7" s="14">
        <f>IF(Y7&gt;'cash outliers'!$I$19,'cash outliers'!$I$19,Dataset!Y7)</f>
        <v>1.9299342018649543</v>
      </c>
      <c r="AT7" s="14">
        <f>IF(Z7&gt;'cash outliers'!$N$19,'cash outliers'!$N$19,Dataset!Z7)</f>
        <v>2.1080605301465858</v>
      </c>
    </row>
    <row r="8" spans="1:50" s="8" customFormat="1" outlineLevel="2" x14ac:dyDescent="0.25">
      <c r="A8" s="62" t="s">
        <v>175</v>
      </c>
      <c r="B8" s="71" t="s">
        <v>130</v>
      </c>
      <c r="C8" s="8">
        <v>2016</v>
      </c>
      <c r="D8" s="12">
        <f>1665369+382161+145688</f>
        <v>2193218</v>
      </c>
      <c r="E8" s="12">
        <f>D8+3014728</f>
        <v>5207946</v>
      </c>
      <c r="F8" s="12">
        <f>5457689</f>
        <v>5457689</v>
      </c>
      <c r="G8" s="12">
        <f t="shared" si="0"/>
        <v>5215149</v>
      </c>
      <c r="H8" s="12">
        <f>62294820</f>
        <v>62294820</v>
      </c>
      <c r="I8" s="12">
        <f>-49250915</f>
        <v>-49250915</v>
      </c>
      <c r="J8" s="12">
        <f>K8-(I8+8325376)</f>
        <v>3066888</v>
      </c>
      <c r="K8" s="63">
        <f>-37858651</f>
        <v>-37858651</v>
      </c>
      <c r="L8" s="12">
        <f>27085274</f>
        <v>27085274</v>
      </c>
      <c r="M8" s="63">
        <f>67509969</f>
        <v>67509969</v>
      </c>
      <c r="N8" s="79">
        <f>16204*1000000</f>
        <v>16204000000</v>
      </c>
      <c r="O8" s="13">
        <f>30401*1000000</f>
        <v>30401000000</v>
      </c>
      <c r="P8" s="13">
        <f>32877502*1000</f>
        <v>32877502000</v>
      </c>
      <c r="Q8" s="39">
        <f t="shared" si="22"/>
        <v>62294820000</v>
      </c>
      <c r="R8" s="64">
        <f>-2477325*1000</f>
        <v>-2477325000</v>
      </c>
      <c r="S8" s="65">
        <v>3576452</v>
      </c>
      <c r="T8" s="86">
        <v>121651262404.36093</v>
      </c>
      <c r="U8" s="86">
        <v>21887478000</v>
      </c>
      <c r="V8" s="86">
        <f>23545920*1000</f>
        <v>23545920000</v>
      </c>
      <c r="W8" s="95">
        <v>254047871000</v>
      </c>
      <c r="X8" s="41">
        <f t="shared" si="2"/>
        <v>0.42054752414552299</v>
      </c>
      <c r="Y8" s="41">
        <f t="shared" si="3"/>
        <v>0.99861883140826846</v>
      </c>
      <c r="Z8" s="41">
        <f t="shared" si="4"/>
        <v>1.0465068208022437</v>
      </c>
      <c r="AA8" s="41">
        <f t="shared" si="5"/>
        <v>0.92467487341343635</v>
      </c>
      <c r="AB8" s="41">
        <f t="shared" si="6"/>
        <v>-692.67670864868307</v>
      </c>
      <c r="AC8" s="41">
        <f t="shared" si="7"/>
        <v>-1.7051341994915761</v>
      </c>
      <c r="AD8" s="41">
        <f t="shared" si="8"/>
        <v>2.2999516268508118</v>
      </c>
      <c r="AE8" s="87">
        <f t="shared" si="9"/>
        <v>17418.050067497061</v>
      </c>
      <c r="AF8" s="41">
        <f t="shared" si="10"/>
        <v>6.3783254456007618E-2</v>
      </c>
      <c r="AG8" s="41">
        <f t="shared" si="11"/>
        <v>0.11966642302623351</v>
      </c>
      <c r="AH8" s="41">
        <f t="shared" si="12"/>
        <v>0.12941459367711056</v>
      </c>
      <c r="AI8" s="88">
        <f t="shared" si="13"/>
        <v>0.47885172950085825</v>
      </c>
      <c r="AJ8" s="88">
        <f t="shared" si="14"/>
        <v>8.6154935736501403E-2</v>
      </c>
      <c r="AK8" s="5">
        <f t="shared" si="15"/>
        <v>0.43479175315058305</v>
      </c>
      <c r="AL8" s="5">
        <f t="shared" si="16"/>
        <v>5.7411707747128898E-5</v>
      </c>
      <c r="AM8" s="5">
        <f t="shared" si="17"/>
        <v>15.678096210812146</v>
      </c>
      <c r="AN8" s="5">
        <f t="shared" si="18"/>
        <v>8.3565629749021415</v>
      </c>
      <c r="AO8" s="5">
        <f t="shared" si="19"/>
        <v>7.7271038109890471</v>
      </c>
      <c r="AP8" s="5">
        <f t="shared" si="20"/>
        <v>2.0883290972810564</v>
      </c>
      <c r="AQ8" s="5">
        <f t="shared" si="21"/>
        <v>11.606996064142248</v>
      </c>
      <c r="AR8" s="14">
        <f>IF(X8&gt;'cash outliers'!$D$19,'cash outliers'!$D$19,Dataset!X8)</f>
        <v>0.42054752414552299</v>
      </c>
      <c r="AS8" s="14">
        <f>IF(Y8&gt;'cash outliers'!$I$19,'cash outliers'!$I$19,Dataset!Y8)</f>
        <v>0.99861883140826846</v>
      </c>
      <c r="AT8" s="14">
        <f>IF(Z8&gt;'cash outliers'!$N$19,'cash outliers'!$N$19,Dataset!Z8)</f>
        <v>1.0465068208022437</v>
      </c>
    </row>
    <row r="9" spans="1:50" s="8" customFormat="1" outlineLevel="2" x14ac:dyDescent="0.25">
      <c r="A9" s="62" t="s">
        <v>176</v>
      </c>
      <c r="B9" s="71" t="s">
        <v>131</v>
      </c>
      <c r="C9" s="8">
        <v>2016</v>
      </c>
      <c r="D9" s="12">
        <f>261981+1344211+156968</f>
        <v>1763160</v>
      </c>
      <c r="E9" s="12">
        <f>D9+804547</f>
        <v>2567707</v>
      </c>
      <c r="F9" s="63">
        <f>E9+24482+8992</f>
        <v>2601181</v>
      </c>
      <c r="G9" s="12">
        <f t="shared" si="0"/>
        <v>1314128</v>
      </c>
      <c r="H9" s="12">
        <f>6142327+1033282</f>
        <v>7175609</v>
      </c>
      <c r="I9" s="12">
        <f>-2991917</f>
        <v>-2991917</v>
      </c>
      <c r="J9" s="12">
        <f>K9-(I9+5040201)</f>
        <v>1243821</v>
      </c>
      <c r="K9" s="63">
        <f>3292105</f>
        <v>3292105</v>
      </c>
      <c r="L9" s="12">
        <f>11810762</f>
        <v>11810762</v>
      </c>
      <c r="M9" s="63">
        <f>8489737</f>
        <v>8489737</v>
      </c>
      <c r="N9" s="79">
        <f>(1112368+2294173+573968+244526)*1000</f>
        <v>4225035000</v>
      </c>
      <c r="O9" s="13">
        <f>N9+((19310+16694+1868374+2399273)*1000)</f>
        <v>8528686000</v>
      </c>
      <c r="P9" s="13">
        <f>8887465*1000</f>
        <v>8887465000</v>
      </c>
      <c r="Q9" s="39">
        <f>H9*1000</f>
        <v>7175609000</v>
      </c>
      <c r="R9" s="64">
        <f>-358779*1000</f>
        <v>-358779000</v>
      </c>
      <c r="S9" s="65">
        <v>952065</v>
      </c>
      <c r="T9" s="86">
        <v>13747374290.417683</v>
      </c>
      <c r="U9" s="86">
        <v>7729000000</v>
      </c>
      <c r="V9" s="86">
        <f>3271448*1000</f>
        <v>3271448000</v>
      </c>
      <c r="W9" s="95">
        <v>46362308000</v>
      </c>
      <c r="X9" s="41">
        <f>D9/G9</f>
        <v>1.3416957861030281</v>
      </c>
      <c r="Y9" s="41">
        <f t="shared" si="3"/>
        <v>1.9539245796452096</v>
      </c>
      <c r="Z9" s="41">
        <f t="shared" si="4"/>
        <v>1.9793969841598382</v>
      </c>
      <c r="AA9" s="41">
        <f t="shared" si="5"/>
        <v>0.95963089587413286</v>
      </c>
      <c r="AB9" s="41">
        <f t="shared" si="6"/>
        <v>-376.84296765451938</v>
      </c>
      <c r="AC9" s="41">
        <f t="shared" si="7"/>
        <v>-0.14800873982559296</v>
      </c>
      <c r="AD9" s="41">
        <f t="shared" si="8"/>
        <v>0.60754835293438303</v>
      </c>
      <c r="AE9" s="87">
        <f t="shared" si="9"/>
        <v>7536.8898131955275</v>
      </c>
      <c r="AF9" s="41">
        <f t="shared" si="10"/>
        <v>9.1130816869600187E-2</v>
      </c>
      <c r="AG9" s="41">
        <f t="shared" si="11"/>
        <v>0.18395732153800454</v>
      </c>
      <c r="AH9" s="41">
        <f t="shared" si="12"/>
        <v>0.19169591384449627</v>
      </c>
      <c r="AI9" s="88">
        <f t="shared" si="13"/>
        <v>0.29652049010195269</v>
      </c>
      <c r="AJ9" s="88">
        <f t="shared" si="14"/>
        <v>0.16670869793626322</v>
      </c>
      <c r="AK9" s="5">
        <f t="shared" si="15"/>
        <v>1.6459595276164016</v>
      </c>
      <c r="AL9" s="5">
        <f t="shared" si="16"/>
        <v>1.3268072438172147E-4</v>
      </c>
      <c r="AM9" s="5">
        <f t="shared" si="17"/>
        <v>10.97323643472776</v>
      </c>
      <c r="AN9" s="5">
        <f t="shared" si="18"/>
        <v>5.4360434889970151</v>
      </c>
      <c r="AO9" s="5">
        <f t="shared" si="19"/>
        <v>5.2165952833569529</v>
      </c>
      <c r="AP9" s="5">
        <f t="shared" si="20"/>
        <v>3.3724482232447741</v>
      </c>
      <c r="AQ9" s="5">
        <f t="shared" si="21"/>
        <v>5.9984872557898825</v>
      </c>
      <c r="AR9" s="14">
        <f>IF(X9&gt;'cash outliers'!$D$19,'cash outliers'!$D$19,Dataset!X9)</f>
        <v>1.3416957861030281</v>
      </c>
      <c r="AS9" s="14">
        <f>IF(Y9&gt;'cash outliers'!$I$19,'cash outliers'!$I$19,Dataset!Y9)</f>
        <v>1.9539245796452096</v>
      </c>
      <c r="AT9" s="14">
        <f>IF(Z9&gt;'cash outliers'!$N$19,'cash outliers'!$N$19,Dataset!Z9)</f>
        <v>1.9793969841598382</v>
      </c>
    </row>
    <row r="10" spans="1:50" s="8" customFormat="1" outlineLevel="2" x14ac:dyDescent="0.25">
      <c r="A10" s="62" t="s">
        <v>177</v>
      </c>
      <c r="B10" s="71" t="s">
        <v>132</v>
      </c>
      <c r="C10" s="8">
        <v>2016</v>
      </c>
      <c r="D10" s="12">
        <f>150825+20346829+30179649</f>
        <v>50677303</v>
      </c>
      <c r="E10" s="12">
        <f>D10+5443101+5026913</f>
        <v>61147317</v>
      </c>
      <c r="F10" s="12">
        <f>E10+4011+73356+33437</f>
        <v>61258121</v>
      </c>
      <c r="G10" s="12">
        <f t="shared" si="0"/>
        <v>10551316</v>
      </c>
      <c r="H10" s="12">
        <f>45322829</f>
        <v>45322829</v>
      </c>
      <c r="I10" s="12">
        <f>-10724061</f>
        <v>-10724061</v>
      </c>
      <c r="J10" s="12">
        <f>K10-(I10+73963654)</f>
        <v>27694154</v>
      </c>
      <c r="K10" s="63">
        <f>90933747</f>
        <v>90933747</v>
      </c>
      <c r="L10" s="12">
        <f>146085651</f>
        <v>146085651</v>
      </c>
      <c r="M10" s="63">
        <f>55874145</f>
        <v>55874145</v>
      </c>
      <c r="N10" s="80">
        <f>(24256+13364)*1000000</f>
        <v>37620000000</v>
      </c>
      <c r="O10" s="13">
        <f>86753*1000000</f>
        <v>86753000000</v>
      </c>
      <c r="P10" s="13">
        <f>80987*1000000</f>
        <v>80987000000</v>
      </c>
      <c r="Q10" s="39">
        <f>H10*1000</f>
        <v>45322829000</v>
      </c>
      <c r="R10" s="64">
        <f>5702*1000000</f>
        <v>5702000000</v>
      </c>
      <c r="S10" s="65">
        <v>20612439</v>
      </c>
      <c r="T10" s="86">
        <v>253011578657.79114</v>
      </c>
      <c r="U10" s="86">
        <v>20554897746</v>
      </c>
      <c r="V10" s="86">
        <f>25174*1000000</f>
        <v>25174000000</v>
      </c>
      <c r="W10" s="95">
        <v>944443033000</v>
      </c>
      <c r="X10" s="41">
        <f t="shared" si="2"/>
        <v>4.8029367142449342</v>
      </c>
      <c r="Y10" s="41">
        <f t="shared" si="3"/>
        <v>5.7952313246992126</v>
      </c>
      <c r="Z10" s="41">
        <f t="shared" si="4"/>
        <v>5.8057327635718616</v>
      </c>
      <c r="AA10" s="41">
        <f t="shared" si="5"/>
        <v>1.0711966118018941</v>
      </c>
      <c r="AB10" s="41">
        <f t="shared" si="6"/>
        <v>276.62907819884879</v>
      </c>
      <c r="AC10" s="41">
        <f t="shared" si="7"/>
        <v>0.1161653652075658</v>
      </c>
      <c r="AD10" s="41">
        <f t="shared" si="8"/>
        <v>0.31024832822218795</v>
      </c>
      <c r="AE10" s="87">
        <f t="shared" si="9"/>
        <v>2198.8096120017626</v>
      </c>
      <c r="AF10" s="41">
        <f t="shared" si="10"/>
        <v>3.9833000705718581E-2</v>
      </c>
      <c r="AG10" s="41">
        <f t="shared" si="11"/>
        <v>9.1856254923530153E-2</v>
      </c>
      <c r="AH10" s="41">
        <f t="shared" si="12"/>
        <v>8.5751069328921611E-2</v>
      </c>
      <c r="AI10" s="88">
        <f t="shared" si="13"/>
        <v>0.26789501305770247</v>
      </c>
      <c r="AJ10" s="88">
        <f t="shared" si="14"/>
        <v>2.1764041903838155E-2</v>
      </c>
      <c r="AK10" s="5">
        <f t="shared" si="15"/>
        <v>3.2232244593557917</v>
      </c>
      <c r="AL10" s="5">
        <f t="shared" si="16"/>
        <v>4.547915356298699E-4</v>
      </c>
      <c r="AM10" s="5">
        <f t="shared" si="17"/>
        <v>25.10481214779373</v>
      </c>
      <c r="AN10" s="5">
        <f t="shared" si="18"/>
        <v>10.886574908072344</v>
      </c>
      <c r="AO10" s="5">
        <f t="shared" si="19"/>
        <v>11.661662155654611</v>
      </c>
      <c r="AP10" s="5">
        <f t="shared" si="20"/>
        <v>3.7328055815081855</v>
      </c>
      <c r="AQ10" s="5">
        <f t="shared" si="21"/>
        <v>45.947347667238546</v>
      </c>
      <c r="AR10" s="14">
        <f>IF(X10&gt;'cash outliers'!$D$19,'cash outliers'!$D$19,Dataset!X10)</f>
        <v>4.8029367142449342</v>
      </c>
      <c r="AS10" s="14">
        <f>IF(Y10&gt;'cash outliers'!$I$19,'cash outliers'!$I$19,Dataset!Y10)</f>
        <v>5.7952313246992126</v>
      </c>
      <c r="AT10" s="14">
        <f>IF(Z10&gt;'cash outliers'!$N$19,'cash outliers'!$N$19,Dataset!Z10)</f>
        <v>5.8057327635718616</v>
      </c>
    </row>
    <row r="11" spans="1:50" s="8" customFormat="1" outlineLevel="2" x14ac:dyDescent="0.25">
      <c r="A11" s="62" t="s">
        <v>178</v>
      </c>
      <c r="B11" s="71" t="s">
        <v>224</v>
      </c>
      <c r="C11" s="8">
        <v>2016</v>
      </c>
      <c r="D11" s="12">
        <f>9108598+3303109</f>
        <v>12411707</v>
      </c>
      <c r="E11" s="12">
        <f>D11+5808240</f>
        <v>18219947</v>
      </c>
      <c r="F11" s="12">
        <f>E11+474083+88031+75980+19779</f>
        <v>18877820</v>
      </c>
      <c r="G11" s="12">
        <f t="shared" si="0"/>
        <v>5817610</v>
      </c>
      <c r="H11" s="12">
        <f>6661953+1372105+15703607</f>
        <v>23737665</v>
      </c>
      <c r="I11" s="12">
        <f>-6751728</f>
        <v>-6751728</v>
      </c>
      <c r="J11" s="12">
        <f>K11-(I11+21892080)</f>
        <v>6336535</v>
      </c>
      <c r="K11" s="63">
        <f>21476887</f>
        <v>21476887</v>
      </c>
      <c r="L11" s="12">
        <f>51001464</f>
        <v>51001464</v>
      </c>
      <c r="M11" s="63">
        <f>29555275</f>
        <v>29555275</v>
      </c>
      <c r="N11" s="79">
        <f>(9799035+5730560+1307054+4165717)*1000</f>
        <v>21002366000</v>
      </c>
      <c r="O11" s="64">
        <f>50079303*1000</f>
        <v>50079303000</v>
      </c>
      <c r="P11" s="13">
        <f>46663030*1000</f>
        <v>46663030000</v>
      </c>
      <c r="Q11" s="39">
        <f>H11*1000</f>
        <v>23737665000</v>
      </c>
      <c r="R11" s="64">
        <f>3416410*1000</f>
        <v>3416410000</v>
      </c>
      <c r="S11" s="65">
        <v>10310371</v>
      </c>
      <c r="T11" s="86">
        <v>172768281435.09085</v>
      </c>
      <c r="U11" s="86">
        <v>15937642966</v>
      </c>
      <c r="V11" s="86">
        <f>14096779*1000</f>
        <v>14096779000</v>
      </c>
      <c r="W11" s="95">
        <v>431331043000</v>
      </c>
      <c r="X11" s="41">
        <f t="shared" si="2"/>
        <v>2.1334718209023982</v>
      </c>
      <c r="Y11" s="41">
        <f t="shared" si="3"/>
        <v>3.1318611938579588</v>
      </c>
      <c r="Z11" s="41">
        <f t="shared" si="4"/>
        <v>3.2449442296750726</v>
      </c>
      <c r="AA11" s="41">
        <f t="shared" si="5"/>
        <v>1.0732115552719144</v>
      </c>
      <c r="AB11" s="41">
        <f t="shared" si="6"/>
        <v>331.35665050268318</v>
      </c>
      <c r="AC11" s="41">
        <f t="shared" si="7"/>
        <v>-8.1408055266805682E-3</v>
      </c>
      <c r="AD11" s="41">
        <f t="shared" si="8"/>
        <v>0.46543105115570799</v>
      </c>
      <c r="AE11" s="87">
        <f t="shared" si="9"/>
        <v>2302.3094901240702</v>
      </c>
      <c r="AF11" s="41">
        <f t="shared" si="10"/>
        <v>4.8691988070054121E-2</v>
      </c>
      <c r="AG11" s="41">
        <f t="shared" si="11"/>
        <v>0.11610410104426451</v>
      </c>
      <c r="AH11" s="41">
        <f t="shared" si="12"/>
        <v>0.10818379700994533</v>
      </c>
      <c r="AI11" s="88">
        <f t="shared" si="13"/>
        <v>0.40054682879639353</v>
      </c>
      <c r="AJ11" s="88">
        <f t="shared" si="14"/>
        <v>3.6949909413313428E-2</v>
      </c>
      <c r="AK11" s="5">
        <f t="shared" si="15"/>
        <v>2.1485459500755444</v>
      </c>
      <c r="AL11" s="5">
        <f t="shared" si="16"/>
        <v>4.343464700508664E-4</v>
      </c>
      <c r="AM11" s="5">
        <f t="shared" si="17"/>
        <v>20.537259611607567</v>
      </c>
      <c r="AN11" s="5">
        <f t="shared" si="18"/>
        <v>8.612960188363644</v>
      </c>
      <c r="AO11" s="5">
        <f t="shared" si="19"/>
        <v>9.2435283992488273</v>
      </c>
      <c r="AP11" s="5">
        <f t="shared" si="20"/>
        <v>2.4965869858585781</v>
      </c>
      <c r="AQ11" s="5">
        <f t="shared" si="21"/>
        <v>27.063665808059866</v>
      </c>
      <c r="AR11" s="14">
        <f>IF(X11&gt;'cash outliers'!$D$19,'cash outliers'!$D$19,Dataset!X11)</f>
        <v>2.1334718209023982</v>
      </c>
      <c r="AS11" s="14">
        <f>IF(Y11&gt;'cash outliers'!$I$19,'cash outliers'!$I$19,Dataset!Y11)</f>
        <v>3.1318611938579588</v>
      </c>
      <c r="AT11" s="14">
        <f>IF(Z11&gt;'cash outliers'!$N$19,'cash outliers'!$N$19,Dataset!Z11)</f>
        <v>3.2449442296750726</v>
      </c>
    </row>
    <row r="12" spans="1:50" s="8" customFormat="1" outlineLevel="2" x14ac:dyDescent="0.25">
      <c r="A12" s="62" t="s">
        <v>179</v>
      </c>
      <c r="B12" s="71" t="s">
        <v>133</v>
      </c>
      <c r="C12" s="8">
        <v>2016</v>
      </c>
      <c r="D12" s="12">
        <f>2215107+3006594</f>
        <v>5221701</v>
      </c>
      <c r="E12" s="12">
        <f>D12+1296257</f>
        <v>6517958</v>
      </c>
      <c r="F12" s="12">
        <f>E12+206+95521+250640</f>
        <v>6864325</v>
      </c>
      <c r="G12" s="12">
        <f t="shared" si="0"/>
        <v>2356870</v>
      </c>
      <c r="H12" s="12">
        <f>10350+6458482+153727+1942943+138157+143622+175240+34910+4314247+3850758+335</f>
        <v>17222771</v>
      </c>
      <c r="I12" s="12">
        <f>-6132729</f>
        <v>-6132729</v>
      </c>
      <c r="J12" s="12">
        <f>K12-(I12+4598609)</f>
        <v>2897500</v>
      </c>
      <c r="K12" s="63">
        <f>1363380</f>
        <v>1363380</v>
      </c>
      <c r="L12" s="12">
        <f>20418474</f>
        <v>20418474</v>
      </c>
      <c r="M12" s="63">
        <f>19579641</f>
        <v>19579641</v>
      </c>
      <c r="N12" s="79">
        <f>(3192469+2160872+152760+233082+161239+89702+154690+130051+54873+14691+109072)*1000</f>
        <v>6453501000</v>
      </c>
      <c r="O12" s="13">
        <f>N12+((43840+1582886+2986842+193179)*1000)</f>
        <v>11260248000</v>
      </c>
      <c r="P12" s="13">
        <f>10772412*1000</f>
        <v>10772412000</v>
      </c>
      <c r="Q12" s="39">
        <f t="shared" si="22"/>
        <v>17222771000</v>
      </c>
      <c r="R12" s="64">
        <f>474536*1000</f>
        <v>474536000</v>
      </c>
      <c r="S12" s="65">
        <v>1428557</v>
      </c>
      <c r="T12" s="86">
        <v>44009934586.484474</v>
      </c>
      <c r="U12" s="86">
        <v>9065926000</v>
      </c>
      <c r="V12" s="86">
        <f>8667415*1000</f>
        <v>8667415000</v>
      </c>
      <c r="W12" s="95">
        <v>72214987000</v>
      </c>
      <c r="X12" s="41">
        <f t="shared" si="2"/>
        <v>2.2155235545447987</v>
      </c>
      <c r="Y12" s="41">
        <f t="shared" si="3"/>
        <v>2.765514432276706</v>
      </c>
      <c r="Z12" s="41">
        <f t="shared" si="4"/>
        <v>2.9124750198356293</v>
      </c>
      <c r="AA12" s="41">
        <f t="shared" si="5"/>
        <v>1.0452856797530581</v>
      </c>
      <c r="AB12" s="41">
        <f t="shared" si="6"/>
        <v>332.17855500340551</v>
      </c>
      <c r="AC12" s="41">
        <f t="shared" si="7"/>
        <v>-0.15844616987537855</v>
      </c>
      <c r="AD12" s="41">
        <f t="shared" si="8"/>
        <v>0.84348962611015887</v>
      </c>
      <c r="AE12" s="87">
        <f t="shared" si="9"/>
        <v>12056.061466220808</v>
      </c>
      <c r="AF12" s="41">
        <f t="shared" si="10"/>
        <v>8.9365120290058345E-2</v>
      </c>
      <c r="AG12" s="41">
        <f t="shared" si="11"/>
        <v>0.15592674689535013</v>
      </c>
      <c r="AH12" s="41">
        <f t="shared" si="12"/>
        <v>0.14917141783879292</v>
      </c>
      <c r="AI12" s="88">
        <f t="shared" si="13"/>
        <v>0.60942937767868699</v>
      </c>
      <c r="AJ12" s="88">
        <f t="shared" si="14"/>
        <v>0.12554078282947001</v>
      </c>
      <c r="AK12" s="5">
        <f t="shared" si="15"/>
        <v>1.1855510358931207</v>
      </c>
      <c r="AL12" s="5">
        <f t="shared" si="16"/>
        <v>8.2945827939069733E-5</v>
      </c>
      <c r="AM12" s="5">
        <f t="shared" si="17"/>
        <v>11.19004816145531</v>
      </c>
      <c r="AN12" s="5">
        <f t="shared" si="18"/>
        <v>6.4132678960534442</v>
      </c>
      <c r="AO12" s="5">
        <f t="shared" si="19"/>
        <v>6.7036970921646892</v>
      </c>
      <c r="AP12" s="5">
        <f t="shared" si="20"/>
        <v>1.6408792168979354</v>
      </c>
      <c r="AQ12" s="5">
        <f t="shared" si="21"/>
        <v>7.9655389863098378</v>
      </c>
      <c r="AR12" s="14">
        <f>IF(X12&gt;'cash outliers'!$D$19,'cash outliers'!$D$19,Dataset!X12)</f>
        <v>2.2155235545447987</v>
      </c>
      <c r="AS12" s="14">
        <f>IF(Y12&gt;'cash outliers'!$I$19,'cash outliers'!$I$19,Dataset!Y12)</f>
        <v>2.765514432276706</v>
      </c>
      <c r="AT12" s="14">
        <f>IF(Z12&gt;'cash outliers'!$N$19,'cash outliers'!$N$19,Dataset!Z12)</f>
        <v>2.9124750198356293</v>
      </c>
    </row>
    <row r="13" spans="1:50" s="8" customFormat="1" outlineLevel="2" x14ac:dyDescent="0.25">
      <c r="A13" s="62" t="s">
        <v>180</v>
      </c>
      <c r="B13" s="71" t="s">
        <v>53</v>
      </c>
      <c r="C13" s="8">
        <v>2016</v>
      </c>
      <c r="D13" s="12">
        <f>553234+2073402+2468357</f>
        <v>5094993</v>
      </c>
      <c r="E13" s="12">
        <f>D13+234417+499677+393383</f>
        <v>6222470</v>
      </c>
      <c r="F13" s="12">
        <f>E13+91152+32293+303914+1486</f>
        <v>6651315</v>
      </c>
      <c r="G13" s="12">
        <f t="shared" si="0"/>
        <v>1427153</v>
      </c>
      <c r="H13" s="12">
        <f>1621504</f>
        <v>1621504</v>
      </c>
      <c r="I13" s="12">
        <f>1154591</f>
        <v>1154591</v>
      </c>
      <c r="J13" s="12">
        <f>K13-(I13+6557895)</f>
        <v>4373060</v>
      </c>
      <c r="K13" s="63">
        <f>12085546</f>
        <v>12085546</v>
      </c>
      <c r="L13" s="12">
        <f>15108121</f>
        <v>15108121</v>
      </c>
      <c r="M13" s="63">
        <f>3048657</f>
        <v>3048657</v>
      </c>
      <c r="N13" s="79">
        <f>(1580542+1518740+587288)*1000</f>
        <v>3686570000</v>
      </c>
      <c r="O13" s="13">
        <f>8640796*1000</f>
        <v>8640796000</v>
      </c>
      <c r="P13" s="13">
        <f>8236717*1000</f>
        <v>8236717000</v>
      </c>
      <c r="Q13" s="39">
        <f t="shared" si="22"/>
        <v>1621504000</v>
      </c>
      <c r="R13" s="13">
        <f>404079*1000</f>
        <v>404079000</v>
      </c>
      <c r="S13" s="65">
        <v>1683140</v>
      </c>
      <c r="T13" s="86">
        <v>23784176475.891048</v>
      </c>
      <c r="U13" s="86">
        <v>115982000</v>
      </c>
      <c r="V13" s="86">
        <f>1228927*1000</f>
        <v>1228927000</v>
      </c>
      <c r="W13" s="95">
        <v>65823005000</v>
      </c>
      <c r="X13" s="41">
        <f t="shared" si="2"/>
        <v>3.5700397925099834</v>
      </c>
      <c r="Y13" s="41">
        <f t="shared" si="3"/>
        <v>4.3600581016891669</v>
      </c>
      <c r="Z13" s="41">
        <f t="shared" si="4"/>
        <v>4.6605479580675651</v>
      </c>
      <c r="AA13" s="41">
        <f t="shared" si="5"/>
        <v>1.0490582594982929</v>
      </c>
      <c r="AB13" s="41">
        <f t="shared" si="6"/>
        <v>240.0745036063548</v>
      </c>
      <c r="AC13" s="41">
        <f t="shared" si="7"/>
        <v>0.36587283090994571</v>
      </c>
      <c r="AD13" s="41">
        <f t="shared" si="8"/>
        <v>0.10732664902538178</v>
      </c>
      <c r="AE13" s="87">
        <f t="shared" si="9"/>
        <v>963.38034863410053</v>
      </c>
      <c r="AF13" s="41">
        <f t="shared" si="10"/>
        <v>5.6007318413980038E-2</v>
      </c>
      <c r="AG13" s="41">
        <f t="shared" si="11"/>
        <v>0.13127319240438809</v>
      </c>
      <c r="AH13" s="41">
        <f t="shared" si="12"/>
        <v>0.12513432044009537</v>
      </c>
      <c r="AI13" s="88">
        <f t="shared" si="13"/>
        <v>0.36133531849375533</v>
      </c>
      <c r="AJ13" s="88">
        <f t="shared" si="14"/>
        <v>1.7620283364455937E-3</v>
      </c>
      <c r="AK13" s="5">
        <f t="shared" si="15"/>
        <v>9.3173504351515639</v>
      </c>
      <c r="AL13" s="5">
        <f t="shared" si="16"/>
        <v>1.0380116237764447E-3</v>
      </c>
      <c r="AM13" s="5">
        <f t="shared" si="17"/>
        <v>17.854809484154647</v>
      </c>
      <c r="AN13" s="5">
        <f t="shared" si="18"/>
        <v>7.6177015404599304</v>
      </c>
      <c r="AO13" s="5">
        <f t="shared" si="19"/>
        <v>7.9914127194123585</v>
      </c>
      <c r="AP13" s="5">
        <f t="shared" si="20"/>
        <v>2.767512470600856</v>
      </c>
      <c r="AQ13" s="5">
        <f t="shared" si="21"/>
        <v>567.52776292873034</v>
      </c>
      <c r="AR13" s="14">
        <f>IF(X13&gt;'cash outliers'!$D$19,'cash outliers'!$D$19,Dataset!X13)</f>
        <v>3.5700397925099834</v>
      </c>
      <c r="AS13" s="14">
        <f>IF(Y13&gt;'cash outliers'!$I$19,'cash outliers'!$I$19,Dataset!Y13)</f>
        <v>4.3600581016891669</v>
      </c>
      <c r="AT13" s="14">
        <f>IF(Z13&gt;'cash outliers'!$N$19,'cash outliers'!$N$19,Dataset!Z13)</f>
        <v>4.6605479580675651</v>
      </c>
    </row>
    <row r="14" spans="1:50" s="8" customFormat="1" outlineLevel="2" x14ac:dyDescent="0.25">
      <c r="A14" s="62" t="s">
        <v>181</v>
      </c>
      <c r="B14" s="71" t="s">
        <v>54</v>
      </c>
      <c r="C14" s="8">
        <v>2016</v>
      </c>
      <c r="D14" s="12">
        <f>10026463+509616+1375425</f>
        <v>11911504</v>
      </c>
      <c r="E14" s="12">
        <f>D14+2321149+2642651+1204591+1723617</f>
        <v>19803512</v>
      </c>
      <c r="F14" s="12">
        <f>E14+108553+10308+7735+19575+1633661+2396427+87374+451459</f>
        <v>24518604</v>
      </c>
      <c r="G14" s="12">
        <f t="shared" si="0"/>
        <v>21606968</v>
      </c>
      <c r="H14" s="12">
        <f>2949759+161116929</f>
        <v>164066688</v>
      </c>
      <c r="I14" s="12">
        <f>-151122780</f>
        <v>-151122780</v>
      </c>
      <c r="J14" s="12">
        <f>K14-(I14+15587838)</f>
        <v>8807892</v>
      </c>
      <c r="K14" s="63">
        <f>-126727050</f>
        <v>-126727050</v>
      </c>
      <c r="L14" s="12">
        <f>49782754</f>
        <v>49782754</v>
      </c>
      <c r="M14" s="63">
        <f>185673656</f>
        <v>185673656</v>
      </c>
      <c r="N14" s="79">
        <f>(16897452+11165310+1322372+1427368+485024+1376128+2742805)*1000</f>
        <v>35416459000</v>
      </c>
      <c r="O14" s="64">
        <f>N14+((137031+762820+8550058+21194325+1531259)*1000)</f>
        <v>67591952000</v>
      </c>
      <c r="P14" s="13">
        <f>73353956*1000</f>
        <v>73353956000</v>
      </c>
      <c r="Q14" s="39">
        <f t="shared" si="22"/>
        <v>164066688000</v>
      </c>
      <c r="R14" s="13">
        <f>-5762004*1000</f>
        <v>-5762004000</v>
      </c>
      <c r="S14" s="65">
        <v>12801539</v>
      </c>
      <c r="T14" s="86">
        <v>445794295557.24823</v>
      </c>
      <c r="U14" s="86">
        <v>51898621000</v>
      </c>
      <c r="V14" s="86">
        <f>31256694*1000</f>
        <v>31256694000</v>
      </c>
      <c r="W14" s="95">
        <v>666935503000</v>
      </c>
      <c r="X14" s="41">
        <f t="shared" si="2"/>
        <v>0.55128067945488701</v>
      </c>
      <c r="Y14" s="41">
        <f t="shared" si="3"/>
        <v>0.91653359231151732</v>
      </c>
      <c r="Z14" s="41">
        <f t="shared" si="4"/>
        <v>1.134754492161973</v>
      </c>
      <c r="AA14" s="41">
        <f t="shared" si="5"/>
        <v>0.9214493080645848</v>
      </c>
      <c r="AB14" s="41">
        <f t="shared" si="6"/>
        <v>-450.10244471387387</v>
      </c>
      <c r="AC14" s="41">
        <f t="shared" si="7"/>
        <v>-2.85871866389714</v>
      </c>
      <c r="AD14" s="41">
        <f t="shared" si="8"/>
        <v>3.2956531091068202</v>
      </c>
      <c r="AE14" s="87">
        <f t="shared" si="9"/>
        <v>12816.169055923667</v>
      </c>
      <c r="AF14" s="41">
        <f t="shared" si="10"/>
        <v>5.3103274365647317E-2</v>
      </c>
      <c r="AG14" s="41">
        <f t="shared" si="11"/>
        <v>0.10134705934225846</v>
      </c>
      <c r="AH14" s="41">
        <f t="shared" si="12"/>
        <v>0.10998658141610435</v>
      </c>
      <c r="AI14" s="88">
        <f t="shared" si="13"/>
        <v>0.66842189919712258</v>
      </c>
      <c r="AJ14" s="88">
        <f t="shared" si="14"/>
        <v>7.7816551625382577E-2</v>
      </c>
      <c r="AK14" s="5">
        <f t="shared" si="15"/>
        <v>0.30342999305258117</v>
      </c>
      <c r="AL14" s="5">
        <f t="shared" si="16"/>
        <v>7.8026436420780307E-5</v>
      </c>
      <c r="AM14" s="5">
        <f t="shared" si="17"/>
        <v>18.831230502179793</v>
      </c>
      <c r="AN14" s="5">
        <f t="shared" si="18"/>
        <v>9.8670845162157779</v>
      </c>
      <c r="AO14" s="5">
        <f t="shared" si="19"/>
        <v>9.0920182000818048</v>
      </c>
      <c r="AP14" s="5">
        <f t="shared" si="20"/>
        <v>1.4960610973415946</v>
      </c>
      <c r="AQ14" s="5">
        <f t="shared" si="21"/>
        <v>12.850736496447565</v>
      </c>
      <c r="AR14" s="14">
        <f>IF(X14&gt;'cash outliers'!$D$19,'cash outliers'!$D$19,Dataset!X14)</f>
        <v>0.55128067945488701</v>
      </c>
      <c r="AS14" s="14">
        <f>IF(Y14&gt;'cash outliers'!$I$19,'cash outliers'!$I$19,Dataset!Y14)</f>
        <v>0.91653359231151732</v>
      </c>
      <c r="AT14" s="14">
        <f>IF(Z14&gt;'cash outliers'!$N$19,'cash outliers'!$N$19,Dataset!Z14)</f>
        <v>1.134754492161973</v>
      </c>
    </row>
    <row r="15" spans="1:50" s="8" customFormat="1" outlineLevel="2" x14ac:dyDescent="0.25">
      <c r="A15" s="62" t="s">
        <v>182</v>
      </c>
      <c r="B15" s="71" t="s">
        <v>56</v>
      </c>
      <c r="C15" s="8">
        <v>2016</v>
      </c>
      <c r="D15" s="12">
        <f>6222265</f>
        <v>6222265</v>
      </c>
      <c r="E15" s="12">
        <f>D15+3135385</f>
        <v>9357650</v>
      </c>
      <c r="F15" s="12">
        <f>E15+2217324+15485+4366+83539+455496+34471+1491</f>
        <v>12169822</v>
      </c>
      <c r="G15" s="12">
        <f t="shared" si="0"/>
        <v>4543359</v>
      </c>
      <c r="H15" s="12">
        <f>14296688</f>
        <v>14296688</v>
      </c>
      <c r="I15" s="12">
        <f>-5130564</f>
        <v>-5130564</v>
      </c>
      <c r="J15" s="12">
        <f>K15-(I15+14900559)</f>
        <v>1383913</v>
      </c>
      <c r="K15" s="63">
        <f>11153908</f>
        <v>11153908</v>
      </c>
      <c r="L15" s="12">
        <f>28658787</f>
        <v>28658787</v>
      </c>
      <c r="M15" s="63">
        <f>18840047</f>
        <v>18840047</v>
      </c>
      <c r="N15" s="79">
        <f>(6234.7+7336.6)*1000000</f>
        <v>13571300000</v>
      </c>
      <c r="O15" s="13">
        <f>32393.4*1000000</f>
        <v>32393400000</v>
      </c>
      <c r="P15" s="13">
        <f>32488468*1000</f>
        <v>32488468000</v>
      </c>
      <c r="Q15" s="39">
        <f t="shared" si="22"/>
        <v>14296688000</v>
      </c>
      <c r="R15" s="13">
        <f>-94984*1000</f>
        <v>-94984000</v>
      </c>
      <c r="S15" s="65">
        <v>6633053</v>
      </c>
      <c r="T15" s="86">
        <v>67109979238.652321</v>
      </c>
      <c r="U15" s="86">
        <v>339447000</v>
      </c>
      <c r="V15" s="86">
        <f>1000258*1000</f>
        <v>1000258000</v>
      </c>
      <c r="W15" s="95">
        <v>288486508000</v>
      </c>
      <c r="X15" s="41">
        <f t="shared" si="2"/>
        <v>1.3695296805733379</v>
      </c>
      <c r="Y15" s="41">
        <f t="shared" si="3"/>
        <v>2.0596325317898057</v>
      </c>
      <c r="Z15" s="41">
        <f t="shared" si="4"/>
        <v>2.6785957262016935</v>
      </c>
      <c r="AA15" s="41">
        <f t="shared" si="5"/>
        <v>0.99707379246075867</v>
      </c>
      <c r="AB15" s="41">
        <f t="shared" si="6"/>
        <v>-14.319801153405528</v>
      </c>
      <c r="AC15" s="41">
        <f t="shared" si="7"/>
        <v>-0.13073306277756974</v>
      </c>
      <c r="AD15" s="41">
        <f t="shared" si="8"/>
        <v>0.49885879678019868</v>
      </c>
      <c r="AE15" s="87">
        <f t="shared" si="9"/>
        <v>2155.3706867712349</v>
      </c>
      <c r="AF15" s="41">
        <f t="shared" si="10"/>
        <v>4.7043101232311355E-2</v>
      </c>
      <c r="AG15" s="41">
        <f t="shared" si="11"/>
        <v>0.11228740028285829</v>
      </c>
      <c r="AH15" s="41">
        <f t="shared" si="12"/>
        <v>0.1126169408241442</v>
      </c>
      <c r="AI15" s="88">
        <f t="shared" si="13"/>
        <v>0.23262779151755797</v>
      </c>
      <c r="AJ15" s="88">
        <f t="shared" si="14"/>
        <v>1.1766477481158322E-3</v>
      </c>
      <c r="AK15" s="5">
        <f t="shared" si="15"/>
        <v>2.0045752554717571</v>
      </c>
      <c r="AL15" s="5">
        <f t="shared" si="16"/>
        <v>4.6395731654772068E-4</v>
      </c>
      <c r="AM15" s="5">
        <f t="shared" si="17"/>
        <v>21.257101972545005</v>
      </c>
      <c r="AN15" s="5">
        <f t="shared" si="18"/>
        <v>8.9057186957837082</v>
      </c>
      <c r="AO15" s="5">
        <f t="shared" si="19"/>
        <v>8.8796587145937433</v>
      </c>
      <c r="AP15" s="5">
        <f t="shared" si="20"/>
        <v>4.2987125204450187</v>
      </c>
      <c r="AQ15" s="5">
        <f t="shared" si="21"/>
        <v>849.87202125810506</v>
      </c>
      <c r="AR15" s="14">
        <f>IF(X15&gt;'cash outliers'!$D$19,'cash outliers'!$D$19,Dataset!X15)</f>
        <v>1.3695296805733379</v>
      </c>
      <c r="AS15" s="14">
        <f>IF(Y15&gt;'cash outliers'!$I$19,'cash outliers'!$I$19,Dataset!Y15)</f>
        <v>2.0596325317898057</v>
      </c>
      <c r="AT15" s="14">
        <f>IF(Z15&gt;'cash outliers'!$N$19,'cash outliers'!$N$19,Dataset!Z15)</f>
        <v>2.6785957262016935</v>
      </c>
    </row>
    <row r="16" spans="1:50" outlineLevel="2" x14ac:dyDescent="0.25">
      <c r="A16" s="62" t="s">
        <v>183</v>
      </c>
      <c r="B16" s="71" t="s">
        <v>58</v>
      </c>
      <c r="C16" s="8">
        <v>2016</v>
      </c>
      <c r="D16" s="12">
        <f>3623106</f>
        <v>3623106</v>
      </c>
      <c r="E16" s="12">
        <f>D16+2519196+3366+11957</f>
        <v>6157625</v>
      </c>
      <c r="F16" s="12">
        <v>6443469</v>
      </c>
      <c r="G16" s="12">
        <f t="shared" si="0"/>
        <v>2605543</v>
      </c>
      <c r="H16" s="12">
        <f>5191374</f>
        <v>5191374</v>
      </c>
      <c r="I16" s="12">
        <f>1008560</f>
        <v>1008560</v>
      </c>
      <c r="J16" s="12">
        <f>K16-(I16+12352892)</f>
        <v>2710931</v>
      </c>
      <c r="K16" s="63">
        <f>16072383</f>
        <v>16072383</v>
      </c>
      <c r="L16" s="12">
        <f>23738935</f>
        <v>23738935</v>
      </c>
      <c r="M16" s="63">
        <f>7796917</f>
        <v>7796917</v>
      </c>
      <c r="N16" s="79">
        <f>(3542.4+374.6+2758.4+810.6+678+361)*1000000</f>
        <v>8525000000</v>
      </c>
      <c r="O16" s="64">
        <f>21673.1*1000000</f>
        <v>21673100000</v>
      </c>
      <c r="P16" s="13">
        <f>21102080*1000</f>
        <v>21102080000</v>
      </c>
      <c r="Q16" s="39">
        <f>H16*1000</f>
        <v>5191374000</v>
      </c>
      <c r="R16" s="13">
        <f>571097*1000</f>
        <v>571097000</v>
      </c>
      <c r="S16" s="65">
        <v>3134693</v>
      </c>
      <c r="T16" s="86">
        <v>56391554127.848923</v>
      </c>
      <c r="U16" s="86">
        <v>643300000</v>
      </c>
      <c r="V16" s="86">
        <f>3648776*1000</f>
        <v>3648776000</v>
      </c>
      <c r="W16" s="95">
        <v>146685133000</v>
      </c>
      <c r="X16" s="41">
        <f t="shared" si="2"/>
        <v>1.3905377880925396</v>
      </c>
      <c r="Y16" s="41">
        <f t="shared" si="3"/>
        <v>2.3632789787004089</v>
      </c>
      <c r="Z16" s="41">
        <f t="shared" si="4"/>
        <v>2.4729850937021571</v>
      </c>
      <c r="AA16" s="41">
        <f t="shared" si="5"/>
        <v>1.0270598917263132</v>
      </c>
      <c r="AB16" s="41">
        <f t="shared" si="6"/>
        <v>182.18594292965849</v>
      </c>
      <c r="AC16" s="41">
        <f t="shared" si="7"/>
        <v>0.15668314522113144</v>
      </c>
      <c r="AD16" s="41">
        <f t="shared" si="8"/>
        <v>0.21868605310221373</v>
      </c>
      <c r="AE16" s="87">
        <f t="shared" si="9"/>
        <v>1656.1028464350416</v>
      </c>
      <c r="AF16" s="41">
        <f t="shared" si="10"/>
        <v>5.8117682587505305E-2</v>
      </c>
      <c r="AG16" s="41">
        <f t="shared" si="11"/>
        <v>0.14775253331228871</v>
      </c>
      <c r="AH16" s="41">
        <f t="shared" si="12"/>
        <v>0.1438597052640638</v>
      </c>
      <c r="AI16" s="88">
        <f t="shared" si="13"/>
        <v>0.38443946550363028</v>
      </c>
      <c r="AJ16" s="88">
        <f t="shared" si="14"/>
        <v>4.385584188685298E-3</v>
      </c>
      <c r="AK16" s="5">
        <f t="shared" si="15"/>
        <v>4.5727653218589142</v>
      </c>
      <c r="AL16" s="5">
        <f t="shared" si="16"/>
        <v>6.038272334068014E-4</v>
      </c>
      <c r="AM16" s="5">
        <f t="shared" si="17"/>
        <v>17.206467214076248</v>
      </c>
      <c r="AN16" s="5">
        <f t="shared" si="18"/>
        <v>6.7680734643405875</v>
      </c>
      <c r="AO16" s="5">
        <f t="shared" si="19"/>
        <v>6.9512167994813785</v>
      </c>
      <c r="AP16" s="5">
        <f t="shared" si="20"/>
        <v>2.6011897573782186</v>
      </c>
      <c r="AQ16" s="5">
        <f t="shared" si="21"/>
        <v>228.01979325353645</v>
      </c>
      <c r="AR16" s="14">
        <f>IF(X16&gt;'cash outliers'!$D$19,'cash outliers'!$D$19,Dataset!X16)</f>
        <v>1.3905377880925396</v>
      </c>
      <c r="AS16" s="14">
        <f>IF(Y16&gt;'cash outliers'!$I$19,'cash outliers'!$I$19,Dataset!Y16)</f>
        <v>2.3632789787004089</v>
      </c>
      <c r="AT16" s="14">
        <f>IF(Z16&gt;'cash outliers'!$N$19,'cash outliers'!$N$19,Dataset!Z16)</f>
        <v>2.4729850937021571</v>
      </c>
    </row>
    <row r="17" spans="1:46" outlineLevel="2" x14ac:dyDescent="0.25">
      <c r="A17" s="62" t="s">
        <v>184</v>
      </c>
      <c r="B17" s="71" t="s">
        <v>59</v>
      </c>
      <c r="C17" s="8">
        <v>2016</v>
      </c>
      <c r="D17" s="12">
        <f>1459765+190462</f>
        <v>1650227</v>
      </c>
      <c r="E17" s="12">
        <f>D17+1647553</f>
        <v>3297780</v>
      </c>
      <c r="F17" s="12">
        <f>E17+45833</f>
        <v>3343613</v>
      </c>
      <c r="G17" s="12">
        <f t="shared" si="0"/>
        <v>2064030</v>
      </c>
      <c r="H17" s="12">
        <f>2175+7343860</f>
        <v>7346035</v>
      </c>
      <c r="I17" s="12">
        <f>-3135453</f>
        <v>-3135453</v>
      </c>
      <c r="J17" s="12">
        <f>K17-(I17+9684409)</f>
        <v>2291399</v>
      </c>
      <c r="K17" s="63">
        <f>8840355</f>
        <v>8840355</v>
      </c>
      <c r="L17" s="12">
        <f>17917543</f>
        <v>17917543</v>
      </c>
      <c r="M17" s="63">
        <f>9410065</f>
        <v>9410065</v>
      </c>
      <c r="N17" s="79">
        <f>(646985+2633381+3758095+299421)*1000</f>
        <v>7337882000</v>
      </c>
      <c r="O17" s="13">
        <f>N17+((45228+510909+1899427+3719379+176976)*1000)</f>
        <v>13689801000</v>
      </c>
      <c r="P17" s="13">
        <f>14512476*1000</f>
        <v>14512476000</v>
      </c>
      <c r="Q17" s="39">
        <f>H17*1000</f>
        <v>7346035000</v>
      </c>
      <c r="R17" s="13">
        <f>-822675*1000</f>
        <v>-822675000</v>
      </c>
      <c r="S17" s="65">
        <v>2907289</v>
      </c>
      <c r="T17" s="86">
        <v>46981212499.132339</v>
      </c>
      <c r="U17" s="86">
        <v>5657000</v>
      </c>
      <c r="V17" s="86">
        <f>(7135763+609726)*1000</f>
        <v>7745489000</v>
      </c>
      <c r="W17" s="95">
        <v>141112300000</v>
      </c>
      <c r="X17" s="41">
        <f t="shared" si="2"/>
        <v>0.79951696438520758</v>
      </c>
      <c r="Y17" s="41">
        <f t="shared" si="3"/>
        <v>1.597738404965044</v>
      </c>
      <c r="Z17" s="41">
        <f t="shared" si="4"/>
        <v>1.6199439930621164</v>
      </c>
      <c r="AA17" s="41">
        <f t="shared" si="5"/>
        <v>0.94331256775205008</v>
      </c>
      <c r="AB17" s="41">
        <f t="shared" si="6"/>
        <v>-282.96980451547819</v>
      </c>
      <c r="AC17" s="41">
        <f t="shared" si="7"/>
        <v>-4.7107686584036662E-2</v>
      </c>
      <c r="AD17" s="41">
        <f t="shared" si="8"/>
        <v>0.40999120247681281</v>
      </c>
      <c r="AE17" s="87">
        <f t="shared" si="9"/>
        <v>2526.7646250510356</v>
      </c>
      <c r="AF17" s="41">
        <f t="shared" si="10"/>
        <v>5.200030046990943E-2</v>
      </c>
      <c r="AG17" s="41">
        <f t="shared" si="11"/>
        <v>9.7013520437268755E-2</v>
      </c>
      <c r="AH17" s="41">
        <f t="shared" si="12"/>
        <v>0.10284345163391143</v>
      </c>
      <c r="AI17" s="88">
        <f t="shared" si="13"/>
        <v>0.33293492132955343</v>
      </c>
      <c r="AJ17" s="88">
        <f t="shared" si="14"/>
        <v>4.0088638623280892E-5</v>
      </c>
      <c r="AK17" s="5">
        <f t="shared" si="15"/>
        <v>2.4390767264245268</v>
      </c>
      <c r="AL17" s="5">
        <f t="shared" si="16"/>
        <v>3.957630204593362E-4</v>
      </c>
      <c r="AM17" s="5">
        <f t="shared" si="17"/>
        <v>19.230658110882676</v>
      </c>
      <c r="AN17" s="5">
        <f t="shared" si="18"/>
        <v>10.307841582211458</v>
      </c>
      <c r="AO17" s="5">
        <f t="shared" si="19"/>
        <v>9.7235165108972446</v>
      </c>
      <c r="AP17" s="5">
        <f t="shared" si="20"/>
        <v>3.0035899989300208</v>
      </c>
      <c r="AQ17" s="5">
        <f t="shared" si="21"/>
        <v>24944.723351599787</v>
      </c>
      <c r="AR17" s="14">
        <f>IF(X17&gt;'cash outliers'!$D$19,'cash outliers'!$D$19,Dataset!X17)</f>
        <v>0.79951696438520758</v>
      </c>
      <c r="AS17" s="14">
        <f>IF(Y17&gt;'cash outliers'!$I$19,'cash outliers'!$I$19,Dataset!Y17)</f>
        <v>1.597738404965044</v>
      </c>
      <c r="AT17" s="14">
        <f>IF(Z17&gt;'cash outliers'!$N$19,'cash outliers'!$N$19,Dataset!Z17)</f>
        <v>1.6199439930621164</v>
      </c>
    </row>
    <row r="18" spans="1:46" outlineLevel="3" x14ac:dyDescent="0.25">
      <c r="A18" s="62" t="s">
        <v>185</v>
      </c>
      <c r="B18" s="71" t="s">
        <v>60</v>
      </c>
      <c r="C18" s="8">
        <v>2016</v>
      </c>
      <c r="D18" s="12">
        <f>1584369+183134+16136+1878053</f>
        <v>3661692</v>
      </c>
      <c r="E18" s="12">
        <f>D18+2558938+5177+167775</f>
        <v>6393582</v>
      </c>
      <c r="F18" s="12">
        <f>E18+865045+95001+9862+2524+383</f>
        <v>7366397</v>
      </c>
      <c r="G18" s="12">
        <f t="shared" si="0"/>
        <v>4198041</v>
      </c>
      <c r="H18" s="12">
        <f>44192238</f>
        <v>44192238</v>
      </c>
      <c r="I18" s="12">
        <f>-38058042</f>
        <v>-38058042</v>
      </c>
      <c r="J18" s="12">
        <f>K18-(I18+22249836)</f>
        <v>1216974</v>
      </c>
      <c r="K18" s="63">
        <f>-14591232</f>
        <v>-14591232</v>
      </c>
      <c r="L18" s="12">
        <f>32080162</f>
        <v>32080162</v>
      </c>
      <c r="M18" s="63">
        <f>48390279</f>
        <v>48390279</v>
      </c>
      <c r="N18" s="79">
        <f>(4801048+5787853+584823+441538)*1000</f>
        <v>11615262000</v>
      </c>
      <c r="O18" s="13">
        <f>27056222*1000</f>
        <v>27056222000</v>
      </c>
      <c r="P18" s="13">
        <f>27609826*1000</f>
        <v>27609826000</v>
      </c>
      <c r="Q18" s="39">
        <f>H18*1000</f>
        <v>44192238000</v>
      </c>
      <c r="R18" s="13">
        <f>-553604*1000</f>
        <v>-553604000</v>
      </c>
      <c r="S18" s="65">
        <v>4436974</v>
      </c>
      <c r="T18" s="89">
        <v>106589790014.73779</v>
      </c>
      <c r="U18" s="86">
        <v>5915484404</v>
      </c>
      <c r="V18" s="86">
        <f>7692612*1000</f>
        <v>7692612000</v>
      </c>
      <c r="W18" s="95">
        <v>175258173000</v>
      </c>
      <c r="X18" s="41">
        <f t="shared" si="2"/>
        <v>0.87223826541951355</v>
      </c>
      <c r="Y18" s="41">
        <f t="shared" si="3"/>
        <v>1.5229917954588819</v>
      </c>
      <c r="Z18" s="41">
        <f t="shared" si="4"/>
        <v>1.7547225003281293</v>
      </c>
      <c r="AA18" s="41">
        <f t="shared" si="5"/>
        <v>0.97994902249655613</v>
      </c>
      <c r="AB18" s="41">
        <f t="shared" si="6"/>
        <v>-124.7706206977999</v>
      </c>
      <c r="AC18" s="41">
        <f t="shared" si="7"/>
        <v>-1.1484065448297922</v>
      </c>
      <c r="AD18" s="41">
        <f t="shared" si="8"/>
        <v>1.3775565721893799</v>
      </c>
      <c r="AE18" s="87">
        <f t="shared" si="9"/>
        <v>9959.9948072718034</v>
      </c>
      <c r="AF18" s="41">
        <f t="shared" si="10"/>
        <v>6.6275151687219744E-2</v>
      </c>
      <c r="AG18" s="41">
        <f t="shared" si="11"/>
        <v>0.15437923114718308</v>
      </c>
      <c r="AH18" s="41">
        <f t="shared" si="12"/>
        <v>0.15753802249210941</v>
      </c>
      <c r="AI18" s="88">
        <f t="shared" si="13"/>
        <v>0.60818727132764183</v>
      </c>
      <c r="AJ18" s="88">
        <f t="shared" si="14"/>
        <v>3.3752973129532737E-2</v>
      </c>
      <c r="AK18" s="5">
        <f t="shared" si="15"/>
        <v>0.72592300032417456</v>
      </c>
      <c r="AL18" s="5">
        <f t="shared" si="16"/>
        <v>1.0040165877093619E-4</v>
      </c>
      <c r="AM18" s="5">
        <f t="shared" si="17"/>
        <v>15.088611259909591</v>
      </c>
      <c r="AN18" s="5">
        <f t="shared" si="18"/>
        <v>6.4775552551276379</v>
      </c>
      <c r="AO18" s="5">
        <f t="shared" si="19"/>
        <v>6.3476739404297584</v>
      </c>
      <c r="AP18" s="5">
        <f t="shared" si="20"/>
        <v>1.6442303993259362</v>
      </c>
      <c r="AQ18" s="5">
        <f t="shared" si="21"/>
        <v>29.627019704674044</v>
      </c>
      <c r="AR18" s="14">
        <f>IF(X18&gt;'cash outliers'!$D$19,'cash outliers'!$D$19,Dataset!X18)</f>
        <v>0.87223826541951355</v>
      </c>
      <c r="AS18" s="14">
        <f>IF(Y18&gt;'cash outliers'!$I$19,'cash outliers'!$I$19,Dataset!Y18)</f>
        <v>1.5229917954588819</v>
      </c>
      <c r="AT18" s="14">
        <f>IF(Z18&gt;'cash outliers'!$N$19,'cash outliers'!$N$19,Dataset!Z18)</f>
        <v>1.7547225003281293</v>
      </c>
    </row>
    <row r="19" spans="1:46" s="8" customFormat="1" outlineLevel="3" x14ac:dyDescent="0.25">
      <c r="A19" s="62" t="s">
        <v>186</v>
      </c>
      <c r="B19" s="71" t="s">
        <v>61</v>
      </c>
      <c r="C19" s="8">
        <v>2016</v>
      </c>
      <c r="D19" s="12">
        <f>2988197+3905098</f>
        <v>6893295</v>
      </c>
      <c r="E19" s="12">
        <f>D19+3339665+640043</f>
        <v>10873003</v>
      </c>
      <c r="F19" s="12">
        <f>E19+77256+413435+4705+1979521+53928</f>
        <v>13401848</v>
      </c>
      <c r="G19" s="12">
        <f t="shared" si="0"/>
        <v>5414532</v>
      </c>
      <c r="H19" s="12">
        <f>193242+2835+4678+7958683+2926738+6143742+14423+1991573+112722</f>
        <v>19348636</v>
      </c>
      <c r="I19" s="12">
        <f>-11801088</f>
        <v>-11801088</v>
      </c>
      <c r="J19" s="12">
        <f>K19-(I19+12094269)</f>
        <v>5765994</v>
      </c>
      <c r="K19" s="63">
        <f>6059175</f>
        <v>6059175</v>
      </c>
      <c r="L19" s="12">
        <f>29723986</f>
        <v>29723986</v>
      </c>
      <c r="M19" s="63">
        <f>24763168</f>
        <v>24763168</v>
      </c>
      <c r="N19" s="79">
        <f>(3330491+3294191+2093893)*1000</f>
        <v>8718575000</v>
      </c>
      <c r="O19" s="13">
        <f>24784753*1000</f>
        <v>24784753000</v>
      </c>
      <c r="P19" s="13">
        <f>25733059*1000</f>
        <v>25733059000</v>
      </c>
      <c r="Q19" s="39">
        <f>H19*1000</f>
        <v>19348636000</v>
      </c>
      <c r="R19" s="13">
        <f>51694*1000</f>
        <v>51694000</v>
      </c>
      <c r="S19" s="65">
        <v>4681666</v>
      </c>
      <c r="T19" s="86">
        <v>100414799380.38893</v>
      </c>
      <c r="U19" s="86">
        <v>7603850000</v>
      </c>
      <c r="V19" s="86">
        <f>12264745*1000</f>
        <v>12264745000</v>
      </c>
      <c r="W19" s="95">
        <v>203591796000</v>
      </c>
      <c r="X19" s="41">
        <f t="shared" si="2"/>
        <v>1.2731100305621981</v>
      </c>
      <c r="Y19" s="41">
        <f t="shared" si="3"/>
        <v>2.0081150134489922</v>
      </c>
      <c r="Z19" s="41">
        <f t="shared" si="4"/>
        <v>2.4751627656831654</v>
      </c>
      <c r="AA19" s="41">
        <f t="shared" si="5"/>
        <v>0.96314833770831521</v>
      </c>
      <c r="AB19" s="41">
        <f t="shared" si="6"/>
        <v>11.041795805168501</v>
      </c>
      <c r="AC19" s="41">
        <f t="shared" si="7"/>
        <v>-0.20303784290572605</v>
      </c>
      <c r="AD19" s="41">
        <f t="shared" si="8"/>
        <v>0.65094351746767742</v>
      </c>
      <c r="AE19" s="87">
        <f t="shared" si="9"/>
        <v>4132.8527067073983</v>
      </c>
      <c r="AF19" s="41">
        <f t="shared" si="10"/>
        <v>4.2823803175251716E-2</v>
      </c>
      <c r="AG19" s="41">
        <f t="shared" si="11"/>
        <v>0.12173748396030654</v>
      </c>
      <c r="AH19" s="41">
        <f t="shared" si="12"/>
        <v>0.12639536320019495</v>
      </c>
      <c r="AI19" s="88">
        <f t="shared" si="13"/>
        <v>0.49321633461295727</v>
      </c>
      <c r="AJ19" s="88">
        <f t="shared" si="14"/>
        <v>3.7348508876064924E-2</v>
      </c>
      <c r="AK19" s="5">
        <f t="shared" si="15"/>
        <v>1.5362315979276266</v>
      </c>
      <c r="AL19" s="5">
        <f t="shared" si="16"/>
        <v>2.4196361955437068E-4</v>
      </c>
      <c r="AM19" s="5">
        <f t="shared" si="17"/>
        <v>23.351499069515373</v>
      </c>
      <c r="AN19" s="5">
        <f t="shared" si="18"/>
        <v>8.2143968108134864</v>
      </c>
      <c r="AO19" s="5">
        <f t="shared" si="19"/>
        <v>7.9116826336114965</v>
      </c>
      <c r="AP19" s="5">
        <f t="shared" si="20"/>
        <v>2.0275078699182423</v>
      </c>
      <c r="AQ19" s="5">
        <f t="shared" si="21"/>
        <v>26.774830645002204</v>
      </c>
      <c r="AR19" s="14">
        <f>IF(X19&gt;'cash outliers'!$D$19,'cash outliers'!$D$19,Dataset!X19)</f>
        <v>1.2731100305621981</v>
      </c>
      <c r="AS19" s="14">
        <f>IF(Y19&gt;'cash outliers'!$I$19,'cash outliers'!$I$19,Dataset!Y19)</f>
        <v>2.0081150134489922</v>
      </c>
      <c r="AT19" s="14">
        <f>IF(Z19&gt;'cash outliers'!$N$19,'cash outliers'!$N$19,Dataset!Z19)</f>
        <v>2.4751627656831654</v>
      </c>
    </row>
    <row r="20" spans="1:46" s="8" customFormat="1" outlineLevel="3" x14ac:dyDescent="0.25">
      <c r="A20" s="62" t="s">
        <v>187</v>
      </c>
      <c r="B20" s="71" t="s">
        <v>62</v>
      </c>
      <c r="C20" s="8">
        <v>2016</v>
      </c>
      <c r="D20" s="12">
        <f>551592+2473+68269+95868</f>
        <v>718202</v>
      </c>
      <c r="E20" s="12">
        <f>D20+376300+5711+328945</f>
        <v>1429158</v>
      </c>
      <c r="F20" s="12">
        <f>2221377</f>
        <v>2221377</v>
      </c>
      <c r="G20" s="12">
        <f t="shared" si="0"/>
        <v>1098621</v>
      </c>
      <c r="H20" s="12">
        <f>3744071</f>
        <v>3744071</v>
      </c>
      <c r="I20" s="12">
        <f>-1951027</f>
        <v>-1951027</v>
      </c>
      <c r="J20" s="12">
        <f>K20-(I20+3474123)</f>
        <v>531314</v>
      </c>
      <c r="K20" s="63">
        <f>2054410</f>
        <v>2054410</v>
      </c>
      <c r="L20" s="12">
        <f>6717228</f>
        <v>6717228</v>
      </c>
      <c r="M20" s="63">
        <f>4842692</f>
        <v>4842692</v>
      </c>
      <c r="N20" s="79">
        <f>(108395+1534620+245299+58450+1437916+382191)*1000</f>
        <v>3766871000</v>
      </c>
      <c r="O20" s="13">
        <f>7970486*1000</f>
        <v>7970486000</v>
      </c>
      <c r="P20" s="13">
        <f>7646004*1000</f>
        <v>7646004000</v>
      </c>
      <c r="Q20" s="39">
        <f>H20*1000</f>
        <v>3744071000</v>
      </c>
      <c r="R20" s="13">
        <f>335817*1000</f>
        <v>335817000</v>
      </c>
      <c r="S20" s="65">
        <v>1331479</v>
      </c>
      <c r="T20" s="86">
        <v>20798670309.63905</v>
      </c>
      <c r="U20" s="86">
        <v>1851822000</v>
      </c>
      <c r="V20" s="86">
        <f>1168260*1000</f>
        <v>1168260000</v>
      </c>
      <c r="W20" s="95">
        <v>59005346000</v>
      </c>
      <c r="X20" s="41">
        <f t="shared" si="2"/>
        <v>0.65373044935423585</v>
      </c>
      <c r="Y20" s="41">
        <f t="shared" si="3"/>
        <v>1.3008653575709912</v>
      </c>
      <c r="Z20" s="41">
        <f t="shared" si="4"/>
        <v>2.021968449538103</v>
      </c>
      <c r="AA20" s="41">
        <f t="shared" si="5"/>
        <v>1.0424381153868085</v>
      </c>
      <c r="AB20" s="41">
        <f t="shared" si="6"/>
        <v>252.2135159473037</v>
      </c>
      <c r="AC20" s="41">
        <f t="shared" si="7"/>
        <v>-0.21135399900077831</v>
      </c>
      <c r="AD20" s="41">
        <f t="shared" si="8"/>
        <v>0.55738334324813743</v>
      </c>
      <c r="AE20" s="87">
        <f t="shared" si="9"/>
        <v>2811.9639889175874</v>
      </c>
      <c r="AF20" s="41">
        <f t="shared" si="10"/>
        <v>6.3839486679732382E-2</v>
      </c>
      <c r="AG20" s="41">
        <f t="shared" si="11"/>
        <v>0.1350807433617964</v>
      </c>
      <c r="AH20" s="41">
        <f t="shared" si="12"/>
        <v>0.12958154672968106</v>
      </c>
      <c r="AI20" s="88">
        <f t="shared" si="13"/>
        <v>0.35248789676852416</v>
      </c>
      <c r="AJ20" s="88">
        <f t="shared" si="14"/>
        <v>3.1383969852494385E-2</v>
      </c>
      <c r="AK20" s="5">
        <f t="shared" si="15"/>
        <v>1.7940973875762507</v>
      </c>
      <c r="AL20" s="5">
        <f t="shared" si="16"/>
        <v>3.556233308609799E-4</v>
      </c>
      <c r="AM20" s="5">
        <f t="shared" si="17"/>
        <v>15.664286353315521</v>
      </c>
      <c r="AN20" s="5">
        <f t="shared" si="18"/>
        <v>7.4029796928317797</v>
      </c>
      <c r="AO20" s="5">
        <f t="shared" si="19"/>
        <v>7.7171481992423763</v>
      </c>
      <c r="AP20" s="5">
        <f t="shared" si="20"/>
        <v>2.836976841382703</v>
      </c>
      <c r="AQ20" s="5">
        <f t="shared" si="21"/>
        <v>31.863400478015702</v>
      </c>
      <c r="AR20" s="14">
        <f>IF(X20&gt;'cash outliers'!$D$19,'cash outliers'!$D$19,Dataset!X20)</f>
        <v>0.65373044935423585</v>
      </c>
      <c r="AS20" s="14">
        <f>IF(Y20&gt;'cash outliers'!$I$19,'cash outliers'!$I$19,Dataset!Y20)</f>
        <v>1.3008653575709912</v>
      </c>
      <c r="AT20" s="14">
        <f>IF(Z20&gt;'cash outliers'!$N$19,'cash outliers'!$N$19,Dataset!Z20)</f>
        <v>2.021968449538103</v>
      </c>
    </row>
    <row r="21" spans="1:46" s="8" customFormat="1" outlineLevel="3" x14ac:dyDescent="0.25">
      <c r="A21" s="62" t="s">
        <v>188</v>
      </c>
      <c r="B21" s="71" t="s">
        <v>63</v>
      </c>
      <c r="C21" s="8">
        <v>2016</v>
      </c>
      <c r="D21" s="12">
        <f>286491+2133767+1449311+445822</f>
        <v>4315391</v>
      </c>
      <c r="E21" s="12">
        <f>D21+1308973+1415709+778440+1374349</f>
        <v>9192862</v>
      </c>
      <c r="F21" s="12">
        <f>E21+139801+684219+17632+74733+1477</f>
        <v>10110724</v>
      </c>
      <c r="G21" s="12">
        <f t="shared" si="0"/>
        <v>5761690</v>
      </c>
      <c r="H21" s="76">
        <f>17430730+25803027</f>
        <v>43233757</v>
      </c>
      <c r="I21" s="12">
        <f>-23213860</f>
        <v>-23213860</v>
      </c>
      <c r="J21" s="12">
        <f>K21-(I21+18589394)</f>
        <v>2200770</v>
      </c>
      <c r="K21" s="63">
        <f>-2423696</f>
        <v>-2423696</v>
      </c>
      <c r="L21" s="12">
        <f>43628103</f>
        <v>43628103</v>
      </c>
      <c r="M21" s="63">
        <f>48995447</f>
        <v>48995447</v>
      </c>
      <c r="N21" s="79">
        <f>(9797055+4506092+2554740+395266+491226+1053103+288833+311694)*1000</f>
        <v>19398009000</v>
      </c>
      <c r="O21" s="13">
        <f>(19611675+8232971+10474471+740968)*1000</f>
        <v>39060085000</v>
      </c>
      <c r="P21" s="13">
        <f>38172935*1000</f>
        <v>38172935000</v>
      </c>
      <c r="Q21" s="39">
        <f t="shared" si="22"/>
        <v>43233757000</v>
      </c>
      <c r="R21" s="13">
        <f>783716*1000</f>
        <v>783716000</v>
      </c>
      <c r="S21" s="65">
        <v>6016447</v>
      </c>
      <c r="T21" s="86">
        <v>117095766931.37608</v>
      </c>
      <c r="U21" s="86">
        <v>11789450000</v>
      </c>
      <c r="V21" s="86">
        <f>18319396*1000</f>
        <v>18319396000</v>
      </c>
      <c r="W21" s="95">
        <v>348569720000</v>
      </c>
      <c r="X21" s="41">
        <f t="shared" si="2"/>
        <v>0.74898007355480767</v>
      </c>
      <c r="Y21" s="41">
        <f t="shared" si="3"/>
        <v>1.5955148576198996</v>
      </c>
      <c r="Z21" s="41">
        <f t="shared" si="4"/>
        <v>1.7548191589620405</v>
      </c>
      <c r="AA21" s="41">
        <f t="shared" si="5"/>
        <v>1.0232402879160327</v>
      </c>
      <c r="AB21" s="41">
        <f t="shared" si="6"/>
        <v>130.26226276072904</v>
      </c>
      <c r="AC21" s="41">
        <f t="shared" si="7"/>
        <v>-0.4816411568479152</v>
      </c>
      <c r="AD21" s="41">
        <f t="shared" si="8"/>
        <v>0.9909611930640212</v>
      </c>
      <c r="AE21" s="87">
        <f t="shared" si="9"/>
        <v>7185.9283394335562</v>
      </c>
      <c r="AF21" s="41">
        <f t="shared" si="10"/>
        <v>5.5650298597365255E-2</v>
      </c>
      <c r="AG21" s="41">
        <f t="shared" si="11"/>
        <v>0.1120581701703751</v>
      </c>
      <c r="AH21" s="41">
        <f t="shared" si="12"/>
        <v>0.1095130552361232</v>
      </c>
      <c r="AI21" s="88">
        <f t="shared" si="13"/>
        <v>0.33593212551961221</v>
      </c>
      <c r="AJ21" s="88">
        <f t="shared" si="14"/>
        <v>3.3822358407953508E-2</v>
      </c>
      <c r="AK21" s="5">
        <f t="shared" si="15"/>
        <v>1.0091212521733885</v>
      </c>
      <c r="AL21" s="5">
        <f t="shared" si="16"/>
        <v>1.3916086450687133E-4</v>
      </c>
      <c r="AM21" s="5">
        <f t="shared" si="17"/>
        <v>17.969355514785047</v>
      </c>
      <c r="AN21" s="5">
        <f t="shared" si="18"/>
        <v>8.9239365454529853</v>
      </c>
      <c r="AO21" s="5">
        <f t="shared" si="19"/>
        <v>9.1313314001137194</v>
      </c>
      <c r="AP21" s="5">
        <f t="shared" si="20"/>
        <v>2.9767918101111128</v>
      </c>
      <c r="AQ21" s="5">
        <f t="shared" si="21"/>
        <v>29.566241003609157</v>
      </c>
      <c r="AR21" s="14">
        <f>IF(X21&gt;'cash outliers'!$D$19,'cash outliers'!$D$19,Dataset!X21)</f>
        <v>0.74898007355480767</v>
      </c>
      <c r="AS21" s="14">
        <f>IF(Y21&gt;'cash outliers'!$I$19,'cash outliers'!$I$19,Dataset!Y21)</f>
        <v>1.5955148576198996</v>
      </c>
      <c r="AT21" s="14">
        <f>IF(Z21&gt;'cash outliers'!$N$19,'cash outliers'!$N$19,Dataset!Z21)</f>
        <v>1.7548191589620405</v>
      </c>
    </row>
    <row r="22" spans="1:46" s="8" customFormat="1" outlineLevel="3" x14ac:dyDescent="0.25">
      <c r="A22" s="62" t="s">
        <v>189</v>
      </c>
      <c r="B22" s="71" t="s">
        <v>64</v>
      </c>
      <c r="C22" s="8">
        <v>2016</v>
      </c>
      <c r="D22" s="12">
        <f>4152309+567377</f>
        <v>4719686</v>
      </c>
      <c r="E22" s="12">
        <f>D22+3083179+1938908+59995+1009277</f>
        <v>10811045</v>
      </c>
      <c r="F22" s="12">
        <f>11322868</f>
        <v>11322868</v>
      </c>
      <c r="G22" s="12">
        <f t="shared" si="0"/>
        <v>9778996</v>
      </c>
      <c r="H22" s="12">
        <f>78454773</f>
        <v>78454773</v>
      </c>
      <c r="I22" s="12">
        <f>-58432842</f>
        <v>-58432842</v>
      </c>
      <c r="J22" s="12">
        <f>K22-(I22+2244560)</f>
        <v>3284502</v>
      </c>
      <c r="K22" s="63">
        <f>-52903780</f>
        <v>-52903780</v>
      </c>
      <c r="L22" s="12">
        <f>28576409</f>
        <v>28576409</v>
      </c>
      <c r="M22" s="63">
        <f>88233769</f>
        <v>88233769</v>
      </c>
      <c r="N22" s="79">
        <f>(14125264+6107492+2439176+768465+2235906)*1000</f>
        <v>25676303000</v>
      </c>
      <c r="O22" s="13">
        <f>(27082738+14684646+16049910+351473)*1000</f>
        <v>58168767000</v>
      </c>
      <c r="P22" s="13">
        <f>61511391*1000</f>
        <v>61511391000</v>
      </c>
      <c r="Q22" s="39">
        <f t="shared" si="22"/>
        <v>78454773000</v>
      </c>
      <c r="R22" s="13">
        <f>-3342624*1000</f>
        <v>-3342624000</v>
      </c>
      <c r="S22" s="65">
        <v>6811779</v>
      </c>
      <c r="T22" s="86">
        <v>144582690582.32861</v>
      </c>
      <c r="U22" s="86">
        <v>16322500000</v>
      </c>
      <c r="V22" s="86">
        <f>29569062*1000</f>
        <v>29569062000</v>
      </c>
      <c r="W22" s="95">
        <v>443700515000</v>
      </c>
      <c r="X22" s="41">
        <f t="shared" si="2"/>
        <v>0.48263502715411682</v>
      </c>
      <c r="Y22" s="41">
        <f t="shared" si="3"/>
        <v>1.1055373169188329</v>
      </c>
      <c r="Z22" s="41">
        <f t="shared" si="4"/>
        <v>1.1578763300445158</v>
      </c>
      <c r="AA22" s="41">
        <f t="shared" si="5"/>
        <v>0.94565845535829296</v>
      </c>
      <c r="AB22" s="41">
        <f t="shared" si="6"/>
        <v>-490.71233814250286</v>
      </c>
      <c r="AC22" s="41">
        <f t="shared" si="7"/>
        <v>-1.9298554972389987</v>
      </c>
      <c r="AD22" s="41">
        <f t="shared" si="8"/>
        <v>2.7454384838906805</v>
      </c>
      <c r="AE22" s="87">
        <f t="shared" si="9"/>
        <v>11517.515908839674</v>
      </c>
      <c r="AF22" s="41">
        <f t="shared" si="10"/>
        <v>5.7868544506873065E-2</v>
      </c>
      <c r="AG22" s="41">
        <f t="shared" si="11"/>
        <v>0.13109916494011734</v>
      </c>
      <c r="AH22" s="41">
        <f t="shared" si="12"/>
        <v>0.1386326788464512</v>
      </c>
      <c r="AI22" s="88">
        <f t="shared" si="13"/>
        <v>0.32585648583781474</v>
      </c>
      <c r="AJ22" s="88">
        <f t="shared" si="14"/>
        <v>3.6787200934396032E-2</v>
      </c>
      <c r="AK22" s="5">
        <f t="shared" si="15"/>
        <v>0.36424054149006335</v>
      </c>
      <c r="AL22" s="5">
        <f t="shared" si="16"/>
        <v>8.6824277727500402E-5</v>
      </c>
      <c r="AM22" s="5">
        <f t="shared" si="17"/>
        <v>17.280545217121016</v>
      </c>
      <c r="AN22" s="5">
        <f t="shared" si="18"/>
        <v>7.6278136512675259</v>
      </c>
      <c r="AO22" s="5">
        <f t="shared" si="19"/>
        <v>7.2133064752185492</v>
      </c>
      <c r="AP22" s="5">
        <f t="shared" si="20"/>
        <v>3.0688356483955945</v>
      </c>
      <c r="AQ22" s="5">
        <f t="shared" si="21"/>
        <v>27.183367437586153</v>
      </c>
      <c r="AR22" s="14">
        <f>IF(X22&gt;'cash outliers'!$D$19,'cash outliers'!$D$19,Dataset!X22)</f>
        <v>0.48263502715411682</v>
      </c>
      <c r="AS22" s="14">
        <f>IF(Y22&gt;'cash outliers'!$I$19,'cash outliers'!$I$19,Dataset!Y22)</f>
        <v>1.1055373169188329</v>
      </c>
      <c r="AT22" s="14">
        <f>IF(Z22&gt;'cash outliers'!$N$19,'cash outliers'!$N$19,Dataset!Z22)</f>
        <v>1.1578763300445158</v>
      </c>
    </row>
    <row r="23" spans="1:46" s="8" customFormat="1" outlineLevel="3" x14ac:dyDescent="0.25">
      <c r="A23" s="62" t="s">
        <v>190</v>
      </c>
      <c r="B23" s="71" t="s">
        <v>65</v>
      </c>
      <c r="C23" s="8">
        <v>2016</v>
      </c>
      <c r="D23" s="12">
        <f>20105+3142980+3697143+241995</f>
        <v>7102223</v>
      </c>
      <c r="E23" s="12">
        <f>D23+4696018</f>
        <v>11798241</v>
      </c>
      <c r="F23" s="12">
        <f>15554133</f>
        <v>15554133</v>
      </c>
      <c r="G23" s="12">
        <f t="shared" si="0"/>
        <v>6837973</v>
      </c>
      <c r="H23" s="12">
        <f>18693290</f>
        <v>18693290</v>
      </c>
      <c r="I23" s="12">
        <f>-11317949</f>
        <v>-11317949</v>
      </c>
      <c r="J23" s="12">
        <f>K23-(I23+21163409)</f>
        <v>7299236</v>
      </c>
      <c r="K23" s="63">
        <f>17144696</f>
        <v>17144696</v>
      </c>
      <c r="L23" s="12">
        <f>41752305</f>
        <v>41752305</v>
      </c>
      <c r="M23" s="63">
        <f>25531263</f>
        <v>25531263</v>
      </c>
      <c r="N23" s="79">
        <f>(14202.5+11430.2+2114)*1000000</f>
        <v>27746700000</v>
      </c>
      <c r="O23" s="13">
        <f>57760*1000000</f>
        <v>57760000000</v>
      </c>
      <c r="P23" s="13">
        <f>56182979*1000</f>
        <v>56182979000</v>
      </c>
      <c r="Q23" s="39">
        <f t="shared" si="22"/>
        <v>18693290000</v>
      </c>
      <c r="R23" s="13">
        <f>1593095*1000</f>
        <v>1593095000</v>
      </c>
      <c r="S23" s="65">
        <v>9928300</v>
      </c>
      <c r="T23" s="86">
        <v>184075446447.64044</v>
      </c>
      <c r="U23" s="86">
        <v>17992900000</v>
      </c>
      <c r="V23" s="86">
        <f>7314.9*1000000</f>
        <v>7314900000</v>
      </c>
      <c r="W23" s="95">
        <v>440291844000</v>
      </c>
      <c r="X23" s="41">
        <f t="shared" si="2"/>
        <v>1.0386444930390921</v>
      </c>
      <c r="Y23" s="41">
        <f t="shared" si="3"/>
        <v>1.7254003489045657</v>
      </c>
      <c r="Z23" s="41">
        <f t="shared" si="4"/>
        <v>2.274670139820675</v>
      </c>
      <c r="AA23" s="41">
        <f t="shared" si="5"/>
        <v>1.0280693731103152</v>
      </c>
      <c r="AB23" s="41">
        <f t="shared" si="6"/>
        <v>160.45999818700079</v>
      </c>
      <c r="AC23" s="41">
        <f t="shared" si="7"/>
        <v>-9.625128480930574E-2</v>
      </c>
      <c r="AD23" s="41">
        <f t="shared" si="8"/>
        <v>0.44771875468911237</v>
      </c>
      <c r="AE23" s="87">
        <f t="shared" si="9"/>
        <v>1882.8288830917679</v>
      </c>
      <c r="AF23" s="41">
        <f t="shared" si="10"/>
        <v>6.301888253919144E-2</v>
      </c>
      <c r="AG23" s="41">
        <f t="shared" si="11"/>
        <v>0.13118571417371067</v>
      </c>
      <c r="AH23" s="41">
        <f t="shared" si="12"/>
        <v>0.12760395125556767</v>
      </c>
      <c r="AI23" s="88">
        <f t="shared" si="13"/>
        <v>0.4180759851814117</v>
      </c>
      <c r="AJ23" s="88">
        <f t="shared" si="14"/>
        <v>4.0865848970847621E-2</v>
      </c>
      <c r="AK23" s="5">
        <f t="shared" si="15"/>
        <v>2.2335450313989673</v>
      </c>
      <c r="AL23" s="5">
        <f t="shared" si="16"/>
        <v>5.311157105036085E-4</v>
      </c>
      <c r="AM23" s="5">
        <f t="shared" si="17"/>
        <v>15.86825979305647</v>
      </c>
      <c r="AN23" s="5">
        <f t="shared" si="18"/>
        <v>7.6227812326869797</v>
      </c>
      <c r="AO23" s="5">
        <f t="shared" si="19"/>
        <v>7.8367479232455786</v>
      </c>
      <c r="AP23" s="5">
        <f t="shared" si="20"/>
        <v>2.3919096897327878</v>
      </c>
      <c r="AQ23" s="5">
        <f t="shared" si="21"/>
        <v>24.470310177903503</v>
      </c>
      <c r="AR23" s="14">
        <f>IF(X23&gt;'cash outliers'!$D$19,'cash outliers'!$D$19,Dataset!X23)</f>
        <v>1.0386444930390921</v>
      </c>
      <c r="AS23" s="14">
        <f>IF(Y23&gt;'cash outliers'!$I$19,'cash outliers'!$I$19,Dataset!Y23)</f>
        <v>1.7254003489045657</v>
      </c>
      <c r="AT23" s="14">
        <f>IF(Z23&gt;'cash outliers'!$N$19,'cash outliers'!$N$19,Dataset!Z23)</f>
        <v>2.274670139820675</v>
      </c>
    </row>
    <row r="24" spans="1:46" s="8" customFormat="1" outlineLevel="3" x14ac:dyDescent="0.25">
      <c r="A24" s="62" t="s">
        <v>191</v>
      </c>
      <c r="B24" s="71" t="s">
        <v>66</v>
      </c>
      <c r="C24" s="8">
        <v>2016</v>
      </c>
      <c r="D24" s="12">
        <f>11926409+2303452+26335</f>
        <v>14256196</v>
      </c>
      <c r="E24" s="12">
        <f>D24+2943592+1130379+67178</f>
        <v>18397345</v>
      </c>
      <c r="F24" s="12">
        <f>18497554</f>
        <v>18497554</v>
      </c>
      <c r="G24" s="12">
        <f t="shared" si="0"/>
        <v>6152163</v>
      </c>
      <c r="H24" s="12">
        <f>13569198</f>
        <v>13569198</v>
      </c>
      <c r="I24" s="12">
        <f>-5027144</f>
        <v>-5027144</v>
      </c>
      <c r="J24" s="12">
        <f>7754326</f>
        <v>7754326</v>
      </c>
      <c r="K24" s="63">
        <f>16665277</f>
        <v>16665277</v>
      </c>
      <c r="L24" s="12">
        <f>37690838</f>
        <v>37690838</v>
      </c>
      <c r="M24" s="63">
        <f>19721361</f>
        <v>19721361</v>
      </c>
      <c r="N24" s="79">
        <f>(10969019+1361681+5534870+846216+1428134+904424+2801323)*1000</f>
        <v>23845667000</v>
      </c>
      <c r="O24" s="13">
        <f>(24154695+4093027+11413938+194056)*1000</f>
        <v>39855716000</v>
      </c>
      <c r="P24" s="13">
        <f>38129432*1000</f>
        <v>38129432000</v>
      </c>
      <c r="Q24" s="39">
        <f t="shared" si="22"/>
        <v>13569198000</v>
      </c>
      <c r="R24" s="13">
        <f>1726284*1000</f>
        <v>1726284000</v>
      </c>
      <c r="S24" s="65">
        <v>5519952</v>
      </c>
      <c r="T24" s="86">
        <v>125729498810.8495</v>
      </c>
      <c r="U24" s="86">
        <v>666638000</v>
      </c>
      <c r="V24" s="86">
        <f>9155250*1000</f>
        <v>9155250000</v>
      </c>
      <c r="W24" s="95">
        <v>287681695000</v>
      </c>
      <c r="X24" s="41">
        <f t="shared" si="2"/>
        <v>2.3172656511214025</v>
      </c>
      <c r="Y24" s="41">
        <f t="shared" si="3"/>
        <v>2.9903864705795344</v>
      </c>
      <c r="Z24" s="41">
        <f t="shared" si="4"/>
        <v>3.0066748881653491</v>
      </c>
      <c r="AA24" s="41">
        <f t="shared" si="5"/>
        <v>1.0452743172256014</v>
      </c>
      <c r="AB24" s="41">
        <f t="shared" si="6"/>
        <v>312.73532813328814</v>
      </c>
      <c r="AC24" s="41">
        <f t="shared" si="7"/>
        <v>7.235662948114871E-2</v>
      </c>
      <c r="AD24" s="41">
        <f t="shared" si="8"/>
        <v>0.3600131681869212</v>
      </c>
      <c r="AE24" s="87">
        <f t="shared" si="9"/>
        <v>2458.2094192123409</v>
      </c>
      <c r="AF24" s="41">
        <f t="shared" si="10"/>
        <v>8.2889065986628027E-2</v>
      </c>
      <c r="AG24" s="41">
        <f t="shared" si="11"/>
        <v>0.13854102187488848</v>
      </c>
      <c r="AH24" s="41">
        <f t="shared" si="12"/>
        <v>0.13254034810939222</v>
      </c>
      <c r="AI24" s="88">
        <f t="shared" si="13"/>
        <v>0.43704379178817582</v>
      </c>
      <c r="AJ24" s="88">
        <f t="shared" si="14"/>
        <v>2.3172763911864466E-3</v>
      </c>
      <c r="AK24" s="5">
        <f t="shared" si="15"/>
        <v>2.7776761751136654</v>
      </c>
      <c r="AL24" s="5">
        <f t="shared" si="16"/>
        <v>4.0680016608203373E-4</v>
      </c>
      <c r="AM24" s="5">
        <f t="shared" si="17"/>
        <v>12.064317387305628</v>
      </c>
      <c r="AN24" s="5">
        <f t="shared" si="18"/>
        <v>7.2180787067029488</v>
      </c>
      <c r="AO24" s="5">
        <f t="shared" si="19"/>
        <v>7.5448722918295772</v>
      </c>
      <c r="AP24" s="5">
        <f t="shared" si="20"/>
        <v>2.2881002288317025</v>
      </c>
      <c r="AQ24" s="5">
        <f t="shared" si="21"/>
        <v>431.54109876724698</v>
      </c>
      <c r="AR24" s="14">
        <f>IF(X24&gt;'cash outliers'!$D$19,'cash outliers'!$D$19,Dataset!X24)</f>
        <v>2.3172656511214025</v>
      </c>
      <c r="AS24" s="14">
        <f>IF(Y24&gt;'cash outliers'!$I$19,'cash outliers'!$I$19,Dataset!Y24)</f>
        <v>2.9903864705795344</v>
      </c>
      <c r="AT24" s="14">
        <f>IF(Z24&gt;'cash outliers'!$N$19,'cash outliers'!$N$19,Dataset!Z24)</f>
        <v>3.0066748881653491</v>
      </c>
    </row>
    <row r="25" spans="1:46" s="8" customFormat="1" outlineLevel="3" x14ac:dyDescent="0.25">
      <c r="A25" s="62" t="s">
        <v>192</v>
      </c>
      <c r="B25" s="71" t="s">
        <v>67</v>
      </c>
      <c r="C25" s="8">
        <v>2016</v>
      </c>
      <c r="D25" s="12">
        <f>3638043+1107476+25200</f>
        <v>4770719</v>
      </c>
      <c r="E25" s="12">
        <f>D25+892603+53848</f>
        <v>5717170</v>
      </c>
      <c r="F25" s="12">
        <f>6208259</f>
        <v>6208259</v>
      </c>
      <c r="G25" s="12">
        <f t="shared" si="0"/>
        <v>2234374</v>
      </c>
      <c r="H25" s="12">
        <f>9073186</f>
        <v>9073186</v>
      </c>
      <c r="I25" s="12">
        <f>-5400624</f>
        <v>-5400624</v>
      </c>
      <c r="J25" s="12">
        <f>K25-(I25+14921153)</f>
        <v>4431757</v>
      </c>
      <c r="K25" s="63">
        <f>13952286</f>
        <v>13952286</v>
      </c>
      <c r="L25" s="12">
        <f>24751091</f>
        <v>24751091</v>
      </c>
      <c r="M25" s="63">
        <f>11307560</f>
        <v>11307560</v>
      </c>
      <c r="N25" s="79">
        <f>(3361075+425205+1734040+577114+314756+474045)*1000</f>
        <v>6886235000</v>
      </c>
      <c r="O25" s="13">
        <f>N25+((68534+3270413+7066304+508194)*1000)</f>
        <v>17799680000</v>
      </c>
      <c r="P25" s="13">
        <f>16833448*1000</f>
        <v>16833448000</v>
      </c>
      <c r="Q25" s="39">
        <f t="shared" si="22"/>
        <v>9073186000</v>
      </c>
      <c r="R25" s="13">
        <f>966232*1000</f>
        <v>966232000</v>
      </c>
      <c r="S25" s="65">
        <v>2988726</v>
      </c>
      <c r="T25" s="86">
        <v>76627645843.971313</v>
      </c>
      <c r="U25" s="86">
        <v>709077000</v>
      </c>
      <c r="V25" s="86">
        <f>5697307*1000</f>
        <v>5697307000</v>
      </c>
      <c r="W25" s="95">
        <v>107402992000</v>
      </c>
      <c r="X25" s="41">
        <f t="shared" si="2"/>
        <v>2.1351479206256427</v>
      </c>
      <c r="Y25" s="41">
        <f t="shared" si="3"/>
        <v>2.558734571741347</v>
      </c>
      <c r="Z25" s="41">
        <f t="shared" si="4"/>
        <v>2.7785227540241695</v>
      </c>
      <c r="AA25" s="41">
        <f t="shared" si="5"/>
        <v>1.0573995297933021</v>
      </c>
      <c r="AB25" s="41">
        <f t="shared" si="6"/>
        <v>323.29226566771257</v>
      </c>
      <c r="AC25" s="41">
        <f t="shared" si="7"/>
        <v>-3.9144415896656841E-2</v>
      </c>
      <c r="AD25" s="41">
        <f t="shared" si="8"/>
        <v>0.36657721471752497</v>
      </c>
      <c r="AE25" s="87">
        <f t="shared" si="9"/>
        <v>3035.8038843306481</v>
      </c>
      <c r="AF25" s="41">
        <f t="shared" si="10"/>
        <v>6.4115858150394917E-2</v>
      </c>
      <c r="AG25" s="41">
        <f t="shared" si="11"/>
        <v>0.16572797152615637</v>
      </c>
      <c r="AH25" s="41">
        <f t="shared" si="12"/>
        <v>0.15673164859317887</v>
      </c>
      <c r="AI25" s="88">
        <f t="shared" si="13"/>
        <v>0.71345913570053354</v>
      </c>
      <c r="AJ25" s="88">
        <f t="shared" si="14"/>
        <v>6.6020227816372193E-3</v>
      </c>
      <c r="AK25" s="5">
        <f t="shared" si="15"/>
        <v>2.7279382347060888</v>
      </c>
      <c r="AL25" s="5">
        <f t="shared" si="16"/>
        <v>3.2940204245785327E-4</v>
      </c>
      <c r="AM25" s="5">
        <f t="shared" si="17"/>
        <v>15.596765431327858</v>
      </c>
      <c r="AN25" s="5">
        <f t="shared" si="18"/>
        <v>6.0339844311807855</v>
      </c>
      <c r="AO25" s="5">
        <f t="shared" si="19"/>
        <v>6.3803323003106671</v>
      </c>
      <c r="AP25" s="5">
        <f t="shared" si="20"/>
        <v>1.4016219709880327</v>
      </c>
      <c r="AQ25" s="5">
        <f t="shared" si="21"/>
        <v>151.46872906609579</v>
      </c>
      <c r="AR25" s="14">
        <f>IF(X25&gt;'cash outliers'!$D$19,'cash outliers'!$D$19,Dataset!X25)</f>
        <v>2.1351479206256427</v>
      </c>
      <c r="AS25" s="14">
        <f>IF(Y25&gt;'cash outliers'!$I$19,'cash outliers'!$I$19,Dataset!Y25)</f>
        <v>2.558734571741347</v>
      </c>
      <c r="AT25" s="14">
        <f>IF(Z25&gt;'cash outliers'!$N$19,'cash outliers'!$N$19,Dataset!Z25)</f>
        <v>2.7785227540241695</v>
      </c>
    </row>
    <row r="26" spans="1:46" s="8" customFormat="1" outlineLevel="3" x14ac:dyDescent="0.25">
      <c r="A26" s="62" t="s">
        <v>193</v>
      </c>
      <c r="B26" s="71" t="s">
        <v>68</v>
      </c>
      <c r="C26" s="8">
        <v>2016</v>
      </c>
      <c r="D26" s="12">
        <f>2378326+2401012</f>
        <v>4779338</v>
      </c>
      <c r="E26" s="12">
        <f>D26+4161282</f>
        <v>8940620</v>
      </c>
      <c r="F26" s="12">
        <f>E26+81233+133+3174</f>
        <v>9025160</v>
      </c>
      <c r="G26" s="12">
        <f t="shared" si="0"/>
        <v>2426889</v>
      </c>
      <c r="H26" s="12">
        <f>11023289</f>
        <v>11023289</v>
      </c>
      <c r="I26" s="12">
        <f>-4784707</f>
        <v>-4784707</v>
      </c>
      <c r="J26" s="12">
        <f>K26-(I26+29337939)</f>
        <v>4352780</v>
      </c>
      <c r="K26" s="63">
        <f>28906012</f>
        <v>28906012</v>
      </c>
      <c r="L26" s="12">
        <f>41679023</f>
        <v>41679023</v>
      </c>
      <c r="M26" s="63">
        <f>13450178</f>
        <v>13450178</v>
      </c>
      <c r="N26" s="79">
        <f>(3112912+6735687+1570924)*1000</f>
        <v>11419523000</v>
      </c>
      <c r="O26" s="13">
        <f>26314870*1000</f>
        <v>26314870000</v>
      </c>
      <c r="P26" s="13">
        <f>25660638*1000</f>
        <v>25660638000</v>
      </c>
      <c r="Q26" s="39">
        <f t="shared" si="22"/>
        <v>11023289000</v>
      </c>
      <c r="R26" s="13">
        <f>656732*1000</f>
        <v>656732000</v>
      </c>
      <c r="S26" s="65">
        <v>6093000</v>
      </c>
      <c r="T26" s="86">
        <v>114252718155.6179</v>
      </c>
      <c r="U26" s="86">
        <v>3182984000</v>
      </c>
      <c r="V26" s="86">
        <f>3546970*1000</f>
        <v>3546970000</v>
      </c>
      <c r="W26" s="95">
        <v>266406080000</v>
      </c>
      <c r="X26" s="41">
        <f t="shared" si="2"/>
        <v>1.9693269861126734</v>
      </c>
      <c r="Y26" s="41">
        <f t="shared" si="3"/>
        <v>3.6839838987279601</v>
      </c>
      <c r="Z26" s="41">
        <f t="shared" si="4"/>
        <v>3.718818619228156</v>
      </c>
      <c r="AA26" s="41">
        <f t="shared" si="5"/>
        <v>1.0254955469150846</v>
      </c>
      <c r="AB26" s="41">
        <f t="shared" si="6"/>
        <v>107.78467093385852</v>
      </c>
      <c r="AC26" s="41">
        <f t="shared" si="7"/>
        <v>-1.0363174779792704E-2</v>
      </c>
      <c r="AD26" s="41">
        <f t="shared" si="8"/>
        <v>0.26448050377764371</v>
      </c>
      <c r="AE26" s="87">
        <f t="shared" si="9"/>
        <v>1809.1726571475463</v>
      </c>
      <c r="AF26" s="41">
        <f t="shared" si="10"/>
        <v>4.2865099024767005E-2</v>
      </c>
      <c r="AG26" s="41">
        <f t="shared" si="11"/>
        <v>9.8777287665506738E-2</v>
      </c>
      <c r="AH26" s="41">
        <f t="shared" si="12"/>
        <v>9.6321517887279454E-2</v>
      </c>
      <c r="AI26" s="88">
        <f t="shared" si="13"/>
        <v>0.42886678170264697</v>
      </c>
      <c r="AJ26" s="88">
        <f t="shared" si="14"/>
        <v>1.1947865454121768E-2</v>
      </c>
      <c r="AK26" s="5">
        <f t="shared" si="15"/>
        <v>3.7809970327367814</v>
      </c>
      <c r="AL26" s="5">
        <f t="shared" si="16"/>
        <v>5.5273884228200856E-4</v>
      </c>
      <c r="AM26" s="5">
        <f t="shared" si="17"/>
        <v>23.329002446074146</v>
      </c>
      <c r="AN26" s="5">
        <f t="shared" si="18"/>
        <v>10.123784765039691</v>
      </c>
      <c r="AO26" s="5">
        <f t="shared" si="19"/>
        <v>10.381896194474978</v>
      </c>
      <c r="AP26" s="5">
        <f t="shared" si="20"/>
        <v>2.3317264070439148</v>
      </c>
      <c r="AQ26" s="5">
        <f t="shared" si="21"/>
        <v>83.69695857723444</v>
      </c>
      <c r="AR26" s="14">
        <f>IF(X26&gt;'cash outliers'!$D$19,'cash outliers'!$D$19,Dataset!X26)</f>
        <v>1.9693269861126734</v>
      </c>
      <c r="AS26" s="14">
        <f>IF(Y26&gt;'cash outliers'!$I$19,'cash outliers'!$I$19,Dataset!Y26)</f>
        <v>3.6839838987279601</v>
      </c>
      <c r="AT26" s="14">
        <f>IF(Z26&gt;'cash outliers'!$N$19,'cash outliers'!$N$19,Dataset!Z26)</f>
        <v>3.718818619228156</v>
      </c>
    </row>
    <row r="27" spans="1:46" outlineLevel="3" x14ac:dyDescent="0.25">
      <c r="A27" s="62" t="s">
        <v>194</v>
      </c>
      <c r="B27" s="71" t="s">
        <v>69</v>
      </c>
      <c r="C27" s="8">
        <v>2016</v>
      </c>
      <c r="D27" s="12">
        <f>1681087+335909+2289646</f>
        <v>4306642</v>
      </c>
      <c r="E27" s="12">
        <f>D27+425054+490696</f>
        <v>5222392</v>
      </c>
      <c r="F27" s="12">
        <f>E27+12134+316936+4403+33201+31540+43159+33961</f>
        <v>5697726</v>
      </c>
      <c r="G27" s="12">
        <f t="shared" si="0"/>
        <v>1083359</v>
      </c>
      <c r="H27" s="12">
        <f>505924+1569213+267392</f>
        <v>2342529</v>
      </c>
      <c r="I27" s="12">
        <f>-772132</f>
        <v>-772132</v>
      </c>
      <c r="J27" s="12">
        <f>K27-(I27+5632649)</f>
        <v>3238487</v>
      </c>
      <c r="K27" s="63">
        <f>8099004</f>
        <v>8099004</v>
      </c>
      <c r="L27" s="12">
        <f>11467710</f>
        <v>11467710</v>
      </c>
      <c r="M27" s="63">
        <f>3425888</f>
        <v>3425888</v>
      </c>
      <c r="N27" s="79">
        <f>(276367+225419+163707+1173281+117758+388979)*1000</f>
        <v>2345511000</v>
      </c>
      <c r="O27" s="13">
        <f>6078227*1000</f>
        <v>6078227000</v>
      </c>
      <c r="P27" s="13">
        <f>5805386*1000</f>
        <v>5805386000</v>
      </c>
      <c r="Q27" s="39">
        <f t="shared" si="22"/>
        <v>2342529000</v>
      </c>
      <c r="R27" s="13">
        <f>272841*1000</f>
        <v>272841000</v>
      </c>
      <c r="S27" s="65">
        <v>1042520</v>
      </c>
      <c r="T27" s="86">
        <v>23227497409.463692</v>
      </c>
      <c r="U27" s="86">
        <v>458429000</v>
      </c>
      <c r="V27" s="86">
        <f>220753*1000</f>
        <v>220753000</v>
      </c>
      <c r="W27" s="95">
        <v>44188348000</v>
      </c>
      <c r="X27" s="41">
        <f t="shared" si="2"/>
        <v>3.9752676628892178</v>
      </c>
      <c r="Y27" s="41">
        <f t="shared" si="3"/>
        <v>4.8205553283814506</v>
      </c>
      <c r="Z27" s="41">
        <f t="shared" si="4"/>
        <v>5.2593147793113824</v>
      </c>
      <c r="AA27" s="41">
        <f t="shared" si="5"/>
        <v>1.04699790849394</v>
      </c>
      <c r="AB27" s="41">
        <f t="shared" si="6"/>
        <v>261.71296473928555</v>
      </c>
      <c r="AC27" s="41">
        <f t="shared" si="7"/>
        <v>0.2150695300107868</v>
      </c>
      <c r="AD27" s="41">
        <f t="shared" si="8"/>
        <v>0.2042717334149538</v>
      </c>
      <c r="AE27" s="87">
        <f t="shared" si="9"/>
        <v>2246.9871081609945</v>
      </c>
      <c r="AF27" s="41">
        <f t="shared" si="10"/>
        <v>5.3079852634454673E-2</v>
      </c>
      <c r="AG27" s="41">
        <f t="shared" si="11"/>
        <v>0.13755270959665655</v>
      </c>
      <c r="AH27" s="41">
        <f t="shared" si="12"/>
        <v>0.13137820857208782</v>
      </c>
      <c r="AI27" s="88">
        <f t="shared" si="13"/>
        <v>0.52564756232714771</v>
      </c>
      <c r="AJ27" s="88">
        <f t="shared" si="14"/>
        <v>1.0374431739335447E-2</v>
      </c>
      <c r="AK27" s="5">
        <f t="shared" si="15"/>
        <v>4.895439928385092</v>
      </c>
      <c r="AL27" s="5">
        <f t="shared" si="16"/>
        <v>4.4504038157051629E-4</v>
      </c>
      <c r="AM27" s="5">
        <f t="shared" si="17"/>
        <v>18.839539869989952</v>
      </c>
      <c r="AN27" s="5">
        <f t="shared" si="18"/>
        <v>7.2699403954475548</v>
      </c>
      <c r="AO27" s="5">
        <f t="shared" si="19"/>
        <v>7.6116123889091964</v>
      </c>
      <c r="AP27" s="5">
        <f t="shared" si="20"/>
        <v>1.902415366624737</v>
      </c>
      <c r="AQ27" s="5">
        <f t="shared" si="21"/>
        <v>96.390821697580208</v>
      </c>
      <c r="AR27" s="14">
        <f>IF(X27&gt;'cash outliers'!$D$19,'cash outliers'!$D$19,Dataset!X27)</f>
        <v>3.9752676628892178</v>
      </c>
      <c r="AS27" s="14">
        <f>IF(Y27&gt;'cash outliers'!$I$19,'cash outliers'!$I$19,Dataset!Y27)</f>
        <v>4.8205553283814506</v>
      </c>
      <c r="AT27" s="14">
        <f>IF(Z27&gt;'cash outliers'!$N$19,'cash outliers'!$N$19,Dataset!Z27)</f>
        <v>5.2593147793113824</v>
      </c>
    </row>
    <row r="28" spans="1:46" outlineLevel="3" x14ac:dyDescent="0.25">
      <c r="A28" s="62" t="s">
        <v>195</v>
      </c>
      <c r="B28" s="71" t="s">
        <v>70</v>
      </c>
      <c r="C28" s="8">
        <v>2016</v>
      </c>
      <c r="D28" s="12">
        <f>737191+3801817</f>
        <v>4539008</v>
      </c>
      <c r="E28" s="12">
        <f>D28+475542+316717+263845+345493</f>
        <v>5940605</v>
      </c>
      <c r="F28" s="12">
        <f>E28+6153+41865+94525</f>
        <v>6083148</v>
      </c>
      <c r="G28" s="12">
        <f t="shared" si="0"/>
        <v>1539630</v>
      </c>
      <c r="H28" s="12">
        <f>201036+337411</f>
        <v>538447</v>
      </c>
      <c r="I28" s="63">
        <f>1056276</f>
        <v>1056276</v>
      </c>
      <c r="J28" s="12">
        <f>K28-(I28+8764402)</f>
        <v>3044857</v>
      </c>
      <c r="K28" s="63">
        <f>12865535</f>
        <v>12865535</v>
      </c>
      <c r="L28" s="12">
        <f>14893243</f>
        <v>14893243</v>
      </c>
      <c r="M28" s="63">
        <f>2078077</f>
        <v>2078077</v>
      </c>
      <c r="N28" s="79">
        <f>(2520240+1827206+363824+133620+109649+6404)*1000</f>
        <v>4960943000</v>
      </c>
      <c r="O28" s="64">
        <f>8755*1000000</f>
        <v>8755000000</v>
      </c>
      <c r="P28" s="13">
        <f>8808*1000000</f>
        <v>8808000000</v>
      </c>
      <c r="Q28" s="13">
        <f>H28*1000</f>
        <v>538447000</v>
      </c>
      <c r="R28" s="13">
        <f>-27747</f>
        <v>-27747</v>
      </c>
      <c r="S28" s="65">
        <v>1907116</v>
      </c>
      <c r="T28" s="86">
        <v>20895152587.858856</v>
      </c>
      <c r="U28" s="86"/>
      <c r="V28" s="86">
        <f>34780*1000</f>
        <v>34780000</v>
      </c>
      <c r="W28" s="95">
        <v>94661640000</v>
      </c>
      <c r="X28" s="41">
        <f t="shared" si="2"/>
        <v>2.9481161058176317</v>
      </c>
      <c r="Y28" s="41">
        <f t="shared" si="3"/>
        <v>3.8584627475432409</v>
      </c>
      <c r="Z28" s="41">
        <f t="shared" si="4"/>
        <v>3.9510453810331052</v>
      </c>
      <c r="AA28" s="41">
        <f t="shared" si="5"/>
        <v>0.99398274296094458</v>
      </c>
      <c r="AB28" s="41">
        <f t="shared" si="6"/>
        <v>-1.4549193651566029E-2</v>
      </c>
      <c r="AC28" s="41">
        <f t="shared" si="7"/>
        <v>0.27536870243774308</v>
      </c>
      <c r="AD28" s="41">
        <f t="shared" si="8"/>
        <v>3.6153777924660194E-2</v>
      </c>
      <c r="AE28" s="87">
        <f t="shared" si="9"/>
        <v>282.33573626355189</v>
      </c>
      <c r="AF28" s="41">
        <f t="shared" si="10"/>
        <v>5.2407110208527972E-2</v>
      </c>
      <c r="AG28" s="41">
        <f t="shared" si="11"/>
        <v>9.248730531184543E-2</v>
      </c>
      <c r="AH28" s="41">
        <f t="shared" si="12"/>
        <v>9.3047194196086189E-2</v>
      </c>
      <c r="AI28" s="88">
        <f t="shared" si="13"/>
        <v>0.22073516355578518</v>
      </c>
      <c r="AJ28" s="88">
        <f t="shared" si="14"/>
        <v>0</v>
      </c>
      <c r="AK28" s="5">
        <f t="shared" si="15"/>
        <v>27.65962666706287</v>
      </c>
      <c r="AL28" s="5">
        <f t="shared" si="16"/>
        <v>3.5418824879700321E-3</v>
      </c>
      <c r="AM28" s="5">
        <f t="shared" si="17"/>
        <v>19.081380294028776</v>
      </c>
      <c r="AN28" s="5">
        <f t="shared" si="18"/>
        <v>10.812294688749287</v>
      </c>
      <c r="AO28" s="5">
        <f t="shared" si="19"/>
        <v>10.747234332425068</v>
      </c>
      <c r="AP28" s="5">
        <f t="shared" si="20"/>
        <v>4.5303158042025125</v>
      </c>
      <c r="AQ28" s="5" t="e">
        <f t="shared" si="21"/>
        <v>#DIV/0!</v>
      </c>
      <c r="AR28" s="14">
        <f>IF(X28&gt;'cash outliers'!$D$19,'cash outliers'!$D$19,Dataset!X28)</f>
        <v>2.9481161058176317</v>
      </c>
      <c r="AS28" s="14">
        <f>IF(Y28&gt;'cash outliers'!$I$19,'cash outliers'!$I$19,Dataset!Y28)</f>
        <v>3.8584627475432409</v>
      </c>
      <c r="AT28" s="14">
        <f>IF(Z28&gt;'cash outliers'!$N$19,'cash outliers'!$N$19,Dataset!Z28)</f>
        <v>3.9510453810331052</v>
      </c>
    </row>
    <row r="29" spans="1:46" hidden="1" outlineLevel="4" x14ac:dyDescent="0.25">
      <c r="A29" s="62" t="s">
        <v>196</v>
      </c>
      <c r="B29" s="71" t="s">
        <v>71</v>
      </c>
      <c r="C29" s="8">
        <v>2016</v>
      </c>
      <c r="D29" s="12">
        <f>2777885+658959</f>
        <v>3436844</v>
      </c>
      <c r="E29" s="12">
        <f>D29+135751+1265689+435389+43308+413263+456024+50445+16</f>
        <v>6236729</v>
      </c>
      <c r="F29" s="12">
        <f>E29+28457+2342+19+19532+36162</f>
        <v>6323241</v>
      </c>
      <c r="G29" s="12">
        <f t="shared" si="0"/>
        <v>2349230</v>
      </c>
      <c r="H29" s="12">
        <f>46939+17364+1899045+34784+193197+2685689+86391+24428+972</f>
        <v>4988809</v>
      </c>
      <c r="I29" s="12">
        <f>-1879271</f>
        <v>-1879271</v>
      </c>
      <c r="J29" s="12">
        <f>K29-(I29+5592337)</f>
        <v>2258085</v>
      </c>
      <c r="K29" s="63">
        <f>5971151</f>
        <v>5971151</v>
      </c>
      <c r="L29" s="12">
        <f>13383903</f>
        <v>13383903</v>
      </c>
      <c r="M29" s="63">
        <f>7338039</f>
        <v>7338039</v>
      </c>
      <c r="N29" s="79">
        <f>(1219151+910684+562867+301368+167159+153033+143508+238192+289909+1148882)*1000</f>
        <v>5134753000</v>
      </c>
      <c r="O29" s="64">
        <f>11281233*1000</f>
        <v>11281233000</v>
      </c>
      <c r="P29" s="13">
        <f>9758203*1000</f>
        <v>9758203000</v>
      </c>
      <c r="Q29" s="39">
        <f>H29*1000</f>
        <v>4988809000</v>
      </c>
      <c r="R29" s="13">
        <f>1530510*1000</f>
        <v>1530510000</v>
      </c>
      <c r="S29" s="65">
        <v>2940058</v>
      </c>
      <c r="T29" s="86">
        <v>83921190360.767487</v>
      </c>
      <c r="U29" s="86">
        <v>1445333000</v>
      </c>
      <c r="V29" s="86">
        <f>3186600*1000</f>
        <v>3186600000</v>
      </c>
      <c r="W29" s="95">
        <v>128294465000</v>
      </c>
      <c r="X29" s="41">
        <f t="shared" si="2"/>
        <v>1.462966163381193</v>
      </c>
      <c r="Y29" s="41">
        <f t="shared" si="3"/>
        <v>2.6547971037318612</v>
      </c>
      <c r="Z29" s="41">
        <f t="shared" si="4"/>
        <v>2.6916227870408602</v>
      </c>
      <c r="AA29" s="41">
        <f t="shared" si="5"/>
        <v>1.1560768924360356</v>
      </c>
      <c r="AB29" s="41">
        <f t="shared" si="6"/>
        <v>520.57136287787523</v>
      </c>
      <c r="AC29" s="41">
        <f t="shared" si="7"/>
        <v>2.8303701842429672E-2</v>
      </c>
      <c r="AD29" s="41">
        <f t="shared" si="8"/>
        <v>0.37274694833039362</v>
      </c>
      <c r="AE29" s="87">
        <f t="shared" si="9"/>
        <v>1696.8403344423818</v>
      </c>
      <c r="AF29" s="41">
        <f t="shared" si="10"/>
        <v>4.0023184164648104E-2</v>
      </c>
      <c r="AG29" s="41">
        <f t="shared" si="11"/>
        <v>8.7932343768688692E-2</v>
      </c>
      <c r="AH29" s="41">
        <f t="shared" si="12"/>
        <v>7.6060982054058215E-2</v>
      </c>
      <c r="AI29" s="88">
        <f t="shared" si="13"/>
        <v>0.65412946973797725</v>
      </c>
      <c r="AJ29" s="88">
        <f t="shared" si="14"/>
        <v>1.1265747123229362E-2</v>
      </c>
      <c r="AK29" s="5">
        <f t="shared" si="15"/>
        <v>2.6827852098567013</v>
      </c>
      <c r="AL29" s="5">
        <f t="shared" si="16"/>
        <v>5.8933063983808561E-4</v>
      </c>
      <c r="AM29" s="5">
        <f t="shared" si="17"/>
        <v>24.985518290753223</v>
      </c>
      <c r="AN29" s="5">
        <f t="shared" si="18"/>
        <v>11.372379685802075</v>
      </c>
      <c r="AO29" s="5">
        <f t="shared" si="19"/>
        <v>13.147345366764762</v>
      </c>
      <c r="AP29" s="5">
        <f t="shared" si="20"/>
        <v>1.5287493474350988</v>
      </c>
      <c r="AQ29" s="5">
        <f t="shared" si="21"/>
        <v>88.76464108963124</v>
      </c>
      <c r="AR29" s="14">
        <f>IF(X29&gt;'cash outliers'!$D$19,'cash outliers'!$D$19,Dataset!X29)</f>
        <v>1.462966163381193</v>
      </c>
      <c r="AS29" s="14">
        <f>IF(Y29&gt;'cash outliers'!$I$19,'cash outliers'!$I$19,Dataset!Y29)</f>
        <v>2.6547971037318612</v>
      </c>
      <c r="AT29" s="14">
        <f>IF(Z29&gt;'cash outliers'!$N$19,'cash outliers'!$N$19,Dataset!Z29)</f>
        <v>2.6916227870408602</v>
      </c>
    </row>
    <row r="30" spans="1:46" hidden="1" outlineLevel="4" x14ac:dyDescent="0.25">
      <c r="A30" s="62" t="s">
        <v>197</v>
      </c>
      <c r="B30" s="71" t="s">
        <v>72</v>
      </c>
      <c r="C30" s="8">
        <v>2016</v>
      </c>
      <c r="D30" s="12">
        <f>652697</f>
        <v>652697</v>
      </c>
      <c r="E30" s="12">
        <f>D30+619110</f>
        <v>1271807</v>
      </c>
      <c r="F30" s="12">
        <f>2450346</f>
        <v>2450346</v>
      </c>
      <c r="G30" s="12">
        <f t="shared" si="0"/>
        <v>869420</v>
      </c>
      <c r="H30" s="12">
        <f>3409802</f>
        <v>3409802</v>
      </c>
      <c r="I30" s="12">
        <f>-1585022</f>
        <v>-1585022</v>
      </c>
      <c r="J30" s="12">
        <f>K30-(I30+2708793)</f>
        <v>1416594</v>
      </c>
      <c r="K30" s="63">
        <f>2540365</f>
        <v>2540365</v>
      </c>
      <c r="L30" s="12">
        <f>6760874</f>
        <v>6760874</v>
      </c>
      <c r="M30" s="63">
        <f>4279222</f>
        <v>4279222</v>
      </c>
      <c r="N30" s="79">
        <f>(407276+693691+302473+521574+226803+182582)*1000</f>
        <v>2334399000</v>
      </c>
      <c r="O30" s="64">
        <f>6915074*1000</f>
        <v>6915074000</v>
      </c>
      <c r="P30" s="13">
        <f>6640554*1000</f>
        <v>6640554000</v>
      </c>
      <c r="Q30" s="39">
        <f t="shared" si="22"/>
        <v>3409802000</v>
      </c>
      <c r="R30" s="13">
        <f>550977*1000</f>
        <v>550977000</v>
      </c>
      <c r="S30" s="65">
        <v>1334795</v>
      </c>
      <c r="T30" s="86">
        <v>20854187491.314621</v>
      </c>
      <c r="U30" s="86">
        <v>2138368000</v>
      </c>
      <c r="V30" s="86">
        <f>1486235*1000</f>
        <v>1486235000</v>
      </c>
      <c r="W30" s="95">
        <v>77848085000</v>
      </c>
      <c r="X30" s="41">
        <f t="shared" si="2"/>
        <v>0.75072692139587316</v>
      </c>
      <c r="Y30" s="41">
        <f t="shared" si="3"/>
        <v>1.4628223413310022</v>
      </c>
      <c r="Z30" s="41">
        <f t="shared" si="4"/>
        <v>2.818368567550781</v>
      </c>
      <c r="AA30" s="41">
        <f t="shared" si="5"/>
        <v>1.0413399243496853</v>
      </c>
      <c r="AB30" s="41">
        <f t="shared" si="6"/>
        <v>412.78023966227022</v>
      </c>
      <c r="AC30" s="41">
        <f t="shared" si="7"/>
        <v>-2.4912163723210933E-2</v>
      </c>
      <c r="AD30" s="41">
        <f t="shared" si="8"/>
        <v>0.50434337335675827</v>
      </c>
      <c r="AE30" s="87">
        <f t="shared" si="9"/>
        <v>2554.5510733858009</v>
      </c>
      <c r="AF30" s="41">
        <f t="shared" si="10"/>
        <v>2.9986595045979614E-2</v>
      </c>
      <c r="AG30" s="41">
        <f t="shared" si="11"/>
        <v>8.8827798397352997E-2</v>
      </c>
      <c r="AH30" s="41">
        <f t="shared" si="12"/>
        <v>8.5301443189000736E-2</v>
      </c>
      <c r="AI30" s="88">
        <f t="shared" si="13"/>
        <v>0.26788311480384674</v>
      </c>
      <c r="AJ30" s="88">
        <f t="shared" si="14"/>
        <v>2.7468472731217473E-2</v>
      </c>
      <c r="AK30" s="5">
        <f t="shared" si="15"/>
        <v>1.9827761260037975</v>
      </c>
      <c r="AL30" s="5">
        <f t="shared" si="16"/>
        <v>3.9145821370273109E-4</v>
      </c>
      <c r="AM30" s="5">
        <f t="shared" si="17"/>
        <v>33.348234384953045</v>
      </c>
      <c r="AN30" s="5">
        <f t="shared" si="18"/>
        <v>11.257737082784653</v>
      </c>
      <c r="AO30" s="5">
        <f t="shared" si="19"/>
        <v>11.723131082135616</v>
      </c>
      <c r="AP30" s="5">
        <f t="shared" si="20"/>
        <v>3.7329713772076842</v>
      </c>
      <c r="AQ30" s="5">
        <f t="shared" si="21"/>
        <v>36.405373163085123</v>
      </c>
      <c r="AR30" s="14">
        <f>IF(X30&gt;'cash outliers'!$D$19,'cash outliers'!$D$19,Dataset!X30)</f>
        <v>0.75072692139587316</v>
      </c>
      <c r="AS30" s="14">
        <f>IF(Y30&gt;'cash outliers'!$I$19,'cash outliers'!$I$19,Dataset!Y30)</f>
        <v>1.4628223413310022</v>
      </c>
      <c r="AT30" s="14">
        <f>IF(Z30&gt;'cash outliers'!$N$19,'cash outliers'!$N$19,Dataset!Z30)</f>
        <v>2.818368567550781</v>
      </c>
    </row>
    <row r="31" spans="1:46" s="8" customFormat="1" hidden="1" outlineLevel="4" x14ac:dyDescent="0.25">
      <c r="A31" s="62" t="s">
        <v>198</v>
      </c>
      <c r="B31" s="71" t="s">
        <v>73</v>
      </c>
      <c r="C31" s="8">
        <v>2016</v>
      </c>
      <c r="D31" s="12">
        <f>(148399113+5731049142)/1000</f>
        <v>5879448.2549999999</v>
      </c>
      <c r="E31" s="12">
        <f>D31+((2400968156+4470810717+1691309668+914139369)/1000)</f>
        <v>15356676.164999999</v>
      </c>
      <c r="F31" s="12">
        <f>15394946153/1000</f>
        <v>15394946.153000001</v>
      </c>
      <c r="G31" s="12">
        <f>6296918833/1000</f>
        <v>6296918.8329999996</v>
      </c>
      <c r="H31" s="12">
        <f>169302833470/1000</f>
        <v>169302833.47</v>
      </c>
      <c r="I31" s="12">
        <f>-136955085569/1000</f>
        <v>-136955085.56900001</v>
      </c>
      <c r="J31" s="12">
        <f>K31-(I31+(9606582911/1000))</f>
        <v>7037764.4410000145</v>
      </c>
      <c r="K31" s="12">
        <f>-120310738217/1000</f>
        <v>-120310738.21699999</v>
      </c>
      <c r="L31" s="12">
        <f>F31+(28251648751/1000)</f>
        <v>43646594.903999999</v>
      </c>
      <c r="M31" s="12">
        <f>G31+H31</f>
        <v>175599752.303</v>
      </c>
      <c r="N31" s="80">
        <f>(13355992259+9245305461+2299017311+5563047890)</f>
        <v>30463362921</v>
      </c>
      <c r="O31" s="64">
        <f>58872.7*1000000</f>
        <v>58872700000</v>
      </c>
      <c r="P31" s="64">
        <f>66011876047</f>
        <v>66011876047</v>
      </c>
      <c r="Q31" s="39">
        <f>H31*1000</f>
        <v>169302833470</v>
      </c>
      <c r="R31" s="64">
        <f>-7136481774</f>
        <v>-7136481774</v>
      </c>
      <c r="S31" s="65">
        <v>8944469</v>
      </c>
      <c r="T31" s="86">
        <v>272537051161.27161</v>
      </c>
      <c r="U31" s="86">
        <v>85424700000</v>
      </c>
      <c r="V31" s="86">
        <f>42727114*1000</f>
        <v>42727114000</v>
      </c>
      <c r="W31" s="95">
        <v>554267581000</v>
      </c>
      <c r="X31" s="41">
        <f t="shared" si="2"/>
        <v>0.93370240445022423</v>
      </c>
      <c r="Y31" s="41">
        <f t="shared" si="3"/>
        <v>2.4387603798417898</v>
      </c>
      <c r="Z31" s="41">
        <f t="shared" si="4"/>
        <v>2.4448379534956604</v>
      </c>
      <c r="AA31" s="41">
        <f t="shared" si="5"/>
        <v>0.89185012645426176</v>
      </c>
      <c r="AB31" s="41">
        <f t="shared" si="6"/>
        <v>-797.86533711503728</v>
      </c>
      <c r="AC31" s="41">
        <f t="shared" si="7"/>
        <v>-2.9765740354717498</v>
      </c>
      <c r="AD31" s="41">
        <f t="shared" si="8"/>
        <v>3.8789471170060099</v>
      </c>
      <c r="AE31" s="87">
        <f t="shared" si="9"/>
        <v>18928.215131608147</v>
      </c>
      <c r="AF31" s="41">
        <f t="shared" si="10"/>
        <v>5.4961473420542702E-2</v>
      </c>
      <c r="AG31" s="41">
        <f t="shared" si="11"/>
        <v>0.10621710888048493</v>
      </c>
      <c r="AH31" s="41">
        <f t="shared" si="12"/>
        <v>0.11909748704389767</v>
      </c>
      <c r="AI31" s="88">
        <f t="shared" si="13"/>
        <v>0.49170664224951594</v>
      </c>
      <c r="AJ31" s="88">
        <f t="shared" si="14"/>
        <v>0.15412176885012513</v>
      </c>
      <c r="AK31" s="5">
        <f t="shared" si="15"/>
        <v>0.25780191630244664</v>
      </c>
      <c r="AL31" s="5">
        <f t="shared" si="16"/>
        <v>5.2831183133062781E-5</v>
      </c>
      <c r="AM31" s="5">
        <f t="shared" si="17"/>
        <v>18.194563168792971</v>
      </c>
      <c r="AN31" s="5">
        <f t="shared" si="18"/>
        <v>9.4146791467012729</v>
      </c>
      <c r="AO31" s="5">
        <f t="shared" si="19"/>
        <v>8.3964827875118306</v>
      </c>
      <c r="AP31" s="5">
        <f t="shared" si="20"/>
        <v>2.0337329498440071</v>
      </c>
      <c r="AQ31" s="5">
        <f t="shared" si="21"/>
        <v>6.4883760902877032</v>
      </c>
      <c r="AR31" s="14">
        <f>IF(X31&gt;'cash outliers'!$D$19,'cash outliers'!$D$19,Dataset!X31)</f>
        <v>0.93370240445022423</v>
      </c>
      <c r="AS31" s="14">
        <f>IF(Y31&gt;'cash outliers'!$I$19,'cash outliers'!$I$19,Dataset!Y31)</f>
        <v>2.4387603798417898</v>
      </c>
      <c r="AT31" s="14">
        <f>IF(Z31&gt;'cash outliers'!$N$19,'cash outliers'!$N$19,Dataset!Z31)</f>
        <v>2.4448379534956604</v>
      </c>
    </row>
    <row r="32" spans="1:46" s="8" customFormat="1" hidden="1" outlineLevel="4" x14ac:dyDescent="0.25">
      <c r="A32" s="62" t="s">
        <v>199</v>
      </c>
      <c r="B32" s="71" t="s">
        <v>74</v>
      </c>
      <c r="C32" s="8">
        <v>2016</v>
      </c>
      <c r="D32" s="63">
        <f>1881596+3003611+81859+448036</f>
        <v>5415102</v>
      </c>
      <c r="E32" s="63">
        <f>D32+1377249+34343</f>
        <v>6826694</v>
      </c>
      <c r="F32" s="12">
        <f>7010560</f>
        <v>7010560</v>
      </c>
      <c r="G32" s="12">
        <f>2696674</f>
        <v>2696674</v>
      </c>
      <c r="H32" s="12">
        <f>8276249</f>
        <v>8276249</v>
      </c>
      <c r="I32" s="63">
        <f>-1302807</f>
        <v>-1302807</v>
      </c>
      <c r="J32" s="63">
        <f>K32-(I32+7585511)</f>
        <v>19628672</v>
      </c>
      <c r="K32" s="63">
        <f>25911376</f>
        <v>25911376</v>
      </c>
      <c r="L32" s="63">
        <f>36484419</f>
        <v>36484419</v>
      </c>
      <c r="M32" s="63">
        <f>10972923</f>
        <v>10972923</v>
      </c>
      <c r="N32" s="80">
        <f>(1320189+118502+2109889+1622513+361422+7055)*1000</f>
        <v>5539570000</v>
      </c>
      <c r="O32" s="64">
        <f>18604838*1000</f>
        <v>18604838000</v>
      </c>
      <c r="P32" s="64">
        <f>19357914*1000</f>
        <v>19357914000</v>
      </c>
      <c r="Q32" s="39">
        <f t="shared" si="22"/>
        <v>8276249000</v>
      </c>
      <c r="R32" s="64">
        <f>-1019631*1000</f>
        <v>-1019631000</v>
      </c>
      <c r="S32" s="65">
        <v>2081015</v>
      </c>
      <c r="T32" s="86">
        <v>64635931073.363029</v>
      </c>
      <c r="U32" s="86">
        <v>3805064000</v>
      </c>
      <c r="V32" s="86">
        <f>3497735*1000</f>
        <v>3497735000</v>
      </c>
      <c r="W32" s="95">
        <v>80758305000</v>
      </c>
      <c r="X32" s="41">
        <f t="shared" si="2"/>
        <v>2.0080669743543345</v>
      </c>
      <c r="Y32" s="41">
        <f t="shared" si="3"/>
        <v>2.5315236472780915</v>
      </c>
      <c r="Z32" s="41">
        <f t="shared" si="4"/>
        <v>2.5997061565469166</v>
      </c>
      <c r="AA32" s="41">
        <f t="shared" si="5"/>
        <v>0.9610972545905514</v>
      </c>
      <c r="AB32" s="41">
        <f t="shared" si="6"/>
        <v>-489.96811652006352</v>
      </c>
      <c r="AC32" s="41">
        <f t="shared" si="7"/>
        <v>0.50229291029685852</v>
      </c>
      <c r="AD32" s="41">
        <f t="shared" si="8"/>
        <v>0.22684338210237087</v>
      </c>
      <c r="AE32" s="87">
        <f t="shared" si="9"/>
        <v>3977.025153590916</v>
      </c>
      <c r="AF32" s="41">
        <f t="shared" si="10"/>
        <v>6.8594431247659293E-2</v>
      </c>
      <c r="AG32" s="41">
        <f t="shared" si="11"/>
        <v>0.23037677672903115</v>
      </c>
      <c r="AH32" s="41">
        <f t="shared" si="12"/>
        <v>0.23970183623839059</v>
      </c>
      <c r="AI32" s="88">
        <f t="shared" si="13"/>
        <v>0.80036265091699277</v>
      </c>
      <c r="AJ32" s="88">
        <f t="shared" si="14"/>
        <v>4.7116689732405848E-2</v>
      </c>
      <c r="AK32" s="5">
        <f t="shared" si="15"/>
        <v>4.4083278548047549</v>
      </c>
      <c r="AL32" s="5">
        <f t="shared" si="16"/>
        <v>2.514442231015524E-4</v>
      </c>
      <c r="AM32" s="5">
        <f t="shared" si="17"/>
        <v>14.578442911633935</v>
      </c>
      <c r="AN32" s="5">
        <f t="shared" si="18"/>
        <v>4.3407153021165783</v>
      </c>
      <c r="AO32" s="5">
        <f t="shared" si="19"/>
        <v>4.17184955982344</v>
      </c>
      <c r="AP32" s="5">
        <f t="shared" si="20"/>
        <v>1.2494336146923877</v>
      </c>
      <c r="AQ32" s="5">
        <f t="shared" si="21"/>
        <v>21.22390188443611</v>
      </c>
      <c r="AR32" s="14">
        <f>IF(X32&gt;'cash outliers'!$D$19,'cash outliers'!$D$19,Dataset!X32)</f>
        <v>2.0080669743543345</v>
      </c>
      <c r="AS32" s="14">
        <f>IF(Y32&gt;'cash outliers'!$I$19,'cash outliers'!$I$19,Dataset!Y32)</f>
        <v>2.5315236472780915</v>
      </c>
      <c r="AT32" s="14">
        <f>IF(Z32&gt;'cash outliers'!$N$19,'cash outliers'!$N$19,Dataset!Z32)</f>
        <v>2.5997061565469166</v>
      </c>
    </row>
    <row r="33" spans="1:46" s="8" customFormat="1" hidden="1" outlineLevel="4" x14ac:dyDescent="0.25">
      <c r="A33" s="62" t="s">
        <v>200</v>
      </c>
      <c r="B33" s="71" t="s">
        <v>75</v>
      </c>
      <c r="C33" s="8">
        <v>2016</v>
      </c>
      <c r="D33" s="63">
        <f>25266*1000</f>
        <v>25266000</v>
      </c>
      <c r="E33" s="12">
        <f>D33+((13889+7443+7467)*1000)</f>
        <v>54065000</v>
      </c>
      <c r="F33" s="12">
        <f>E33+((-156+80+576)*1000)</f>
        <v>54565000</v>
      </c>
      <c r="G33" s="12">
        <f>M33-H33</f>
        <v>35795000</v>
      </c>
      <c r="H33" s="63">
        <f>(1273+6727+253+1000+1227+2578+2336+20993+932+838+49868+2614+282)*1000</f>
        <v>90921000</v>
      </c>
      <c r="I33" s="63">
        <f>-45464*1000</f>
        <v>-45464000</v>
      </c>
      <c r="J33" s="63">
        <f>K33-(I33+(70983*1000))</f>
        <v>7245000</v>
      </c>
      <c r="K33" s="63">
        <f>32764*1000</f>
        <v>32764000</v>
      </c>
      <c r="L33" s="63">
        <f>157043*1000</f>
        <v>157043000</v>
      </c>
      <c r="M33" s="63">
        <f>126716*1000</f>
        <v>126716000</v>
      </c>
      <c r="N33" s="80">
        <f>(46104+15742+7458+4018)*1000000</f>
        <v>73322000000</v>
      </c>
      <c r="O33" s="64">
        <f>169620*1000000</f>
        <v>169620000000</v>
      </c>
      <c r="P33" s="64">
        <f>169093*1000000</f>
        <v>169093000000</v>
      </c>
      <c r="Q33" s="39">
        <f t="shared" si="22"/>
        <v>90921000000</v>
      </c>
      <c r="R33" s="64">
        <f>323*1000000</f>
        <v>323000000</v>
      </c>
      <c r="S33" s="65">
        <v>19745289</v>
      </c>
      <c r="T33" s="86">
        <v>422437436112.86023</v>
      </c>
      <c r="U33" s="86">
        <v>88504417000</v>
      </c>
      <c r="V33" s="86">
        <f>56692*1000000</f>
        <v>56692000000</v>
      </c>
      <c r="W33" s="95">
        <v>1195263336000</v>
      </c>
      <c r="X33" s="41">
        <f t="shared" si="2"/>
        <v>0.70585277273362201</v>
      </c>
      <c r="Y33" s="41">
        <f t="shared" si="3"/>
        <v>1.5104064813521441</v>
      </c>
      <c r="Z33" s="41">
        <f t="shared" si="4"/>
        <v>1.5243749126973041</v>
      </c>
      <c r="AA33" s="41">
        <f t="shared" si="5"/>
        <v>1.0031166281277166</v>
      </c>
      <c r="AB33" s="41">
        <f t="shared" si="6"/>
        <v>16.358332359683367</v>
      </c>
      <c r="AC33" s="41">
        <f t="shared" si="7"/>
        <v>-0.24336646650917265</v>
      </c>
      <c r="AD33" s="41">
        <f t="shared" si="8"/>
        <v>0.57895608209216587</v>
      </c>
      <c r="AE33" s="87">
        <f t="shared" si="9"/>
        <v>4604.6933017794772</v>
      </c>
      <c r="AF33" s="41">
        <f t="shared" si="10"/>
        <v>6.1343804157312491E-2</v>
      </c>
      <c r="AG33" s="41">
        <f t="shared" si="11"/>
        <v>0.1419101505845905</v>
      </c>
      <c r="AH33" s="41">
        <f t="shared" si="12"/>
        <v>0.14146924356090179</v>
      </c>
      <c r="AI33" s="88">
        <f t="shared" si="13"/>
        <v>0.35342624791501193</v>
      </c>
      <c r="AJ33" s="88">
        <f t="shared" si="14"/>
        <v>7.4045956513803746E-2</v>
      </c>
      <c r="AK33" s="5">
        <f t="shared" si="15"/>
        <v>1.7272467306782811</v>
      </c>
      <c r="AL33" s="5">
        <f t="shared" si="16"/>
        <v>2.1716972976540074E-4</v>
      </c>
      <c r="AM33" s="5">
        <f t="shared" si="17"/>
        <v>16.301564823654566</v>
      </c>
      <c r="AN33" s="5">
        <f t="shared" si="18"/>
        <v>7.0467122744959321</v>
      </c>
      <c r="AO33" s="5">
        <f t="shared" si="19"/>
        <v>7.0686742561785527</v>
      </c>
      <c r="AP33" s="5">
        <f t="shared" si="20"/>
        <v>2.8294446320819642</v>
      </c>
      <c r="AQ33" s="5">
        <f t="shared" si="21"/>
        <v>13.505126371263483</v>
      </c>
      <c r="AR33" s="14">
        <f>IF(X33&gt;'cash outliers'!$D$19,'cash outliers'!$D$19,Dataset!X33)</f>
        <v>0.70585277273362201</v>
      </c>
      <c r="AS33" s="14">
        <f>IF(Y33&gt;'cash outliers'!$I$19,'cash outliers'!$I$19,Dataset!Y33)</f>
        <v>1.5104064813521441</v>
      </c>
      <c r="AT33" s="14">
        <f>IF(Z33&gt;'cash outliers'!$N$19,'cash outliers'!$N$19,Dataset!Z33)</f>
        <v>1.5243749126973041</v>
      </c>
    </row>
    <row r="34" spans="1:46" s="8" customFormat="1" hidden="1" outlineLevel="4" x14ac:dyDescent="0.25">
      <c r="A34" s="62" t="s">
        <v>201</v>
      </c>
      <c r="B34" s="71" t="s">
        <v>76</v>
      </c>
      <c r="C34" s="8">
        <v>2016</v>
      </c>
      <c r="D34" s="12">
        <f>8938152+686031</f>
        <v>9624183</v>
      </c>
      <c r="E34" s="12">
        <f>D34+3872340+1224692</f>
        <v>14721215</v>
      </c>
      <c r="F34" s="12">
        <f>E34+564990+188858+17482+44449+4504+148751+383+3645</f>
        <v>15694277</v>
      </c>
      <c r="G34" s="12">
        <f>M34-H34</f>
        <v>5767834</v>
      </c>
      <c r="H34" s="63">
        <f>(9522453)</f>
        <v>9522453</v>
      </c>
      <c r="I34" s="12">
        <f>4375860</f>
        <v>4375860</v>
      </c>
      <c r="J34" s="12">
        <f>K34-(I34+45952893)</f>
        <v>1046109</v>
      </c>
      <c r="K34" s="63">
        <f>51374862</f>
        <v>51374862</v>
      </c>
      <c r="L34" s="12">
        <f>66292680</f>
        <v>66292680</v>
      </c>
      <c r="M34" s="63">
        <f>15290287</f>
        <v>15290287</v>
      </c>
      <c r="N34" s="79">
        <f>(11980791+1120553+7184788+1938849+521628+728580+503621+380065+291841+296595)*1000</f>
        <v>24947311000</v>
      </c>
      <c r="O34" s="64">
        <f>48529379*1000</f>
        <v>48529379000</v>
      </c>
      <c r="P34" s="13">
        <f>43156809*1000</f>
        <v>43156809000</v>
      </c>
      <c r="Q34" s="39">
        <f t="shared" si="22"/>
        <v>9522453000</v>
      </c>
      <c r="R34" s="13">
        <f>5377288*1000</f>
        <v>5377288000</v>
      </c>
      <c r="S34" s="65">
        <v>10146788</v>
      </c>
      <c r="T34" s="86">
        <v>131563617593.41713</v>
      </c>
      <c r="U34" s="86">
        <v>32467020000</v>
      </c>
      <c r="V34" s="86">
        <f>7808030*1000</f>
        <v>7808030000</v>
      </c>
      <c r="W34" s="95">
        <v>426188736000</v>
      </c>
      <c r="X34" s="41">
        <f t="shared" si="2"/>
        <v>1.6685956981424916</v>
      </c>
      <c r="Y34" s="41">
        <f t="shared" si="3"/>
        <v>2.5522951943485199</v>
      </c>
      <c r="Z34" s="41">
        <f t="shared" si="4"/>
        <v>2.7210001189354616</v>
      </c>
      <c r="AA34" s="41">
        <f t="shared" si="5"/>
        <v>1.1244895098708525</v>
      </c>
      <c r="AB34" s="41">
        <f t="shared" si="6"/>
        <v>529.94977326815149</v>
      </c>
      <c r="AC34" s="41">
        <f t="shared" si="7"/>
        <v>8.1788351293083941E-2</v>
      </c>
      <c r="AD34" s="41">
        <f t="shared" si="8"/>
        <v>0.14364260126457401</v>
      </c>
      <c r="AE34" s="87">
        <f t="shared" si="9"/>
        <v>938.46969109830616</v>
      </c>
      <c r="AF34" s="41">
        <f t="shared" si="10"/>
        <v>5.8535829065177361E-2</v>
      </c>
      <c r="AG34" s="41">
        <f t="shared" si="11"/>
        <v>0.11386828158686953</v>
      </c>
      <c r="AH34" s="41">
        <f t="shared" si="12"/>
        <v>0.10126219994702065</v>
      </c>
      <c r="AI34" s="88">
        <f t="shared" si="13"/>
        <v>0.30869801681811021</v>
      </c>
      <c r="AJ34" s="88">
        <f t="shared" si="14"/>
        <v>7.6179911052365309E-2</v>
      </c>
      <c r="AK34" s="5">
        <f t="shared" si="15"/>
        <v>6.9617229930145097</v>
      </c>
      <c r="AL34" s="5">
        <f t="shared" si="16"/>
        <v>1.0655645136815061E-3</v>
      </c>
      <c r="AM34" s="5">
        <f t="shared" si="17"/>
        <v>17.083554055184543</v>
      </c>
      <c r="AN34" s="5">
        <f t="shared" si="18"/>
        <v>8.7820768528688582</v>
      </c>
      <c r="AO34" s="5">
        <f t="shared" si="19"/>
        <v>9.87535329593066</v>
      </c>
      <c r="AP34" s="5">
        <f t="shared" si="20"/>
        <v>3.2394118054513319</v>
      </c>
      <c r="AQ34" s="5">
        <f t="shared" si="21"/>
        <v>13.126820262531023</v>
      </c>
      <c r="AR34" s="14">
        <f>IF(X34&gt;'cash outliers'!$D$19,'cash outliers'!$D$19,Dataset!X34)</f>
        <v>1.6685956981424916</v>
      </c>
      <c r="AS34" s="14">
        <f>IF(Y34&gt;'cash outliers'!$I$19,'cash outliers'!$I$19,Dataset!Y34)</f>
        <v>2.5522951943485199</v>
      </c>
      <c r="AT34" s="14">
        <f>IF(Z34&gt;'cash outliers'!$N$19,'cash outliers'!$N$19,Dataset!Z34)</f>
        <v>2.7210001189354616</v>
      </c>
    </row>
    <row r="35" spans="1:46" s="8" customFormat="1" hidden="1" outlineLevel="4" x14ac:dyDescent="0.25">
      <c r="A35" s="62" t="s">
        <v>202</v>
      </c>
      <c r="B35" s="71" t="s">
        <v>77</v>
      </c>
      <c r="C35" s="8">
        <v>2016</v>
      </c>
      <c r="D35" s="66">
        <f>(533718332+13127758064)/1000</f>
        <v>13661476.396</v>
      </c>
      <c r="E35" s="66">
        <f>D35+((249388241+441632776+87836127+326042500+4664777139)/1000)</f>
        <v>19431153.178999998</v>
      </c>
      <c r="F35" s="66">
        <f>E35+((36321785+17900197+57283839+32892878+21579252)/1000)</f>
        <v>19597131.129999999</v>
      </c>
      <c r="G35" s="12">
        <f>M35-H35</f>
        <v>4232386.0870000003</v>
      </c>
      <c r="H35" s="63">
        <f>(2659323205)/1000</f>
        <v>2659323.2050000001</v>
      </c>
      <c r="I35" s="66">
        <f>7310674263/1000</f>
        <v>7310674.2630000003</v>
      </c>
      <c r="J35" s="66">
        <f>K35-(I35+(5455455300/1000))</f>
        <v>6780537.5849999972</v>
      </c>
      <c r="K35" s="66">
        <f>19546667148/1000</f>
        <v>19546667.147999998</v>
      </c>
      <c r="L35" s="66">
        <f>26412037158/1000</f>
        <v>26412037.158</v>
      </c>
      <c r="M35" s="66">
        <f>6891709292/1000</f>
        <v>6891709.2920000004</v>
      </c>
      <c r="N35" s="80">
        <f>414964865+1348342960+1457361212+99295506</f>
        <v>3319964543</v>
      </c>
      <c r="O35" s="64">
        <f>7833354*1000</f>
        <v>7833354000</v>
      </c>
      <c r="P35" s="64">
        <f>7956015634</f>
        <v>7956015634</v>
      </c>
      <c r="Q35" s="39">
        <f t="shared" si="22"/>
        <v>2659323205</v>
      </c>
      <c r="R35" s="64">
        <f>-104196915</f>
        <v>-104196915</v>
      </c>
      <c r="S35" s="65">
        <v>757952</v>
      </c>
      <c r="T35" s="86">
        <v>12681947795.801353</v>
      </c>
      <c r="U35" s="86">
        <v>87700000</v>
      </c>
      <c r="V35" s="86">
        <f>1894145*1000</f>
        <v>1894145000</v>
      </c>
      <c r="W35" s="95">
        <v>41715862000</v>
      </c>
      <c r="X35" s="41">
        <f t="shared" si="2"/>
        <v>3.2278426672750751</v>
      </c>
      <c r="Y35" s="41">
        <f t="shared" si="3"/>
        <v>4.5910634756795519</v>
      </c>
      <c r="Z35" s="41">
        <f t="shared" si="4"/>
        <v>4.6302796406484825</v>
      </c>
      <c r="AA35" s="41">
        <f t="shared" si="5"/>
        <v>0.98458252979345517</v>
      </c>
      <c r="AB35" s="41">
        <f t="shared" si="6"/>
        <v>-137.47165387781811</v>
      </c>
      <c r="AC35" s="41">
        <f t="shared" si="7"/>
        <v>0.53351476691118771</v>
      </c>
      <c r="AD35" s="41">
        <f t="shared" si="8"/>
        <v>0.1006860314897941</v>
      </c>
      <c r="AE35" s="87">
        <f t="shared" si="9"/>
        <v>3508.5641373068479</v>
      </c>
      <c r="AF35" s="41">
        <f t="shared" si="10"/>
        <v>7.9585183760556122E-2</v>
      </c>
      <c r="AG35" s="41">
        <f t="shared" si="11"/>
        <v>0.18777878783854449</v>
      </c>
      <c r="AH35" s="41">
        <f t="shared" si="12"/>
        <v>0.1907191953506798</v>
      </c>
      <c r="AI35" s="88">
        <f t="shared" si="13"/>
        <v>0.30400780872756156</v>
      </c>
      <c r="AJ35" s="88">
        <f t="shared" si="14"/>
        <v>2.1023178185794172E-3</v>
      </c>
      <c r="AK35" s="5">
        <f t="shared" si="15"/>
        <v>9.9318642834916346</v>
      </c>
      <c r="AL35" s="5">
        <f t="shared" si="16"/>
        <v>2.8501687894683716E-4</v>
      </c>
      <c r="AM35" s="5">
        <f t="shared" si="17"/>
        <v>12.565152868260617</v>
      </c>
      <c r="AN35" s="5">
        <f t="shared" si="18"/>
        <v>5.3254151414579249</v>
      </c>
      <c r="AO35" s="5">
        <f t="shared" si="19"/>
        <v>5.2433107121770144</v>
      </c>
      <c r="AP35" s="5">
        <f t="shared" si="20"/>
        <v>3.2893891909735649</v>
      </c>
      <c r="AQ35" s="5">
        <f t="shared" si="21"/>
        <v>475.6654732041049</v>
      </c>
      <c r="AR35" s="14">
        <f>IF(X35&gt;'cash outliers'!$D$19,'cash outliers'!$D$19,Dataset!X35)</f>
        <v>3.2278426672750751</v>
      </c>
      <c r="AS35" s="14">
        <f>IF(Y35&gt;'cash outliers'!$I$19,'cash outliers'!$I$19,Dataset!Y35)</f>
        <v>4.5910634756795519</v>
      </c>
      <c r="AT35" s="14">
        <f>IF(Z35&gt;'cash outliers'!$N$19,'cash outliers'!$N$19,Dataset!Z35)</f>
        <v>4.6302796406484825</v>
      </c>
    </row>
    <row r="36" spans="1:46" s="8" customFormat="1" hidden="1" outlineLevel="4" x14ac:dyDescent="0.25">
      <c r="A36" s="62" t="s">
        <v>204</v>
      </c>
      <c r="B36" s="71" t="s">
        <v>78</v>
      </c>
      <c r="C36" s="8">
        <v>2016</v>
      </c>
      <c r="D36" s="12">
        <f>(10194086+723379+26090429)</f>
        <v>37007894</v>
      </c>
      <c r="E36" s="12">
        <f>D36+1453121+1360408+781414+180690+1181967+1701046</f>
        <v>43666540</v>
      </c>
      <c r="F36" s="12">
        <f>E36+914844+131024+22901+31331+538564</f>
        <v>45305204</v>
      </c>
      <c r="G36" s="12">
        <f>M36-H36</f>
        <v>10786711</v>
      </c>
      <c r="H36" s="63">
        <f>16267291+160175+21242347</f>
        <v>37669813</v>
      </c>
      <c r="I36" s="12">
        <f>-8957457</f>
        <v>-8957457</v>
      </c>
      <c r="J36" s="12">
        <f>K36-(I36+24111365)</f>
        <v>14175520</v>
      </c>
      <c r="K36" s="63">
        <f>29329428</f>
        <v>29329428</v>
      </c>
      <c r="L36" s="12">
        <f>74104992</f>
        <v>74104992</v>
      </c>
      <c r="M36" s="63">
        <v>48456524</v>
      </c>
      <c r="N36" s="79">
        <f>(23285081+1798483)*1000</f>
        <v>25083564000</v>
      </c>
      <c r="O36" s="64">
        <f>N36+((341130+161904+70905+1683+11601830+26166329+1430936)*1000)</f>
        <v>64858281000</v>
      </c>
      <c r="P36" s="13">
        <f>64628256*1000</f>
        <v>64628256000</v>
      </c>
      <c r="Q36" s="39">
        <f t="shared" si="22"/>
        <v>37669813000</v>
      </c>
      <c r="R36" s="13">
        <f>732611*1000</f>
        <v>732611000</v>
      </c>
      <c r="S36" s="65">
        <v>11614373</v>
      </c>
      <c r="T36" s="86">
        <v>388978840843.3407</v>
      </c>
      <c r="U36" s="86">
        <v>15142634000</v>
      </c>
      <c r="V36" s="86">
        <f>17689412*1000</f>
        <v>17689412000</v>
      </c>
      <c r="W36" s="95">
        <v>521208626000</v>
      </c>
      <c r="X36" s="41">
        <f t="shared" si="2"/>
        <v>3.4308784206789262</v>
      </c>
      <c r="Y36" s="41">
        <f t="shared" si="3"/>
        <v>4.0481792828230958</v>
      </c>
      <c r="Z36" s="41">
        <f t="shared" si="4"/>
        <v>4.2000943568433415</v>
      </c>
      <c r="AA36" s="41">
        <f t="shared" si="5"/>
        <v>1.0035592017213029</v>
      </c>
      <c r="AB36" s="41">
        <f t="shared" si="6"/>
        <v>63.077963829816731</v>
      </c>
      <c r="AC36" s="41">
        <f t="shared" si="7"/>
        <v>7.0414460067683426E-2</v>
      </c>
      <c r="AD36" s="41">
        <f t="shared" si="8"/>
        <v>0.50833030249837963</v>
      </c>
      <c r="AE36" s="87">
        <f t="shared" si="9"/>
        <v>3243.3789581236974</v>
      </c>
      <c r="AF36" s="41">
        <f t="shared" si="10"/>
        <v>4.8125765286163934E-2</v>
      </c>
      <c r="AG36" s="41">
        <f t="shared" si="11"/>
        <v>0.12443823406713918</v>
      </c>
      <c r="AH36" s="41">
        <f t="shared" si="12"/>
        <v>0.1239969040727273</v>
      </c>
      <c r="AI36" s="88">
        <f t="shared" si="13"/>
        <v>0.74630161789252636</v>
      </c>
      <c r="AJ36" s="88">
        <f t="shared" si="14"/>
        <v>2.90529228501295E-2</v>
      </c>
      <c r="AK36" s="5">
        <f t="shared" si="15"/>
        <v>1.9672248439353812</v>
      </c>
      <c r="AL36" s="5">
        <f t="shared" si="16"/>
        <v>3.0832043153492688E-4</v>
      </c>
      <c r="AM36" s="5">
        <f t="shared" si="17"/>
        <v>20.778890352264135</v>
      </c>
      <c r="AN36" s="5">
        <f t="shared" si="18"/>
        <v>8.0361153265841256</v>
      </c>
      <c r="AO36" s="5">
        <f t="shared" si="19"/>
        <v>8.0647174820870919</v>
      </c>
      <c r="AP36" s="5">
        <f t="shared" si="20"/>
        <v>1.3399408175261498</v>
      </c>
      <c r="AQ36" s="5">
        <f t="shared" si="21"/>
        <v>34.419944773148451</v>
      </c>
      <c r="AR36" s="14">
        <f>IF(X36&gt;'cash outliers'!$D$19,'cash outliers'!$D$19,Dataset!X36)</f>
        <v>3.4308784206789262</v>
      </c>
      <c r="AS36" s="14">
        <f>IF(Y36&gt;'cash outliers'!$I$19,'cash outliers'!$I$19,Dataset!Y36)</f>
        <v>4.0481792828230958</v>
      </c>
      <c r="AT36" s="14">
        <f>IF(Z36&gt;'cash outliers'!$N$19,'cash outliers'!$N$19,Dataset!Z36)</f>
        <v>4.2000943568433415</v>
      </c>
    </row>
    <row r="37" spans="1:46" s="8" customFormat="1" hidden="1" outlineLevel="4" x14ac:dyDescent="0.25">
      <c r="A37" s="62" t="s">
        <v>203</v>
      </c>
      <c r="B37" s="71" t="s">
        <v>79</v>
      </c>
      <c r="C37" s="8">
        <v>2016</v>
      </c>
      <c r="D37" s="12">
        <f>4290009+407895</f>
        <v>4697904</v>
      </c>
      <c r="E37" s="12">
        <f>D37+92159+33651+515178+317100+5023+40592+65+104967+8</f>
        <v>5806647</v>
      </c>
      <c r="F37" s="12">
        <f>6066747</f>
        <v>6066747</v>
      </c>
      <c r="G37" s="12">
        <f>2276390</f>
        <v>2276390</v>
      </c>
      <c r="H37" s="12">
        <f>2389522</f>
        <v>2389522</v>
      </c>
      <c r="I37" s="12">
        <f>1507030</f>
        <v>1507030</v>
      </c>
      <c r="J37" s="12">
        <f>K37-(I37+10868640)</f>
        <v>5608628</v>
      </c>
      <c r="K37" s="63">
        <f>17984298</f>
        <v>17984298</v>
      </c>
      <c r="L37" s="12">
        <f>22741744</f>
        <v>22741744</v>
      </c>
      <c r="M37" s="63">
        <f>4665912</f>
        <v>4665912</v>
      </c>
      <c r="N37" s="79">
        <f>(2932254+369559+2481557+319071+762861+424275+952440)*1000</f>
        <v>8242017000</v>
      </c>
      <c r="O37" s="64">
        <f>18239561*1000</f>
        <v>18239561000</v>
      </c>
      <c r="P37" s="13">
        <f>18968040*1000</f>
        <v>18968040000</v>
      </c>
      <c r="Q37" s="39">
        <f t="shared" si="22"/>
        <v>2389522000</v>
      </c>
      <c r="R37" s="13">
        <f>-669669*1000</f>
        <v>-669669000</v>
      </c>
      <c r="S37" s="65">
        <v>3923561</v>
      </c>
      <c r="T37" s="86">
        <v>63161432899.240883</v>
      </c>
      <c r="U37" s="86">
        <v>5215000</v>
      </c>
      <c r="V37" s="86">
        <f>2141450*1000</f>
        <v>2141450000</v>
      </c>
      <c r="W37" s="95">
        <v>179237997000</v>
      </c>
      <c r="X37" s="41">
        <f t="shared" si="2"/>
        <v>2.0637518175708029</v>
      </c>
      <c r="Y37" s="41">
        <f t="shared" si="3"/>
        <v>2.5508137884984561</v>
      </c>
      <c r="Z37" s="41">
        <f t="shared" si="4"/>
        <v>2.6650736473099954</v>
      </c>
      <c r="AA37" s="41">
        <f t="shared" si="5"/>
        <v>0.96159439773429412</v>
      </c>
      <c r="AB37" s="41">
        <f t="shared" si="6"/>
        <v>-170.678880741245</v>
      </c>
      <c r="AC37" s="41">
        <f t="shared" si="7"/>
        <v>0.31288972384879543</v>
      </c>
      <c r="AD37" s="41">
        <f t="shared" si="8"/>
        <v>0.10507206483372604</v>
      </c>
      <c r="AE37" s="87">
        <f t="shared" si="9"/>
        <v>609.01869500690827</v>
      </c>
      <c r="AF37" s="41">
        <f t="shared" si="10"/>
        <v>4.5983648210485194E-2</v>
      </c>
      <c r="AG37" s="41">
        <f t="shared" si="11"/>
        <v>0.10176168728330523</v>
      </c>
      <c r="AH37" s="41">
        <f t="shared" si="12"/>
        <v>0.10582599849071064</v>
      </c>
      <c r="AI37" s="88">
        <f t="shared" si="13"/>
        <v>0.3523886338633927</v>
      </c>
      <c r="AJ37" s="88">
        <f t="shared" si="14"/>
        <v>2.9095393205046809E-5</v>
      </c>
      <c r="AK37" s="5">
        <f t="shared" si="15"/>
        <v>9.5172775140802219</v>
      </c>
      <c r="AL37" s="5">
        <f t="shared" si="16"/>
        <v>1.6419857193195962E-3</v>
      </c>
      <c r="AM37" s="5">
        <f t="shared" si="17"/>
        <v>21.746860871556077</v>
      </c>
      <c r="AN37" s="5">
        <f t="shared" si="18"/>
        <v>9.8268810855699869</v>
      </c>
      <c r="AO37" s="5">
        <f t="shared" si="19"/>
        <v>9.4494737990851991</v>
      </c>
      <c r="AP37" s="5">
        <f t="shared" si="20"/>
        <v>2.8377759777225418</v>
      </c>
      <c r="AQ37" s="5">
        <f t="shared" si="21"/>
        <v>34369.702205177375</v>
      </c>
      <c r="AR37" s="14">
        <f>IF(X37&gt;'cash outliers'!$D$19,'cash outliers'!$D$19,Dataset!X37)</f>
        <v>2.0637518175708029</v>
      </c>
      <c r="AS37" s="14">
        <f>IF(Y37&gt;'cash outliers'!$I$19,'cash outliers'!$I$19,Dataset!Y37)</f>
        <v>2.5508137884984561</v>
      </c>
      <c r="AT37" s="14">
        <f>IF(Z37&gt;'cash outliers'!$N$19,'cash outliers'!$N$19,Dataset!Z37)</f>
        <v>2.6650736473099954</v>
      </c>
    </row>
    <row r="38" spans="1:46" s="8" customFormat="1" hidden="1" outlineLevel="4" x14ac:dyDescent="0.25">
      <c r="A38" s="62" t="s">
        <v>205</v>
      </c>
      <c r="B38" s="71" t="s">
        <v>80</v>
      </c>
      <c r="C38" s="8">
        <v>2016</v>
      </c>
      <c r="D38" s="12">
        <f>7988059+1606312</f>
        <v>9594371</v>
      </c>
      <c r="E38" s="12">
        <f>D38+1236825+727447</f>
        <v>11558643</v>
      </c>
      <c r="F38" s="12">
        <f>12155336</f>
        <v>12155336</v>
      </c>
      <c r="G38" s="12">
        <f>3557064</f>
        <v>3557064</v>
      </c>
      <c r="H38" s="12">
        <f>13440187</f>
        <v>13440187</v>
      </c>
      <c r="I38" s="12">
        <f>1295976</f>
        <v>1295976</v>
      </c>
      <c r="J38" s="12">
        <f>K38-(I38+10175146)</f>
        <v>4274621</v>
      </c>
      <c r="K38" s="63">
        <f>15745743</f>
        <v>15745743</v>
      </c>
      <c r="L38" s="12">
        <f>32544188</f>
        <v>32544188</v>
      </c>
      <c r="M38" s="63">
        <f>16997250</f>
        <v>16997250</v>
      </c>
      <c r="N38" s="79">
        <f>(7611.7+633.9+2666.3)*1000000</f>
        <v>10911900000.000002</v>
      </c>
      <c r="O38" s="13">
        <f>26964.2*1000000</f>
        <v>26964200000</v>
      </c>
      <c r="P38" s="13">
        <f>26765.3*1000000</f>
        <v>26765300000</v>
      </c>
      <c r="Q38" s="39">
        <f t="shared" si="22"/>
        <v>13440187000</v>
      </c>
      <c r="R38" s="13">
        <f>-136632*1000</f>
        <v>-136632000</v>
      </c>
      <c r="S38" s="65">
        <v>4093465</v>
      </c>
      <c r="T38" s="86">
        <v>120499659726.60287</v>
      </c>
      <c r="U38" s="86">
        <v>120900000</v>
      </c>
      <c r="V38" s="86">
        <f>11083552*1000</f>
        <v>11083552000</v>
      </c>
      <c r="W38" s="95">
        <v>184407086000</v>
      </c>
      <c r="X38" s="41">
        <f t="shared" si="2"/>
        <v>2.6972725258808952</v>
      </c>
      <c r="Y38" s="41">
        <f t="shared" si="3"/>
        <v>3.2494897477245277</v>
      </c>
      <c r="Z38" s="41">
        <f t="shared" si="4"/>
        <v>3.4172384865720717</v>
      </c>
      <c r="AA38" s="41">
        <f t="shared" si="5"/>
        <v>1.0074312636137088</v>
      </c>
      <c r="AB38" s="41">
        <f t="shared" si="6"/>
        <v>-33.378079451027432</v>
      </c>
      <c r="AC38" s="41">
        <f t="shared" si="7"/>
        <v>0.17117025626818527</v>
      </c>
      <c r="AD38" s="41">
        <f t="shared" si="8"/>
        <v>0.41298271138305864</v>
      </c>
      <c r="AE38" s="87">
        <f t="shared" si="9"/>
        <v>3283.3276942639059</v>
      </c>
      <c r="AF38" s="41">
        <f t="shared" si="10"/>
        <v>5.9172888833566847E-2</v>
      </c>
      <c r="AG38" s="41">
        <f t="shared" si="11"/>
        <v>0.14622106224269496</v>
      </c>
      <c r="AH38" s="41">
        <f t="shared" si="12"/>
        <v>0.1451424702844662</v>
      </c>
      <c r="AI38" s="88">
        <f t="shared" si="13"/>
        <v>0.65344376043447094</v>
      </c>
      <c r="AJ38" s="88">
        <f t="shared" si="14"/>
        <v>6.5561471970767974E-4</v>
      </c>
      <c r="AK38" s="5">
        <f t="shared" si="15"/>
        <v>2.4214088687902926</v>
      </c>
      <c r="AL38" s="5">
        <f t="shared" si="16"/>
        <v>3.0456905101097179E-4</v>
      </c>
      <c r="AM38" s="5">
        <f t="shared" si="17"/>
        <v>16.899631228292048</v>
      </c>
      <c r="AN38" s="5">
        <f t="shared" si="18"/>
        <v>6.8389600284822087</v>
      </c>
      <c r="AO38" s="5">
        <f t="shared" si="19"/>
        <v>6.8897821432974782</v>
      </c>
      <c r="AP38" s="5">
        <f t="shared" si="20"/>
        <v>1.5303535828930492</v>
      </c>
      <c r="AQ38" s="5">
        <f t="shared" si="21"/>
        <v>1525.286071133168</v>
      </c>
      <c r="AR38" s="14">
        <f>IF(X38&gt;'cash outliers'!$D$19,'cash outliers'!$D$19,Dataset!X38)</f>
        <v>2.6972725258808952</v>
      </c>
      <c r="AS38" s="14">
        <f>IF(Y38&gt;'cash outliers'!$I$19,'cash outliers'!$I$19,Dataset!Y38)</f>
        <v>3.2494897477245277</v>
      </c>
      <c r="AT38" s="14">
        <f>IF(Z38&gt;'cash outliers'!$N$19,'cash outliers'!$N$19,Dataset!Z38)</f>
        <v>3.4172384865720717</v>
      </c>
    </row>
    <row r="39" spans="1:46" s="8" customFormat="1" hidden="1" outlineLevel="4" x14ac:dyDescent="0.25">
      <c r="A39" s="62" t="s">
        <v>206</v>
      </c>
      <c r="B39" s="71" t="s">
        <v>81</v>
      </c>
      <c r="C39" s="8">
        <v>2016</v>
      </c>
      <c r="D39" s="12">
        <f>1191565+1511108+7370246</f>
        <v>10072919</v>
      </c>
      <c r="E39" s="12">
        <f>D39+2373649+744747+2379226+20797+10091+51443+738+26164+170991</f>
        <v>15850765</v>
      </c>
      <c r="F39" s="12">
        <f>20300957</f>
        <v>20300957</v>
      </c>
      <c r="G39" s="12">
        <f>14621144</f>
        <v>14621144</v>
      </c>
      <c r="H39" s="12">
        <f>39747948</f>
        <v>39747948</v>
      </c>
      <c r="I39" s="12">
        <f>-20803306</f>
        <v>-20803306</v>
      </c>
      <c r="J39" s="12">
        <f>K39-(I39+31053027)</f>
        <v>3224426</v>
      </c>
      <c r="K39" s="63">
        <f>13474147</f>
        <v>13474147</v>
      </c>
      <c r="L39" s="12">
        <f>65074717</f>
        <v>65074717</v>
      </c>
      <c r="M39" s="64">
        <f>54369092</f>
        <v>54369092</v>
      </c>
      <c r="N39" s="79">
        <f>34926048*1000</f>
        <v>34926048000</v>
      </c>
      <c r="O39" s="64">
        <f>N39+((16297+15238779+27057102+62360)*1000)</f>
        <v>77300586000</v>
      </c>
      <c r="P39" s="13">
        <f>76504776*1000</f>
        <v>76504776000</v>
      </c>
      <c r="Q39" s="39">
        <f t="shared" si="22"/>
        <v>39747948000</v>
      </c>
      <c r="R39" s="13">
        <f>795810*1000</f>
        <v>795810000</v>
      </c>
      <c r="S39" s="65">
        <v>12784227</v>
      </c>
      <c r="T39" s="86">
        <v>245402508551.91266</v>
      </c>
      <c r="U39" s="86">
        <v>20724570000</v>
      </c>
      <c r="V39" s="86">
        <f>16588566*1000</f>
        <v>16588566000</v>
      </c>
      <c r="W39" s="95">
        <v>655506262000</v>
      </c>
      <c r="X39" s="41">
        <f t="shared" si="2"/>
        <v>0.68892823981488727</v>
      </c>
      <c r="Y39" s="41">
        <f t="shared" si="3"/>
        <v>1.0840988229101636</v>
      </c>
      <c r="Z39" s="41">
        <f t="shared" si="4"/>
        <v>1.3884657041884001</v>
      </c>
      <c r="AA39" s="41">
        <f t="shared" si="5"/>
        <v>1.0104020956809285</v>
      </c>
      <c r="AB39" s="41">
        <f t="shared" si="6"/>
        <v>62.249364001437087</v>
      </c>
      <c r="AC39" s="41">
        <f t="shared" si="7"/>
        <v>-0.27013379097753126</v>
      </c>
      <c r="AD39" s="41">
        <f t="shared" si="8"/>
        <v>0.61080477691512669</v>
      </c>
      <c r="AE39" s="87">
        <f t="shared" si="9"/>
        <v>3109.1397235045965</v>
      </c>
      <c r="AF39" s="41">
        <f t="shared" si="10"/>
        <v>5.3281028763078393E-2</v>
      </c>
      <c r="AG39" s="41">
        <f t="shared" si="11"/>
        <v>0.11792501533722953</v>
      </c>
      <c r="AH39" s="41">
        <f t="shared" si="12"/>
        <v>0.11671097659170798</v>
      </c>
      <c r="AI39" s="88">
        <f t="shared" si="13"/>
        <v>0.37437095994044473</v>
      </c>
      <c r="AJ39" s="88">
        <f t="shared" si="14"/>
        <v>3.1616128176667209E-2</v>
      </c>
      <c r="AK39" s="5">
        <f t="shared" si="15"/>
        <v>1.6371843145210916</v>
      </c>
      <c r="AL39" s="5">
        <f t="shared" si="16"/>
        <v>3.216323770978064E-4</v>
      </c>
      <c r="AM39" s="5">
        <f t="shared" si="17"/>
        <v>18.768406376810798</v>
      </c>
      <c r="AN39" s="5">
        <f t="shared" si="18"/>
        <v>8.4799649772383354</v>
      </c>
      <c r="AO39" s="5">
        <f t="shared" si="19"/>
        <v>8.5681743843024911</v>
      </c>
      <c r="AP39" s="5">
        <f t="shared" si="20"/>
        <v>2.6711473565125909</v>
      </c>
      <c r="AQ39" s="5">
        <f t="shared" si="21"/>
        <v>31.629426424770216</v>
      </c>
      <c r="AR39" s="14">
        <f>IF(X39&gt;'cash outliers'!$D$19,'cash outliers'!$D$19,Dataset!X39)</f>
        <v>0.68892823981488727</v>
      </c>
      <c r="AS39" s="14">
        <f>IF(Y39&gt;'cash outliers'!$I$19,'cash outliers'!$I$19,Dataset!Y39)</f>
        <v>1.0840988229101636</v>
      </c>
      <c r="AT39" s="14">
        <f>IF(Z39&gt;'cash outliers'!$N$19,'cash outliers'!$N$19,Dataset!Z39)</f>
        <v>1.3884657041884001</v>
      </c>
    </row>
    <row r="40" spans="1:46" s="8" customFormat="1" hidden="1" outlineLevel="4" x14ac:dyDescent="0.25">
      <c r="A40" s="62" t="s">
        <v>207</v>
      </c>
      <c r="B40" s="71" t="s">
        <v>82</v>
      </c>
      <c r="C40" s="8">
        <v>2016</v>
      </c>
      <c r="D40" s="12">
        <f>1030104+346511</f>
        <v>1376615</v>
      </c>
      <c r="E40" s="12">
        <f>D40+864837</f>
        <v>2241452</v>
      </c>
      <c r="F40" s="12">
        <f>2455486</f>
        <v>2455486</v>
      </c>
      <c r="G40" s="12">
        <f>1216900</f>
        <v>1216900</v>
      </c>
      <c r="H40" s="12">
        <f>6039714</f>
        <v>6039714</v>
      </c>
      <c r="I40" s="12">
        <f>-4326282</f>
        <v>-4326282</v>
      </c>
      <c r="J40" s="12">
        <f>K40-(I40+3006134)</f>
        <v>1025872</v>
      </c>
      <c r="K40" s="63">
        <f>-294276</f>
        <v>-294276</v>
      </c>
      <c r="L40" s="12">
        <f>6730751</f>
        <v>6730751</v>
      </c>
      <c r="M40" s="63">
        <f>7256614</f>
        <v>7256614</v>
      </c>
      <c r="N40" s="79">
        <f>(1211419+428418+1173905+152122+300483)*1000</f>
        <v>3266347000</v>
      </c>
      <c r="O40" s="13">
        <f>N40+((3298+94942+4693+1801836+2678989+178628)*1000)</f>
        <v>8028733000</v>
      </c>
      <c r="P40" s="13">
        <f>7790790*1000</f>
        <v>7790790000</v>
      </c>
      <c r="Q40" s="39">
        <f t="shared" si="22"/>
        <v>6039714000</v>
      </c>
      <c r="R40" s="13">
        <f>237943*1000</f>
        <v>237943000</v>
      </c>
      <c r="S40" s="65">
        <v>1056426</v>
      </c>
      <c r="T40" s="86">
        <v>21689082206.717304</v>
      </c>
      <c r="U40" s="86">
        <v>644316000</v>
      </c>
      <c r="V40" s="86">
        <f>2556297*1000</f>
        <v>2556297000</v>
      </c>
      <c r="W40" s="95">
        <v>54486321000</v>
      </c>
      <c r="X40" s="41">
        <f t="shared" si="2"/>
        <v>1.1312474319993426</v>
      </c>
      <c r="Y40" s="41">
        <f t="shared" si="3"/>
        <v>1.8419360670556331</v>
      </c>
      <c r="Z40" s="41">
        <f t="shared" si="4"/>
        <v>2.0178206919220973</v>
      </c>
      <c r="AA40" s="41">
        <f t="shared" si="5"/>
        <v>1.0305415753729725</v>
      </c>
      <c r="AB40" s="41">
        <f t="shared" si="6"/>
        <v>225.23394918337868</v>
      </c>
      <c r="AC40" s="41">
        <f t="shared" si="7"/>
        <v>-0.4903479567138942</v>
      </c>
      <c r="AD40" s="41">
        <f t="shared" si="8"/>
        <v>0.89733136762896148</v>
      </c>
      <c r="AE40" s="87">
        <f t="shared" si="9"/>
        <v>5717.1197982632002</v>
      </c>
      <c r="AF40" s="41">
        <f t="shared" si="10"/>
        <v>5.9948018879821229E-2</v>
      </c>
      <c r="AG40" s="41">
        <f t="shared" si="11"/>
        <v>0.14735318613271761</v>
      </c>
      <c r="AH40" s="41">
        <f t="shared" si="12"/>
        <v>0.14298616344458273</v>
      </c>
      <c r="AI40" s="88">
        <f t="shared" si="13"/>
        <v>0.3980647217256108</v>
      </c>
      <c r="AJ40" s="88">
        <f t="shared" si="14"/>
        <v>1.1825279963387508E-2</v>
      </c>
      <c r="AK40" s="5">
        <f t="shared" si="15"/>
        <v>1.1144155170261374</v>
      </c>
      <c r="AL40" s="5">
        <f t="shared" si="16"/>
        <v>1.749132492035219E-4</v>
      </c>
      <c r="AM40" s="5">
        <f t="shared" si="17"/>
        <v>16.681118386993177</v>
      </c>
      <c r="AN40" s="5">
        <f t="shared" si="18"/>
        <v>6.7864158641220227</v>
      </c>
      <c r="AO40" s="5">
        <f t="shared" si="19"/>
        <v>6.993683695748441</v>
      </c>
      <c r="AP40" s="5">
        <f t="shared" si="20"/>
        <v>2.5121542940680586</v>
      </c>
      <c r="AQ40" s="5">
        <f t="shared" si="21"/>
        <v>84.56459408116514</v>
      </c>
      <c r="AR40" s="14">
        <f>IF(X40&gt;'cash outliers'!$D$19,'cash outliers'!$D$19,Dataset!X40)</f>
        <v>1.1312474319993426</v>
      </c>
      <c r="AS40" s="14">
        <f>IF(Y40&gt;'cash outliers'!$I$19,'cash outliers'!$I$19,Dataset!Y40)</f>
        <v>1.8419360670556331</v>
      </c>
      <c r="AT40" s="14">
        <f>IF(Z40&gt;'cash outliers'!$N$19,'cash outliers'!$N$19,Dataset!Z40)</f>
        <v>2.0178206919220973</v>
      </c>
    </row>
    <row r="41" spans="1:46" s="8" customFormat="1" hidden="1" outlineLevel="4" x14ac:dyDescent="0.25">
      <c r="A41" s="62" t="s">
        <v>208</v>
      </c>
      <c r="B41" s="71" t="s">
        <v>83</v>
      </c>
      <c r="C41" s="8">
        <v>2016</v>
      </c>
      <c r="D41" s="12">
        <f>4656048+3120291</f>
        <v>7776339</v>
      </c>
      <c r="E41" s="12">
        <f>D41+443830+131+2016+20649+539463+642027+250+15265+616444+86714</f>
        <v>10143128</v>
      </c>
      <c r="F41" s="12">
        <f>E41+22033+730633+66405+36978+38772+762</f>
        <v>11038711</v>
      </c>
      <c r="G41" s="12">
        <f>M41-H41</f>
        <v>4087657</v>
      </c>
      <c r="H41" s="12">
        <f>6502234</f>
        <v>6502234</v>
      </c>
      <c r="I41" s="12">
        <f>-2178165</f>
        <v>-2178165</v>
      </c>
      <c r="J41" s="12">
        <f>K41-(I41+13292213)</f>
        <v>6993227</v>
      </c>
      <c r="K41" s="63">
        <f>18107275</f>
        <v>18107275</v>
      </c>
      <c r="L41" s="12">
        <f>28293271</f>
        <v>28293271</v>
      </c>
      <c r="M41" s="63">
        <f>10589891</f>
        <v>10589891</v>
      </c>
      <c r="N41" s="79">
        <f>(3884855+4279959+2194859)*1000</f>
        <v>10359673000</v>
      </c>
      <c r="O41" s="13">
        <f>23558826*1000</f>
        <v>23558826000</v>
      </c>
      <c r="P41" s="13">
        <f>22051744*1000</f>
        <v>22051744000</v>
      </c>
      <c r="Q41" s="39">
        <f t="shared" si="22"/>
        <v>6502234000</v>
      </c>
      <c r="R41" s="13">
        <f>1848633*1000</f>
        <v>1848633000</v>
      </c>
      <c r="S41" s="65">
        <v>4961119</v>
      </c>
      <c r="T41" s="86">
        <v>90017295298.035919</v>
      </c>
      <c r="U41" s="86">
        <v>10484863000</v>
      </c>
      <c r="V41" s="86">
        <f>2856956*1000</f>
        <v>2856956000</v>
      </c>
      <c r="W41" s="95">
        <v>195791444000</v>
      </c>
      <c r="X41" s="41">
        <f t="shared" si="2"/>
        <v>1.9023951862888691</v>
      </c>
      <c r="Y41" s="41">
        <f t="shared" si="3"/>
        <v>2.4814038947005583</v>
      </c>
      <c r="Z41" s="41">
        <f t="shared" si="4"/>
        <v>2.7004983539470166</v>
      </c>
      <c r="AA41" s="41">
        <f t="shared" si="5"/>
        <v>1.0683429845730115</v>
      </c>
      <c r="AB41" s="41">
        <f t="shared" si="6"/>
        <v>372.62420030642278</v>
      </c>
      <c r="AC41" s="41">
        <f t="shared" si="7"/>
        <v>0.17018399887379582</v>
      </c>
      <c r="AD41" s="41">
        <f t="shared" si="8"/>
        <v>0.22981556285945162</v>
      </c>
      <c r="AE41" s="87">
        <f t="shared" si="9"/>
        <v>1310.6385877863443</v>
      </c>
      <c r="AF41" s="41">
        <f t="shared" si="10"/>
        <v>5.2911775858806166E-2</v>
      </c>
      <c r="AG41" s="41">
        <f t="shared" si="11"/>
        <v>0.12032612620191922</v>
      </c>
      <c r="AH41" s="41">
        <f t="shared" si="12"/>
        <v>0.11262874183613458</v>
      </c>
      <c r="AI41" s="88">
        <f t="shared" si="13"/>
        <v>0.45976112877555525</v>
      </c>
      <c r="AJ41" s="88">
        <f t="shared" si="14"/>
        <v>5.3551180714515798E-2</v>
      </c>
      <c r="AK41" s="5">
        <f t="shared" si="15"/>
        <v>4.3513154094423552</v>
      </c>
      <c r="AL41" s="5">
        <f t="shared" si="16"/>
        <v>7.6298684421385009E-4</v>
      </c>
      <c r="AM41" s="5">
        <f t="shared" si="17"/>
        <v>18.899384565516694</v>
      </c>
      <c r="AN41" s="5">
        <f t="shared" si="18"/>
        <v>8.3107470635421308</v>
      </c>
      <c r="AO41" s="5">
        <f t="shared" si="19"/>
        <v>8.8787283218959914</v>
      </c>
      <c r="AP41" s="5">
        <f t="shared" si="20"/>
        <v>2.1750425110170131</v>
      </c>
      <c r="AQ41" s="5">
        <f t="shared" si="21"/>
        <v>18.67372458753157</v>
      </c>
      <c r="AR41" s="14">
        <f>IF(X41&gt;'cash outliers'!$D$19,'cash outliers'!$D$19,Dataset!X41)</f>
        <v>1.9023951862888691</v>
      </c>
      <c r="AS41" s="14">
        <f>IF(Y41&gt;'cash outliers'!$I$19,'cash outliers'!$I$19,Dataset!Y41)</f>
        <v>2.4814038947005583</v>
      </c>
      <c r="AT41" s="14">
        <f>IF(Z41&gt;'cash outliers'!$N$19,'cash outliers'!$N$19,Dataset!Z41)</f>
        <v>2.7004983539470166</v>
      </c>
    </row>
    <row r="42" spans="1:46" s="8" customFormat="1" hidden="1" outlineLevel="4" x14ac:dyDescent="0.25">
      <c r="A42" s="62" t="s">
        <v>209</v>
      </c>
      <c r="B42" s="71" t="s">
        <v>84</v>
      </c>
      <c r="C42" s="8">
        <v>2016</v>
      </c>
      <c r="D42" s="12">
        <f>1030628+1170209</f>
        <v>2200837</v>
      </c>
      <c r="E42" s="12">
        <f>D42+865388</f>
        <v>3066225</v>
      </c>
      <c r="F42" s="12">
        <f>E42+929+11056+28201+23219+6637</f>
        <v>3136267</v>
      </c>
      <c r="G42" s="12">
        <f>M42-H42</f>
        <v>462511</v>
      </c>
      <c r="H42" s="12">
        <f>562477</f>
        <v>562477</v>
      </c>
      <c r="I42" s="12">
        <f>915276</f>
        <v>915276</v>
      </c>
      <c r="J42" s="12">
        <f>K42-(I42+3810766)</f>
        <v>1514922</v>
      </c>
      <c r="K42" s="63">
        <f>6240964</f>
        <v>6240964</v>
      </c>
      <c r="L42" s="12">
        <f>7218447</f>
        <v>7218447</v>
      </c>
      <c r="M42" s="63">
        <f>1024988</f>
        <v>1024988</v>
      </c>
      <c r="N42" s="79">
        <f>(905475+184105+104979+25943+360917)*1000</f>
        <v>1581419000</v>
      </c>
      <c r="O42" s="13">
        <f>3919879*1000</f>
        <v>3919879000</v>
      </c>
      <c r="P42" s="13">
        <f>3828080*1000</f>
        <v>3828080000</v>
      </c>
      <c r="Q42" s="39">
        <f t="shared" si="22"/>
        <v>562477000</v>
      </c>
      <c r="R42" s="13">
        <f>91829*1000</f>
        <v>91829000</v>
      </c>
      <c r="S42" s="65">
        <v>865454</v>
      </c>
      <c r="T42" s="86">
        <v>13315965610.091637</v>
      </c>
      <c r="U42" s="86"/>
      <c r="V42" s="86">
        <f>522268*1000</f>
        <v>522268000</v>
      </c>
      <c r="W42" s="95">
        <v>41584285000</v>
      </c>
      <c r="X42" s="41">
        <f t="shared" si="2"/>
        <v>4.7584533124617581</v>
      </c>
      <c r="Y42" s="41">
        <f t="shared" si="3"/>
        <v>6.6295180006529577</v>
      </c>
      <c r="Z42" s="41">
        <f t="shared" si="4"/>
        <v>6.7809565610331433</v>
      </c>
      <c r="AA42" s="41">
        <f t="shared" si="5"/>
        <v>1.0239804288311634</v>
      </c>
      <c r="AB42" s="41">
        <f t="shared" si="6"/>
        <v>106.10500384769151</v>
      </c>
      <c r="AC42" s="41">
        <f t="shared" si="7"/>
        <v>0.33666493637758926</v>
      </c>
      <c r="AD42" s="41">
        <f t="shared" si="8"/>
        <v>7.7922162481763743E-2</v>
      </c>
      <c r="AE42" s="87">
        <f t="shared" si="9"/>
        <v>649.92131297561741</v>
      </c>
      <c r="AF42" s="41">
        <f t="shared" si="10"/>
        <v>3.8029245903831221E-2</v>
      </c>
      <c r="AG42" s="41">
        <f t="shared" si="11"/>
        <v>9.4263469962270599E-2</v>
      </c>
      <c r="AH42" s="41">
        <f t="shared" si="12"/>
        <v>9.205592930117712E-2</v>
      </c>
      <c r="AI42" s="88">
        <f t="shared" si="13"/>
        <v>0.32021629348903408</v>
      </c>
      <c r="AJ42" s="88">
        <f t="shared" si="14"/>
        <v>0</v>
      </c>
      <c r="AK42" s="5">
        <f t="shared" si="15"/>
        <v>12.833319406837967</v>
      </c>
      <c r="AL42" s="5">
        <f t="shared" si="16"/>
        <v>1.538647802487924E-3</v>
      </c>
      <c r="AM42" s="5">
        <f t="shared" si="17"/>
        <v>26.295551653293654</v>
      </c>
      <c r="AN42" s="5">
        <f t="shared" si="18"/>
        <v>10.608563427595596</v>
      </c>
      <c r="AO42" s="5">
        <f t="shared" si="19"/>
        <v>10.862961327871936</v>
      </c>
      <c r="AP42" s="5">
        <f t="shared" si="20"/>
        <v>3.1228891856317902</v>
      </c>
      <c r="AQ42" s="5" t="e">
        <f t="shared" si="21"/>
        <v>#DIV/0!</v>
      </c>
      <c r="AR42" s="14">
        <f>IF(X42&gt;'cash outliers'!$D$19,'cash outliers'!$D$19,Dataset!X42)</f>
        <v>4.7584533124617581</v>
      </c>
      <c r="AS42" s="14">
        <f>IF(Y42&gt;'cash outliers'!$I$19,'cash outliers'!$I$19,Dataset!Y42)</f>
        <v>6.6295180006529577</v>
      </c>
      <c r="AT42" s="14">
        <f>IF(Z42&gt;'cash outliers'!$N$19,'cash outliers'!$N$19,Dataset!Z42)</f>
        <v>6.7809565610331433</v>
      </c>
    </row>
    <row r="43" spans="1:46" s="8" customFormat="1" hidden="1" outlineLevel="4" x14ac:dyDescent="0.25">
      <c r="A43" s="62" t="s">
        <v>210</v>
      </c>
      <c r="B43" s="71" t="s">
        <v>85</v>
      </c>
      <c r="C43" s="8">
        <v>2016</v>
      </c>
      <c r="D43" s="12">
        <f>6741117+1002911+551604</f>
        <v>8295632</v>
      </c>
      <c r="E43" s="12">
        <f>D43+2341323+640338</f>
        <v>11277293</v>
      </c>
      <c r="F43" s="12">
        <f>E43+107057+26229+261+9352</f>
        <v>11420192</v>
      </c>
      <c r="G43" s="12">
        <f>M43-H43</f>
        <v>2739039</v>
      </c>
      <c r="H43" s="12">
        <f>4265113</f>
        <v>4265113</v>
      </c>
      <c r="I43" s="12">
        <f>4076521</f>
        <v>4076521</v>
      </c>
      <c r="J43" s="12">
        <f>K43-(I43+28201282)</f>
        <v>1595049</v>
      </c>
      <c r="K43" s="63">
        <f>33872852</f>
        <v>33872852</v>
      </c>
      <c r="L43" s="12">
        <f>40673233</f>
        <v>40673233</v>
      </c>
      <c r="M43" s="63">
        <f>7004152</f>
        <v>7004152</v>
      </c>
      <c r="N43" s="79">
        <f>(8258134+6253300)*1000</f>
        <v>14511434000</v>
      </c>
      <c r="O43" s="64">
        <f>30795973*1000</f>
        <v>30795973000</v>
      </c>
      <c r="P43" s="13">
        <f>28867794*1000</f>
        <v>28867794000</v>
      </c>
      <c r="Q43" s="39">
        <f t="shared" si="22"/>
        <v>4265113000</v>
      </c>
      <c r="R43" s="13">
        <f>1928349*1000</f>
        <v>1928349000</v>
      </c>
      <c r="S43" s="65">
        <v>6651194</v>
      </c>
      <c r="T43" s="86">
        <v>50081156966.994476</v>
      </c>
      <c r="U43" s="86">
        <v>1751877000</v>
      </c>
      <c r="V43" s="86">
        <f>2389853*1000</f>
        <v>2389853000</v>
      </c>
      <c r="W43" s="95">
        <v>288531063000</v>
      </c>
      <c r="X43" s="41">
        <f t="shared" si="2"/>
        <v>3.0286651632196548</v>
      </c>
      <c r="Y43" s="41">
        <f t="shared" si="3"/>
        <v>4.1172444057934188</v>
      </c>
      <c r="Z43" s="41">
        <f t="shared" si="4"/>
        <v>4.1694156235088293</v>
      </c>
      <c r="AA43" s="41">
        <f t="shared" si="5"/>
        <v>1.066793430769251</v>
      </c>
      <c r="AB43" s="41">
        <f t="shared" si="6"/>
        <v>289.92523748367586</v>
      </c>
      <c r="AC43" s="41">
        <f t="shared" si="7"/>
        <v>0.13944232070265966</v>
      </c>
      <c r="AD43" s="41">
        <f t="shared" si="8"/>
        <v>0.10486289594928438</v>
      </c>
      <c r="AE43" s="87">
        <f t="shared" si="9"/>
        <v>641.2552392848562</v>
      </c>
      <c r="AF43" s="41">
        <f t="shared" si="10"/>
        <v>5.0294182709887288E-2</v>
      </c>
      <c r="AG43" s="41">
        <f t="shared" si="11"/>
        <v>0.1067336482935288</v>
      </c>
      <c r="AH43" s="41">
        <f t="shared" si="12"/>
        <v>0.10005090509093643</v>
      </c>
      <c r="AI43" s="88">
        <f t="shared" si="13"/>
        <v>0.17357284323662051</v>
      </c>
      <c r="AJ43" s="88">
        <f t="shared" si="14"/>
        <v>6.0717102061208575E-3</v>
      </c>
      <c r="AK43" s="5">
        <f t="shared" si="15"/>
        <v>9.5362615246067346</v>
      </c>
      <c r="AL43" s="5">
        <f t="shared" si="16"/>
        <v>1.5594414497341572E-3</v>
      </c>
      <c r="AM43" s="5">
        <f t="shared" si="17"/>
        <v>19.883015214071882</v>
      </c>
      <c r="AN43" s="5">
        <f t="shared" si="18"/>
        <v>9.3691166374252894</v>
      </c>
      <c r="AO43" s="5">
        <f t="shared" si="19"/>
        <v>9.9949120809161922</v>
      </c>
      <c r="AP43" s="5">
        <f t="shared" si="20"/>
        <v>5.761269916151373</v>
      </c>
      <c r="AQ43" s="5">
        <f t="shared" si="21"/>
        <v>164.69824251360112</v>
      </c>
      <c r="AR43" s="14">
        <f>IF(X43&gt;'cash outliers'!$D$19,'cash outliers'!$D$19,Dataset!X43)</f>
        <v>3.0286651632196548</v>
      </c>
      <c r="AS43" s="14">
        <f>IF(Y43&gt;'cash outliers'!$I$19,'cash outliers'!$I$19,Dataset!Y43)</f>
        <v>4.1172444057934188</v>
      </c>
      <c r="AT43" s="14">
        <f>IF(Z43&gt;'cash outliers'!$N$19,'cash outliers'!$N$19,Dataset!Z43)</f>
        <v>4.1694156235088293</v>
      </c>
    </row>
    <row r="44" spans="1:46" s="8" customFormat="1" hidden="1" outlineLevel="4" x14ac:dyDescent="0.25">
      <c r="A44" s="62" t="s">
        <v>211</v>
      </c>
      <c r="B44" s="71" t="s">
        <v>86</v>
      </c>
      <c r="C44" s="8">
        <v>2016</v>
      </c>
      <c r="D44" s="12">
        <f>29320938+1513968</f>
        <v>30834906</v>
      </c>
      <c r="E44" s="12">
        <f>D44+2765354+2725511+661367+3089130+342658+297604+534168+541560+507440</f>
        <v>42299698</v>
      </c>
      <c r="F44" s="12">
        <f>50289545</f>
        <v>50289545</v>
      </c>
      <c r="G44" s="12">
        <f>24047246</f>
        <v>24047246</v>
      </c>
      <c r="H44" s="12">
        <f>96786385</f>
        <v>96786385</v>
      </c>
      <c r="I44" s="12">
        <f>-14385220</f>
        <v>-14385220</v>
      </c>
      <c r="J44" s="12">
        <f>K44-(I44+84095171)</f>
        <v>89682498</v>
      </c>
      <c r="K44" s="12">
        <f>159392449</f>
        <v>159392449</v>
      </c>
      <c r="L44" s="12">
        <f>289976966</f>
        <v>289976966</v>
      </c>
      <c r="M44" s="12">
        <f>120833631</f>
        <v>120833631</v>
      </c>
      <c r="N44" s="79">
        <f>47534436*1000</f>
        <v>47534436000</v>
      </c>
      <c r="O44" s="64">
        <f>144414936*1000</f>
        <v>144414936000</v>
      </c>
      <c r="P44" s="13">
        <f>140362715*1000</f>
        <v>140362715000</v>
      </c>
      <c r="Q44" s="39">
        <f t="shared" si="22"/>
        <v>96786385000</v>
      </c>
      <c r="R44" s="13">
        <f>4332208*1000</f>
        <v>4332208000</v>
      </c>
      <c r="S44" s="65">
        <v>27862596</v>
      </c>
      <c r="T44" s="86">
        <v>431401467689.8407</v>
      </c>
      <c r="U44" s="86">
        <v>87370542481</v>
      </c>
      <c r="V44" s="86">
        <f>50806*1000000</f>
        <v>50806000000</v>
      </c>
      <c r="W44" s="95">
        <v>1327260948000</v>
      </c>
      <c r="X44" s="41">
        <f t="shared" si="2"/>
        <v>1.282263507430331</v>
      </c>
      <c r="Y44" s="41">
        <f t="shared" si="3"/>
        <v>1.759024630096935</v>
      </c>
      <c r="Z44" s="41">
        <f t="shared" si="4"/>
        <v>2.0912808477112099</v>
      </c>
      <c r="AA44" s="41">
        <f t="shared" si="5"/>
        <v>1.0288696396332886</v>
      </c>
      <c r="AB44" s="41">
        <f t="shared" si="6"/>
        <v>155.48472224196195</v>
      </c>
      <c r="AC44" s="41">
        <f t="shared" si="7"/>
        <v>0.25966641088313203</v>
      </c>
      <c r="AD44" s="41">
        <f t="shared" si="8"/>
        <v>0.33377266592961041</v>
      </c>
      <c r="AE44" s="87">
        <f t="shared" si="9"/>
        <v>3473.7030605475529</v>
      </c>
      <c r="AF44" s="41">
        <f t="shared" si="10"/>
        <v>3.5813934005688837E-2</v>
      </c>
      <c r="AG44" s="41">
        <f t="shared" si="11"/>
        <v>0.1088067393360842</v>
      </c>
      <c r="AH44" s="41">
        <f t="shared" si="12"/>
        <v>0.10575366902153442</v>
      </c>
      <c r="AI44" s="88">
        <f t="shared" si="13"/>
        <v>0.32503138764076761</v>
      </c>
      <c r="AJ44" s="88">
        <f t="shared" si="14"/>
        <v>6.5827705254686661E-2</v>
      </c>
      <c r="AK44" s="5">
        <f t="shared" si="15"/>
        <v>2.9960512111285076</v>
      </c>
      <c r="AL44" s="5">
        <f t="shared" si="16"/>
        <v>2.8787722570690078E-4</v>
      </c>
      <c r="AM44" s="5">
        <f t="shared" si="17"/>
        <v>27.92209311161281</v>
      </c>
      <c r="AN44" s="5">
        <f t="shared" si="18"/>
        <v>9.1906071820715276</v>
      </c>
      <c r="AO44" s="5">
        <f t="shared" si="19"/>
        <v>9.4559366994290457</v>
      </c>
      <c r="AP44" s="5">
        <f t="shared" si="20"/>
        <v>3.0766259445233137</v>
      </c>
      <c r="AQ44" s="5">
        <f t="shared" si="21"/>
        <v>15.191172108020645</v>
      </c>
      <c r="AR44" s="14">
        <f>IF(X44&gt;'cash outliers'!$D$19,'cash outliers'!$D$19,Dataset!X44)</f>
        <v>1.282263507430331</v>
      </c>
      <c r="AS44" s="14">
        <f>IF(Y44&gt;'cash outliers'!$I$19,'cash outliers'!$I$19,Dataset!Y44)</f>
        <v>1.759024630096935</v>
      </c>
      <c r="AT44" s="14">
        <f>IF(Z44&gt;'cash outliers'!$N$19,'cash outliers'!$N$19,Dataset!Z44)</f>
        <v>2.0912808477112099</v>
      </c>
    </row>
    <row r="45" spans="1:46" s="8" customFormat="1" hidden="1" outlineLevel="4" x14ac:dyDescent="0.25">
      <c r="A45" s="62" t="s">
        <v>212</v>
      </c>
      <c r="B45" s="71" t="s">
        <v>87</v>
      </c>
      <c r="C45" s="8">
        <v>2016</v>
      </c>
      <c r="D45" s="12">
        <f>3096778+1353753</f>
        <v>4450531</v>
      </c>
      <c r="E45" s="12">
        <f>D45+1186342+697988+3542135+125198+94665</f>
        <v>10096859</v>
      </c>
      <c r="F45" s="12">
        <f>E45+113057+58061+100038</f>
        <v>10368015</v>
      </c>
      <c r="G45" s="12">
        <f>M45-H45</f>
        <v>2765602</v>
      </c>
      <c r="H45" s="12">
        <f>4745884</f>
        <v>4745884</v>
      </c>
      <c r="I45" s="12">
        <f>2180366</f>
        <v>2180366</v>
      </c>
      <c r="J45" s="12">
        <f>K45-(I45+15498781)</f>
        <v>5915406</v>
      </c>
      <c r="K45" s="63">
        <f>23594553</f>
        <v>23594553</v>
      </c>
      <c r="L45" s="67">
        <f>30855489</f>
        <v>30855489</v>
      </c>
      <c r="M45" s="63">
        <f>7511486</f>
        <v>7511486</v>
      </c>
      <c r="N45" s="79">
        <f>6886339*1000</f>
        <v>6886339000</v>
      </c>
      <c r="O45" s="13">
        <f>12698301*1000</f>
        <v>12698301000</v>
      </c>
      <c r="P45" s="13">
        <f>11809388*1000</f>
        <v>11809388000</v>
      </c>
      <c r="Q45" s="39">
        <f t="shared" si="22"/>
        <v>4745884000</v>
      </c>
      <c r="R45" s="13">
        <f>888913*1000</f>
        <v>888913000</v>
      </c>
      <c r="S45" s="65">
        <v>3051217</v>
      </c>
      <c r="T45" s="86">
        <v>45038010014.131737</v>
      </c>
      <c r="U45" s="86">
        <v>184510000</v>
      </c>
      <c r="V45" s="86">
        <f>5155*1000000</f>
        <v>5155000000</v>
      </c>
      <c r="W45" s="95">
        <v>124319657000</v>
      </c>
      <c r="X45" s="41">
        <f t="shared" si="2"/>
        <v>1.609244931121687</v>
      </c>
      <c r="Y45" s="41">
        <f t="shared" si="3"/>
        <v>3.650872034370817</v>
      </c>
      <c r="Z45" s="41">
        <f t="shared" si="4"/>
        <v>3.7489179571030107</v>
      </c>
      <c r="AA45" s="41">
        <f t="shared" si="5"/>
        <v>1.0752717244957994</v>
      </c>
      <c r="AB45" s="41">
        <f t="shared" si="6"/>
        <v>291.33063954481116</v>
      </c>
      <c r="AC45" s="41">
        <f t="shared" si="7"/>
        <v>0.26237704416222346</v>
      </c>
      <c r="AD45" s="41">
        <f t="shared" si="8"/>
        <v>0.15381004008719487</v>
      </c>
      <c r="AE45" s="87">
        <f t="shared" si="9"/>
        <v>1555.4069081287892</v>
      </c>
      <c r="AF45" s="41">
        <f t="shared" si="10"/>
        <v>5.5392197550866794E-2</v>
      </c>
      <c r="AG45" s="41">
        <f t="shared" si="11"/>
        <v>0.10214234262245431</v>
      </c>
      <c r="AH45" s="41">
        <f t="shared" si="12"/>
        <v>9.4992121800979545E-2</v>
      </c>
      <c r="AI45" s="88">
        <f t="shared" si="13"/>
        <v>0.36227585484837477</v>
      </c>
      <c r="AJ45" s="88">
        <f t="shared" si="14"/>
        <v>1.4841578914587901E-3</v>
      </c>
      <c r="AK45" s="5">
        <f t="shared" si="15"/>
        <v>6.5015261645670224</v>
      </c>
      <c r="AL45" s="5">
        <f t="shared" si="16"/>
        <v>6.4291857955230266E-4</v>
      </c>
      <c r="AM45" s="5">
        <f t="shared" si="17"/>
        <v>18.053084084300817</v>
      </c>
      <c r="AN45" s="5">
        <f t="shared" si="18"/>
        <v>9.7902591063166646</v>
      </c>
      <c r="AO45" s="5">
        <f t="shared" si="19"/>
        <v>10.527188792509824</v>
      </c>
      <c r="AP45" s="5">
        <f t="shared" si="20"/>
        <v>2.7603274869602759</v>
      </c>
      <c r="AQ45" s="5">
        <f t="shared" si="21"/>
        <v>673.78275974201938</v>
      </c>
      <c r="AR45" s="14">
        <f>IF(X45&gt;'cash outliers'!$D$19,'cash outliers'!$D$19,Dataset!X45)</f>
        <v>1.609244931121687</v>
      </c>
      <c r="AS45" s="14">
        <f>IF(Y45&gt;'cash outliers'!$I$19,'cash outliers'!$I$19,Dataset!Y45)</f>
        <v>3.650872034370817</v>
      </c>
      <c r="AT45" s="14">
        <f>IF(Z45&gt;'cash outliers'!$N$19,'cash outliers'!$N$19,Dataset!Z45)</f>
        <v>3.7489179571030107</v>
      </c>
    </row>
    <row r="46" spans="1:46" s="8" customFormat="1" hidden="1" outlineLevel="4" x14ac:dyDescent="0.25">
      <c r="A46" s="62" t="s">
        <v>213</v>
      </c>
      <c r="B46" s="71" t="s">
        <v>88</v>
      </c>
      <c r="C46" s="8">
        <v>2016</v>
      </c>
      <c r="D46" s="63">
        <f>(925842132+40129013)/1000</f>
        <v>965971.14500000002</v>
      </c>
      <c r="E46" s="12">
        <f>D46+((162799415+20906327+235790834+80576391)/1000)</f>
        <v>1466044.112</v>
      </c>
      <c r="F46" s="12">
        <f>1490077048/1000</f>
        <v>1490077.048</v>
      </c>
      <c r="G46" s="12">
        <f>596279712/1000</f>
        <v>596279.71200000006</v>
      </c>
      <c r="H46" s="63">
        <f>3219098011/1000</f>
        <v>3219098.0109999999</v>
      </c>
      <c r="I46" s="63">
        <f>-2132335254/1000</f>
        <v>-2132335.2540000002</v>
      </c>
      <c r="J46" s="63">
        <f>K46-(I46+(2428965708/1000))</f>
        <v>941846.28500000015</v>
      </c>
      <c r="K46" s="63">
        <f>1238476739/1000</f>
        <v>1238476.7390000001</v>
      </c>
      <c r="L46" s="63">
        <f>4716857700/1000</f>
        <v>4716857.7</v>
      </c>
      <c r="M46" s="12">
        <f>3815377723/1000</f>
        <v>3815377.7230000002</v>
      </c>
      <c r="N46" s="80">
        <f>(871.2+370.4+1209.3-158.6+158.3+620.5)*1000000</f>
        <v>3071100000</v>
      </c>
      <c r="O46" s="64">
        <f>N46+(6272139+34992819+959218+753016784+1862874091+183725846)</f>
        <v>5912940897</v>
      </c>
      <c r="P46" s="64">
        <f>5655549336</f>
        <v>5655549336</v>
      </c>
      <c r="Q46" s="39">
        <f>H46*1000</f>
        <v>3219098011</v>
      </c>
      <c r="R46" s="64">
        <f>257404815</f>
        <v>257404815</v>
      </c>
      <c r="S46" s="65">
        <v>624594</v>
      </c>
      <c r="T46" s="86">
        <v>10669524903.945932</v>
      </c>
      <c r="U46" s="86">
        <v>1822348000</v>
      </c>
      <c r="V46" s="86">
        <f>708855*1000</f>
        <v>708855000</v>
      </c>
      <c r="W46" s="95">
        <v>31429989000</v>
      </c>
      <c r="X46" s="41">
        <f t="shared" si="2"/>
        <v>1.6199966652563218</v>
      </c>
      <c r="Y46" s="41">
        <f t="shared" si="3"/>
        <v>2.458651673864094</v>
      </c>
      <c r="Z46" s="41">
        <f t="shared" si="4"/>
        <v>2.4989564763189525</v>
      </c>
      <c r="AA46" s="41">
        <f t="shared" si="5"/>
        <v>1.0455113280263673</v>
      </c>
      <c r="AB46" s="41">
        <f t="shared" si="6"/>
        <v>412.11541417304682</v>
      </c>
      <c r="AC46" s="41">
        <f t="shared" si="7"/>
        <v>-0.25239026587552132</v>
      </c>
      <c r="AD46" s="41">
        <f t="shared" si="8"/>
        <v>0.68246663684596631</v>
      </c>
      <c r="AE46" s="87">
        <f t="shared" si="9"/>
        <v>5153.9047941542822</v>
      </c>
      <c r="AF46" s="41">
        <f t="shared" si="10"/>
        <v>9.7712410907938918E-2</v>
      </c>
      <c r="AG46" s="41">
        <f t="shared" si="11"/>
        <v>0.18813054299828103</v>
      </c>
      <c r="AH46" s="41">
        <f t="shared" si="12"/>
        <v>0.17994118088937289</v>
      </c>
      <c r="AI46" s="88">
        <f t="shared" si="13"/>
        <v>0.33946957168664399</v>
      </c>
      <c r="AJ46" s="88">
        <f t="shared" si="14"/>
        <v>5.7981184785015356E-2</v>
      </c>
      <c r="AK46" s="5">
        <f t="shared" si="15"/>
        <v>1.4652730932335691</v>
      </c>
      <c r="AL46" s="5">
        <f t="shared" si="16"/>
        <v>1.9402764310552087E-4</v>
      </c>
      <c r="AM46" s="5">
        <f t="shared" si="17"/>
        <v>10.234114486666014</v>
      </c>
      <c r="AN46" s="5">
        <f t="shared" si="18"/>
        <v>5.3154580009325603</v>
      </c>
      <c r="AO46" s="5">
        <f t="shared" si="19"/>
        <v>5.5573715536233808</v>
      </c>
      <c r="AP46" s="5">
        <f t="shared" si="20"/>
        <v>2.9457721204039915</v>
      </c>
      <c r="AQ46" s="5">
        <f t="shared" si="21"/>
        <v>17.24697423324195</v>
      </c>
      <c r="AR46" s="14">
        <f>IF(X46&gt;'cash outliers'!$D$19,'cash outliers'!$D$19,Dataset!X46)</f>
        <v>1.6199966652563218</v>
      </c>
      <c r="AS46" s="14">
        <f>IF(Y46&gt;'cash outliers'!$I$19,'cash outliers'!$I$19,Dataset!Y46)</f>
        <v>2.458651673864094</v>
      </c>
      <c r="AT46" s="14">
        <f>IF(Z46&gt;'cash outliers'!$N$19,'cash outliers'!$N$19,Dataset!Z46)</f>
        <v>2.4989564763189525</v>
      </c>
    </row>
    <row r="47" spans="1:46" s="8" customFormat="1" hidden="1" outlineLevel="4" x14ac:dyDescent="0.25">
      <c r="A47" s="62" t="s">
        <v>214</v>
      </c>
      <c r="B47" s="71" t="s">
        <v>89</v>
      </c>
      <c r="C47" s="8">
        <v>2016</v>
      </c>
      <c r="D47" s="12">
        <f>4327471+4147693</f>
        <v>8475164</v>
      </c>
      <c r="E47" s="12">
        <f>D47+3703566+18905</f>
        <v>12197635</v>
      </c>
      <c r="F47" s="12">
        <f>E47+49517+14056+260521+115858+5045</f>
        <v>12642632</v>
      </c>
      <c r="G47" s="12">
        <f>M47-H47</f>
        <v>5482025</v>
      </c>
      <c r="H47" s="65">
        <f>786117+13630440</f>
        <v>14416557</v>
      </c>
      <c r="I47" s="12">
        <f>-5051242</f>
        <v>-5051242</v>
      </c>
      <c r="J47" s="12">
        <f>K47-(I47+24341914)</f>
        <v>2409818</v>
      </c>
      <c r="K47" s="63">
        <f>21700490</f>
        <v>21700490</v>
      </c>
      <c r="L47" s="12">
        <f>43434792</f>
        <v>43434792</v>
      </c>
      <c r="M47" s="63">
        <f>19898582</f>
        <v>19898582</v>
      </c>
      <c r="N47" s="79">
        <f>(12685001+4993762+772639+975851+909617+405576+470644+485018+147813+176401+175+108158+43185+26442+17796+127429)*1000</f>
        <v>22345507000</v>
      </c>
      <c r="O47" s="13">
        <f>N47+((48031+64297+281737+6636779+9147837+1466927)*1000)</f>
        <v>39991115000</v>
      </c>
      <c r="P47" s="13">
        <f>39215308*1000</f>
        <v>39215308000</v>
      </c>
      <c r="Q47" s="39">
        <f t="shared" si="22"/>
        <v>14416557000</v>
      </c>
      <c r="R47" s="13">
        <f>775807*1000</f>
        <v>775807000</v>
      </c>
      <c r="S47" s="65">
        <v>8411808</v>
      </c>
      <c r="T47" s="86">
        <v>127592225693.46768</v>
      </c>
      <c r="U47" s="86">
        <v>5431000000</v>
      </c>
      <c r="V47" s="86">
        <f>6634016*1000</f>
        <v>6634016000</v>
      </c>
      <c r="W47" s="95">
        <v>451911594000</v>
      </c>
      <c r="X47" s="41">
        <f t="shared" si="2"/>
        <v>1.5459914903708027</v>
      </c>
      <c r="Y47" s="41">
        <f t="shared" si="3"/>
        <v>2.2250235998558927</v>
      </c>
      <c r="Z47" s="41">
        <f t="shared" si="4"/>
        <v>2.30619743616638</v>
      </c>
      <c r="AA47" s="41">
        <f t="shared" si="5"/>
        <v>1.019783269329416</v>
      </c>
      <c r="AB47" s="41">
        <f t="shared" si="6"/>
        <v>92.228329510136234</v>
      </c>
      <c r="AC47" s="41">
        <f t="shared" si="7"/>
        <v>-6.081355241668937E-2</v>
      </c>
      <c r="AD47" s="41">
        <f t="shared" si="8"/>
        <v>0.33191265195882602</v>
      </c>
      <c r="AE47" s="87">
        <f t="shared" si="9"/>
        <v>1713.8476056514842</v>
      </c>
      <c r="AF47" s="41">
        <f t="shared" si="10"/>
        <v>4.9446633582054103E-2</v>
      </c>
      <c r="AG47" s="41">
        <f t="shared" si="11"/>
        <v>8.8493226398612818E-2</v>
      </c>
      <c r="AH47" s="41">
        <f t="shared" si="12"/>
        <v>8.6776503459214199E-2</v>
      </c>
      <c r="AI47" s="88">
        <f t="shared" si="13"/>
        <v>0.28233890740468076</v>
      </c>
      <c r="AJ47" s="88">
        <f t="shared" si="14"/>
        <v>1.2017837276376672E-2</v>
      </c>
      <c r="AK47" s="5">
        <f t="shared" si="15"/>
        <v>3.0128408606853911</v>
      </c>
      <c r="AL47" s="5">
        <f t="shared" si="16"/>
        <v>5.8348245007459128E-4</v>
      </c>
      <c r="AM47" s="5">
        <f t="shared" si="17"/>
        <v>20.223823697533469</v>
      </c>
      <c r="AN47" s="5">
        <f t="shared" si="18"/>
        <v>11.300299929121756</v>
      </c>
      <c r="AO47" s="5">
        <f t="shared" si="19"/>
        <v>11.523856806122751</v>
      </c>
      <c r="AP47" s="5">
        <f t="shared" si="20"/>
        <v>3.5418427066684237</v>
      </c>
      <c r="AQ47" s="5">
        <f t="shared" si="21"/>
        <v>83.209647210458471</v>
      </c>
      <c r="AR47" s="14">
        <f>IF(X47&gt;'cash outliers'!$D$19,'cash outliers'!$D$19,Dataset!X47)</f>
        <v>1.5459914903708027</v>
      </c>
      <c r="AS47" s="14">
        <f>IF(Y47&gt;'cash outliers'!$I$19,'cash outliers'!$I$19,Dataset!Y47)</f>
        <v>2.2250235998558927</v>
      </c>
      <c r="AT47" s="14">
        <f>IF(Z47&gt;'cash outliers'!$N$19,'cash outliers'!$N$19,Dataset!Z47)</f>
        <v>2.30619743616638</v>
      </c>
    </row>
    <row r="48" spans="1:46" s="8" customFormat="1" hidden="1" outlineLevel="4" x14ac:dyDescent="0.25">
      <c r="A48" s="62" t="s">
        <v>215</v>
      </c>
      <c r="B48" s="71" t="s">
        <v>90</v>
      </c>
      <c r="C48" s="8">
        <v>2016</v>
      </c>
      <c r="D48" s="12">
        <f>14272915</f>
        <v>14272915</v>
      </c>
      <c r="E48" s="12">
        <f>D48+3883499+3813098</f>
        <v>21969512</v>
      </c>
      <c r="F48" s="12">
        <f>E48+4109905+179046+318387</f>
        <v>26576850</v>
      </c>
      <c r="G48" s="12">
        <f>M48-H48</f>
        <v>10721110</v>
      </c>
      <c r="H48" s="65">
        <f>59533467</f>
        <v>59533467</v>
      </c>
      <c r="I48" s="12">
        <f>-11415001</f>
        <v>-11415001</v>
      </c>
      <c r="J48" s="12">
        <f>K48-(I48+20686704)</f>
        <v>13002491</v>
      </c>
      <c r="K48" s="63">
        <f>22274194</f>
        <v>22274194</v>
      </c>
      <c r="L48" s="12">
        <f>92576944</f>
        <v>92576944</v>
      </c>
      <c r="M48" s="63">
        <f>70254577</f>
        <v>70254577</v>
      </c>
      <c r="N48" s="79">
        <f>(9740192+3636385+2062065+1485618+1224536+450805+468734+534663+1109947)*1000</f>
        <v>20712945000</v>
      </c>
      <c r="O48" s="13">
        <f>N48+((1166755+12954887+15427395+1112635)*1000)</f>
        <v>51374617000</v>
      </c>
      <c r="P48" s="13">
        <f>49449467*1000</f>
        <v>49449467000</v>
      </c>
      <c r="Q48" s="39">
        <f t="shared" si="22"/>
        <v>59533467000</v>
      </c>
      <c r="R48" s="13">
        <f>1672374*1000</f>
        <v>1672374000</v>
      </c>
      <c r="S48" s="65">
        <v>7288000</v>
      </c>
      <c r="T48" s="86">
        <v>134255070964.33702</v>
      </c>
      <c r="U48" s="86">
        <v>13750912000</v>
      </c>
      <c r="V48" s="86">
        <f>25892*1000000</f>
        <v>25892000000</v>
      </c>
      <c r="W48" s="95">
        <v>389858930000</v>
      </c>
      <c r="X48" s="41">
        <f t="shared" si="2"/>
        <v>1.3312907898529163</v>
      </c>
      <c r="Y48" s="41">
        <f t="shared" si="3"/>
        <v>2.0491825939664832</v>
      </c>
      <c r="Z48" s="41">
        <f t="shared" si="4"/>
        <v>2.4789270887063002</v>
      </c>
      <c r="AA48" s="41">
        <f t="shared" si="5"/>
        <v>1.038931663307918</v>
      </c>
      <c r="AB48" s="41">
        <f t="shared" si="6"/>
        <v>229.46953896816686</v>
      </c>
      <c r="AC48" s="41">
        <f t="shared" si="7"/>
        <v>1.7147790058829333E-2</v>
      </c>
      <c r="AD48" s="41">
        <f t="shared" si="8"/>
        <v>0.64307012553795251</v>
      </c>
      <c r="AE48" s="87">
        <f t="shared" si="9"/>
        <v>8168.6974478594948</v>
      </c>
      <c r="AF48" s="41">
        <f t="shared" si="10"/>
        <v>5.3129333218043764E-2</v>
      </c>
      <c r="AG48" s="41">
        <f t="shared" si="11"/>
        <v>0.13177745344963626</v>
      </c>
      <c r="AH48" s="41">
        <f t="shared" si="12"/>
        <v>0.12683938521044008</v>
      </c>
      <c r="AI48" s="88">
        <f t="shared" si="13"/>
        <v>0.34436833591149757</v>
      </c>
      <c r="AJ48" s="88">
        <f t="shared" si="14"/>
        <v>3.5271507055128888E-2</v>
      </c>
      <c r="AK48" s="5">
        <f t="shared" si="15"/>
        <v>1.5550403607436469</v>
      </c>
      <c r="AL48" s="5">
        <f t="shared" si="16"/>
        <v>1.2241853813082983E-4</v>
      </c>
      <c r="AM48" s="5">
        <f t="shared" si="17"/>
        <v>18.821994168381174</v>
      </c>
      <c r="AN48" s="5">
        <f t="shared" si="18"/>
        <v>7.588551560394114</v>
      </c>
      <c r="AO48" s="5">
        <f t="shared" si="19"/>
        <v>7.8839864947381546</v>
      </c>
      <c r="AP48" s="5">
        <f t="shared" si="20"/>
        <v>2.9038674457485527</v>
      </c>
      <c r="AQ48" s="5">
        <f t="shared" si="21"/>
        <v>28.35149624984874</v>
      </c>
      <c r="AR48" s="14">
        <f>IF(X48&gt;'cash outliers'!$D$19,'cash outliers'!$D$19,Dataset!X48)</f>
        <v>1.3312907898529163</v>
      </c>
      <c r="AS48" s="14">
        <f>IF(Y48&gt;'cash outliers'!$I$19,'cash outliers'!$I$19,Dataset!Y48)</f>
        <v>2.0491825939664832</v>
      </c>
      <c r="AT48" s="14">
        <f>IF(Z48&gt;'cash outliers'!$N$19,'cash outliers'!$N$19,Dataset!Z48)</f>
        <v>2.4789270887063002</v>
      </c>
    </row>
    <row r="49" spans="1:46" s="8" customFormat="1" hidden="1" outlineLevel="4" x14ac:dyDescent="0.25">
      <c r="A49" s="62" t="s">
        <v>216</v>
      </c>
      <c r="B49" s="71" t="s">
        <v>91</v>
      </c>
      <c r="C49" s="8">
        <v>2016</v>
      </c>
      <c r="D49" s="66">
        <f>3587050+1021758</f>
        <v>4608808</v>
      </c>
      <c r="E49" s="12">
        <f>D49+945874</f>
        <v>5554682</v>
      </c>
      <c r="F49" s="12">
        <f>6441716</f>
        <v>6441716</v>
      </c>
      <c r="G49" s="12">
        <f>3616686</f>
        <v>3616686</v>
      </c>
      <c r="H49" s="77">
        <f>7679538</f>
        <v>7679538</v>
      </c>
      <c r="I49" s="12">
        <f>-4361160</f>
        <v>-4361160</v>
      </c>
      <c r="J49" s="12">
        <f>K49-(I49+8989729)</f>
        <v>2163151</v>
      </c>
      <c r="K49" s="12">
        <f>6791720</f>
        <v>6791720</v>
      </c>
      <c r="L49" s="12">
        <f>17794330</f>
        <v>17794330</v>
      </c>
      <c r="M49" s="12">
        <f>11296224</f>
        <v>11296224</v>
      </c>
      <c r="N49" s="79">
        <f>(1849056+1291813+640081+605403+526348)*1000</f>
        <v>4912701000</v>
      </c>
      <c r="O49" s="13">
        <f>N49+((65478+62697+385437+136314+1658988+4774274+456222)*1000)</f>
        <v>12452111000</v>
      </c>
      <c r="P49" s="13">
        <f>12289012*1000</f>
        <v>12289012000</v>
      </c>
      <c r="Q49" s="39">
        <f t="shared" si="22"/>
        <v>7679538000</v>
      </c>
      <c r="R49" s="13">
        <f>163099*1000</f>
        <v>163099000</v>
      </c>
      <c r="S49" s="65">
        <v>1831102</v>
      </c>
      <c r="T49" s="86">
        <v>27747373779.714867</v>
      </c>
      <c r="U49" s="86">
        <v>3060099416</v>
      </c>
      <c r="V49" s="86">
        <f>2030403*1000</f>
        <v>2030403000</v>
      </c>
      <c r="W49" s="95">
        <v>68457129000</v>
      </c>
      <c r="X49" s="41">
        <f t="shared" si="2"/>
        <v>1.2743179806043432</v>
      </c>
      <c r="Y49" s="41">
        <f t="shared" si="3"/>
        <v>1.5358485641274913</v>
      </c>
      <c r="Z49" s="41">
        <f t="shared" si="4"/>
        <v>1.7811101101948026</v>
      </c>
      <c r="AA49" s="41">
        <f t="shared" si="5"/>
        <v>1.0132719375650379</v>
      </c>
      <c r="AB49" s="41">
        <f t="shared" si="6"/>
        <v>89.071499020808233</v>
      </c>
      <c r="AC49" s="41">
        <f t="shared" si="7"/>
        <v>-0.12352299861809914</v>
      </c>
      <c r="AD49" s="41">
        <f t="shared" si="8"/>
        <v>0.43157219181615719</v>
      </c>
      <c r="AE49" s="87">
        <f t="shared" si="9"/>
        <v>4193.943319378167</v>
      </c>
      <c r="AF49" s="41">
        <f t="shared" si="10"/>
        <v>7.1763176045551075E-2</v>
      </c>
      <c r="AG49" s="41">
        <f t="shared" si="11"/>
        <v>0.18189648297988073</v>
      </c>
      <c r="AH49" s="41">
        <f t="shared" si="12"/>
        <v>0.17951398458442511</v>
      </c>
      <c r="AI49" s="88">
        <f t="shared" si="13"/>
        <v>0.40532482423729554</v>
      </c>
      <c r="AJ49" s="88">
        <f t="shared" si="14"/>
        <v>4.4700960450736987E-2</v>
      </c>
      <c r="AK49" s="5">
        <f t="shared" si="15"/>
        <v>2.3171094406981254</v>
      </c>
      <c r="AL49" s="5">
        <f t="shared" si="16"/>
        <v>2.3843908318443114E-4</v>
      </c>
      <c r="AM49" s="5">
        <f t="shared" si="17"/>
        <v>13.934723281551229</v>
      </c>
      <c r="AN49" s="5">
        <f t="shared" si="18"/>
        <v>5.4976324094765943</v>
      </c>
      <c r="AO49" s="5">
        <f t="shared" si="19"/>
        <v>5.5705966435706955</v>
      </c>
      <c r="AP49" s="5">
        <f t="shared" si="20"/>
        <v>2.4671570557804143</v>
      </c>
      <c r="AQ49" s="5">
        <f t="shared" si="21"/>
        <v>22.370883979149781</v>
      </c>
      <c r="AR49" s="14">
        <f>IF(X49&gt;'cash outliers'!$D$19,'cash outliers'!$D$19,Dataset!X49)</f>
        <v>1.2743179806043432</v>
      </c>
      <c r="AS49" s="14">
        <f>IF(Y49&gt;'cash outliers'!$I$19,'cash outliers'!$I$19,Dataset!Y49)</f>
        <v>1.5358485641274913</v>
      </c>
      <c r="AT49" s="14">
        <f>IF(Z49&gt;'cash outliers'!$N$19,'cash outliers'!$N$19,Dataset!Z49)</f>
        <v>1.7811101101948026</v>
      </c>
    </row>
    <row r="50" spans="1:46" s="8" customFormat="1" hidden="1" outlineLevel="4" x14ac:dyDescent="0.25">
      <c r="A50" s="62" t="s">
        <v>217</v>
      </c>
      <c r="B50" s="71" t="s">
        <v>92</v>
      </c>
      <c r="C50" s="8">
        <v>2016</v>
      </c>
      <c r="D50" s="12">
        <f>4883843+2578321</f>
        <v>7462164</v>
      </c>
      <c r="E50" s="12">
        <f>D50+7158856</f>
        <v>14621020</v>
      </c>
      <c r="F50" s="12">
        <f>E50+100571+81919+211+20766</f>
        <v>14824487</v>
      </c>
      <c r="G50" s="12">
        <f>M50-H50</f>
        <v>8425200</v>
      </c>
      <c r="H50" s="77">
        <f>14959462</f>
        <v>14959462</v>
      </c>
      <c r="I50" s="12">
        <f>-7860350</f>
        <v>-7860350</v>
      </c>
      <c r="J50" s="12">
        <f>K50-(I50+23176403)</f>
        <v>7988491</v>
      </c>
      <c r="K50" s="63">
        <f>23304544</f>
        <v>23304544</v>
      </c>
      <c r="L50" s="12">
        <f>44810751</f>
        <v>44810751</v>
      </c>
      <c r="M50" s="63">
        <f>23384662</f>
        <v>23384662</v>
      </c>
      <c r="N50" s="79">
        <f>(8582394+5781190+368724+302104+1091758+179760)*1000</f>
        <v>16305930000</v>
      </c>
      <c r="O50" s="64">
        <f>36182.5*1000000</f>
        <v>36182500000</v>
      </c>
      <c r="P50" s="13">
        <f>34790920*1000</f>
        <v>34790920000</v>
      </c>
      <c r="Q50" s="39">
        <f>H50*1000</f>
        <v>14959462000</v>
      </c>
      <c r="R50" s="13">
        <f>1407493*1000</f>
        <v>1407493000</v>
      </c>
      <c r="S50" s="65">
        <v>5778708</v>
      </c>
      <c r="T50" s="86">
        <v>70633690442.541168</v>
      </c>
      <c r="U50" s="86">
        <v>942314000</v>
      </c>
      <c r="V50" s="86">
        <f>13855193*1000</f>
        <v>13855193000</v>
      </c>
      <c r="W50" s="95">
        <v>273188936000</v>
      </c>
      <c r="X50" s="41">
        <f t="shared" si="2"/>
        <v>0.88569576983335707</v>
      </c>
      <c r="Y50" s="41">
        <f t="shared" si="3"/>
        <v>1.7353914447134786</v>
      </c>
      <c r="Z50" s="41">
        <f t="shared" si="4"/>
        <v>1.7595412571808384</v>
      </c>
      <c r="AA50" s="41">
        <f t="shared" si="5"/>
        <v>1.0399983673901121</v>
      </c>
      <c r="AB50" s="41">
        <f t="shared" si="6"/>
        <v>243.56534367197651</v>
      </c>
      <c r="AC50" s="41">
        <f t="shared" si="7"/>
        <v>2.8596039374568839E-3</v>
      </c>
      <c r="AD50" s="41">
        <f t="shared" si="8"/>
        <v>0.33383644920389755</v>
      </c>
      <c r="AE50" s="87">
        <f t="shared" si="9"/>
        <v>2588.7208697861183</v>
      </c>
      <c r="AF50" s="41">
        <f t="shared" si="10"/>
        <v>5.9687373283667682E-2</v>
      </c>
      <c r="AG50" s="41">
        <f t="shared" si="11"/>
        <v>0.13244496841555839</v>
      </c>
      <c r="AH50" s="41">
        <f t="shared" si="12"/>
        <v>0.12735113108680213</v>
      </c>
      <c r="AI50" s="88">
        <f t="shared" si="13"/>
        <v>0.2585525295304828</v>
      </c>
      <c r="AJ50" s="88">
        <f t="shared" si="14"/>
        <v>3.4493124567826568E-3</v>
      </c>
      <c r="AK50" s="5">
        <f t="shared" si="15"/>
        <v>2.995478781255636</v>
      </c>
      <c r="AL50" s="5">
        <f t="shared" si="16"/>
        <v>3.8629116474910659E-4</v>
      </c>
      <c r="AM50" s="5">
        <f t="shared" si="17"/>
        <v>16.753962270167971</v>
      </c>
      <c r="AN50" s="5">
        <f t="shared" si="18"/>
        <v>7.5503057002694671</v>
      </c>
      <c r="AO50" s="5">
        <f t="shared" si="19"/>
        <v>7.8523056015765036</v>
      </c>
      <c r="AP50" s="5">
        <f t="shared" si="20"/>
        <v>3.8676860049133732</v>
      </c>
      <c r="AQ50" s="5">
        <f t="shared" si="21"/>
        <v>289.91284858338093</v>
      </c>
      <c r="AR50" s="14">
        <f>IF(X50&gt;'cash outliers'!$D$19,'cash outliers'!$D$19,Dataset!X50)</f>
        <v>0.88569576983335707</v>
      </c>
      <c r="AS50" s="14">
        <f>IF(Y50&gt;'cash outliers'!$I$19,'cash outliers'!$I$19,Dataset!Y50)</f>
        <v>1.7353914447134786</v>
      </c>
      <c r="AT50" s="14">
        <f>IF(Z50&gt;'cash outliers'!$N$19,'cash outliers'!$N$19,Dataset!Z50)</f>
        <v>1.7595412571808384</v>
      </c>
    </row>
    <row r="51" spans="1:46" s="8" customFormat="1" outlineLevel="3" collapsed="1" x14ac:dyDescent="0.25">
      <c r="A51" s="62" t="s">
        <v>218</v>
      </c>
      <c r="B51" s="73" t="s">
        <v>93</v>
      </c>
      <c r="C51" s="53">
        <v>2016</v>
      </c>
      <c r="D51" s="68">
        <f>(19440158232+1444635742+86503182+308439206)/1000</f>
        <v>21279736.362</v>
      </c>
      <c r="E51" s="68">
        <f>D51+((709132145+65271100+20986616+368806406)/1000)</f>
        <v>22443932.629000001</v>
      </c>
      <c r="F51" s="68">
        <f>E51+((572066267+1303600+44552035+23121713+1022128)/1000)</f>
        <v>23085998.372000001</v>
      </c>
      <c r="G51" s="69">
        <f>M51-H51</f>
        <v>2955972.3760000002</v>
      </c>
      <c r="H51" s="70">
        <f>(1855371436+480341331)/1000</f>
        <v>2335712.767</v>
      </c>
      <c r="I51" s="68">
        <f>4765994197/1000</f>
        <v>4765994.1969999997</v>
      </c>
      <c r="J51" s="68">
        <f>K51-(I51+(921822378/1000))</f>
        <v>12937477.458000001</v>
      </c>
      <c r="K51" s="68">
        <f>18625294033/1000</f>
        <v>18625294.033</v>
      </c>
      <c r="L51" s="68">
        <f>24032079419/1000</f>
        <v>24032079.419</v>
      </c>
      <c r="M51" s="68">
        <f>5291685143/1000</f>
        <v>5291685.1430000002</v>
      </c>
      <c r="N51" s="81">
        <f>2120974266</f>
        <v>2120974266</v>
      </c>
      <c r="O51" s="48">
        <f>4413543452</f>
        <v>4413543452</v>
      </c>
      <c r="P51" s="48">
        <f>4751185028</f>
        <v>4751185028</v>
      </c>
      <c r="Q51" s="48">
        <f>H51*1000</f>
        <v>2335712767</v>
      </c>
      <c r="R51" s="48">
        <f>-337641576</f>
        <v>-337641576</v>
      </c>
      <c r="S51" s="70">
        <v>585501</v>
      </c>
      <c r="T51" s="90">
        <v>15869303101.757809</v>
      </c>
      <c r="U51" s="90">
        <v>243727620</v>
      </c>
      <c r="V51" s="90">
        <f>24258669</f>
        <v>24258669</v>
      </c>
      <c r="W51" s="96">
        <v>32326423000</v>
      </c>
      <c r="X51" s="54">
        <f t="shared" si="2"/>
        <v>7.1988955427234336</v>
      </c>
      <c r="Y51" s="54">
        <f t="shared" si="3"/>
        <v>7.5927409915010653</v>
      </c>
      <c r="Z51" s="54">
        <f t="shared" si="4"/>
        <v>7.8099506475225597</v>
      </c>
      <c r="AA51" s="54">
        <f t="shared" si="5"/>
        <v>0.9289352921407632</v>
      </c>
      <c r="AB51" s="54">
        <f>R51/S51</f>
        <v>-576.6712200320751</v>
      </c>
      <c r="AC51" s="54">
        <f t="shared" si="7"/>
        <v>0.73666000125663122</v>
      </c>
      <c r="AD51" s="54">
        <f t="shared" si="8"/>
        <v>9.7191455066237942E-2</v>
      </c>
      <c r="AE51" s="91">
        <f t="shared" si="9"/>
        <v>3989.2549577199698</v>
      </c>
      <c r="AF51" s="54">
        <f t="shared" si="10"/>
        <v>6.5611164773782732E-2</v>
      </c>
      <c r="AG51" s="54">
        <f t="shared" si="11"/>
        <v>0.13653052340495575</v>
      </c>
      <c r="AH51" s="54">
        <f t="shared" si="12"/>
        <v>0.14697527864434615</v>
      </c>
      <c r="AI51" s="92">
        <f t="shared" si="13"/>
        <v>0.49090810640440513</v>
      </c>
      <c r="AJ51" s="92">
        <f t="shared" si="14"/>
        <v>7.5395790001263055E-3</v>
      </c>
      <c r="AK51" s="36">
        <f t="shared" si="15"/>
        <v>10.288970355660174</v>
      </c>
      <c r="AL51" s="36">
        <f t="shared" si="16"/>
        <v>2.5067337400052839E-4</v>
      </c>
      <c r="AM51" s="36">
        <f t="shared" si="17"/>
        <v>15.241308448765498</v>
      </c>
      <c r="AN51" s="36">
        <f t="shared" si="18"/>
        <v>7.3243694894068083</v>
      </c>
      <c r="AO51" s="36">
        <f t="shared" si="19"/>
        <v>6.8038653113890053</v>
      </c>
      <c r="AP51" s="36">
        <f t="shared" si="20"/>
        <v>2.0370411222670057</v>
      </c>
      <c r="AQ51" s="36">
        <f t="shared" si="21"/>
        <v>132.63340035076862</v>
      </c>
      <c r="AR51" s="35">
        <f>IF(X51&gt;'cash outliers'!$D$19,'cash outliers'!$D$19,Dataset!X51)</f>
        <v>7.1988955427234336</v>
      </c>
      <c r="AS51" s="35">
        <f>IF(Y51&gt;'cash outliers'!$I$19,'cash outliers'!$I$19,Dataset!Y51)</f>
        <v>7.5927409915010653</v>
      </c>
      <c r="AT51" s="35">
        <f>IF(Z51&gt;'cash outliers'!$N$19,'cash outliers'!$N$19,Dataset!Z51)</f>
        <v>7.8099506475225597</v>
      </c>
    </row>
    <row r="52" spans="1:46" x14ac:dyDescent="0.25">
      <c r="B52" s="9" t="s">
        <v>119</v>
      </c>
      <c r="D52" s="49">
        <f>AVERAGE(D2:D51)</f>
        <v>10629136.723160001</v>
      </c>
      <c r="E52" s="49">
        <f t="shared" ref="E52:AO52" si="23">AVERAGE(E2:E51)</f>
        <v>14912815.401700001</v>
      </c>
      <c r="F52" s="49">
        <f t="shared" si="23"/>
        <v>16422517.134059999</v>
      </c>
      <c r="G52" s="49">
        <f t="shared" si="23"/>
        <v>6606660.8801600002</v>
      </c>
      <c r="H52" s="78">
        <f t="shared" si="23"/>
        <v>29515147.389059998</v>
      </c>
      <c r="I52" s="78">
        <f t="shared" si="23"/>
        <v>-16230905.527259998</v>
      </c>
      <c r="J52" s="78">
        <f t="shared" si="23"/>
        <v>8555749.9353800006</v>
      </c>
      <c r="K52" s="78">
        <f t="shared" si="23"/>
        <v>11612860.994060002</v>
      </c>
      <c r="L52" s="49">
        <f t="shared" si="23"/>
        <v>46791842.023620002</v>
      </c>
      <c r="M52" s="49">
        <f t="shared" si="23"/>
        <v>36121808.249219999</v>
      </c>
      <c r="N52" s="49">
        <f t="shared" si="23"/>
        <v>17203570214.599998</v>
      </c>
      <c r="O52" s="49">
        <f t="shared" si="23"/>
        <v>38543076246.980003</v>
      </c>
      <c r="P52" s="49">
        <f t="shared" si="23"/>
        <v>38056116440.900002</v>
      </c>
      <c r="Q52" s="78">
        <f t="shared" si="23"/>
        <v>29515147389.060001</v>
      </c>
      <c r="R52" s="78">
        <f t="shared" si="23"/>
        <v>515078876.06</v>
      </c>
      <c r="S52" s="78">
        <f>AVERAGE(S2:S51)</f>
        <v>6448926.8600000003</v>
      </c>
      <c r="T52" s="78">
        <f t="shared" si="23"/>
        <v>134821637298.68082</v>
      </c>
      <c r="U52" s="78">
        <f t="shared" si="23"/>
        <v>14505306719.270834</v>
      </c>
      <c r="V52" s="78">
        <f t="shared" si="23"/>
        <v>12648970553.379999</v>
      </c>
      <c r="W52" s="78">
        <f t="shared" si="23"/>
        <v>319325760560</v>
      </c>
      <c r="X52" s="41">
        <f>AVERAGE(X2:X51)</f>
        <v>2.2228615352511794</v>
      </c>
      <c r="Y52" s="41">
        <f>AVERAGE(Y2:Y51)</f>
        <v>2.9917916985687443</v>
      </c>
      <c r="Z52" s="41">
        <f t="shared" si="23"/>
        <v>3.2206459792518571</v>
      </c>
      <c r="AA52" s="41">
        <f t="shared" si="23"/>
        <v>1.0074286800593111</v>
      </c>
      <c r="AB52" s="41">
        <f t="shared" si="23"/>
        <v>-72.448548361838348</v>
      </c>
      <c r="AC52" s="41">
        <f t="shared" si="23"/>
        <v>-0.16848253371275768</v>
      </c>
      <c r="AD52" s="41">
        <f t="shared" si="23"/>
        <v>0.62592605473597385</v>
      </c>
      <c r="AE52" s="97">
        <f t="shared" si="23"/>
        <v>4386.9401063173182</v>
      </c>
      <c r="AF52" s="28">
        <f t="shared" si="23"/>
        <v>5.6018433445056325E-2</v>
      </c>
      <c r="AG52" s="28">
        <f t="shared" si="23"/>
        <v>0.12929048910766511</v>
      </c>
      <c r="AH52" s="28">
        <f t="shared" si="23"/>
        <v>0.13012235678214043</v>
      </c>
      <c r="AI52" s="28">
        <f>AVERAGE(AI2:AI51)</f>
        <v>0.42996354029039535</v>
      </c>
      <c r="AJ52" s="28">
        <f>AVERAGE(AJ2:AJ51)</f>
        <v>3.6663875127407583E-2</v>
      </c>
      <c r="AK52">
        <f>AVERAGE(AK2:AK51)</f>
        <v>4.073306289983142</v>
      </c>
      <c r="AL52">
        <f t="shared" si="23"/>
        <v>4.9029216387713791E-4</v>
      </c>
      <c r="AM52">
        <f t="shared" si="23"/>
        <v>24.629508759177362</v>
      </c>
      <c r="AN52">
        <f t="shared" si="23"/>
        <v>8.1259881465686199</v>
      </c>
      <c r="AO52">
        <f t="shared" si="23"/>
        <v>8.2056941357923812</v>
      </c>
      <c r="AP52">
        <f>AVERAGE(AP2:AP51)</f>
        <v>2.6161152319322416</v>
      </c>
      <c r="AQ52">
        <f>AVERAGE(AQ2:AQ27,AQ29:AQ41,AQ43:AQ51)</f>
        <v>1554.6472464531878</v>
      </c>
    </row>
    <row r="53" spans="1:46" x14ac:dyDescent="0.25">
      <c r="B53" s="9"/>
      <c r="N53" s="13"/>
      <c r="P53" s="22"/>
      <c r="U53" s="14"/>
      <c r="X53" s="14"/>
      <c r="Y53" s="14"/>
      <c r="Z53" s="14"/>
      <c r="AB53" s="15"/>
      <c r="AC53" s="41"/>
      <c r="AF53" s="41"/>
      <c r="AG53" s="41"/>
      <c r="AH53" s="41"/>
    </row>
    <row r="54" spans="1:46" ht="17.25" x14ac:dyDescent="0.25">
      <c r="C54" s="47"/>
      <c r="D54" s="47"/>
      <c r="E54" s="47"/>
      <c r="F54" s="47"/>
      <c r="G54" s="12"/>
      <c r="H54" s="12"/>
      <c r="P54" s="15"/>
      <c r="S54" s="46"/>
      <c r="T54" s="14"/>
      <c r="U54" s="42"/>
      <c r="V54" s="50"/>
      <c r="W54" s="40"/>
      <c r="Y54" s="15"/>
      <c r="AA54" s="15"/>
      <c r="AD54" s="15"/>
      <c r="AF54" s="15"/>
      <c r="AG54" s="15"/>
      <c r="AI54" s="15"/>
    </row>
    <row r="55" spans="1:46" ht="17.25" x14ac:dyDescent="0.25">
      <c r="H55" s="12"/>
      <c r="S55" s="46"/>
      <c r="Y55" s="15"/>
      <c r="AA55" s="15"/>
      <c r="AD55" s="15"/>
      <c r="AI55" s="15"/>
    </row>
    <row r="56" spans="1:46" x14ac:dyDescent="0.25">
      <c r="T56" s="14"/>
      <c r="X56" s="41"/>
      <c r="Y56" s="15"/>
      <c r="AA56" s="15"/>
      <c r="AD56" s="15"/>
      <c r="AI56" s="15"/>
    </row>
    <row r="57" spans="1:46" x14ac:dyDescent="0.25">
      <c r="T57" s="14"/>
      <c r="X57" s="41"/>
      <c r="Y57" s="15"/>
      <c r="AA57" s="15"/>
      <c r="AD57" s="15"/>
      <c r="AI57" s="15"/>
    </row>
    <row r="58" spans="1:46" x14ac:dyDescent="0.25">
      <c r="T58" s="14"/>
      <c r="X58" s="74"/>
      <c r="Y58" s="74"/>
      <c r="Z58" s="74"/>
      <c r="AA58" s="74"/>
      <c r="AB58" s="74"/>
      <c r="AC58" s="75"/>
      <c r="AD58" s="74"/>
      <c r="AE58" s="75"/>
      <c r="AF58" s="74"/>
      <c r="AG58" s="74"/>
      <c r="AH58" s="74"/>
      <c r="AI58" s="74"/>
    </row>
    <row r="59" spans="1:46" x14ac:dyDescent="0.25">
      <c r="T59" s="14"/>
      <c r="X59" s="74"/>
      <c r="Y59" s="74"/>
      <c r="Z59" s="74"/>
      <c r="AA59" s="74"/>
      <c r="AB59" s="74"/>
      <c r="AC59" s="75"/>
      <c r="AD59" s="74"/>
      <c r="AE59" s="75"/>
      <c r="AF59" s="74"/>
      <c r="AG59" s="74"/>
      <c r="AH59" s="74"/>
      <c r="AI59" s="74"/>
    </row>
    <row r="60" spans="1:46" x14ac:dyDescent="0.25">
      <c r="T60" s="14"/>
      <c r="X60" s="74"/>
      <c r="Y60" s="74"/>
      <c r="Z60" s="74"/>
      <c r="AA60" s="74"/>
      <c r="AB60" s="74"/>
      <c r="AC60" s="75"/>
      <c r="AD60" s="74"/>
      <c r="AE60" s="75"/>
      <c r="AF60" s="74"/>
      <c r="AG60" s="74"/>
      <c r="AH60" s="74"/>
      <c r="AI60" s="74"/>
    </row>
    <row r="61" spans="1:46" x14ac:dyDescent="0.25">
      <c r="X61" s="74"/>
      <c r="Y61" s="74"/>
      <c r="Z61" s="74"/>
      <c r="AA61" s="74"/>
      <c r="AB61" s="74"/>
      <c r="AC61" s="75"/>
      <c r="AD61" s="74"/>
      <c r="AE61" s="75"/>
      <c r="AF61" s="74"/>
      <c r="AG61" s="74"/>
      <c r="AH61" s="74"/>
      <c r="AI61" s="74"/>
    </row>
    <row r="62" spans="1:46" x14ac:dyDescent="0.25">
      <c r="X62" s="74"/>
      <c r="Y62" s="74"/>
      <c r="Z62" s="74"/>
      <c r="AA62" s="74"/>
      <c r="AB62" s="74"/>
      <c r="AC62" s="75"/>
      <c r="AD62" s="74"/>
      <c r="AE62" s="75"/>
      <c r="AF62" s="74"/>
      <c r="AG62" s="74"/>
      <c r="AH62" s="74"/>
      <c r="AI62" s="74"/>
    </row>
    <row r="63" spans="1:46" x14ac:dyDescent="0.25">
      <c r="X63" s="74"/>
      <c r="Y63" s="74"/>
      <c r="Z63" s="74"/>
      <c r="AA63" s="74"/>
      <c r="AB63" s="74"/>
      <c r="AC63" s="75"/>
      <c r="AD63" s="74"/>
      <c r="AE63" s="75"/>
      <c r="AF63" s="74"/>
      <c r="AG63" s="74"/>
      <c r="AH63" s="74"/>
      <c r="AI63" s="74"/>
    </row>
  </sheetData>
  <autoFilter ref="B1:B54"/>
  <hyperlinks>
    <hyperlink ref="S1" r:id="rId1"/>
    <hyperlink ref="W1" r:id="rId2" location="reqid=70&amp;step=1&amp;isuri=1"/>
    <hyperlink ref="A31" r:id="rId3"/>
    <hyperlink ref="A3" r:id="rId4"/>
    <hyperlink ref="A4" r:id="rId5"/>
    <hyperlink ref="A5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2" r:id="rId31"/>
    <hyperlink ref="A33" r:id="rId32"/>
    <hyperlink ref="A34" r:id="rId33"/>
    <hyperlink ref="A35" r:id="rId34"/>
    <hyperlink ref="A36" r:id="rId35"/>
    <hyperlink ref="A37" r:id="rId36"/>
    <hyperlink ref="A38" r:id="rId37"/>
    <hyperlink ref="A39" r:id="rId38"/>
    <hyperlink ref="A40" r:id="rId39"/>
    <hyperlink ref="A41" r:id="rId40"/>
    <hyperlink ref="A42" r:id="rId41" location="view=fit"/>
    <hyperlink ref="A43" r:id="rId42"/>
    <hyperlink ref="A44" r:id="rId43"/>
    <hyperlink ref="A45" r:id="rId44"/>
    <hyperlink ref="A46" r:id="rId45"/>
    <hyperlink ref="A47" r:id="rId46"/>
    <hyperlink ref="A48" r:id="rId47"/>
    <hyperlink ref="A49" r:id="rId48"/>
    <hyperlink ref="A50" r:id="rId49"/>
    <hyperlink ref="A51" r:id="rId50"/>
  </hyperlinks>
  <pageMargins left="0.75" right="0.75" top="1" bottom="1" header="0.5" footer="0.5"/>
  <pageSetup orientation="portrait" horizontalDpi="4294967292" verticalDpi="4294967292" r:id="rId51"/>
  <legacyDrawing r:id="rId5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T57"/>
  <sheetViews>
    <sheetView tabSelected="1" topLeftCell="B1" zoomScale="85" zoomScaleNormal="85" zoomScalePageLayoutView="115" workbookViewId="0">
      <pane xSplit="1" ySplit="1" topLeftCell="Y2" activePane="bottomRight" state="frozen"/>
      <selection activeCell="B1" sqref="B1"/>
      <selection pane="topRight" activeCell="C1" sqref="C1"/>
      <selection pane="bottomLeft" activeCell="B2" sqref="B2"/>
      <selection pane="bottomRight" activeCell="AA3" sqref="AA3"/>
    </sheetView>
  </sheetViews>
  <sheetFormatPr defaultColWidth="12.875" defaultRowHeight="15.75" x14ac:dyDescent="0.25"/>
  <cols>
    <col min="2" max="2" width="15.625" customWidth="1"/>
    <col min="3" max="3" width="13.125" customWidth="1"/>
    <col min="10" max="10" width="19.375" customWidth="1"/>
    <col min="11" max="11" width="15.125" customWidth="1"/>
    <col min="12" max="12" width="15.5" customWidth="1"/>
    <col min="21" max="21" width="16.25" customWidth="1"/>
    <col min="22" max="22" width="12.875" customWidth="1"/>
    <col min="23" max="24" width="13.5" bestFit="1" customWidth="1"/>
    <col min="25" max="25" width="10.125" customWidth="1"/>
    <col min="26" max="26" width="31" bestFit="1" customWidth="1"/>
    <col min="28" max="28" width="13.875" bestFit="1" customWidth="1"/>
    <col min="29" max="29" width="13.125" bestFit="1" customWidth="1"/>
    <col min="30" max="30" width="12.625" customWidth="1"/>
    <col min="31" max="31" width="14.625" customWidth="1"/>
    <col min="32" max="32" width="14.375" customWidth="1"/>
    <col min="34" max="34" width="14.5" customWidth="1"/>
    <col min="35" max="35" width="14.875" bestFit="1" customWidth="1"/>
    <col min="36" max="36" width="18" bestFit="1" customWidth="1"/>
    <col min="37" max="37" width="12.125" bestFit="1" customWidth="1"/>
    <col min="38" max="38" width="14.5" bestFit="1" customWidth="1"/>
    <col min="39" max="39" width="14.5" customWidth="1"/>
    <col min="40" max="40" width="13.75" style="30" customWidth="1"/>
  </cols>
  <sheetData>
    <row r="1" spans="1:46" ht="32.25" thickBot="1" x14ac:dyDescent="0.3">
      <c r="A1" t="s">
        <v>0</v>
      </c>
      <c r="B1" t="s">
        <v>1</v>
      </c>
      <c r="C1" t="s">
        <v>2</v>
      </c>
      <c r="D1" s="9" t="s">
        <v>19</v>
      </c>
      <c r="E1" s="8" t="s">
        <v>20</v>
      </c>
      <c r="F1" s="8" t="s">
        <v>21</v>
      </c>
      <c r="G1" s="8" t="s">
        <v>22</v>
      </c>
      <c r="H1" s="8" t="s">
        <v>23</v>
      </c>
      <c r="I1" s="8" t="s">
        <v>24</v>
      </c>
      <c r="J1" s="10" t="s">
        <v>27</v>
      </c>
      <c r="K1" s="10" t="s">
        <v>28</v>
      </c>
      <c r="L1" s="10" t="s">
        <v>108</v>
      </c>
      <c r="M1" s="10" t="s">
        <v>109</v>
      </c>
      <c r="N1" s="10" t="s">
        <v>110</v>
      </c>
      <c r="O1" s="10" t="s">
        <v>136</v>
      </c>
      <c r="P1" s="10" t="s">
        <v>135</v>
      </c>
      <c r="Q1" s="11" t="s">
        <v>94</v>
      </c>
      <c r="R1" s="11" t="s">
        <v>26</v>
      </c>
      <c r="S1" s="11" t="s">
        <v>117</v>
      </c>
      <c r="T1" s="11" t="s">
        <v>106</v>
      </c>
      <c r="U1" s="11" t="s">
        <v>107</v>
      </c>
      <c r="V1" s="58" t="s">
        <v>158</v>
      </c>
      <c r="W1" s="58" t="s">
        <v>159</v>
      </c>
      <c r="X1" s="58" t="s">
        <v>160</v>
      </c>
      <c r="Z1" s="24"/>
      <c r="AA1" s="25" t="s">
        <v>96</v>
      </c>
      <c r="AB1" s="25" t="s">
        <v>123</v>
      </c>
      <c r="AC1" s="26" t="s">
        <v>98</v>
      </c>
      <c r="AD1" s="25" t="s">
        <v>99</v>
      </c>
      <c r="AE1" s="25" t="s">
        <v>100</v>
      </c>
      <c r="AF1" s="25" t="s">
        <v>121</v>
      </c>
      <c r="AH1" s="24" t="s">
        <v>95</v>
      </c>
      <c r="AI1" s="25" t="s">
        <v>96</v>
      </c>
      <c r="AJ1" s="25" t="s">
        <v>97</v>
      </c>
      <c r="AK1" s="26" t="s">
        <v>98</v>
      </c>
      <c r="AL1" s="25" t="s">
        <v>99</v>
      </c>
      <c r="AM1" s="33" t="s">
        <v>100</v>
      </c>
      <c r="AN1" s="34" t="s">
        <v>157</v>
      </c>
      <c r="AO1" s="25" t="s">
        <v>230</v>
      </c>
      <c r="AP1" s="25" t="s">
        <v>231</v>
      </c>
      <c r="AQ1" s="26" t="s">
        <v>232</v>
      </c>
      <c r="AR1" s="25" t="s">
        <v>233</v>
      </c>
      <c r="AS1" s="33" t="s">
        <v>234</v>
      </c>
      <c r="AT1" s="34" t="s">
        <v>235</v>
      </c>
    </row>
    <row r="2" spans="1:46" ht="15" customHeight="1" thickBot="1" x14ac:dyDescent="0.3">
      <c r="A2" t="str">
        <f>Dataset!A2</f>
        <v>http://comptroller.alabama.gov/pdfs/CAFR/CAFR%202016.Alabama.pdf</v>
      </c>
      <c r="B2" s="8" t="s">
        <v>29</v>
      </c>
      <c r="C2" s="8">
        <v>2016</v>
      </c>
      <c r="D2">
        <f>STANDARDIZE(Dataset!X2,'standardized values'!$AB$9,'standardized values'!$AD$9)</f>
        <v>0.569980866995353</v>
      </c>
      <c r="E2">
        <f>STANDARDIZE(Dataset!Y2,'standardized values'!$AB$10,'standardized values'!$AD$10)</f>
        <v>0.48736905608628822</v>
      </c>
      <c r="F2">
        <f>STANDARDIZE(Dataset!Z2,'standardized values'!$AB$11,'standardized values'!$AD$11)</f>
        <v>0.65014141755534793</v>
      </c>
      <c r="G2">
        <f>STANDARDIZE(Dataset!AA2,'standardized values'!$AB$12,'standardized values'!$AD$12)</f>
        <v>0.28315585709190783</v>
      </c>
      <c r="H2">
        <f>STANDARDIZE(Dataset!AB2,'standardized values'!$AB$13,'standardized values'!$AD$13)</f>
        <v>0.20620341124158106</v>
      </c>
      <c r="I2">
        <f>STANDARDIZE(Dataset!AC2,'standardized values'!$AB$14,'standardized values'!$AD$14)</f>
        <v>0.23544002149074539</v>
      </c>
      <c r="J2">
        <f>STANDARDIZE(Dataset!AK2,'standardized values'!$AB$20,'standardized values'!$AD$20)</f>
        <v>-0.17379584030569142</v>
      </c>
      <c r="K2">
        <f>STANDARDIZE(Dataset!AL2,'standardized values'!$AB$21,'standardized values'!$AD$21)</f>
        <v>-3.1622830302879663E-2</v>
      </c>
      <c r="L2">
        <f>STANDARDIZE(Dataset!AM2,'standardized values'!$AB$22,'standardized values'!$AD$22)</f>
        <v>-6.2534341592246939E-2</v>
      </c>
      <c r="M2">
        <f>STANDARDIZE(Dataset!AN2,'standardized values'!$AB$23,'standardized values'!$AD$23)</f>
        <v>0.24189022736756471</v>
      </c>
      <c r="N2">
        <f>STANDARDIZE(Dataset!AO2,'standardized values'!$AB$24,'standardized values'!$AD$24)</f>
        <v>0.30929526043256467</v>
      </c>
      <c r="O2">
        <f>STANDARDIZE(Dataset!AP2,'standardized values'!$AB$27,'standardized values'!$AD$27)</f>
        <v>-0.46741514918498545</v>
      </c>
      <c r="P2">
        <f>STANDARDIZE(Dataset!AQ2,'standardized values'!$AB$28,'standardized values'!$AD$28)</f>
        <v>-0.25132411044928238</v>
      </c>
      <c r="Q2">
        <f>STANDARDIZE(Dataset!AD2,'standardized values'!$AB$15,'standardized values'!$AD$15)</f>
        <v>-0.40462516204498367</v>
      </c>
      <c r="R2">
        <f>STANDARDIZE(Dataset!AE2,'standardized values'!$AB$16,'standardized values'!$AD$16)</f>
        <v>-0.54842519089742592</v>
      </c>
      <c r="S2">
        <f>STANDARDIZE(Dataset!AF2,'standardized values'!$AB$17,'standardized values'!$AD$17)</f>
        <v>-0.65451535528381322</v>
      </c>
      <c r="T2">
        <f>STANDARDIZE(Dataset!AG2,'standardized values'!$AB$18,'standardized values'!$AD$18)</f>
        <v>-0.39985618138526491</v>
      </c>
      <c r="U2">
        <f>STANDARDIZE(Dataset!AH2,'standardized values'!$AB$19,'standardized values'!$AD$19)</f>
        <v>-0.45003123062019201</v>
      </c>
      <c r="V2">
        <f>STANDARDIZE(Dataset!AR2,AVERAGE(Dataset!$AR$2:$AR$51),STDEV(Dataset!$AR$2:$AR$51))</f>
        <v>1.0359091031940284</v>
      </c>
      <c r="W2">
        <f>STANDARDIZE(Dataset!AS2,AVERAGE(Dataset!$AS$2:$AS$51),STDEV(Dataset!$AS$2:$AS$51))</f>
        <v>0.78395450938002864</v>
      </c>
      <c r="X2">
        <f>STANDARDIZE(Dataset!AT2,AVERAGE(Dataset!$AT$2:$AT$51),STDEV(Dataset!$AT$2:$AT$51))</f>
        <v>1.1018506009764351</v>
      </c>
      <c r="Z2" s="52" t="s">
        <v>122</v>
      </c>
      <c r="AA2" s="84">
        <v>0.2</v>
      </c>
      <c r="AB2" s="84">
        <v>0.2</v>
      </c>
      <c r="AC2" s="84">
        <v>0.2</v>
      </c>
      <c r="AD2" s="84">
        <v>0.2</v>
      </c>
      <c r="AE2" s="85">
        <v>0.2</v>
      </c>
      <c r="AF2" s="15">
        <f>SUM(AA2:AE2)</f>
        <v>1</v>
      </c>
      <c r="AH2" s="8" t="s">
        <v>29</v>
      </c>
      <c r="AI2" s="28">
        <f>SUM(V2:X2)</f>
        <v>2.9217142135504921</v>
      </c>
      <c r="AJ2" s="28">
        <f>SUM(I2:K2)</f>
        <v>3.0021350882174301E-2</v>
      </c>
      <c r="AK2" s="28">
        <f>SUM(G2:H2)</f>
        <v>0.48935926833348886</v>
      </c>
      <c r="AL2" s="28">
        <f>SUM(L2:N2)</f>
        <v>0.48865114620788241</v>
      </c>
      <c r="AM2" s="28">
        <f>SUM(O2:P2)</f>
        <v>-0.71873925963426788</v>
      </c>
      <c r="AN2" s="28">
        <f>(AI2*$AA$2)+(AJ2*$AB$2)+(AK2*$AC$2)+(AL2*$AD$2)+(AM2*$AE$2)</f>
        <v>0.64220134386795402</v>
      </c>
      <c r="AO2">
        <f>RANK(AI2,$AI$2:$AI$51)</f>
        <v>6</v>
      </c>
      <c r="AP2">
        <f>RANK(AJ2,$AJ$2:$AJ$51)</f>
        <v>19</v>
      </c>
      <c r="AQ2">
        <f>RANK(AK2,$AK$2:$AK$51)</f>
        <v>22</v>
      </c>
      <c r="AR2">
        <f>RANK(AL2,$AL$2:$AL$51)</f>
        <v>21</v>
      </c>
      <c r="AS2">
        <f>RANK(AM2,$AM$2:$AM$51)</f>
        <v>34</v>
      </c>
      <c r="AT2" s="8">
        <f>RANK(AN2,$AN$2:$AN$51)</f>
        <v>14</v>
      </c>
    </row>
    <row r="3" spans="1:46" x14ac:dyDescent="0.25">
      <c r="A3" t="str">
        <f>Dataset!A3</f>
        <v>http://doa.alaska.gov/dof/reports/resource/fy16/2016cafr.pdf</v>
      </c>
      <c r="B3" s="8" t="s">
        <v>36</v>
      </c>
      <c r="C3" s="8">
        <v>2016</v>
      </c>
      <c r="D3">
        <f>STANDARDIZE(Dataset!X3,'standardized values'!$AB$9,'standardized values'!$AD$9)</f>
        <v>5.8744946207687931</v>
      </c>
      <c r="E3">
        <f>STANDARDIZE(Dataset!Y3,'standardized values'!$AB$10,'standardized values'!$AD$10)</f>
        <v>5.6749975364773864</v>
      </c>
      <c r="F3">
        <f>STANDARDIZE(Dataset!Z3,'standardized values'!$AB$11,'standardized values'!$AD$11)</f>
        <v>5.738679377102776</v>
      </c>
      <c r="G3">
        <f>STANDARDIZE(Dataset!AA3,'standardized values'!$AB$12,'standardized values'!$AD$12)</f>
        <v>-5.624191762250037</v>
      </c>
      <c r="H3">
        <f>STANDARDIZE(Dataset!AB3,'standardized values'!$AB$13,'standardized values'!$AD$13)</f>
        <v>-6.6208920558792421</v>
      </c>
      <c r="I3">
        <f>STANDARDIZE(Dataset!AC3,'standardized values'!$AB$14,'standardized values'!$AD$14)</f>
        <v>1.2657250409183909</v>
      </c>
      <c r="J3">
        <f>STANDARDIZE(Dataset!AK3,'standardized values'!$AB$20,'standardized values'!$AD$20)</f>
        <v>1.7327497727810117</v>
      </c>
      <c r="K3">
        <f>STANDARDIZE(Dataset!AL3,'standardized values'!$AB$21,'standardized values'!$AD$21)</f>
        <v>-0.65360091790745767</v>
      </c>
      <c r="L3">
        <f>STANDARDIZE(Dataset!AM3,'standardized values'!$AB$22,'standardized values'!$AD$22)</f>
        <v>6.8926865733419342</v>
      </c>
      <c r="M3">
        <f>STANDARDIZE(Dataset!AN3,'standardized values'!$AB$23,'standardized values'!$AD$23)</f>
        <v>-0.48677496742551396</v>
      </c>
      <c r="N3">
        <f>STANDARDIZE(Dataset!AO3,'standardized values'!$AB$24,'standardized values'!$AD$24)</f>
        <v>-2.2159004850622974</v>
      </c>
      <c r="O3">
        <f>STANDARDIZE(Dataset!AP3,'standardized values'!$AB$27,'standardized values'!$AD$27)</f>
        <v>-1.6788567996003962</v>
      </c>
      <c r="P3">
        <f>STANDARDIZE(Dataset!AQ3,'standardized values'!$AB$28,'standardized values'!$AD$28)</f>
        <v>-0.253828743336589</v>
      </c>
      <c r="Q3">
        <f>STANDARDIZE(Dataset!AD3,'standardized values'!$AB$15,'standardized values'!$AD$15)</f>
        <v>-0.68839839924448309</v>
      </c>
      <c r="R3">
        <f>STANDARDIZE(Dataset!AE3,'standardized values'!$AB$16,'standardized values'!$AD$16)</f>
        <v>1.0351539474374696</v>
      </c>
      <c r="S3">
        <f>STANDARDIZE(Dataset!AF3,'standardized values'!$AB$17,'standardized values'!$AD$17)</f>
        <v>-3.3309456685749308</v>
      </c>
      <c r="T3">
        <f>STANDARDIZE(Dataset!AG3,'standardized values'!$AB$18,'standardized values'!$AD$18)</f>
        <v>0.26445498222089336</v>
      </c>
      <c r="U3">
        <f>STANDARDIZE(Dataset!AH3,'standardized values'!$AB$19,'standardized values'!$AD$19)</f>
        <v>3.5704007756574496</v>
      </c>
      <c r="V3">
        <f>STANDARDIZE(Dataset!AR3,AVERAGE(Dataset!$AR$2:$AR$51),STDEV(Dataset!$AR$2:$AR$51))</f>
        <v>3.6144077786923292</v>
      </c>
      <c r="W3">
        <f>STANDARDIZE(Dataset!AS3,AVERAGE(Dataset!$AS$2:$AS$51),STDEV(Dataset!$AS$2:$AS$51))</f>
        <v>3.9423195873818937</v>
      </c>
      <c r="X3">
        <f>STANDARDIZE(Dataset!AT3,AVERAGE(Dataset!$AT$2:$AT$51),STDEV(Dataset!$AT$2:$AT$51))</f>
        <v>3.5590204230185871</v>
      </c>
      <c r="AA3" s="15"/>
      <c r="AB3" s="15"/>
      <c r="AC3" s="15"/>
      <c r="AD3" s="15"/>
      <c r="AE3" s="15"/>
      <c r="AG3" s="15"/>
      <c r="AH3" s="8" t="s">
        <v>36</v>
      </c>
      <c r="AI3" s="28">
        <f>SUM(V3:X3)</f>
        <v>11.11574778909281</v>
      </c>
      <c r="AJ3" s="28">
        <f t="shared" ref="AJ3:AJ33" si="0">SUM(I3:K3)</f>
        <v>2.3448738957919453</v>
      </c>
      <c r="AK3" s="28">
        <f t="shared" ref="AK3:AK33" si="1">SUM(G3:H3)</f>
        <v>-12.245083818129279</v>
      </c>
      <c r="AL3" s="28">
        <f t="shared" ref="AL3:AL33" si="2">SUM(L3:N3)</f>
        <v>4.1900111208541233</v>
      </c>
      <c r="AM3" s="28">
        <f t="shared" ref="AM3:AM27" si="3">SUM(O3:P3)</f>
        <v>-1.9326855429369854</v>
      </c>
      <c r="AN3" s="28">
        <f t="shared" ref="AN3:AN33" si="4">(AI3*$AA$2)+(AJ3*$AB$2)+(AK3*$AC$2)+(AL3*$AD$2)+(AM3*$AE$2)</f>
        <v>0.6945726889345224</v>
      </c>
      <c r="AO3">
        <f t="shared" ref="AO3:AO51" si="5">RANK(AI3,$AI$2:$AI$51)</f>
        <v>1</v>
      </c>
      <c r="AP3">
        <f t="shared" ref="AP3:AP51" si="6">RANK(AJ3,$AJ$2:$AJ$51)</f>
        <v>6</v>
      </c>
      <c r="AQ3">
        <f t="shared" ref="AQ3:AQ51" si="7">RANK(AK3,$AK$2:$AK$51)</f>
        <v>50</v>
      </c>
      <c r="AR3">
        <f t="shared" ref="AR3:AR51" si="8">RANK(AL3,$AL$2:$AL$51)</f>
        <v>2</v>
      </c>
      <c r="AS3">
        <f t="shared" ref="AS3:AS51" si="9">RANK(AM3,$AM$2:$AM$51)</f>
        <v>50</v>
      </c>
      <c r="AT3" s="8">
        <f t="shared" ref="AT3:AT51" si="10">RANK(AN3,$AN$2:$AN$51)</f>
        <v>11</v>
      </c>
    </row>
    <row r="4" spans="1:46" ht="15.75" customHeight="1" x14ac:dyDescent="0.25">
      <c r="A4" t="str">
        <f>Dataset!A4</f>
        <v>https://gao.az.gov/sites/default/files/16%20CAFR%206-08-17%20wosig.pdf</v>
      </c>
      <c r="B4" s="8" t="s">
        <v>38</v>
      </c>
      <c r="C4" s="8">
        <v>2016</v>
      </c>
      <c r="D4">
        <f>STANDARDIZE(Dataset!X4,'standardized values'!$AB$9,'standardized values'!$AD$9)</f>
        <v>-0.5325101241621002</v>
      </c>
      <c r="E4">
        <f>STANDARDIZE(Dataset!Y4,'standardized values'!$AB$10,'standardized values'!$AD$10)</f>
        <v>-0.73231535646725887</v>
      </c>
      <c r="F4">
        <f>STANDARDIZE(Dataset!Z4,'standardized values'!$AB$11,'standardized values'!$AD$11)</f>
        <v>-0.70931680194861546</v>
      </c>
      <c r="G4">
        <f>STANDARDIZE(Dataset!AA4,'standardized values'!$AB$12,'standardized values'!$AD$12)</f>
        <v>0.4492596883980724</v>
      </c>
      <c r="H4">
        <f>STANDARDIZE(Dataset!AB4,'standardized values'!$AB$13,'standardized values'!$AD$13)</f>
        <v>0.28839056568977717</v>
      </c>
      <c r="I4">
        <f>STANDARDIZE(Dataset!AC4,'standardized values'!$AB$14,'standardized values'!$AD$14)</f>
        <v>0.31887921618317877</v>
      </c>
      <c r="J4">
        <f>STANDARDIZE(Dataset!AK4,'standardized values'!$AB$20,'standardized values'!$AD$20)</f>
        <v>-0.23658412247202351</v>
      </c>
      <c r="K4">
        <f>STANDARDIZE(Dataset!AL4,'standardized values'!$AB$21,'standardized values'!$AD$21)</f>
        <v>-6.0143325761460517E-2</v>
      </c>
      <c r="L4">
        <f>STANDARDIZE(Dataset!AM4,'standardized values'!$AB$22,'standardized values'!$AD$22)</f>
        <v>-0.1036201526886619</v>
      </c>
      <c r="M4">
        <f>STANDARDIZE(Dataset!AN4,'standardized values'!$AB$23,'standardized values'!$AD$23)</f>
        <v>-0.15722681512812198</v>
      </c>
      <c r="N4">
        <f>STANDARDIZE(Dataset!AO4,'standardized values'!$AB$24,'standardized values'!$AD$24)</f>
        <v>4.1923592656586527E-3</v>
      </c>
      <c r="O4">
        <f>STANDARDIZE(Dataset!AP4,'standardized values'!$AB$27,'standardized values'!$AD$27)</f>
        <v>-9.9974899443341869E-2</v>
      </c>
      <c r="P4">
        <f>STANDARDIZE(Dataset!AQ4,'standardized values'!$AB$28,'standardized values'!$AD$28)</f>
        <v>1.0060560763470214</v>
      </c>
      <c r="Q4">
        <f>STANDARDIZE(Dataset!AD4,'standardized values'!$AB$15,'standardized values'!$AD$15)</f>
        <v>-0.36641853778243944</v>
      </c>
      <c r="R4">
        <f>STANDARDIZE(Dataset!AE4,'standardized values'!$AB$16,'standardized values'!$AD$16)</f>
        <v>-0.53004897976470677</v>
      </c>
      <c r="S4">
        <f>STANDARDIZE(Dataset!AF4,'standardized values'!$AB$17,'standardized values'!$AD$17)</f>
        <v>-0.40080774865891816</v>
      </c>
      <c r="T4">
        <f>STANDARDIZE(Dataset!AG4,'standardized values'!$AB$18,'standardized values'!$AD$18)</f>
        <v>-6.2641488103232126E-2</v>
      </c>
      <c r="U4">
        <f>STANDARDIZE(Dataset!AH4,'standardized values'!$AB$19,'standardized values'!$AD$19)</f>
        <v>-0.22516479735221076</v>
      </c>
      <c r="V4">
        <f>STANDARDIZE(Dataset!AR4,AVERAGE(Dataset!$AR$2:$AR$51),STDEV(Dataset!$AR$2:$AR$51))</f>
        <v>-0.7374780605680723</v>
      </c>
      <c r="W4">
        <f>STANDARDIZE(Dataset!AS4,AVERAGE(Dataset!$AS$2:$AS$51),STDEV(Dataset!$AS$2:$AS$51))</f>
        <v>-0.9639451163941023</v>
      </c>
      <c r="X4">
        <f>STANDARDIZE(Dataset!AT4,AVERAGE(Dataset!$AT$2:$AT$51),STDEV(Dataset!$AT$2:$AT$51))</f>
        <v>-0.97914808315127133</v>
      </c>
      <c r="AA4" s="15"/>
      <c r="AH4" s="8" t="s">
        <v>38</v>
      </c>
      <c r="AI4" s="28">
        <f t="shared" ref="AI4:AI51" si="11">SUM(V4:X4)</f>
        <v>-2.6805712601134459</v>
      </c>
      <c r="AJ4" s="28">
        <f t="shared" si="0"/>
        <v>2.2151767949694742E-2</v>
      </c>
      <c r="AK4" s="28">
        <f t="shared" si="1"/>
        <v>0.73765025408784957</v>
      </c>
      <c r="AL4" s="28">
        <f t="shared" si="2"/>
        <v>-0.25665460855112521</v>
      </c>
      <c r="AM4" s="28">
        <f t="shared" si="3"/>
        <v>0.90608117690367962</v>
      </c>
      <c r="AN4" s="28">
        <f t="shared" si="4"/>
        <v>-0.25426853394466953</v>
      </c>
      <c r="AO4">
        <f t="shared" si="5"/>
        <v>46</v>
      </c>
      <c r="AP4">
        <f t="shared" si="6"/>
        <v>20</v>
      </c>
      <c r="AQ4">
        <f t="shared" si="7"/>
        <v>15</v>
      </c>
      <c r="AR4">
        <f t="shared" si="8"/>
        <v>26</v>
      </c>
      <c r="AS4">
        <f t="shared" si="9"/>
        <v>9</v>
      </c>
      <c r="AT4" s="8">
        <f t="shared" si="10"/>
        <v>27</v>
      </c>
    </row>
    <row r="5" spans="1:46" ht="15.75" customHeight="1" x14ac:dyDescent="0.25">
      <c r="A5" t="str">
        <f>Dataset!A5</f>
        <v>http://www.dfa.arkansas.gov/offices/accounting/Documents/cafr2016.pdf</v>
      </c>
      <c r="B5" s="8" t="s">
        <v>40</v>
      </c>
      <c r="C5" s="8">
        <v>2016</v>
      </c>
      <c r="D5">
        <f>STANDARDIZE(Dataset!X5,'standardized values'!$AB$9,'standardized values'!$AD$9)</f>
        <v>0.3736643408184836</v>
      </c>
      <c r="E5">
        <f>STANDARDIZE(Dataset!Y5,'standardized values'!$AB$10,'standardized values'!$AD$10)</f>
        <v>0.34373419942941552</v>
      </c>
      <c r="F5">
        <f>STANDARDIZE(Dataset!Z5,'standardized values'!$AB$11,'standardized values'!$AD$11)</f>
        <v>0.35826989523699099</v>
      </c>
      <c r="G5">
        <f>STANDARDIZE(Dataset!AA5,'standardized values'!$AB$12,'standardized values'!$AD$12)</f>
        <v>0.32939272523074303</v>
      </c>
      <c r="H5">
        <f>STANDARDIZE(Dataset!AB5,'standardized values'!$AB$13,'standardized values'!$AD$13)</f>
        <v>0.30877070912598481</v>
      </c>
      <c r="I5">
        <f>STANDARDIZE(Dataset!AC5,'standardized values'!$AB$14,'standardized values'!$AD$14)</f>
        <v>0.3758890202188323</v>
      </c>
      <c r="J5">
        <f>STANDARDIZE(Dataset!AK5,'standardized values'!$AB$20,'standardized values'!$AD$20)</f>
        <v>-0.25395799033958205</v>
      </c>
      <c r="K5">
        <f>STANDARDIZE(Dataset!AL5,'standardized values'!$AB$21,'standardized values'!$AD$21)</f>
        <v>-0.27084507557905219</v>
      </c>
      <c r="L5">
        <f>STANDARDIZE(Dataset!AM5,'standardized values'!$AB$22,'standardized values'!$AD$22)</f>
        <v>-0.2177104001988609</v>
      </c>
      <c r="M5">
        <f>STANDARDIZE(Dataset!AN5,'standardized values'!$AB$23,'standardized values'!$AD$23)</f>
        <v>-1.513269813517981</v>
      </c>
      <c r="N5">
        <f>STANDARDIZE(Dataset!AO5,'standardized values'!$AB$24,'standardized values'!$AD$24)</f>
        <v>-1.2702472670693465</v>
      </c>
      <c r="O5">
        <f>STANDARDIZE(Dataset!AP5,'standardized values'!$AB$27,'standardized values'!$AD$27)</f>
        <v>-0.19406853664754942</v>
      </c>
      <c r="P5">
        <f>STANDARDIZE(Dataset!AQ5,'standardized values'!$AB$28,'standardized values'!$AD$28)</f>
        <v>-0.1002157713891861</v>
      </c>
      <c r="Q5">
        <f>STANDARDIZE(Dataset!AD5,'standardized values'!$AB$15,'standardized values'!$AD$15)</f>
        <v>-0.35448035439714587</v>
      </c>
      <c r="R5">
        <f>STANDARDIZE(Dataset!AE5,'standardized values'!$AB$16,'standardized values'!$AD$16)</f>
        <v>-0.33866327744744568</v>
      </c>
      <c r="S5">
        <f>STANDARDIZE(Dataset!AF5,'standardized values'!$AB$17,'standardized values'!$AD$17)</f>
        <v>0.61528626577346324</v>
      </c>
      <c r="T5">
        <f>STANDARDIZE(Dataset!AG5,'standardized values'!$AB$18,'standardized values'!$AD$18)</f>
        <v>1.7229092616970818</v>
      </c>
      <c r="U5">
        <f>STANDARDIZE(Dataset!AH5,'standardized values'!$AB$19,'standardized values'!$AD$19)</f>
        <v>1.2330301001741528</v>
      </c>
      <c r="V5">
        <f>STANDARDIZE(Dataset!AR5,AVERAGE(Dataset!$AR$2:$AR$51),STDEV(Dataset!$AR$2:$AR$51))</f>
        <v>0.7201285568233724</v>
      </c>
      <c r="W5">
        <f>STANDARDIZE(Dataset!AS5,AVERAGE(Dataset!$AS$2:$AS$51),STDEV(Dataset!$AS$2:$AS$51))</f>
        <v>0.57811494168968836</v>
      </c>
      <c r="X5">
        <f>STANDARDIZE(Dataset!AT5,AVERAGE(Dataset!$AT$2:$AT$51),STDEV(Dataset!$AT$2:$AT$51))</f>
        <v>0.6550665474727736</v>
      </c>
      <c r="Z5" s="36"/>
      <c r="AA5" s="36"/>
      <c r="AB5" s="36"/>
      <c r="AC5" s="36"/>
      <c r="AD5" s="36"/>
      <c r="AE5" s="36"/>
      <c r="AF5" s="36"/>
      <c r="AH5" s="8" t="s">
        <v>40</v>
      </c>
      <c r="AI5" s="28">
        <f t="shared" si="11"/>
        <v>1.9533100459858344</v>
      </c>
      <c r="AJ5" s="28">
        <f t="shared" si="0"/>
        <v>-0.14891404569980193</v>
      </c>
      <c r="AK5" s="28">
        <f t="shared" si="1"/>
        <v>0.63816343435672784</v>
      </c>
      <c r="AL5" s="28">
        <f t="shared" si="2"/>
        <v>-3.0012274807861883</v>
      </c>
      <c r="AM5" s="28">
        <f t="shared" si="3"/>
        <v>-0.2942843080367355</v>
      </c>
      <c r="AN5" s="28">
        <f t="shared" si="4"/>
        <v>-0.17059047083603268</v>
      </c>
      <c r="AO5">
        <f t="shared" si="5"/>
        <v>11</v>
      </c>
      <c r="AP5">
        <f t="shared" si="6"/>
        <v>23</v>
      </c>
      <c r="AQ5">
        <f t="shared" si="7"/>
        <v>20</v>
      </c>
      <c r="AR5">
        <f t="shared" si="8"/>
        <v>45</v>
      </c>
      <c r="AS5">
        <f t="shared" si="9"/>
        <v>26</v>
      </c>
      <c r="AT5" s="8">
        <f t="shared" si="10"/>
        <v>25</v>
      </c>
    </row>
    <row r="6" spans="1:46" ht="15.75" customHeight="1" x14ac:dyDescent="0.25">
      <c r="A6" t="str">
        <f>Dataset!A6</f>
        <v>https://www.sco.ca.gov/Files-ARD/CAFR/cafr16web.pdf</v>
      </c>
      <c r="B6" s="8" t="s">
        <v>42</v>
      </c>
      <c r="C6" s="8">
        <v>2016</v>
      </c>
      <c r="D6">
        <f>STANDARDIZE(Dataset!X6,'standardized values'!$AB$9,'standardized values'!$AD$9)</f>
        <v>-0.55332550069151276</v>
      </c>
      <c r="E6">
        <f>STANDARDIZE(Dataset!Y6,'standardized values'!$AB$10,'standardized values'!$AD$10)</f>
        <v>-0.70977863387208218</v>
      </c>
      <c r="F6">
        <f>STANDARDIZE(Dataset!Z6,'standardized values'!$AB$11,'standardized values'!$AD$11)</f>
        <v>-0.62499606432706234</v>
      </c>
      <c r="G6">
        <f>STANDARDIZE(Dataset!AA6,'standardized values'!$AB$12,'standardized values'!$AD$12)</f>
        <v>0.36420197534017623</v>
      </c>
      <c r="H6">
        <f>STANDARDIZE(Dataset!AB6,'standardized values'!$AB$13,'standardized values'!$AD$13)</f>
        <v>0.33061801306879024</v>
      </c>
      <c r="I6">
        <f>STANDARDIZE(Dataset!AC6,'standardized values'!$AB$14,'standardized values'!$AD$14)</f>
        <v>-0.54144585015864466</v>
      </c>
      <c r="J6">
        <f>STANDARDIZE(Dataset!AK6,'standardized values'!$AB$20,'standardized values'!$AD$20)</f>
        <v>-0.64127878481664013</v>
      </c>
      <c r="K6">
        <f>STANDARDIZE(Dataset!AL6,'standardized values'!$AB$21,'standardized values'!$AD$21)</f>
        <v>-0.54569701836457774</v>
      </c>
      <c r="L6">
        <f>STANDARDIZE(Dataset!AM6,'standardized values'!$AB$22,'standardized values'!$AD$22)</f>
        <v>-0.20629866272366801</v>
      </c>
      <c r="M6">
        <f>STANDARDIZE(Dataset!AN6,'standardized values'!$AB$23,'standardized values'!$AD$23)</f>
        <v>-0.21085773490158094</v>
      </c>
      <c r="N6">
        <f>STANDARDIZE(Dataset!AO6,'standardized values'!$AB$24,'standardized values'!$AD$24)</f>
        <v>-7.3711596939536092E-2</v>
      </c>
      <c r="O6">
        <f>STANDARDIZE(Dataset!AP6,'standardized values'!$AB$27,'standardized values'!$AD$27)</f>
        <v>-0.85297685885668129</v>
      </c>
      <c r="P6">
        <f>STANDARDIZE(Dataset!AQ6,'standardized values'!$AB$28,'standardized values'!$AD$28)</f>
        <v>-0.25122740358664181</v>
      </c>
      <c r="Q6">
        <f>STANDARDIZE(Dataset!AD6,'standardized values'!$AB$15,'standardized values'!$AD$15)</f>
        <v>0.37392964994029942</v>
      </c>
      <c r="R6">
        <f>STANDARDIZE(Dataset!AE6,'standardized values'!$AB$16,'standardized values'!$AD$16)</f>
        <v>0.30332857796742668</v>
      </c>
      <c r="S6">
        <f>STANDARDIZE(Dataset!AF6,'standardized values'!$AB$17,'standardized values'!$AD$17)</f>
        <v>0.48484755990616224</v>
      </c>
      <c r="T6">
        <f>STANDARDIZE(Dataset!AG6,'standardized values'!$AB$18,'standardized values'!$AD$18)</f>
        <v>-1.2713608211542037E-2</v>
      </c>
      <c r="U6">
        <f>STANDARDIZE(Dataset!AH6,'standardized values'!$AB$19,'standardized values'!$AD$19)</f>
        <v>-0.16232589903548145</v>
      </c>
      <c r="V6">
        <f>STANDARDIZE(Dataset!AR6,AVERAGE(Dataset!$AR$2:$AR$51),STDEV(Dataset!$AR$2:$AR$51))</f>
        <v>-0.77096016776187459</v>
      </c>
      <c r="W6">
        <f>STANDARDIZE(Dataset!AS6,AVERAGE(Dataset!$AS$2:$AS$51),STDEV(Dataset!$AS$2:$AS$51))</f>
        <v>-0.93164829552401074</v>
      </c>
      <c r="X6">
        <f>STANDARDIZE(Dataset!AT6,AVERAGE(Dataset!$AT$2:$AT$51),STDEV(Dataset!$AT$2:$AT$51))</f>
        <v>-0.85007361692813477</v>
      </c>
      <c r="AB6" s="57"/>
      <c r="AH6" s="8" t="s">
        <v>42</v>
      </c>
      <c r="AI6" s="28">
        <f t="shared" si="11"/>
        <v>-2.5526820802140202</v>
      </c>
      <c r="AJ6" s="28">
        <f t="shared" si="0"/>
        <v>-1.7284216533398624</v>
      </c>
      <c r="AK6" s="28">
        <f t="shared" si="1"/>
        <v>0.69481998840896653</v>
      </c>
      <c r="AL6" s="28">
        <f t="shared" si="2"/>
        <v>-0.49086799456478503</v>
      </c>
      <c r="AM6" s="28">
        <f t="shared" si="3"/>
        <v>-1.104204262443323</v>
      </c>
      <c r="AN6" s="28">
        <f t="shared" si="4"/>
        <v>-1.0362712004306049</v>
      </c>
      <c r="AO6">
        <f t="shared" si="5"/>
        <v>45</v>
      </c>
      <c r="AP6">
        <f t="shared" si="6"/>
        <v>45</v>
      </c>
      <c r="AQ6">
        <f t="shared" si="7"/>
        <v>17</v>
      </c>
      <c r="AR6">
        <f t="shared" si="8"/>
        <v>28</v>
      </c>
      <c r="AS6">
        <f t="shared" si="9"/>
        <v>41</v>
      </c>
      <c r="AT6" s="8">
        <f t="shared" si="10"/>
        <v>42</v>
      </c>
    </row>
    <row r="7" spans="1:46" ht="15.75" customHeight="1" x14ac:dyDescent="0.25">
      <c r="A7" t="str">
        <f>Dataset!A7</f>
        <v>https://www.colorado.gov/pacific/sites/default/files/CAFR16_1.pdf</v>
      </c>
      <c r="B7" s="8" t="s">
        <v>43</v>
      </c>
      <c r="C7" s="8">
        <v>2016</v>
      </c>
      <c r="D7">
        <f>STANDARDIZE(Dataset!X7,'standardized values'!$AB$9,'standardized values'!$AD$9)</f>
        <v>-0.35657396319314133</v>
      </c>
      <c r="E7">
        <f>STANDARDIZE(Dataset!Y7,'standardized values'!$AB$10,'standardized values'!$AD$10)</f>
        <v>-0.41889804256230079</v>
      </c>
      <c r="F7">
        <f>STANDARDIZE(Dataset!Z7,'standardized values'!$AB$11,'standardized values'!$AD$11)</f>
        <v>-0.43428454223805896</v>
      </c>
      <c r="G7">
        <f>STANDARDIZE(Dataset!AA7,'standardized values'!$AB$12,'standardized values'!$AD$12)</f>
        <v>-6.7966613135995863E-3</v>
      </c>
      <c r="H7">
        <f>STANDARDIZE(Dataset!AB7,'standardized values'!$AB$13,'standardized values'!$AD$13)</f>
        <v>0.10863745779898734</v>
      </c>
      <c r="I7">
        <f>STANDARDIZE(Dataset!AC7,'standardized values'!$AB$14,'standardized values'!$AD$14)</f>
        <v>0.19626478402425268</v>
      </c>
      <c r="J7">
        <f>STANDARDIZE(Dataset!AK7,'standardized values'!$AB$20,'standardized values'!$AD$20)</f>
        <v>-0.43096498061349575</v>
      </c>
      <c r="K7">
        <f>STANDARDIZE(Dataset!AL7,'standardized values'!$AB$21,'standardized values'!$AD$21)</f>
        <v>-0.30556228326191442</v>
      </c>
      <c r="L7">
        <f>STANDARDIZE(Dataset!AM7,'standardized values'!$AB$22,'standardized values'!$AD$22)</f>
        <v>1.1458317593145801E-2</v>
      </c>
      <c r="M7">
        <f>STANDARDIZE(Dataset!AN7,'standardized values'!$AB$23,'standardized values'!$AD$23)</f>
        <v>0.57348943772133842</v>
      </c>
      <c r="N7">
        <f>STANDARDIZE(Dataset!AO7,'standardized values'!$AB$24,'standardized values'!$AD$24)</f>
        <v>0.49498319874844904</v>
      </c>
      <c r="O7">
        <f>STANDARDIZE(Dataset!AP7,'standardized values'!$AB$27,'standardized values'!$AD$27)</f>
        <v>-0.29608437663900306</v>
      </c>
      <c r="P7">
        <f>STANDARDIZE(Dataset!AQ7,'standardized values'!$AB$28,'standardized values'!$AD$28)</f>
        <v>-0.22902903863468496</v>
      </c>
      <c r="Q7">
        <f>STANDARDIZE(Dataset!AD7,'standardized values'!$AB$15,'standardized values'!$AD$15)</f>
        <v>-0.17952174586941166</v>
      </c>
      <c r="R7">
        <f>STANDARDIZE(Dataset!AE7,'standardized values'!$AB$16,'standardized values'!$AD$16)</f>
        <v>-0.29303464387253608</v>
      </c>
      <c r="S7">
        <f>STANDARDIZE(Dataset!AF7,'standardized values'!$AB$17,'standardized values'!$AD$17)</f>
        <v>-1.0207750501562638</v>
      </c>
      <c r="T7">
        <f>STANDARDIZE(Dataset!AG7,'standardized values'!$AB$18,'standardized values'!$AD$18)</f>
        <v>-0.64087840053603229</v>
      </c>
      <c r="U7">
        <f>STANDARDIZE(Dataset!AH7,'standardized values'!$AB$19,'standardized values'!$AD$19)</f>
        <v>-0.57236202933688174</v>
      </c>
      <c r="V7">
        <f>STANDARDIZE(Dataset!AR7,AVERAGE(Dataset!$AR$2:$AR$51),STDEV(Dataset!$AR$2:$AR$51))</f>
        <v>-0.45447989368384478</v>
      </c>
      <c r="W7">
        <f>STANDARDIZE(Dataset!AS7,AVERAGE(Dataset!$AS$2:$AS$51),STDEV(Dataset!$AS$2:$AS$51))</f>
        <v>-0.51479450001565541</v>
      </c>
      <c r="X7">
        <f>STANDARDIZE(Dataset!AT7,AVERAGE(Dataset!$AT$2:$AT$51),STDEV(Dataset!$AT$2:$AT$51))</f>
        <v>-0.55814083015958116</v>
      </c>
      <c r="Z7" s="24" t="s">
        <v>120</v>
      </c>
      <c r="AA7" s="24"/>
      <c r="AB7" s="24"/>
      <c r="AC7" s="24"/>
      <c r="AD7" s="24"/>
      <c r="AE7" s="24"/>
      <c r="AF7" s="24"/>
      <c r="AH7" s="8" t="s">
        <v>43</v>
      </c>
      <c r="AI7" s="28">
        <f t="shared" si="11"/>
        <v>-1.5274152238590815</v>
      </c>
      <c r="AJ7" s="28">
        <f t="shared" si="0"/>
        <v>-0.5402624798511575</v>
      </c>
      <c r="AK7" s="28">
        <f t="shared" si="1"/>
        <v>0.10184079648538776</v>
      </c>
      <c r="AL7" s="28">
        <f t="shared" si="2"/>
        <v>1.0799309540629332</v>
      </c>
      <c r="AM7" s="28">
        <f t="shared" si="3"/>
        <v>-0.52511341527368804</v>
      </c>
      <c r="AN7" s="28">
        <f t="shared" si="4"/>
        <v>-0.28220387368712119</v>
      </c>
      <c r="AO7">
        <f t="shared" si="5"/>
        <v>32</v>
      </c>
      <c r="AP7">
        <f t="shared" si="6"/>
        <v>33</v>
      </c>
      <c r="AQ7">
        <f t="shared" si="7"/>
        <v>32</v>
      </c>
      <c r="AR7">
        <f t="shared" si="8"/>
        <v>15</v>
      </c>
      <c r="AS7">
        <f t="shared" si="9"/>
        <v>31</v>
      </c>
      <c r="AT7" s="8">
        <f t="shared" si="10"/>
        <v>28</v>
      </c>
    </row>
    <row r="8" spans="1:46" s="8" customFormat="1" ht="15.75" customHeight="1" x14ac:dyDescent="0.25">
      <c r="A8" t="str">
        <f>Dataset!A8</f>
        <v>http://www.osc.ct.gov/2016cafr/CAFR2016rev.pdf</v>
      </c>
      <c r="B8" s="8" t="s">
        <v>45</v>
      </c>
      <c r="C8" s="8">
        <v>2016</v>
      </c>
      <c r="D8">
        <f>STANDARDIZE(Dataset!X8,'standardized values'!$AB$9,'standardized values'!$AD$9)</f>
        <v>-0.71296815155894511</v>
      </c>
      <c r="E8">
        <f>STANDARDIZE(Dataset!Y8,'standardized values'!$AB$10,'standardized values'!$AD$10)</f>
        <v>-0.78629779903010988</v>
      </c>
      <c r="F8">
        <f>STANDARDIZE(Dataset!Z8,'standardized values'!$AB$11,'standardized values'!$AD$11)</f>
        <v>-0.84864944975546841</v>
      </c>
      <c r="G8">
        <f>STANDARDIZE(Dataset!AA8,'standardized values'!$AB$12,'standardized values'!$AD$12)</f>
        <v>-0.95989517589049378</v>
      </c>
      <c r="H8">
        <f>STANDARDIZE(Dataset!AB8,'standardized values'!$AB$13,'standardized values'!$AD$13)</f>
        <v>-0.59744570644800621</v>
      </c>
      <c r="I8">
        <f>STANDARDIZE(Dataset!AC8,'standardized values'!$AB$14,'standardized values'!$AD$14)</f>
        <v>-2.0634126929984653</v>
      </c>
      <c r="J8">
        <f>STANDARDIZE(Dataset!AK8,'standardized values'!$AB$20,'standardized values'!$AD$20)</f>
        <v>-0.78095185133121814</v>
      </c>
      <c r="K8">
        <f>STANDARDIZE(Dataset!AL8,'standardized values'!$AB$21,'standardized values'!$AD$21)</f>
        <v>-0.75458934622452079</v>
      </c>
      <c r="L8">
        <f>STANDARDIZE(Dataset!AM8,'standardized values'!$AB$22,'standardized values'!$AD$22)</f>
        <v>-0.20664639519843592</v>
      </c>
      <c r="M8">
        <f>STANDARDIZE(Dataset!AN8,'standardized values'!$AB$23,'standardized values'!$AD$23)</f>
        <v>0.13211935442167844</v>
      </c>
      <c r="N8">
        <f>STANDARDIZE(Dataset!AO8,'standardized values'!$AB$24,'standardized values'!$AD$24)</f>
        <v>-0.24084379743941839</v>
      </c>
      <c r="O8">
        <f>STANDARDIZE(Dataset!AP8,'standardized values'!$AB$27,'standardized values'!$AD$27)</f>
        <v>-0.58406700391486799</v>
      </c>
      <c r="P8">
        <f>STANDARDIZE(Dataset!AQ8,'standardized values'!$AB$28,'standardized values'!$AD$28)</f>
        <v>-0.25271979013217877</v>
      </c>
      <c r="Q8">
        <f>STANDARDIZE(Dataset!AD8,'standardized values'!$AB$15,'standardized values'!$AD$15)</f>
        <v>2.1199480217836513</v>
      </c>
      <c r="R8">
        <f>STANDARDIZE(Dataset!AE8,'standardized values'!$AB$16,'standardized values'!$AD$16)</f>
        <v>3.1496993846796486</v>
      </c>
      <c r="S8">
        <f>STANDARDIZE(Dataset!AF8,'standardized values'!$AB$17,'standardized values'!$AD$17)</f>
        <v>0.48870071788183117</v>
      </c>
      <c r="T8">
        <f>STANDARDIZE(Dataset!AG8,'standardized values'!$AB$18,'standardized values'!$AD$18)</f>
        <v>-0.31271497342630855</v>
      </c>
      <c r="U8">
        <f>STANDARDIZE(Dataset!AH8,'standardized values'!$AB$19,'standardized values'!$AD$19)</f>
        <v>-1.9018553759954534E-2</v>
      </c>
      <c r="V8">
        <f>STANDARDIZE(Dataset!AR8,AVERAGE(Dataset!$AR$2:$AR$51),STDEV(Dataset!$AR$2:$AR$51))</f>
        <v>-1.0277497743055408</v>
      </c>
      <c r="W8">
        <f>STANDARDIZE(Dataset!AS8,AVERAGE(Dataset!$AS$2:$AS$51),STDEV(Dataset!$AS$2:$AS$51))</f>
        <v>-1.04130602236521</v>
      </c>
      <c r="X8">
        <f>STANDARDIZE(Dataset!AT8,AVERAGE(Dataset!$AT$2:$AT$51),STDEV(Dataset!$AT$2:$AT$51))</f>
        <v>-1.1924323552106852</v>
      </c>
      <c r="Y8"/>
      <c r="Z8"/>
      <c r="AA8" t="s">
        <v>30</v>
      </c>
      <c r="AB8" t="s">
        <v>31</v>
      </c>
      <c r="AC8" s="8" t="s">
        <v>32</v>
      </c>
      <c r="AD8" s="8" t="s">
        <v>33</v>
      </c>
      <c r="AE8" s="8" t="s">
        <v>34</v>
      </c>
      <c r="AF8" s="8" t="s">
        <v>35</v>
      </c>
      <c r="AH8" s="8" t="s">
        <v>45</v>
      </c>
      <c r="AI8" s="28">
        <f t="shared" si="11"/>
        <v>-3.2614881518814363</v>
      </c>
      <c r="AJ8" s="28">
        <f t="shared" si="0"/>
        <v>-3.598953890554204</v>
      </c>
      <c r="AK8" s="28">
        <f t="shared" si="1"/>
        <v>-1.5573408823385</v>
      </c>
      <c r="AL8" s="28">
        <f t="shared" si="2"/>
        <v>-0.31537083821617584</v>
      </c>
      <c r="AM8" s="28">
        <f t="shared" si="3"/>
        <v>-0.83678679404704681</v>
      </c>
      <c r="AN8" s="28">
        <f t="shared" si="4"/>
        <v>-1.9139881114074728</v>
      </c>
      <c r="AO8">
        <f t="shared" si="5"/>
        <v>50</v>
      </c>
      <c r="AP8">
        <f t="shared" si="6"/>
        <v>47</v>
      </c>
      <c r="AQ8">
        <f t="shared" si="7"/>
        <v>48</v>
      </c>
      <c r="AR8">
        <f t="shared" si="8"/>
        <v>27</v>
      </c>
      <c r="AS8">
        <f t="shared" si="9"/>
        <v>36</v>
      </c>
      <c r="AT8" s="8">
        <f t="shared" si="10"/>
        <v>49</v>
      </c>
    </row>
    <row r="9" spans="1:46" s="8" customFormat="1" ht="15.75" customHeight="1" x14ac:dyDescent="0.25">
      <c r="A9" t="str">
        <f>Dataset!A9</f>
        <v>http://accounting.delaware.gov/2016cafr.pdf</v>
      </c>
      <c r="B9" s="8" t="s">
        <v>47</v>
      </c>
      <c r="C9" s="8">
        <v>2016</v>
      </c>
      <c r="D9">
        <f>STANDARDIZE(Dataset!X9,'standardized values'!$AB$9,'standardized values'!$AD$9)</f>
        <v>-0.34857583723815444</v>
      </c>
      <c r="E9">
        <f>STANDARDIZE(Dataset!Y9,'standardized values'!$AB$10,'standardized values'!$AD$10)</f>
        <v>-0.40943394561551211</v>
      </c>
      <c r="F9">
        <f>STANDARDIZE(Dataset!Z9,'standardized values'!$AB$11,'standardized values'!$AD$11)</f>
        <v>-0.48450683232509489</v>
      </c>
      <c r="G9">
        <f>STANDARDIZE(Dataset!AA9,'standardized values'!$AB$12,'standardized values'!$AD$12)</f>
        <v>-0.55442600548810717</v>
      </c>
      <c r="H9">
        <f>STANDARDIZE(Dataset!AB9,'standardized values'!$AB$13,'standardized values'!$AD$13)</f>
        <v>-0.2932132891048348</v>
      </c>
      <c r="I9">
        <f>STANDARDIZE(Dataset!AC9,'standardized values'!$AB$14,'standardized values'!$AD$14)</f>
        <v>2.7492168278227629E-2</v>
      </c>
      <c r="J9">
        <f>STANDARDIZE(Dataset!AK9,'standardized values'!$AB$20,'standardized values'!$AD$20)</f>
        <v>-0.52099309449052222</v>
      </c>
      <c r="K9">
        <f>STANDARDIZE(Dataset!AL9,'standardized values'!$AB$21,'standardized values'!$AD$21)</f>
        <v>-0.62338176397183154</v>
      </c>
      <c r="L9">
        <f>STANDARDIZE(Dataset!AM9,'standardized values'!$AB$22,'standardized values'!$AD$22)</f>
        <v>-0.31525967912305158</v>
      </c>
      <c r="M9">
        <f>STANDARDIZE(Dataset!AN9,'standardized values'!$AB$23,'standardized values'!$AD$23)</f>
        <v>-1.5413380296410055</v>
      </c>
      <c r="N9">
        <f>STANDARDIZE(Dataset!AO9,'standardized values'!$AB$24,'standardized values'!$AD$24)</f>
        <v>-1.504221630134678</v>
      </c>
      <c r="O9">
        <f>STANDARDIZE(Dataset!AP9,'standardized values'!$AB$27,'standardized values'!$AD$27)</f>
        <v>0.83698512559416427</v>
      </c>
      <c r="P9">
        <f>STANDARDIZE(Dataset!AQ9,'standardized values'!$AB$28,'standardized values'!$AD$28)</f>
        <v>-0.2536383540961738</v>
      </c>
      <c r="Q9">
        <f>STANDARDIZE(Dataset!AD9,'standardized values'!$AB$15,'standardized values'!$AD$15)</f>
        <v>-2.3273104800898264E-2</v>
      </c>
      <c r="R9">
        <f>STANDARDIZE(Dataset!AE9,'standardized values'!$AB$16,'standardized values'!$AD$16)</f>
        <v>0.76136220806074173</v>
      </c>
      <c r="S9">
        <f>STANDARDIZE(Dataset!AF9,'standardized values'!$AB$17,'standardized values'!$AD$17)</f>
        <v>2.2098960120156632</v>
      </c>
      <c r="T9">
        <f>STANDARDIZE(Dataset!AG9,'standardized values'!$AB$18,'standardized values'!$AD$18)</f>
        <v>1.7762904894987093</v>
      </c>
      <c r="U9">
        <f>STANDARDIZE(Dataset!AH9,'standardized values'!$AB$19,'standardized values'!$AD$19)</f>
        <v>1.6545649199001615</v>
      </c>
      <c r="V9">
        <f>STANDARDIZE(Dataset!AR9,AVERAGE(Dataset!$AR$2:$AR$51),STDEV(Dataset!$AR$2:$AR$51))</f>
        <v>-0.44161468751301208</v>
      </c>
      <c r="W9">
        <f>STANDARDIZE(Dataset!AS9,AVERAGE(Dataset!$AS$2:$AS$51),STDEV(Dataset!$AS$2:$AS$51))</f>
        <v>-0.50123173628651263</v>
      </c>
      <c r="X9">
        <f>STANDARDIZE(Dataset!AT9,AVERAGE(Dataset!$AT$2:$AT$51),STDEV(Dataset!$AT$2:$AT$51))</f>
        <v>-0.63501889679346135</v>
      </c>
      <c r="Y9"/>
      <c r="Z9" t="s">
        <v>37</v>
      </c>
      <c r="AA9" s="43">
        <v>50</v>
      </c>
      <c r="AB9" s="51">
        <f>AVERAGE(Dataset!$X$2:$X$51)</f>
        <v>2.2228615352511794</v>
      </c>
      <c r="AC9" s="51">
        <f>MEDIAN(Dataset!$X$2:$X$51)</f>
        <v>1.5044788268759979</v>
      </c>
      <c r="AD9" s="51">
        <f>STDEV(Dataset!$X$2:$X$51)</f>
        <v>2.5279025538024316</v>
      </c>
      <c r="AE9" s="16">
        <f>MAX(Dataset!$X$2:$X$51)</f>
        <v>17.073011489391259</v>
      </c>
      <c r="AF9" s="16">
        <f>MIN(Dataset!$X$2:$X$51)</f>
        <v>0.42054752414552299</v>
      </c>
      <c r="AH9" s="8" t="s">
        <v>47</v>
      </c>
      <c r="AI9" s="28">
        <f t="shared" si="11"/>
        <v>-1.577865320592986</v>
      </c>
      <c r="AJ9" s="28">
        <f t="shared" si="0"/>
        <v>-1.1168826901841262</v>
      </c>
      <c r="AK9" s="28">
        <f t="shared" si="1"/>
        <v>-0.84763929459294196</v>
      </c>
      <c r="AL9" s="28">
        <f t="shared" si="2"/>
        <v>-3.3608193388987351</v>
      </c>
      <c r="AM9" s="28">
        <f t="shared" si="3"/>
        <v>0.58334677149799052</v>
      </c>
      <c r="AN9" s="28">
        <f t="shared" si="4"/>
        <v>-1.2639719745541598</v>
      </c>
      <c r="AO9">
        <f t="shared" si="5"/>
        <v>33</v>
      </c>
      <c r="AP9">
        <f t="shared" si="6"/>
        <v>40</v>
      </c>
      <c r="AQ9">
        <f t="shared" si="7"/>
        <v>42</v>
      </c>
      <c r="AR9">
        <f t="shared" si="8"/>
        <v>48</v>
      </c>
      <c r="AS9">
        <f t="shared" si="9"/>
        <v>11</v>
      </c>
      <c r="AT9" s="8">
        <f t="shared" si="10"/>
        <v>44</v>
      </c>
    </row>
    <row r="10" spans="1:46" s="8" customFormat="1" ht="15.75" customHeight="1" x14ac:dyDescent="0.25">
      <c r="A10" t="str">
        <f>Dataset!A10</f>
        <v>http://www.myfloridacfo.com/Division/AA/Reports/documents/2016CAFR.pdf</v>
      </c>
      <c r="B10" s="8" t="s">
        <v>49</v>
      </c>
      <c r="C10" s="8">
        <v>2016</v>
      </c>
      <c r="D10">
        <f>STANDARDIZE(Dataset!X10,'standardized values'!$AB$9,'standardized values'!$AD$9)</f>
        <v>1.0206387010895044</v>
      </c>
      <c r="E10">
        <f>STANDARDIZE(Dataset!Y10,'standardized values'!$AB$10,'standardized values'!$AD$10)</f>
        <v>1.1059444185995453</v>
      </c>
      <c r="F10">
        <f>STANDARDIZE(Dataset!Z10,'standardized values'!$AB$11,'standardized values'!$AD$11)</f>
        <v>1.0090579844243892</v>
      </c>
      <c r="G10">
        <f>STANDARDIZE(Dataset!AA10,'standardized values'!$AB$12,'standardized values'!$AD$12)</f>
        <v>0.73967026457351548</v>
      </c>
      <c r="H10">
        <f>STANDARDIZE(Dataset!AB10,'standardized values'!$AB$13,'standardized values'!$AD$13)</f>
        <v>0.33625517601343669</v>
      </c>
      <c r="I10">
        <f>STANDARDIZE(Dataset!AC10,'standardized values'!$AB$14,'standardized values'!$AD$14)</f>
        <v>0.38222461260916679</v>
      </c>
      <c r="J10">
        <f>STANDARDIZE(Dataset!AK10,'standardized values'!$AB$20,'standardized values'!$AD$20)</f>
        <v>-0.18245714636868882</v>
      </c>
      <c r="K10">
        <f>STANDARDIZE(Dataset!AL10,'standardized values'!$AB$21,'standardized values'!$AD$21)</f>
        <v>-6.1884050158227136E-2</v>
      </c>
      <c r="L10">
        <f>STANDARDIZE(Dataset!AM10,'standardized values'!$AB$22,'standardized values'!$AD$22)</f>
        <v>1.0972539959753216E-2</v>
      </c>
      <c r="M10">
        <f>STANDARDIZE(Dataset!AN10,'standardized values'!$AB$23,'standardized values'!$AD$23)</f>
        <v>1.5818159483884953</v>
      </c>
      <c r="N10">
        <f>STANDARDIZE(Dataset!AO10,'standardized values'!$AB$24,'standardized values'!$AD$24)</f>
        <v>1.7391669212595167</v>
      </c>
      <c r="O10">
        <f>STANDARDIZE(Dataset!AP10,'standardized values'!$AB$27,'standardized values'!$AD$27)</f>
        <v>1.2357694603108944</v>
      </c>
      <c r="P10">
        <f>STANDARDIZE(Dataset!AQ10,'standardized values'!$AB$28,'standardized values'!$AD$28)</f>
        <v>-0.24709551270454094</v>
      </c>
      <c r="Q10">
        <f>STANDARDIZE(Dataset!AD10,'standardized values'!$AB$15,'standardized values'!$AD$15)</f>
        <v>-0.39976711407019799</v>
      </c>
      <c r="R10">
        <f>STANDARDIZE(Dataset!AE10,'standardized values'!$AB$16,'standardized values'!$AD$16)</f>
        <v>-0.52888459172518043</v>
      </c>
      <c r="S10">
        <f>STANDARDIZE(Dataset!AF10,'standardized values'!$AB$17,'standardized values'!$AD$17)</f>
        <v>-1.0186754579128914</v>
      </c>
      <c r="T10">
        <f>STANDARDIZE(Dataset!AG10,'standardized values'!$AB$18,'standardized values'!$AD$18)</f>
        <v>-1.2163513268795685</v>
      </c>
      <c r="U10">
        <f>STANDARDIZE(Dataset!AH10,'standardized values'!$AB$19,'standardized values'!$AD$19)</f>
        <v>-1.1923166237830654</v>
      </c>
      <c r="V10">
        <f>STANDARDIZE(Dataset!AR10,AVERAGE(Dataset!$AR$2:$AR$51),STDEV(Dataset!$AR$2:$AR$51))</f>
        <v>1.7608046575716345</v>
      </c>
      <c r="W10">
        <f>STANDARDIZE(Dataset!AS10,AVERAGE(Dataset!$AS$2:$AS$51),STDEV(Dataset!$AS$2:$AS$51))</f>
        <v>1.6704195929063395</v>
      </c>
      <c r="X10">
        <f>STANDARDIZE(Dataset!AT10,AVERAGE(Dataset!$AT$2:$AT$51),STDEV(Dataset!$AT$2:$AT$51))</f>
        <v>1.6512642516869647</v>
      </c>
      <c r="Y10"/>
      <c r="Z10" t="s">
        <v>39</v>
      </c>
      <c r="AA10" s="43">
        <v>50</v>
      </c>
      <c r="AB10" s="51">
        <f>AVERAGE(Dataset!$Y$2:$Y$51)</f>
        <v>2.9917916985687443</v>
      </c>
      <c r="AC10" s="51">
        <f>MEDIAN(Dataset!$Y$2:$Y$51)</f>
        <v>2.4487060268529417</v>
      </c>
      <c r="AD10" s="51">
        <f>STDEV(Dataset!$Y$2:$Y$51)</f>
        <v>2.5348829280954797</v>
      </c>
      <c r="AE10" s="16">
        <f>MAX(Dataset!$Y$2:$Y$51)</f>
        <v>17.377246070769175</v>
      </c>
      <c r="AF10" s="16">
        <f>MIN(Dataset!$Y$2:$Y$51)</f>
        <v>0.91653359231151732</v>
      </c>
      <c r="AH10" s="8" t="s">
        <v>49</v>
      </c>
      <c r="AI10" s="28">
        <f t="shared" si="11"/>
        <v>5.0824885021649386</v>
      </c>
      <c r="AJ10" s="28">
        <f t="shared" si="0"/>
        <v>0.13788341608225085</v>
      </c>
      <c r="AK10" s="28">
        <f t="shared" si="1"/>
        <v>1.0759254405869521</v>
      </c>
      <c r="AL10" s="28">
        <f t="shared" si="2"/>
        <v>3.3319554096077653</v>
      </c>
      <c r="AM10" s="28">
        <f t="shared" si="3"/>
        <v>0.98867394760635352</v>
      </c>
      <c r="AN10" s="28">
        <f t="shared" si="4"/>
        <v>2.1233853432096521</v>
      </c>
      <c r="AO10">
        <f t="shared" si="5"/>
        <v>4</v>
      </c>
      <c r="AP10">
        <f t="shared" si="6"/>
        <v>17</v>
      </c>
      <c r="AQ10">
        <f t="shared" si="7"/>
        <v>6</v>
      </c>
      <c r="AR10">
        <f t="shared" si="8"/>
        <v>5</v>
      </c>
      <c r="AS10">
        <f t="shared" si="9"/>
        <v>7</v>
      </c>
      <c r="AT10" s="8">
        <f t="shared" si="10"/>
        <v>4</v>
      </c>
    </row>
    <row r="11" spans="1:46" s="8" customFormat="1" ht="15.75" customHeight="1" x14ac:dyDescent="0.25">
      <c r="A11" t="str">
        <f>Dataset!A11</f>
        <v>https://sao.georgia.gov/sites/sao.georgia.gov/files/related_files/site_page/sao-16-cafr.pdf</v>
      </c>
      <c r="B11" s="8" t="s">
        <v>51</v>
      </c>
      <c r="C11" s="8">
        <v>2016</v>
      </c>
      <c r="D11">
        <f>STANDARDIZE(Dataset!X11,'standardized values'!$AB$9,'standardized values'!$AD$9)</f>
        <v>-3.5361218419722139E-2</v>
      </c>
      <c r="E11">
        <f>STANDARDIZE(Dataset!Y11,'standardized values'!$AB$10,'standardized values'!$AD$10)</f>
        <v>5.5256790653622892E-2</v>
      </c>
      <c r="F11">
        <f>STANDARDIZE(Dataset!Z11,'standardized values'!$AB$11,'standardized values'!$AD$11)</f>
        <v>9.4845340380084239E-3</v>
      </c>
      <c r="G11">
        <f>STANDARDIZE(Dataset!AA11,'standardized values'!$AB$12,'standardized values'!$AD$12)</f>
        <v>0.76304241619961766</v>
      </c>
      <c r="H11">
        <f>STANDARDIZE(Dataset!AB11,'standardized values'!$AB$13,'standardized values'!$AD$13)</f>
        <v>0.38897247456712858</v>
      </c>
      <c r="I11">
        <f>STANDARDIZE(Dataset!AC11,'standardized values'!$AB$14,'standardized values'!$AD$14)</f>
        <v>0.21530654248097056</v>
      </c>
      <c r="J11">
        <f>STANDARDIZE(Dataset!AK11,'standardized values'!$AB$20,'standardized values'!$AD$20)</f>
        <v>-0.41312055664570135</v>
      </c>
      <c r="K11">
        <f>STANDARDIZE(Dataset!AL11,'standardized values'!$AB$21,'standardized values'!$AD$21)</f>
        <v>-9.7523517014047156E-2</v>
      </c>
      <c r="L11">
        <f>STANDARDIZE(Dataset!AM11,'standardized values'!$AB$22,'standardized values'!$AD$22)</f>
        <v>-9.4470959754123951E-2</v>
      </c>
      <c r="M11">
        <f>STANDARDIZE(Dataset!AN11,'standardized values'!$AB$23,'standardized values'!$AD$23)</f>
        <v>0.27903493303397808</v>
      </c>
      <c r="N11">
        <f>STANDARDIZE(Dataset!AO11,'standardized values'!$AB$24,'standardized values'!$AD$24)</f>
        <v>0.522275382868022</v>
      </c>
      <c r="O11">
        <f>STANDARDIZE(Dataset!AP11,'standardized values'!$AB$27,'standardized values'!$AD$27)</f>
        <v>-0.13227423000337618</v>
      </c>
      <c r="P11">
        <f>STANDARDIZE(Dataset!AQ11,'standardized values'!$AB$28,'standardized values'!$AD$28)</f>
        <v>-0.25018829017108546</v>
      </c>
      <c r="Q11">
        <f>STANDARDIZE(Dataset!AD11,'standardized values'!$AB$15,'standardized values'!$AD$15)</f>
        <v>-0.20324723290595237</v>
      </c>
      <c r="R11">
        <f>STANDARDIZE(Dataset!AE11,'standardized values'!$AB$16,'standardized values'!$AD$16)</f>
        <v>-0.50386803493090893</v>
      </c>
      <c r="S11">
        <f>STANDARDIZE(Dataset!AF11,'standardized values'!$AB$17,'standardized values'!$AD$17)</f>
        <v>-0.46111032169780147</v>
      </c>
      <c r="T11">
        <f>STANDARDIZE(Dataset!AG11,'standardized values'!$AB$18,'standardized values'!$AD$18)</f>
        <v>-0.42846557348470743</v>
      </c>
      <c r="U11">
        <f>STANDARDIZE(Dataset!AH11,'standardized values'!$AB$19,'standardized values'!$AD$19)</f>
        <v>-0.58951883119968107</v>
      </c>
      <c r="V11">
        <f>STANDARDIZE(Dataset!AR11,AVERAGE(Dataset!$AR$2:$AR$51),STDEV(Dataset!$AR$2:$AR$51))</f>
        <v>6.2199664686007301E-2</v>
      </c>
      <c r="W11">
        <f>STANDARDIZE(Dataset!AS11,AVERAGE(Dataset!$AS$2:$AS$51),STDEV(Dataset!$AS$2:$AS$51))</f>
        <v>0.16470508775227732</v>
      </c>
      <c r="X11">
        <f>STANDARDIZE(Dataset!AT11,AVERAGE(Dataset!$AT$2:$AT$51),STDEV(Dataset!$AT$2:$AT$51))</f>
        <v>0.12116129956973314</v>
      </c>
      <c r="Y11"/>
      <c r="Z11" s="8" t="s">
        <v>41</v>
      </c>
      <c r="AA11" s="43">
        <v>50</v>
      </c>
      <c r="AB11" s="51">
        <f>AVERAGE(Dataset!$Z$2:$Z$51)</f>
        <v>3.2206459792518571</v>
      </c>
      <c r="AC11" s="51">
        <f>MEDIAN(Dataset!$Z$2:$Z$51)</f>
        <v>2.6323899019284562</v>
      </c>
      <c r="AD11" s="51">
        <f>STDEV(Dataset!$Z$2:$Z$51)</f>
        <v>2.5618813033768828</v>
      </c>
      <c r="AE11" s="16">
        <f>MAX(Dataset!$Z$2:$Z$51)</f>
        <v>17.922461381525956</v>
      </c>
      <c r="AF11" s="16">
        <f>MIN(Dataset!$Z$2:$Z$51)</f>
        <v>1.0465068208022437</v>
      </c>
      <c r="AH11" s="8" t="s">
        <v>51</v>
      </c>
      <c r="AI11" s="28">
        <f t="shared" si="11"/>
        <v>0.34806605200801777</v>
      </c>
      <c r="AJ11" s="28">
        <f t="shared" si="0"/>
        <v>-0.29533753117877792</v>
      </c>
      <c r="AK11" s="28">
        <f t="shared" si="1"/>
        <v>1.1520148907667462</v>
      </c>
      <c r="AL11" s="28">
        <f t="shared" si="2"/>
        <v>0.70683935614787607</v>
      </c>
      <c r="AM11" s="28">
        <f t="shared" si="3"/>
        <v>-0.38246252017446164</v>
      </c>
      <c r="AN11" s="28">
        <f t="shared" si="4"/>
        <v>0.30582404951388015</v>
      </c>
      <c r="AO11">
        <f t="shared" si="5"/>
        <v>16</v>
      </c>
      <c r="AP11">
        <f t="shared" si="6"/>
        <v>27</v>
      </c>
      <c r="AQ11">
        <f t="shared" si="7"/>
        <v>3</v>
      </c>
      <c r="AR11">
        <f t="shared" si="8"/>
        <v>19</v>
      </c>
      <c r="AS11">
        <f t="shared" si="9"/>
        <v>28</v>
      </c>
      <c r="AT11" s="8">
        <f t="shared" si="10"/>
        <v>18</v>
      </c>
    </row>
    <row r="12" spans="1:46" s="8" customFormat="1" ht="15.75" customHeight="1" x14ac:dyDescent="0.25">
      <c r="A12" t="str">
        <f>Dataset!A12</f>
        <v>https://ags.hawaii.gov/wp-content/uploads/2012/09/SOHCAFRFY2016Final.pdf</v>
      </c>
      <c r="B12" s="8" t="s">
        <v>52</v>
      </c>
      <c r="C12" s="8">
        <v>2016</v>
      </c>
      <c r="D12">
        <f>STANDARDIZE(Dataset!X12,'standardized values'!$AB$9,'standardized values'!$AD$9)</f>
        <v>-2.9027941347434544E-3</v>
      </c>
      <c r="E12">
        <f>STANDARDIZE(Dataset!Y12,'standardized values'!$AB$10,'standardized values'!$AD$10)</f>
        <v>-8.9265371502598737E-2</v>
      </c>
      <c r="F12">
        <f>STANDARDIZE(Dataset!Z12,'standardized values'!$AB$11,'standardized values'!$AD$11)</f>
        <v>-0.12029088116222232</v>
      </c>
      <c r="G12">
        <f>STANDARDIZE(Dataset!AA12,'standardized values'!$AB$12,'standardized values'!$AD$12)</f>
        <v>0.43911878924456865</v>
      </c>
      <c r="H12">
        <f>STANDARDIZE(Dataset!AB12,'standardized values'!$AB$13,'standardized values'!$AD$13)</f>
        <v>0.38976418856289385</v>
      </c>
      <c r="I12">
        <f>STANDARDIZE(Dataset!AC12,'standardized values'!$AB$14,'standardized values'!$AD$14)</f>
        <v>1.3476808696981367E-2</v>
      </c>
      <c r="J12">
        <f>STANDARDIZE(Dataset!AK12,'standardized values'!$AB$20,'standardized values'!$AD$20)</f>
        <v>-0.61981278047504373</v>
      </c>
      <c r="K12">
        <f>STANDARDIZE(Dataset!AL12,'standardized values'!$AB$21,'standardized values'!$AD$21)</f>
        <v>-0.71007873182924253</v>
      </c>
      <c r="L12">
        <f>STANDARDIZE(Dataset!AM12,'standardized values'!$AB$22,'standardized values'!$AD$22)</f>
        <v>-0.31025450686415723</v>
      </c>
      <c r="M12">
        <f>STANDARDIZE(Dataset!AN12,'standardized values'!$AB$23,'standardized values'!$AD$23)</f>
        <v>-0.98138853854283736</v>
      </c>
      <c r="N12">
        <f>STANDARDIZE(Dataset!AO12,'standardized values'!$AB$24,'standardized values'!$AD$24)</f>
        <v>-0.7558587229667143</v>
      </c>
      <c r="O12">
        <f>STANDARDIZE(Dataset!AP12,'standardized values'!$AB$27,'standardized values'!$AD$27)</f>
        <v>-1.0792310369945852</v>
      </c>
      <c r="P12">
        <f>STANDARDIZE(Dataset!AQ12,'standardized values'!$AB$28,'standardized values'!$AD$28)</f>
        <v>-0.25331618952503526</v>
      </c>
      <c r="Q12">
        <f>STANDARDIZE(Dataset!AD12,'standardized values'!$AB$15,'standardized values'!$AD$15)</f>
        <v>0.27551757298678226</v>
      </c>
      <c r="R12">
        <f>STANDARDIZE(Dataset!AE12,'standardized values'!$AB$16,'standardized values'!$AD$16)</f>
        <v>1.8536737776199927</v>
      </c>
      <c r="S12">
        <f>STANDARDIZE(Dataset!AF12,'standardized values'!$AB$17,'standardized values'!$AD$17)</f>
        <v>2.0987669615499045</v>
      </c>
      <c r="T12">
        <f>STANDARDIZE(Dataset!AG12,'standardized values'!$AB$18,'standardized values'!$AD$18)</f>
        <v>0.86549246189435869</v>
      </c>
      <c r="U12">
        <f>STANDARDIZE(Dataset!AH12,'standardized values'!$AB$19,'standardized values'!$AD$19)</f>
        <v>0.5118740849981297</v>
      </c>
      <c r="V12">
        <f>STANDARDIZE(Dataset!AR12,AVERAGE(Dataset!$AR$2:$AR$51),STDEV(Dataset!$AR$2:$AR$51))</f>
        <v>0.11440993528649021</v>
      </c>
      <c r="W12">
        <f>STANDARDIZE(Dataset!AS12,AVERAGE(Dataset!$AS$2:$AS$51),STDEV(Dataset!$AS$2:$AS$51))</f>
        <v>-4.2406055547537409E-2</v>
      </c>
      <c r="X12">
        <f>STANDARDIZE(Dataset!AT12,AVERAGE(Dataset!$AT$2:$AT$51),STDEV(Dataset!$AT$2:$AT$51))</f>
        <v>-7.7493182332878663E-2</v>
      </c>
      <c r="Y12"/>
      <c r="Z12" t="s">
        <v>118</v>
      </c>
      <c r="AA12" s="43">
        <v>50</v>
      </c>
      <c r="AB12" s="51">
        <f>AVERAGE(Dataset!$AA$2:$AA$51)</f>
        <v>1.0074286800593111</v>
      </c>
      <c r="AC12" s="51">
        <f>MEDIAN(Dataset!$AA$2:$AA$51)</f>
        <v>1.0262777193206989</v>
      </c>
      <c r="AD12" s="51">
        <f>STDEV(Dataset!$AA$2:$AA$51)</f>
        <v>8.6211295487660003E-2</v>
      </c>
      <c r="AE12" s="16">
        <f>MAX(Dataset!$AA$2:$AA$51)</f>
        <v>1.1560768924360356</v>
      </c>
      <c r="AF12" s="16">
        <f>MIN(Dataset!$AA$2:$AA$51)</f>
        <v>0.52255982216470986</v>
      </c>
      <c r="AH12" s="8" t="s">
        <v>52</v>
      </c>
      <c r="AI12" s="28">
        <f t="shared" si="11"/>
        <v>-5.4893025939258544E-3</v>
      </c>
      <c r="AJ12" s="28">
        <f t="shared" si="0"/>
        <v>-1.3164147036073048</v>
      </c>
      <c r="AK12" s="28">
        <f t="shared" si="1"/>
        <v>0.82888297780746245</v>
      </c>
      <c r="AL12" s="28">
        <f t="shared" si="2"/>
        <v>-2.0475017683737091</v>
      </c>
      <c r="AM12" s="28">
        <f t="shared" si="3"/>
        <v>-1.3325472265196205</v>
      </c>
      <c r="AN12" s="28">
        <f t="shared" si="4"/>
        <v>-0.7746140046574197</v>
      </c>
      <c r="AO12">
        <f t="shared" si="5"/>
        <v>18</v>
      </c>
      <c r="AP12">
        <f t="shared" si="6"/>
        <v>42</v>
      </c>
      <c r="AQ12">
        <f t="shared" si="7"/>
        <v>11</v>
      </c>
      <c r="AR12">
        <f t="shared" si="8"/>
        <v>42</v>
      </c>
      <c r="AS12">
        <f t="shared" si="9"/>
        <v>44</v>
      </c>
      <c r="AT12" s="8">
        <f t="shared" si="10"/>
        <v>38</v>
      </c>
    </row>
    <row r="13" spans="1:46" s="8" customFormat="1" ht="15.75" customHeight="1" x14ac:dyDescent="0.25">
      <c r="A13" t="str">
        <f>Dataset!A13</f>
        <v>http://www.sco.idaho.gov/web/DSADoc.nsf/82AC9DED2BF6E1978725809600700F8F/$FILE/CAFR%20Complete.pdf</v>
      </c>
      <c r="B13" s="8" t="s">
        <v>53</v>
      </c>
      <c r="C13" s="8">
        <v>2016</v>
      </c>
      <c r="D13">
        <f>STANDARDIZE(Dataset!X13,'standardized values'!$AB$9,'standardized values'!$AD$9)</f>
        <v>0.53292333410257431</v>
      </c>
      <c r="E13">
        <f>STANDARDIZE(Dataset!Y13,'standardized values'!$AB$10,'standardized values'!$AD$10)</f>
        <v>0.53977498840486293</v>
      </c>
      <c r="F13">
        <f>STANDARDIZE(Dataset!Z13,'standardized values'!$AB$11,'standardized values'!$AD$11)</f>
        <v>0.56204866982624657</v>
      </c>
      <c r="G13">
        <f>STANDARDIZE(Dataset!AA13,'standardized values'!$AB$12,'standardized values'!$AD$12)</f>
        <v>0.48287848133474043</v>
      </c>
      <c r="H13">
        <f>STANDARDIZE(Dataset!AB13,'standardized values'!$AB$13,'standardized values'!$AD$13)</f>
        <v>0.30104333779051795</v>
      </c>
      <c r="I13">
        <f>STANDARDIZE(Dataset!AC13,'standardized values'!$AB$14,'standardized values'!$AD$14)</f>
        <v>0.71753128343207351</v>
      </c>
      <c r="J13">
        <f>STANDARDIZE(Dataset!AK13,'standardized values'!$AB$20,'standardized values'!$AD$20)</f>
        <v>1.1255543827501213</v>
      </c>
      <c r="K13">
        <f>STANDARDIZE(Dataset!AL13,'standardized values'!$AB$21,'standardized values'!$AD$21)</f>
        <v>0.95477461111281081</v>
      </c>
      <c r="L13">
        <f>STANDARDIZE(Dataset!AM13,'standardized values'!$AB$22,'standardized values'!$AD$22)</f>
        <v>-0.15639623089347787</v>
      </c>
      <c r="M13">
        <f>STANDARDIZE(Dataset!AN13,'standardized values'!$AB$23,'standardized values'!$AD$23)</f>
        <v>-0.29124817633227701</v>
      </c>
      <c r="N13">
        <f>STANDARDIZE(Dataset!AO13,'standardized values'!$AB$24,'standardized values'!$AD$24)</f>
        <v>-0.10783408557803405</v>
      </c>
      <c r="O13">
        <f>STANDARDIZE(Dataset!AP13,'standardized values'!$AB$27,'standardized values'!$AD$27)</f>
        <v>0.16754159646236788</v>
      </c>
      <c r="P13">
        <f>STANDARDIZE(Dataset!AQ13,'standardized values'!$AB$28,'standardized values'!$AD$28)</f>
        <v>-0.1616708499008942</v>
      </c>
      <c r="Q13">
        <f>STANDARDIZE(Dataset!AD13,'standardized values'!$AB$15,'standardized values'!$AD$15)</f>
        <v>-0.65674252684529943</v>
      </c>
      <c r="R13">
        <f>STANDARDIZE(Dataset!AE13,'standardized values'!$AB$16,'standardized values'!$AD$16)</f>
        <v>-0.82749543932269953</v>
      </c>
      <c r="S13">
        <f>STANDARDIZE(Dataset!AF13,'standardized values'!$AB$17,'standardized values'!$AD$17)</f>
        <v>-6.9955555428760012E-4</v>
      </c>
      <c r="T13">
        <f>STANDARDIZE(Dataset!AG13,'standardized values'!$AB$18,'standardized values'!$AD$18)</f>
        <v>6.4424018237284622E-2</v>
      </c>
      <c r="U13">
        <f>STANDARDIZE(Dataset!AH13,'standardized values'!$AB$19,'standardized values'!$AD$19)</f>
        <v>-0.1340352960667352</v>
      </c>
      <c r="V13">
        <f>STANDARDIZE(Dataset!AR13,AVERAGE(Dataset!$AR$2:$AR$51),STDEV(Dataset!$AR$2:$AR$51))</f>
        <v>0.97630103956372871</v>
      </c>
      <c r="W13">
        <f>STANDARDIZE(Dataset!AS13,AVERAGE(Dataset!$AS$2:$AS$51),STDEV(Dataset!$AS$2:$AS$51))</f>
        <v>0.85905615743356534</v>
      </c>
      <c r="X13">
        <f>STANDARDIZE(Dataset!AT13,AVERAGE(Dataset!$AT$2:$AT$51),STDEV(Dataset!$AT$2:$AT$51))</f>
        <v>0.96700210804346098</v>
      </c>
      <c r="Y13"/>
      <c r="Z13" t="s">
        <v>44</v>
      </c>
      <c r="AA13" s="43">
        <v>50</v>
      </c>
      <c r="AB13" s="16">
        <f>AVERAGE(Dataset!$AB$2:$AB$51)</f>
        <v>-72.448548361838348</v>
      </c>
      <c r="AC13" s="16">
        <f>MEDIAN(Dataset!$AB$2:$AB$51)</f>
        <v>135.94014994800378</v>
      </c>
      <c r="AD13" s="16">
        <f>STDEV(Dataset!$AB$2:$AB$51)</f>
        <v>1038.1330949288883</v>
      </c>
      <c r="AE13" s="16">
        <f>MAX(Dataset!$AB$2:$AB$51)</f>
        <v>529.94977326815149</v>
      </c>
      <c r="AF13" s="16">
        <f>MIN(Dataset!$AB$2:$AB$51)</f>
        <v>-6945.8157095218457</v>
      </c>
      <c r="AH13" s="8" t="s">
        <v>53</v>
      </c>
      <c r="AI13" s="28">
        <f t="shared" si="11"/>
        <v>2.8023593050407554</v>
      </c>
      <c r="AJ13" s="28">
        <f t="shared" si="0"/>
        <v>2.7978602772950056</v>
      </c>
      <c r="AK13" s="28">
        <f t="shared" si="1"/>
        <v>0.78392181912525838</v>
      </c>
      <c r="AL13" s="28">
        <f t="shared" si="2"/>
        <v>-0.55547849280378891</v>
      </c>
      <c r="AM13" s="28">
        <f t="shared" si="3"/>
        <v>5.8707465614736831E-3</v>
      </c>
      <c r="AN13" s="28">
        <f t="shared" si="4"/>
        <v>1.1669067310437409</v>
      </c>
      <c r="AO13">
        <f t="shared" si="5"/>
        <v>7</v>
      </c>
      <c r="AP13">
        <f t="shared" si="6"/>
        <v>5</v>
      </c>
      <c r="AQ13">
        <f t="shared" si="7"/>
        <v>13</v>
      </c>
      <c r="AR13">
        <f t="shared" si="8"/>
        <v>29</v>
      </c>
      <c r="AS13">
        <f t="shared" si="9"/>
        <v>21</v>
      </c>
      <c r="AT13" s="8">
        <f t="shared" si="10"/>
        <v>7</v>
      </c>
    </row>
    <row r="14" spans="1:46" s="8" customFormat="1" ht="15.75" customHeight="1" x14ac:dyDescent="0.25">
      <c r="A14" t="str">
        <f>Dataset!A14</f>
        <v>http://illinoiscomptroller.gov/ioc-pdf/CAFR_2016.pdf</v>
      </c>
      <c r="B14" s="8" t="s">
        <v>54</v>
      </c>
      <c r="C14" s="8">
        <v>2016</v>
      </c>
      <c r="D14">
        <f>STANDARDIZE(Dataset!X14,'standardized values'!$AB$9,'standardized values'!$AD$9)</f>
        <v>-0.66125209347248237</v>
      </c>
      <c r="E14">
        <f>STANDARDIZE(Dataset!Y14,'standardized values'!$AB$10,'standardized values'!$AD$10)</f>
        <v>-0.8186800594441731</v>
      </c>
      <c r="F14">
        <f>STANDARDIZE(Dataset!Z14,'standardized values'!$AB$11,'standardized values'!$AD$11)</f>
        <v>-0.81420301726719968</v>
      </c>
      <c r="G14">
        <f>STANDARDIZE(Dataset!AA14,'standardized values'!$AB$12,'standardized values'!$AD$12)</f>
        <v>-0.99730982475530805</v>
      </c>
      <c r="H14">
        <f>STANDARDIZE(Dataset!AB14,'standardized values'!$AB$13,'standardized values'!$AD$13)</f>
        <v>-0.36378177152507085</v>
      </c>
      <c r="I14">
        <f>STANDARDIZE(Dataset!AC14,'standardized values'!$AB$14,'standardized values'!$AD$14)</f>
        <v>-3.612443536689292</v>
      </c>
      <c r="J14">
        <f>STANDARDIZE(Dataset!AK14,'standardized values'!$AB$20,'standardized values'!$AD$20)</f>
        <v>-0.80914665684983711</v>
      </c>
      <c r="K14">
        <f>STANDARDIZE(Dataset!AL14,'standardized values'!$AB$21,'standardized values'!$AD$21)</f>
        <v>-0.71865412574467868</v>
      </c>
      <c r="L14">
        <f>STANDARDIZE(Dataset!AM14,'standardized values'!$AB$22,'standardized values'!$AD$22)</f>
        <v>-0.13385522046851056</v>
      </c>
      <c r="M14">
        <f>STANDARDIZE(Dataset!AN14,'standardized values'!$AB$23,'standardized values'!$AD$23)</f>
        <v>0.99764805207172624</v>
      </c>
      <c r="N14">
        <f>STANDARDIZE(Dataset!AO14,'standardized values'!$AB$24,'standardized values'!$AD$24)</f>
        <v>0.44603002263600483</v>
      </c>
      <c r="O14">
        <f>STANDARDIZE(Dataset!AP14,'standardized values'!$AB$27,'standardized values'!$AD$27)</f>
        <v>-1.2394919450568223</v>
      </c>
      <c r="P14">
        <f>STANDARDIZE(Dataset!AQ14,'standardized values'!$AB$28,'standardized values'!$AD$28)</f>
        <v>-0.25251608979386819</v>
      </c>
      <c r="Q14">
        <f>STANDARDIZE(Dataset!AD14,'standardized values'!$AB$15,'standardized values'!$AD$15)</f>
        <v>3.3808817988758397</v>
      </c>
      <c r="R14">
        <f>STANDARDIZE(Dataset!AE14,'standardized values'!$AB$16,'standardized values'!$AD$16)</f>
        <v>2.037396454714238</v>
      </c>
      <c r="S14">
        <f>STANDARDIZE(Dataset!AF14,'standardized values'!$AB$17,'standardized values'!$AD$17)</f>
        <v>-0.18347368636542247</v>
      </c>
      <c r="T14">
        <f>STANDARDIZE(Dataset!AG14,'standardized values'!$AB$18,'standardized values'!$AD$18)</f>
        <v>-0.90796642734909572</v>
      </c>
      <c r="U14">
        <f>STANDARDIZE(Dataset!AH14,'standardized values'!$AB$19,'standardized values'!$AD$19)</f>
        <v>-0.54107557115620131</v>
      </c>
      <c r="V14">
        <f>STANDARDIZE(Dataset!AR14,AVERAGE(Dataset!$AR$2:$AR$51),STDEV(Dataset!$AR$2:$AR$51))</f>
        <v>-0.94456306864854178</v>
      </c>
      <c r="W14">
        <f>STANDARDIZE(Dataset!AS14,AVERAGE(Dataset!$AS$2:$AS$51),STDEV(Dataset!$AS$2:$AS$51))</f>
        <v>-1.087712240463022</v>
      </c>
      <c r="X14">
        <f>STANDARDIZE(Dataset!AT14,AVERAGE(Dataset!$AT$2:$AT$51),STDEV(Dataset!$AT$2:$AT$51))</f>
        <v>-1.139703275601945</v>
      </c>
      <c r="Y14"/>
      <c r="Z14" s="8" t="s">
        <v>46</v>
      </c>
      <c r="AA14" s="44">
        <v>50</v>
      </c>
      <c r="AB14" s="16">
        <f>AVERAGE(Dataset!$AC$2:$AC$51)</f>
        <v>-0.16848253371275768</v>
      </c>
      <c r="AC14" s="16">
        <f>MEDIAN(Dataset!$AC$2:$AC$51)</f>
        <v>-2.6406007946118424E-3</v>
      </c>
      <c r="AD14" s="16">
        <f>STDEV(Dataset!$AC$2:$AC$51)</f>
        <v>0.74471368281922323</v>
      </c>
      <c r="AE14" s="16">
        <f>MAX(Dataset!$AC$2:$AC$51)</f>
        <v>0.77412022294608929</v>
      </c>
      <c r="AF14" s="16">
        <f>MIN(Dataset!$AC$2:$AC$51)</f>
        <v>-2.9765740354717498</v>
      </c>
      <c r="AH14" s="8" t="s">
        <v>54</v>
      </c>
      <c r="AI14" s="28">
        <f t="shared" si="11"/>
        <v>-3.1719785847135089</v>
      </c>
      <c r="AJ14" s="28">
        <f t="shared" si="0"/>
        <v>-5.1402443192838074</v>
      </c>
      <c r="AK14" s="28">
        <f t="shared" si="1"/>
        <v>-1.3610915962803789</v>
      </c>
      <c r="AL14" s="28">
        <f t="shared" si="2"/>
        <v>1.3098228542392205</v>
      </c>
      <c r="AM14" s="28">
        <f t="shared" si="3"/>
        <v>-1.4920080348506906</v>
      </c>
      <c r="AN14" s="28">
        <f t="shared" si="4"/>
        <v>-1.9710999361778332</v>
      </c>
      <c r="AO14">
        <f t="shared" si="5"/>
        <v>49</v>
      </c>
      <c r="AP14">
        <f t="shared" si="6"/>
        <v>49</v>
      </c>
      <c r="AQ14">
        <f t="shared" si="7"/>
        <v>46</v>
      </c>
      <c r="AR14">
        <f t="shared" si="8"/>
        <v>14</v>
      </c>
      <c r="AS14">
        <f t="shared" si="9"/>
        <v>46</v>
      </c>
      <c r="AT14" s="8">
        <f t="shared" si="10"/>
        <v>50</v>
      </c>
    </row>
    <row r="15" spans="1:46" s="8" customFormat="1" ht="15.75" customHeight="1" x14ac:dyDescent="0.25">
      <c r="A15" t="str">
        <f>Dataset!A15</f>
        <v>http://www.in.gov/auditor/files/Entire%202016%20CAFR.pdf</v>
      </c>
      <c r="B15" s="8" t="s">
        <v>56</v>
      </c>
      <c r="C15" s="8">
        <v>2016</v>
      </c>
      <c r="D15">
        <f>STANDARDIZE(Dataset!X15,'standardized values'!$AB$9,'standardized values'!$AD$9)</f>
        <v>-0.33756516974686107</v>
      </c>
      <c r="E15">
        <f>STANDARDIZE(Dataset!Y15,'standardized values'!$AB$10,'standardized values'!$AD$10)</f>
        <v>-0.36773263035042525</v>
      </c>
      <c r="F15">
        <f>STANDARDIZE(Dataset!Z15,'standardized values'!$AB$11,'standardized values'!$AD$11)</f>
        <v>-0.21158289118846879</v>
      </c>
      <c r="G15">
        <f>STANDARDIZE(Dataset!AA15,'standardized values'!$AB$12,'standardized values'!$AD$12)</f>
        <v>-0.12011056718240098</v>
      </c>
      <c r="H15">
        <f>STANDARDIZE(Dataset!AB15,'standardized values'!$AB$13,'standardized values'!$AD$13)</f>
        <v>5.5993540223678751E-2</v>
      </c>
      <c r="I15">
        <f>STANDARDIZE(Dataset!AC15,'standardized values'!$AB$14,'standardized values'!$AD$14)</f>
        <v>5.0689911849453012E-2</v>
      </c>
      <c r="J15">
        <f>STANDARDIZE(Dataset!AK15,'standardized values'!$AB$20,'standardized values'!$AD$20)</f>
        <v>-0.44402167833976131</v>
      </c>
      <c r="K15">
        <f>STANDARDIZE(Dataset!AL15,'standardized values'!$AB$21,'standardized values'!$AD$21)</f>
        <v>-4.5906427393107491E-2</v>
      </c>
      <c r="L15">
        <f>STANDARDIZE(Dataset!AM15,'standardized values'!$AB$22,'standardized values'!$AD$22)</f>
        <v>-7.7853154665247837E-2</v>
      </c>
      <c r="M15">
        <f>STANDARDIZE(Dataset!AN15,'standardized values'!$AB$23,'standardized values'!$AD$23)</f>
        <v>0.44678552958151013</v>
      </c>
      <c r="N15">
        <f>STANDARDIZE(Dataset!AO15,'standardized values'!$AB$24,'standardized values'!$AD$24)</f>
        <v>0.33916312153798772</v>
      </c>
      <c r="O15">
        <f>STANDARDIZE(Dataset!AP15,'standardized values'!$AB$27,'standardized values'!$AD$27)</f>
        <v>1.8620223089915755</v>
      </c>
      <c r="P15">
        <f>STANDARDIZE(Dataset!AQ15,'standardized values'!$AB$28,'standardized values'!$AD$28)</f>
        <v>-0.1154283868854059</v>
      </c>
      <c r="Q15">
        <f>STANDARDIZE(Dataset!AD15,'standardized values'!$AB$15,'standardized values'!$AD$15)</f>
        <v>-0.16091509390535125</v>
      </c>
      <c r="R15">
        <f>STANDARDIZE(Dataset!AE15,'standardized values'!$AB$16,'standardized values'!$AD$16)</f>
        <v>-0.53938404698857167</v>
      </c>
      <c r="S15">
        <f>STANDARDIZE(Dataset!AF15,'standardized values'!$AB$17,'standardized values'!$AD$17)</f>
        <v>-0.56488762450675178</v>
      </c>
      <c r="T15">
        <f>STANDARDIZE(Dataset!AG15,'standardized values'!$AB$18,'standardized values'!$AD$18)</f>
        <v>-0.55248170835748223</v>
      </c>
      <c r="U15">
        <f>STANDARDIZE(Dataset!AH15,'standardized values'!$AB$19,'standardized values'!$AD$19)</f>
        <v>-0.47039424932084434</v>
      </c>
      <c r="V15">
        <f>STANDARDIZE(Dataset!AR15,AVERAGE(Dataset!$AR$2:$AR$51),STDEV(Dataset!$AR$2:$AR$51))</f>
        <v>-0.42390372520119074</v>
      </c>
      <c r="W15">
        <f>STANDARDIZE(Dataset!AS15,AVERAGE(Dataset!$AS$2:$AS$51),STDEV(Dataset!$AS$2:$AS$51))</f>
        <v>-0.44147061070687887</v>
      </c>
      <c r="X15">
        <f>STANDARDIZE(Dataset!AT15,AVERAGE(Dataset!$AT$2:$AT$51),STDEV(Dataset!$AT$2:$AT$51))</f>
        <v>-0.21723896488830824</v>
      </c>
      <c r="Y15"/>
      <c r="Z15" s="17" t="s">
        <v>48</v>
      </c>
      <c r="AA15" s="43">
        <v>50</v>
      </c>
      <c r="AB15" s="18">
        <f>AVERAGE(Dataset!$AD$2:$AD$51)</f>
        <v>0.62592605473597385</v>
      </c>
      <c r="AC15" s="18">
        <f>MEDIAN(Dataset!$AD$2:$AD$51)</f>
        <v>0.39136907540360322</v>
      </c>
      <c r="AD15" s="18">
        <f>STDEV(Dataset!$AD$2:$AD$51)</f>
        <v>0.78965406458709797</v>
      </c>
      <c r="AE15" s="18">
        <f>MAX(Dataset!$AD$2:$AD$51)</f>
        <v>3.8789471170060099</v>
      </c>
      <c r="AF15" s="18">
        <f>MIN(Dataset!$AD$2:$AD$51)</f>
        <v>3.6153777924660194E-2</v>
      </c>
      <c r="AH15" s="8" t="s">
        <v>56</v>
      </c>
      <c r="AI15" s="28">
        <f t="shared" si="11"/>
        <v>-1.0826133007963779</v>
      </c>
      <c r="AJ15" s="28">
        <f t="shared" si="0"/>
        <v>-0.43923819388341578</v>
      </c>
      <c r="AK15" s="28">
        <f t="shared" si="1"/>
        <v>-6.4117026958722234E-2</v>
      </c>
      <c r="AL15" s="28">
        <f t="shared" si="2"/>
        <v>0.70809549645425007</v>
      </c>
      <c r="AM15" s="28">
        <f t="shared" si="3"/>
        <v>1.7465939221061697</v>
      </c>
      <c r="AN15" s="28">
        <f t="shared" si="4"/>
        <v>0.17374417938438083</v>
      </c>
      <c r="AO15">
        <f t="shared" si="5"/>
        <v>27</v>
      </c>
      <c r="AP15">
        <f t="shared" si="6"/>
        <v>31</v>
      </c>
      <c r="AQ15">
        <f t="shared" si="7"/>
        <v>36</v>
      </c>
      <c r="AR15">
        <f t="shared" si="8"/>
        <v>18</v>
      </c>
      <c r="AS15">
        <f t="shared" si="9"/>
        <v>5</v>
      </c>
      <c r="AT15" s="8">
        <f t="shared" si="10"/>
        <v>21</v>
      </c>
    </row>
    <row r="16" spans="1:46" ht="15.75" customHeight="1" x14ac:dyDescent="0.25">
      <c r="A16" t="str">
        <f>Dataset!A16</f>
        <v>https://das.iowa.gov/sites/default/files/acct_sae/cafr/fy16_cafr.pdf</v>
      </c>
      <c r="B16" s="8" t="s">
        <v>58</v>
      </c>
      <c r="C16" s="8">
        <v>2016</v>
      </c>
      <c r="D16">
        <f>STANDARDIZE(Dataset!X16,'standardized values'!$AB$9,'standardized values'!$AD$9)</f>
        <v>-0.32925468029084881</v>
      </c>
      <c r="E16">
        <f>STANDARDIZE(Dataset!Y16,'standardized values'!$AB$10,'standardized values'!$AD$10)</f>
        <v>-0.2479454624520086</v>
      </c>
      <c r="F16">
        <f>STANDARDIZE(Dataset!Z16,'standardized values'!$AB$11,'standardized values'!$AD$11)</f>
        <v>-0.29184056441810502</v>
      </c>
      <c r="G16">
        <f>STANDARDIZE(Dataset!AA16,'standardized values'!$AB$12,'standardized values'!$AD$12)</f>
        <v>0.22771043580724348</v>
      </c>
      <c r="H16">
        <f>STANDARDIZE(Dataset!AB16,'standardized values'!$AB$13,'standardized values'!$AD$13)</f>
        <v>0.24528116147664011</v>
      </c>
      <c r="I16">
        <f>STANDARDIZE(Dataset!AC16,'standardized values'!$AB$14,'standardized values'!$AD$14)</f>
        <v>0.43663180418939884</v>
      </c>
      <c r="J16">
        <f>STANDARDIZE(Dataset!AK16,'standardized values'!$AB$20,'standardized values'!$AD$20)</f>
        <v>0.10720129098262059</v>
      </c>
      <c r="K16">
        <f>STANDARDIZE(Dataset!AL16,'standardized values'!$AB$21,'standardized values'!$AD$21)</f>
        <v>0.19791227041262843</v>
      </c>
      <c r="L16">
        <f>STANDARDIZE(Dataset!AM16,'standardized values'!$AB$22,'standardized values'!$AD$22)</f>
        <v>-0.17136343213044242</v>
      </c>
      <c r="M16">
        <f>STANDARDIZE(Dataset!AN16,'standardized values'!$AB$23,'standardized values'!$AD$23)</f>
        <v>-0.7780849820960426</v>
      </c>
      <c r="N16">
        <f>STANDARDIZE(Dataset!AO16,'standardized values'!$AB$24,'standardized values'!$AD$24)</f>
        <v>-0.63129793859285188</v>
      </c>
      <c r="O16">
        <f>STANDARDIZE(Dataset!AP16,'standardized values'!$AB$27,'standardized values'!$AD$27)</f>
        <v>-1.6517063697660865E-2</v>
      </c>
      <c r="P16">
        <f>STANDARDIZE(Dataset!AQ16,'standardized values'!$AB$28,'standardized values'!$AD$28)</f>
        <v>-0.21727560993413658</v>
      </c>
      <c r="Q16">
        <f>STANDARDIZE(Dataset!AD16,'standardized values'!$AB$15,'standardized values'!$AD$15)</f>
        <v>-0.51571950287712598</v>
      </c>
      <c r="R16">
        <f>STANDARDIZE(Dataset!AE16,'standardized values'!$AB$16,'standardized values'!$AD$16)</f>
        <v>-0.66006015318228217</v>
      </c>
      <c r="S16">
        <f>STANDARDIZE(Dataset!AF16,'standardized values'!$AB$17,'standardized values'!$AD$17)</f>
        <v>0.13212211350148667</v>
      </c>
      <c r="T16">
        <f>STANDARDIZE(Dataset!AG16,'standardized values'!$AB$18,'standardized values'!$AD$18)</f>
        <v>0.59988757495993916</v>
      </c>
      <c r="U16">
        <f>STANDARDIZE(Dataset!AH16,'standardized values'!$AB$19,'standardized values'!$AD$19)</f>
        <v>0.36914116992812424</v>
      </c>
      <c r="V16">
        <f>STANDARDIZE(Dataset!AR16,AVERAGE(Dataset!$AR$2:$AR$51),STDEV(Dataset!$AR$2:$AR$51))</f>
        <v>-0.41053607372460127</v>
      </c>
      <c r="W16">
        <f>STANDARDIZE(Dataset!AS16,AVERAGE(Dataset!$AS$2:$AS$51),STDEV(Dataset!$AS$2:$AS$51))</f>
        <v>-0.26980657713623313</v>
      </c>
      <c r="X16">
        <f>STANDARDIZE(Dataset!AT16,AVERAGE(Dataset!$AT$2:$AT$51),STDEV(Dataset!$AT$2:$AT$51))</f>
        <v>-0.34009387133991287</v>
      </c>
      <c r="Z16" s="9" t="s">
        <v>50</v>
      </c>
      <c r="AA16" s="43">
        <v>50</v>
      </c>
      <c r="AB16" s="19">
        <f>AVERAGE(Dataset!$AE$2:$AE$51)</f>
        <v>4386.9401063173182</v>
      </c>
      <c r="AC16" s="19">
        <f>MEDIAN(Dataset!$AE$2:$AE$51)</f>
        <v>3010.8038030550497</v>
      </c>
      <c r="AD16" s="19">
        <f>STDEV(Dataset!$AE$2:$AE$51)</f>
        <v>4137.2551376058127</v>
      </c>
      <c r="AE16" s="19">
        <f>MAX(Dataset!$AE$2:$AE$51)</f>
        <v>18928.215131608147</v>
      </c>
      <c r="AF16" s="19">
        <f>MIN(Dataset!$AE$2:$AE$51)</f>
        <v>282.33573626355189</v>
      </c>
      <c r="AG16" s="8"/>
      <c r="AH16" s="8" t="s">
        <v>58</v>
      </c>
      <c r="AI16" s="28">
        <f t="shared" si="11"/>
        <v>-1.0204365222007472</v>
      </c>
      <c r="AJ16" s="28">
        <f t="shared" si="0"/>
        <v>0.74174536558464776</v>
      </c>
      <c r="AK16" s="28">
        <f t="shared" si="1"/>
        <v>0.47299159728388362</v>
      </c>
      <c r="AL16" s="28">
        <f t="shared" si="2"/>
        <v>-1.5807463528193368</v>
      </c>
      <c r="AM16" s="28">
        <f t="shared" si="3"/>
        <v>-0.23379267363179745</v>
      </c>
      <c r="AN16" s="28">
        <f t="shared" si="4"/>
        <v>-0.32404771715667002</v>
      </c>
      <c r="AO16">
        <f t="shared" si="5"/>
        <v>26</v>
      </c>
      <c r="AP16">
        <f t="shared" si="6"/>
        <v>12</v>
      </c>
      <c r="AQ16">
        <f t="shared" si="7"/>
        <v>23</v>
      </c>
      <c r="AR16">
        <f t="shared" si="8"/>
        <v>41</v>
      </c>
      <c r="AS16">
        <f t="shared" si="9"/>
        <v>25</v>
      </c>
      <c r="AT16" s="8">
        <f t="shared" si="10"/>
        <v>29</v>
      </c>
    </row>
    <row r="17" spans="1:46" ht="15.75" customHeight="1" x14ac:dyDescent="0.25">
      <c r="A17" t="str">
        <f>Dataset!A17</f>
        <v>http://admin.ks.gov/docs/default-source/cfo/cafr/2016-cafr.pdf?sfvrsn=12</v>
      </c>
      <c r="B17" s="8" t="s">
        <v>59</v>
      </c>
      <c r="C17" s="8">
        <v>2016</v>
      </c>
      <c r="D17">
        <f>STANDARDIZE(Dataset!X17,'standardized values'!$AB$9,'standardized values'!$AD$9)</f>
        <v>-0.56305357527528077</v>
      </c>
      <c r="E17">
        <f>STANDARDIZE(Dataset!Y17,'standardized values'!$AB$10,'standardized values'!$AD$10)</f>
        <v>-0.54994780159377499</v>
      </c>
      <c r="F17">
        <f>STANDARDIZE(Dataset!Z17,'standardized values'!$AB$11,'standardized values'!$AD$11)</f>
        <v>-0.62481504669237153</v>
      </c>
      <c r="G17">
        <f>STANDARDIZE(Dataset!AA17,'standardized values'!$AB$12,'standardized values'!$AD$12)</f>
        <v>-0.74370895303897111</v>
      </c>
      <c r="H17">
        <f>STANDARDIZE(Dataset!AB17,'standardized values'!$AB$13,'standardized values'!$AD$13)</f>
        <v>-0.20278831026773159</v>
      </c>
      <c r="I17">
        <f>STANDARDIZE(Dataset!AC17,'standardized values'!$AB$14,'standardized values'!$AD$14)</f>
        <v>0.16298189482599362</v>
      </c>
      <c r="J17">
        <f>STANDARDIZE(Dataset!AK17,'standardized values'!$AB$20,'standardized values'!$AD$20)</f>
        <v>-0.35076254065823487</v>
      </c>
      <c r="K17">
        <f>STANDARDIZE(Dataset!AL17,'standardized values'!$AB$21,'standardized values'!$AD$21)</f>
        <v>-0.16478148532854964</v>
      </c>
      <c r="L17">
        <f>STANDARDIZE(Dataset!AM17,'standardized values'!$AB$22,'standardized values'!$AD$22)</f>
        <v>-0.12463429862682242</v>
      </c>
      <c r="M17">
        <f>STANDARDIZE(Dataset!AN17,'standardized values'!$AB$23,'standardized values'!$AD$23)</f>
        <v>1.2502018084250008</v>
      </c>
      <c r="N17">
        <f>STANDARDIZE(Dataset!AO17,'standardized values'!$AB$24,'standardized values'!$AD$24)</f>
        <v>0.76382259672506025</v>
      </c>
      <c r="O17">
        <f>STANDARDIZE(Dataset!AP17,'standardized values'!$AB$27,'standardized values'!$AD$27)</f>
        <v>0.42879342861588043</v>
      </c>
      <c r="P17">
        <f>STANDARDIZE(Dataset!AQ17,'standardized values'!$AB$28,'standardized values'!$AD$28)</f>
        <v>3.8308366375912541</v>
      </c>
      <c r="Q17">
        <f>STANDARDIZE(Dataset!AD17,'standardized values'!$AB$15,'standardized values'!$AD$15)</f>
        <v>-0.27345500003482054</v>
      </c>
      <c r="R17">
        <f>STANDARDIZE(Dataset!AE17,'standardized values'!$AB$16,'standardized values'!$AD$16)</f>
        <v>-0.44961584901015966</v>
      </c>
      <c r="S17">
        <f>STANDARDIZE(Dataset!AF17,'standardized values'!$AB$17,'standardized values'!$AD$17)</f>
        <v>-0.25289243199932698</v>
      </c>
      <c r="T17">
        <f>STANDARDIZE(Dataset!AG17,'standardized values'!$AB$18,'standardized values'!$AD$18)</f>
        <v>-1.0487761944526637</v>
      </c>
      <c r="U17">
        <f>STANDARDIZE(Dataset!AH17,'standardized values'!$AB$19,'standardized values'!$AD$19)</f>
        <v>-0.73302114844259325</v>
      </c>
      <c r="V17">
        <f>STANDARDIZE(Dataset!AR17,AVERAGE(Dataset!$AR$2:$AR$51),STDEV(Dataset!$AR$2:$AR$51))</f>
        <v>-0.78660804401060724</v>
      </c>
      <c r="W17">
        <f>STANDARDIZE(Dataset!AS17,AVERAGE(Dataset!$AS$2:$AS$51),STDEV(Dataset!$AS$2:$AS$51))</f>
        <v>-0.7025986749409846</v>
      </c>
      <c r="X17">
        <f>STANDARDIZE(Dataset!AT17,AVERAGE(Dataset!$AT$2:$AT$51),STDEV(Dataset!$AT$2:$AT$51))</f>
        <v>-0.84979652311665088</v>
      </c>
      <c r="Z17" s="37" t="s">
        <v>114</v>
      </c>
      <c r="AA17" s="43">
        <v>50</v>
      </c>
      <c r="AB17" s="19">
        <f>AVERAGE(Dataset!$AF$2:$AF$51)</f>
        <v>5.6018433445056325E-2</v>
      </c>
      <c r="AC17" s="19">
        <f>MEDIAN(Dataset!$AF$2:$AF$51)</f>
        <v>5.5176835485704748E-2</v>
      </c>
      <c r="AD17" s="19">
        <f>STDEV(Dataset!$AF$2:$AF$51)</f>
        <v>1.5888703918026253E-2</v>
      </c>
      <c r="AE17" s="19">
        <f>MAX(Dataset!$AF$2:$AF$51)</f>
        <v>9.7712410907938918E-2</v>
      </c>
      <c r="AF17" s="19">
        <f>MIN(Dataset!$AF$2:$AF$51)</f>
        <v>3.0940239500372429E-3</v>
      </c>
      <c r="AG17" s="8"/>
      <c r="AH17" s="27" t="s">
        <v>59</v>
      </c>
      <c r="AI17" s="28">
        <f t="shared" si="11"/>
        <v>-2.3390032420682427</v>
      </c>
      <c r="AJ17" s="28">
        <f t="shared" si="0"/>
        <v>-0.35256213116079088</v>
      </c>
      <c r="AK17" s="28">
        <f t="shared" si="1"/>
        <v>-0.9464972633067027</v>
      </c>
      <c r="AL17" s="28">
        <f t="shared" si="2"/>
        <v>1.8893901065232386</v>
      </c>
      <c r="AM17" s="28">
        <f t="shared" si="3"/>
        <v>4.2596300662071345</v>
      </c>
      <c r="AN17" s="28">
        <f t="shared" si="4"/>
        <v>0.50219150723892747</v>
      </c>
      <c r="AO17">
        <f t="shared" si="5"/>
        <v>42</v>
      </c>
      <c r="AP17">
        <f t="shared" si="6"/>
        <v>28</v>
      </c>
      <c r="AQ17">
        <f t="shared" si="7"/>
        <v>44</v>
      </c>
      <c r="AR17">
        <f t="shared" si="8"/>
        <v>10</v>
      </c>
      <c r="AS17">
        <f t="shared" si="9"/>
        <v>2</v>
      </c>
      <c r="AT17" s="8">
        <f t="shared" si="10"/>
        <v>17</v>
      </c>
    </row>
    <row r="18" spans="1:46" ht="15.75" customHeight="1" x14ac:dyDescent="0.25">
      <c r="A18" t="str">
        <f>Dataset!A18</f>
        <v>https://finance.ky.gov/Office%20of%20the%20Controller/ControllerDocuments/2016%20CAFR.pdf</v>
      </c>
      <c r="B18" s="8" t="s">
        <v>60</v>
      </c>
      <c r="C18" s="8">
        <v>2016</v>
      </c>
      <c r="D18">
        <f>STANDARDIZE(Dataset!X18,'standardized values'!$AB$9,'standardized values'!$AD$9)</f>
        <v>-0.53428612894910821</v>
      </c>
      <c r="E18">
        <f>STANDARDIZE(Dataset!Y18,'standardized values'!$AB$10,'standardized values'!$AD$10)</f>
        <v>-0.57943500539230353</v>
      </c>
      <c r="F18">
        <f>STANDARDIZE(Dataset!Z18,'standardized values'!$AB$11,'standardized values'!$AD$11)</f>
        <v>-0.57220585395250578</v>
      </c>
      <c r="G18">
        <f>STANDARDIZE(Dataset!AA18,'standardized values'!$AB$12,'standardized values'!$AD$12)</f>
        <v>-0.31874776277649475</v>
      </c>
      <c r="H18">
        <f>STANDARDIZE(Dataset!AB18,'standardized values'!$AB$13,'standardized values'!$AD$13)</f>
        <v>-5.0400158314522853E-2</v>
      </c>
      <c r="I18">
        <f>STANDARDIZE(Dataset!AC18,'standardized values'!$AB$14,'standardized values'!$AD$14)</f>
        <v>-1.315839944564182</v>
      </c>
      <c r="J18">
        <f>STANDARDIZE(Dataset!AK18,'standardized values'!$AB$20,'standardized values'!$AD$20)</f>
        <v>-0.71846495340652106</v>
      </c>
      <c r="K18">
        <f>STANDARDIZE(Dataset!AL18,'standardized values'!$AB$21,'standardized values'!$AD$21)</f>
        <v>-0.67965004467394174</v>
      </c>
      <c r="L18">
        <f>STANDARDIZE(Dataset!AM18,'standardized values'!$AB$22,'standardized values'!$AD$22)</f>
        <v>-0.22025485525650651</v>
      </c>
      <c r="M18">
        <f>STANDARDIZE(Dataset!AN18,'standardized values'!$AB$23,'standardized values'!$AD$23)</f>
        <v>-0.94455188798672685</v>
      </c>
      <c r="N18">
        <f>STANDARDIZE(Dataset!AO18,'standardized values'!$AB$24,'standardized values'!$AD$24)</f>
        <v>-0.93502232782108818</v>
      </c>
      <c r="O18">
        <f>STANDARDIZE(Dataset!AP18,'standardized values'!$AB$27,'standardized values'!$AD$27)</f>
        <v>-1.0755224987216194</v>
      </c>
      <c r="P18">
        <f>STANDARDIZE(Dataset!AQ18,'standardized values'!$AB$28,'standardized values'!$AD$28)</f>
        <v>-0.24976846297693192</v>
      </c>
      <c r="Q18">
        <f>STANDARDIZE(Dataset!AD18,'standardized values'!$AB$15,'standardized values'!$AD$15)</f>
        <v>0.95184784218951113</v>
      </c>
      <c r="R18">
        <f>STANDARDIZE(Dataset!AE18,'standardized values'!$AB$16,'standardized values'!$AD$16)</f>
        <v>1.3470415808534242</v>
      </c>
      <c r="S18">
        <f>STANDARDIZE(Dataset!AF18,'standardized values'!$AB$17,'standardized values'!$AD$17)</f>
        <v>0.64553523654795009</v>
      </c>
      <c r="T18">
        <f>STANDARDIZE(Dataset!AG18,'standardized values'!$AB$18,'standardized values'!$AD$18)</f>
        <v>0.8152090014556842</v>
      </c>
      <c r="U18">
        <f>STANDARDIZE(Dataset!AH18,'standardized values'!$AB$19,'standardized values'!$AD$19)</f>
        <v>0.73669609006812975</v>
      </c>
      <c r="V18">
        <f>STANDARDIZE(Dataset!AR18,AVERAGE(Dataset!$AR$2:$AR$51),STDEV(Dataset!$AR$2:$AR$51))</f>
        <v>-0.74033481324661654</v>
      </c>
      <c r="W18">
        <f>STANDARDIZE(Dataset!AS18,AVERAGE(Dataset!$AS$2:$AS$51),STDEV(Dataset!$AS$2:$AS$51))</f>
        <v>-0.74485605886267248</v>
      </c>
      <c r="X18">
        <f>STANDARDIZE(Dataset!AT18,AVERAGE(Dataset!$AT$2:$AT$51),STDEV(Dataset!$AT$2:$AT$51))</f>
        <v>-0.76926469117507923</v>
      </c>
      <c r="Z18" s="37" t="s">
        <v>115</v>
      </c>
      <c r="AA18" s="43">
        <v>50</v>
      </c>
      <c r="AB18" s="19">
        <f>AVERAGE(Dataset!$AG$2:$AG$51)</f>
        <v>0.12929048910766511</v>
      </c>
      <c r="AC18" s="19">
        <f>MEDIAN(Dataset!$AG$2:$AG$51)</f>
        <v>0.12590043937040798</v>
      </c>
      <c r="AD18" s="19">
        <f>STDEV(Dataset!$AG$2:$AG$51)</f>
        <v>3.0775840299503643E-2</v>
      </c>
      <c r="AE18" s="19">
        <f>MAX(Dataset!$AG$2:$AG$51)</f>
        <v>0.23037677672903115</v>
      </c>
      <c r="AF18" s="19">
        <f>MIN(Dataset!$AG$2:$AG$51)</f>
        <v>8.7932343768688692E-2</v>
      </c>
      <c r="AG18" s="8"/>
      <c r="AH18" s="8" t="s">
        <v>60</v>
      </c>
      <c r="AI18" s="28">
        <f t="shared" si="11"/>
        <v>-2.2544555632843681</v>
      </c>
      <c r="AJ18" s="28">
        <f t="shared" si="0"/>
        <v>-2.7139549426446443</v>
      </c>
      <c r="AK18" s="28">
        <f t="shared" si="1"/>
        <v>-0.36914792109101757</v>
      </c>
      <c r="AL18" s="28">
        <f t="shared" si="2"/>
        <v>-2.0998290710643217</v>
      </c>
      <c r="AM18" s="28">
        <f t="shared" si="3"/>
        <v>-1.3252909616985513</v>
      </c>
      <c r="AN18" s="28">
        <f t="shared" si="4"/>
        <v>-1.7525356919565809</v>
      </c>
      <c r="AO18">
        <f t="shared" si="5"/>
        <v>40</v>
      </c>
      <c r="AP18">
        <f t="shared" si="6"/>
        <v>46</v>
      </c>
      <c r="AQ18">
        <f t="shared" si="7"/>
        <v>39</v>
      </c>
      <c r="AR18">
        <f t="shared" si="8"/>
        <v>43</v>
      </c>
      <c r="AS18">
        <f t="shared" si="9"/>
        <v>43</v>
      </c>
      <c r="AT18" s="8">
        <f t="shared" si="10"/>
        <v>46</v>
      </c>
    </row>
    <row r="19" spans="1:46" s="8" customFormat="1" ht="15.75" customHeight="1" x14ac:dyDescent="0.25">
      <c r="A19" t="str">
        <f>Dataset!A19</f>
        <v>http://www.doa.la.gov/osrap/library/Publications/CAFR2016.pdf</v>
      </c>
      <c r="B19" s="8" t="s">
        <v>61</v>
      </c>
      <c r="C19" s="8">
        <v>2016</v>
      </c>
      <c r="D19">
        <f>STANDARDIZE(Dataset!X19,'standardized values'!$AB$9,'standardized values'!$AD$9)</f>
        <v>-0.37570732434301313</v>
      </c>
      <c r="E19">
        <f>STANDARDIZE(Dataset!Y19,'standardized values'!$AB$10,'standardized values'!$AD$10)</f>
        <v>-0.38805606137353754</v>
      </c>
      <c r="F19">
        <f>STANDARDIZE(Dataset!Z19,'standardized values'!$AB$11,'standardized values'!$AD$11)</f>
        <v>-0.29099053597293945</v>
      </c>
      <c r="G19">
        <f>STANDARDIZE(Dataset!AA19,'standardized values'!$AB$12,'standardized values'!$AD$12)</f>
        <v>-0.51362576215240863</v>
      </c>
      <c r="H19">
        <f>STANDARDIZE(Dataset!AB19,'standardized values'!$AB$13,'standardized values'!$AD$13)</f>
        <v>8.0423545472968386E-2</v>
      </c>
      <c r="I19">
        <f>STANDARDIZE(Dataset!AC19,'standardized values'!$AB$14,'standardized values'!$AD$14)</f>
        <v>-4.6400798038454406E-2</v>
      </c>
      <c r="J19">
        <f>STANDARDIZE(Dataset!AK19,'standardized values'!$AB$20,'standardized values'!$AD$20)</f>
        <v>-0.54454452707811574</v>
      </c>
      <c r="K19">
        <f>STANDARDIZE(Dataset!AL19,'standardized values'!$AB$21,'standardized values'!$AD$21)</f>
        <v>-0.43288180664161308</v>
      </c>
      <c r="L19">
        <f>STANDARDIZE(Dataset!AM19,'standardized values'!$AB$22,'standardized values'!$AD$22)</f>
        <v>-2.9503287215329303E-2</v>
      </c>
      <c r="M19">
        <f>STANDARDIZE(Dataset!AN19,'standardized values'!$AB$23,'standardized values'!$AD$23)</f>
        <v>5.065815609507511E-2</v>
      </c>
      <c r="N19">
        <f>STANDARDIZE(Dataset!AO19,'standardized values'!$AB$24,'standardized values'!$AD$24)</f>
        <v>-0.14795712116664755</v>
      </c>
      <c r="O19">
        <f>STANDARDIZE(Dataset!AP19,'standardized values'!$AB$27,'standardized values'!$AD$27)</f>
        <v>-0.65137394835307594</v>
      </c>
      <c r="P19">
        <f>STANDARDIZE(Dataset!AQ19,'standardized values'!$AB$28,'standardized values'!$AD$28)</f>
        <v>-0.25023559571724496</v>
      </c>
      <c r="Q19">
        <f>STANDARDIZE(Dataset!AD19,'standardized values'!$AB$15,'standardized values'!$AD$15)</f>
        <v>3.1681547469504828E-2</v>
      </c>
      <c r="R19">
        <f>STANDARDIZE(Dataset!AE19,'standardized values'!$AB$16,'standardized values'!$AD$16)</f>
        <v>-6.1414486455132589E-2</v>
      </c>
      <c r="S19">
        <f>STANDARDIZE(Dataset!AF19,'standardized values'!$AB$17,'standardized values'!$AD$17)</f>
        <v>-0.8304409433191634</v>
      </c>
      <c r="T19">
        <f>STANDARDIZE(Dataset!AG19,'standardized values'!$AB$18,'standardized values'!$AD$18)</f>
        <v>-0.24541994869528833</v>
      </c>
      <c r="U19">
        <f>STANDARDIZE(Dataset!AH19,'standardized values'!$AB$19,'standardized values'!$AD$19)</f>
        <v>-0.10014936819607699</v>
      </c>
      <c r="V19">
        <f>STANDARDIZE(Dataset!AR19,AVERAGE(Dataset!$AR$2:$AR$51),STDEV(Dataset!$AR$2:$AR$51))</f>
        <v>-0.48525643275305264</v>
      </c>
      <c r="W19">
        <f>STANDARDIZE(Dataset!AS19,AVERAGE(Dataset!$AS$2:$AS$51),STDEV(Dataset!$AS$2:$AS$51))</f>
        <v>-0.47059561805642131</v>
      </c>
      <c r="X19">
        <f>STANDARDIZE(Dataset!AT19,AVERAGE(Dataset!$AT$2:$AT$51),STDEV(Dataset!$AT$2:$AT$51))</f>
        <v>-0.3387926852861729</v>
      </c>
      <c r="Y19"/>
      <c r="Z19" s="38" t="s">
        <v>116</v>
      </c>
      <c r="AA19" s="44">
        <v>50</v>
      </c>
      <c r="AB19" s="20">
        <f>AVERAGE(Dataset!$AH$2:$AH$51)</f>
        <v>0.13012235678214043</v>
      </c>
      <c r="AC19" s="20">
        <f>MEDIAN(Dataset!$AH$2:$AH$51)</f>
        <v>0.1246079122480464</v>
      </c>
      <c r="AD19" s="20">
        <f>STDEV(Dataset!$AH$2:$AH$51)</f>
        <v>3.7214349417048723E-2</v>
      </c>
      <c r="AE19" s="20">
        <f>MAX(Dataset!$AH$2:$AH$51)</f>
        <v>0.26299249880635855</v>
      </c>
      <c r="AF19" s="20">
        <f>MIN(Dataset!$AH$2:$AH$51)</f>
        <v>7.6060982054058215E-2</v>
      </c>
      <c r="AH19" s="8" t="s">
        <v>61</v>
      </c>
      <c r="AI19" s="28">
        <f t="shared" si="11"/>
        <v>-1.2946447360956468</v>
      </c>
      <c r="AJ19" s="28">
        <f t="shared" si="0"/>
        <v>-1.0238271317581833</v>
      </c>
      <c r="AK19" s="28">
        <f t="shared" si="1"/>
        <v>-0.43320221667944026</v>
      </c>
      <c r="AL19" s="28">
        <f t="shared" si="2"/>
        <v>-0.12680225228690176</v>
      </c>
      <c r="AM19" s="28">
        <f t="shared" si="3"/>
        <v>-0.9016095440703209</v>
      </c>
      <c r="AN19" s="28">
        <f t="shared" si="4"/>
        <v>-0.7560171761780986</v>
      </c>
      <c r="AO19">
        <f t="shared" si="5"/>
        <v>31</v>
      </c>
      <c r="AP19">
        <f t="shared" si="6"/>
        <v>38</v>
      </c>
      <c r="AQ19">
        <f t="shared" si="7"/>
        <v>40</v>
      </c>
      <c r="AR19">
        <f t="shared" si="8"/>
        <v>24</v>
      </c>
      <c r="AS19">
        <f t="shared" si="9"/>
        <v>39</v>
      </c>
      <c r="AT19" s="8">
        <f t="shared" si="10"/>
        <v>37</v>
      </c>
    </row>
    <row r="20" spans="1:46" s="8" customFormat="1" ht="15.75" customHeight="1" x14ac:dyDescent="0.25">
      <c r="A20" t="str">
        <f>Dataset!A20</f>
        <v>http://www.maine.gov/osc/pdf/finanrept/cafr/cafr2016.pdf</v>
      </c>
      <c r="B20" s="8" t="s">
        <v>62</v>
      </c>
      <c r="C20" s="8">
        <v>2016</v>
      </c>
      <c r="D20">
        <f>STANDARDIZE(Dataset!X20,'standardized values'!$AB$9,'standardized values'!$AD$9)</f>
        <v>-0.62072451469170786</v>
      </c>
      <c r="E20">
        <f>STANDARDIZE(Dataset!Y20,'standardized values'!$AB$10,'standardized values'!$AD$10)</f>
        <v>-0.66706289361780824</v>
      </c>
      <c r="F20">
        <f>STANDARDIZE(Dataset!Z20,'standardized values'!$AB$11,'standardized values'!$AD$11)</f>
        <v>-0.46788956542746379</v>
      </c>
      <c r="G20">
        <f>STANDARDIZE(Dataset!AA20,'standardized values'!$AB$12,'standardized values'!$AD$12)</f>
        <v>0.4060887280427028</v>
      </c>
      <c r="H20">
        <f>STANDARDIZE(Dataset!AB20,'standardized values'!$AB$13,'standardized values'!$AD$13)</f>
        <v>0.3127364553688381</v>
      </c>
      <c r="I20">
        <f>STANDARDIZE(Dataset!AC20,'standardized values'!$AB$14,'standardized values'!$AD$14)</f>
        <v>-5.7567715320771859E-2</v>
      </c>
      <c r="J20">
        <f>STANDARDIZE(Dataset!AK20,'standardized values'!$AB$20,'standardized values'!$AD$20)</f>
        <v>-0.48919755408061655</v>
      </c>
      <c r="K20">
        <f>STANDARDIZE(Dataset!AL20,'standardized values'!$AB$21,'standardized values'!$AD$21)</f>
        <v>-0.23475226294799947</v>
      </c>
      <c r="L20">
        <f>STANDARDIZE(Dataset!AM20,'standardized values'!$AB$22,'standardized values'!$AD$22)</f>
        <v>-0.20696520044335817</v>
      </c>
      <c r="M20">
        <f>STANDARDIZE(Dataset!AN20,'standardized values'!$AB$23,'standardized values'!$AD$23)</f>
        <v>-0.41428377433704383</v>
      </c>
      <c r="N20">
        <f>STANDARDIZE(Dataset!AO20,'standardized values'!$AB$24,'standardized values'!$AD$24)</f>
        <v>-0.24585381794053482</v>
      </c>
      <c r="O20">
        <f>STANDARDIZE(Dataset!AP20,'standardized values'!$AB$27,'standardized values'!$AD$27)</f>
        <v>0.24441335238335066</v>
      </c>
      <c r="P20">
        <f>STANDARDIZE(Dataset!AQ20,'standardized values'!$AB$28,'standardized values'!$AD$28)</f>
        <v>-0.24940218758032315</v>
      </c>
      <c r="Q20">
        <f>STANDARDIZE(Dataset!AD20,'standardized values'!$AB$15,'standardized values'!$AD$15)</f>
        <v>-8.6800935449723421E-2</v>
      </c>
      <c r="R20">
        <f>STANDARDIZE(Dataset!AE20,'standardized values'!$AB$16,'standardized values'!$AD$16)</f>
        <v>-0.38068140953742424</v>
      </c>
      <c r="S20">
        <f>STANDARDIZE(Dataset!AF20,'standardized values'!$AB$17,'standardized values'!$AD$17)</f>
        <v>0.492239850086376</v>
      </c>
      <c r="T20">
        <f>STANDARDIZE(Dataset!AG20,'standardized values'!$AB$18,'standardized values'!$AD$18)</f>
        <v>0.18814284834408501</v>
      </c>
      <c r="U20">
        <f>STANDARDIZE(Dataset!AH20,'standardized values'!$AB$19,'standardized values'!$AD$19)</f>
        <v>-1.4532298990335587E-2</v>
      </c>
      <c r="V20">
        <f>STANDARDIZE(Dataset!AR20,AVERAGE(Dataset!$AR$2:$AR$51),STDEV(Dataset!$AR$2:$AR$51))</f>
        <v>-0.87937334051051086</v>
      </c>
      <c r="W20">
        <f>STANDARDIZE(Dataset!AS20,AVERAGE(Dataset!$AS$2:$AS$51),STDEV(Dataset!$AS$2:$AS$51))</f>
        <v>-0.87043342253174594</v>
      </c>
      <c r="X20">
        <f>STANDARDIZE(Dataset!AT20,AVERAGE(Dataset!$AT$2:$AT$51),STDEV(Dataset!$AT$2:$AT$51))</f>
        <v>-0.60958191752359681</v>
      </c>
      <c r="Y20"/>
      <c r="Z20" s="17" t="s">
        <v>55</v>
      </c>
      <c r="AA20" s="43">
        <v>50</v>
      </c>
      <c r="AB20" s="21">
        <f>AVERAGE(Dataset!$AK$2:$AK$51)</f>
        <v>4.073306289983142</v>
      </c>
      <c r="AC20" s="21">
        <f>MEDIAN(Dataset!$AK$2:$AK$51)</f>
        <v>2.5609309681406138</v>
      </c>
      <c r="AD20" s="21">
        <f>STDEV(Dataset!$AK$2:$AK$51)</f>
        <v>4.6590766519476352</v>
      </c>
      <c r="AE20" s="21">
        <f>MAX(Dataset!$AK$2:$AK$51)</f>
        <v>27.65962666706287</v>
      </c>
      <c r="AF20" s="21">
        <f>MIN(Dataset!$AK$2:$AK$51)</f>
        <v>0.25780191630244664</v>
      </c>
      <c r="AH20" s="8" t="s">
        <v>62</v>
      </c>
      <c r="AI20" s="28">
        <f t="shared" si="11"/>
        <v>-2.3593886805658535</v>
      </c>
      <c r="AJ20" s="28">
        <f t="shared" si="0"/>
        <v>-0.78151753234938781</v>
      </c>
      <c r="AK20" s="28">
        <f t="shared" si="1"/>
        <v>0.71882518341154089</v>
      </c>
      <c r="AL20" s="28">
        <f t="shared" si="2"/>
        <v>-0.86710279272093682</v>
      </c>
      <c r="AM20" s="28">
        <f t="shared" si="3"/>
        <v>-4.9888351969724909E-3</v>
      </c>
      <c r="AN20" s="28">
        <f t="shared" si="4"/>
        <v>-0.65883453148432192</v>
      </c>
      <c r="AO20">
        <f t="shared" si="5"/>
        <v>43</v>
      </c>
      <c r="AP20">
        <f t="shared" si="6"/>
        <v>35</v>
      </c>
      <c r="AQ20">
        <f t="shared" si="7"/>
        <v>16</v>
      </c>
      <c r="AR20">
        <f t="shared" si="8"/>
        <v>33</v>
      </c>
      <c r="AS20">
        <f t="shared" si="9"/>
        <v>22</v>
      </c>
      <c r="AT20" s="8">
        <f t="shared" si="10"/>
        <v>34</v>
      </c>
    </row>
    <row r="21" spans="1:46" s="8" customFormat="1" ht="15.75" customHeight="1" x14ac:dyDescent="0.25">
      <c r="A21" t="str">
        <f>Dataset!A21</f>
        <v>http://finances.marylandtaxes.com/static_files/revenue/cafr/cafr2016.pdf</v>
      </c>
      <c r="B21" s="8" t="s">
        <v>63</v>
      </c>
      <c r="C21" s="8">
        <v>2016</v>
      </c>
      <c r="D21">
        <f>STANDARDIZE(Dataset!X21,'standardized values'!$AB$9,'standardized values'!$AD$9)</f>
        <v>-0.58304520460228271</v>
      </c>
      <c r="E21">
        <f>STANDARDIZE(Dataset!Y21,'standardized values'!$AB$10,'standardized values'!$AD$10)</f>
        <v>-0.55082498109603117</v>
      </c>
      <c r="F21">
        <f>STANDARDIZE(Dataset!Z21,'standardized values'!$AB$11,'standardized values'!$AD$11)</f>
        <v>-0.57216812440048326</v>
      </c>
      <c r="G21">
        <f>STANDARDIZE(Dataset!AA21,'standardized values'!$AB$12,'standardized values'!$AD$12)</f>
        <v>0.18340529239564513</v>
      </c>
      <c r="H21">
        <f>STANDARDIZE(Dataset!AB21,'standardized values'!$AB$13,'standardized values'!$AD$13)</f>
        <v>0.19526476143837126</v>
      </c>
      <c r="I21">
        <f>STANDARDIZE(Dataset!AC21,'standardized values'!$AB$14,'standardized values'!$AD$14)</f>
        <v>-0.42050875438416746</v>
      </c>
      <c r="J21">
        <f>STANDARDIZE(Dataset!AK21,'standardized values'!$AB$20,'standardized values'!$AD$20)</f>
        <v>-0.65768075237157375</v>
      </c>
      <c r="K21">
        <f>STANDARDIZE(Dataset!AL21,'standardized values'!$AB$21,'standardized values'!$AD$21)</f>
        <v>-0.61208570144178398</v>
      </c>
      <c r="L21">
        <f>STANDARDIZE(Dataset!AM21,'standardized values'!$AB$22,'standardized values'!$AD$22)</f>
        <v>-0.15375189691979851</v>
      </c>
      <c r="M21">
        <f>STANDARDIZE(Dataset!AN21,'standardized values'!$AB$23,'standardized values'!$AD$23)</f>
        <v>0.45722435568691006</v>
      </c>
      <c r="N21">
        <f>STANDARDIZE(Dataset!AO21,'standardized values'!$AB$24,'standardized values'!$AD$24)</f>
        <v>0.46581383332852677</v>
      </c>
      <c r="O21">
        <f>STANDARDIZE(Dataset!AP21,'standardized values'!$AB$27,'standardized values'!$AD$27)</f>
        <v>0.39913759488665818</v>
      </c>
      <c r="P21">
        <f>STANDARDIZE(Dataset!AQ21,'standardized values'!$AB$28,'standardized values'!$AD$28)</f>
        <v>-0.24977841733850722</v>
      </c>
      <c r="Q21">
        <f>STANDARDIZE(Dataset!AD21,'standardized values'!$AB$15,'standardized values'!$AD$15)</f>
        <v>0.4622722210882565</v>
      </c>
      <c r="R21">
        <f>STANDARDIZE(Dataset!AE21,'standardized values'!$AB$16,'standardized values'!$AD$16)</f>
        <v>0.67653266236222109</v>
      </c>
      <c r="S21">
        <f>STANDARDIZE(Dataset!AF21,'standardized values'!$AB$17,'standardized values'!$AD$17)</f>
        <v>-2.3169595807837305E-2</v>
      </c>
      <c r="T21">
        <f>STANDARDIZE(Dataset!AG21,'standardized values'!$AB$18,'standardized values'!$AD$18)</f>
        <v>-0.55993008702894564</v>
      </c>
      <c r="U21">
        <f>STANDARDIZE(Dataset!AH21,'standardized values'!$AB$19,'standardized values'!$AD$19)</f>
        <v>-0.55379986131305703</v>
      </c>
      <c r="V21">
        <f>STANDARDIZE(Dataset!AR21,AVERAGE(Dataset!$AR$2:$AR$51),STDEV(Dataset!$AR$2:$AR$51))</f>
        <v>-0.81876513111204019</v>
      </c>
      <c r="W21">
        <f>STANDARDIZE(Dataset!AS21,AVERAGE(Dataset!$AS$2:$AS$51),STDEV(Dataset!$AS$2:$AS$51))</f>
        <v>-0.70385573923396871</v>
      </c>
      <c r="X21">
        <f>STANDARDIZE(Dataset!AT21,AVERAGE(Dataset!$AT$2:$AT$51),STDEV(Dataset!$AT$2:$AT$51))</f>
        <v>-0.769206936440888</v>
      </c>
      <c r="Y21"/>
      <c r="Z21" s="8" t="s">
        <v>57</v>
      </c>
      <c r="AA21" s="43">
        <v>50</v>
      </c>
      <c r="AB21" s="16">
        <f>AVERAGE(Dataset!$AL$2:$AL$51)</f>
        <v>4.9029216387713791E-4</v>
      </c>
      <c r="AC21" s="16">
        <f>MEDIAN(Dataset!$AL$2:$AL$51)</f>
        <v>3.3216011988060053E-4</v>
      </c>
      <c r="AD21" s="16">
        <f>STDEV(Dataset!$AL$2:$AL$51)</f>
        <v>5.7366362021391384E-4</v>
      </c>
      <c r="AE21" s="16">
        <f>MAX(Dataset!$AL$2:$AL$51)</f>
        <v>3.5418824879700321E-3</v>
      </c>
      <c r="AF21" s="16">
        <f>MIN(Dataset!$AL$2:$AL$51)</f>
        <v>5.2831183133062781E-5</v>
      </c>
      <c r="AH21" s="8" t="s">
        <v>63</v>
      </c>
      <c r="AI21" s="28">
        <f t="shared" si="11"/>
        <v>-2.2918278067868969</v>
      </c>
      <c r="AJ21" s="28">
        <f t="shared" si="0"/>
        <v>-1.6902752081975252</v>
      </c>
      <c r="AK21" s="28">
        <f t="shared" si="1"/>
        <v>0.37867005383401642</v>
      </c>
      <c r="AL21" s="28">
        <f t="shared" si="2"/>
        <v>0.76928629209563826</v>
      </c>
      <c r="AM21" s="28">
        <f t="shared" si="3"/>
        <v>0.14935917754815095</v>
      </c>
      <c r="AN21" s="28">
        <f t="shared" si="4"/>
        <v>-0.53695749830132322</v>
      </c>
      <c r="AO21">
        <f t="shared" si="5"/>
        <v>41</v>
      </c>
      <c r="AP21">
        <f t="shared" si="6"/>
        <v>44</v>
      </c>
      <c r="AQ21">
        <f t="shared" si="7"/>
        <v>27</v>
      </c>
      <c r="AR21">
        <f t="shared" si="8"/>
        <v>17</v>
      </c>
      <c r="AS21">
        <f t="shared" si="9"/>
        <v>17</v>
      </c>
      <c r="AT21" s="8">
        <f t="shared" si="10"/>
        <v>33</v>
      </c>
    </row>
    <row r="22" spans="1:46" s="8" customFormat="1" ht="15.75" customHeight="1" x14ac:dyDescent="0.25">
      <c r="A22" t="str">
        <f>Dataset!A22</f>
        <v>http://www.mass.gov/comptroller/docs/reports-audits/cafr/2016-cafr.pdf</v>
      </c>
      <c r="B22" s="8" t="s">
        <v>64</v>
      </c>
      <c r="C22" s="8">
        <v>2016</v>
      </c>
      <c r="D22">
        <f>STANDARDIZE(Dataset!X22,'standardized values'!$AB$9,'standardized values'!$AD$9)</f>
        <v>-0.68840727482926145</v>
      </c>
      <c r="E22">
        <f>STANDARDIZE(Dataset!Y22,'standardized values'!$AB$10,'standardized values'!$AD$10)</f>
        <v>-0.7441189337556906</v>
      </c>
      <c r="F22">
        <f>STANDARDIZE(Dataset!Z22,'standardized values'!$AB$11,'standardized values'!$AD$11)</f>
        <v>-0.80517768192006045</v>
      </c>
      <c r="G22">
        <f>STANDARDIZE(Dataset!AA22,'standardized values'!$AB$12,'standardized values'!$AD$12)</f>
        <v>-0.71649804531541583</v>
      </c>
      <c r="H22">
        <f>STANDARDIZE(Dataset!AB22,'standardized values'!$AB$13,'standardized values'!$AD$13)</f>
        <v>-0.40289996708882053</v>
      </c>
      <c r="I22">
        <f>STANDARDIZE(Dataset!AC22,'standardized values'!$AB$14,'standardized values'!$AD$14)</f>
        <v>-2.3651679889354318</v>
      </c>
      <c r="J22">
        <f>STANDARDIZE(Dataset!AK22,'standardized values'!$AB$20,'standardized values'!$AD$20)</f>
        <v>-0.7960945967571873</v>
      </c>
      <c r="K22">
        <f>STANDARDIZE(Dataset!AL22,'standardized values'!$AB$21,'standardized values'!$AD$21)</f>
        <v>-0.70331788862467537</v>
      </c>
      <c r="L22">
        <f>STANDARDIZE(Dataset!AM22,'standardized values'!$AB$22,'standardized values'!$AD$22)</f>
        <v>-0.16965331630123781</v>
      </c>
      <c r="M22">
        <f>STANDARDIZE(Dataset!AN22,'standardized values'!$AB$23,'standardized values'!$AD$23)</f>
        <v>-0.28545393781371903</v>
      </c>
      <c r="N22">
        <f>STANDARDIZE(Dataset!AO22,'standardized values'!$AB$24,'standardized values'!$AD$24)</f>
        <v>-0.49940502412546312</v>
      </c>
      <c r="O22">
        <f>STANDARDIZE(Dataset!AP22,'standardized values'!$AB$27,'standardized values'!$AD$27)</f>
        <v>0.50099659671733676</v>
      </c>
      <c r="P22">
        <f>STANDARDIZE(Dataset!AQ22,'standardized values'!$AB$28,'standardized values'!$AD$28)</f>
        <v>-0.25016868538716314</v>
      </c>
      <c r="Q22">
        <f>STANDARDIZE(Dataset!AD22,'standardized values'!$AB$15,'standardized values'!$AD$15)</f>
        <v>2.6841024750033777</v>
      </c>
      <c r="R22">
        <f>STANDARDIZE(Dataset!AE22,'standardized values'!$AB$16,'standardized values'!$AD$16)</f>
        <v>1.7235040057618365</v>
      </c>
      <c r="S22">
        <f>STANDARDIZE(Dataset!AF22,'standardized values'!$AB$17,'standardized values'!$AD$17)</f>
        <v>0.11644191189929151</v>
      </c>
      <c r="T22">
        <f>STANDARDIZE(Dataset!AG22,'standardized values'!$AB$18,'standardized values'!$AD$18)</f>
        <v>5.876934032834185E-2</v>
      </c>
      <c r="U22">
        <f>STANDARDIZE(Dataset!AH22,'standardized values'!$AB$19,'standardized values'!$AD$19)</f>
        <v>0.22868388666260003</v>
      </c>
      <c r="V22">
        <f>STANDARDIZE(Dataset!AR22,AVERAGE(Dataset!$AR$2:$AR$51),STDEV(Dataset!$AR$2:$AR$51))</f>
        <v>-0.98824292674623626</v>
      </c>
      <c r="W22">
        <f>STANDARDIZE(Dataset!AS22,AVERAGE(Dataset!$AS$2:$AS$51),STDEV(Dataset!$AS$2:$AS$51))</f>
        <v>-0.98086053165472009</v>
      </c>
      <c r="X22">
        <f>STANDARDIZE(Dataset!AT22,AVERAGE(Dataset!$AT$2:$AT$51),STDEV(Dataset!$AT$2:$AT$51))</f>
        <v>-1.1258876903108712</v>
      </c>
      <c r="Y22"/>
      <c r="Z22" s="8" t="s">
        <v>111</v>
      </c>
      <c r="AA22" s="43">
        <v>50</v>
      </c>
      <c r="AB22" s="16">
        <f>AVERAGE(Dataset!$AM$2:$AM$51)</f>
        <v>24.629508759177362</v>
      </c>
      <c r="AC22" s="16">
        <f>MEDIAN(Dataset!$AM$2:$AM$51)</f>
        <v>18.123823626546894</v>
      </c>
      <c r="AD22" s="16">
        <f>STDEV(Dataset!$AM$2:$AM$51)</f>
        <v>43.317535443913556</v>
      </c>
      <c r="AE22" s="16">
        <f>MAX(Dataset!$AM$2:$AM$51)</f>
        <v>323.2037037037037</v>
      </c>
      <c r="AF22" s="16">
        <f>MIN(Dataset!$AM$2:$AM$51)</f>
        <v>10.234114486666014</v>
      </c>
      <c r="AH22" s="8" t="s">
        <v>64</v>
      </c>
      <c r="AI22" s="28">
        <f t="shared" si="11"/>
        <v>-3.0949911487118276</v>
      </c>
      <c r="AJ22" s="28">
        <f t="shared" si="0"/>
        <v>-3.8645804743172945</v>
      </c>
      <c r="AK22" s="28">
        <f t="shared" si="1"/>
        <v>-1.1193980124042364</v>
      </c>
      <c r="AL22" s="28">
        <f t="shared" si="2"/>
        <v>-0.95451227824041995</v>
      </c>
      <c r="AM22" s="28">
        <f t="shared" si="3"/>
        <v>0.25082791133017363</v>
      </c>
      <c r="AN22" s="28">
        <f t="shared" si="4"/>
        <v>-1.756530800468721</v>
      </c>
      <c r="AO22">
        <f t="shared" si="5"/>
        <v>48</v>
      </c>
      <c r="AP22">
        <f t="shared" si="6"/>
        <v>48</v>
      </c>
      <c r="AQ22">
        <f t="shared" si="7"/>
        <v>45</v>
      </c>
      <c r="AR22">
        <f t="shared" si="8"/>
        <v>35</v>
      </c>
      <c r="AS22">
        <f t="shared" si="9"/>
        <v>16</v>
      </c>
      <c r="AT22" s="8">
        <f t="shared" si="10"/>
        <v>47</v>
      </c>
    </row>
    <row r="23" spans="1:46" s="8" customFormat="1" ht="15.75" customHeight="1" x14ac:dyDescent="0.25">
      <c r="A23" t="str">
        <f>Dataset!A23</f>
        <v>http://www.michigan.gov/documents/budget/CAFR_FY_2016_550912_7.pdf</v>
      </c>
      <c r="B23" s="8" t="s">
        <v>65</v>
      </c>
      <c r="C23" s="8">
        <v>2016</v>
      </c>
      <c r="D23">
        <f>STANDARDIZE(Dataset!X23,'standardized values'!$AB$9,'standardized values'!$AD$9)</f>
        <v>-0.46845834323431751</v>
      </c>
      <c r="E23">
        <f>STANDARDIZE(Dataset!Y23,'standardized values'!$AB$10,'standardized values'!$AD$10)</f>
        <v>-0.49958573456315386</v>
      </c>
      <c r="F23">
        <f>STANDARDIZE(Dataset!Z23,'standardized values'!$AB$11,'standardized values'!$AD$11)</f>
        <v>-0.36925045597712375</v>
      </c>
      <c r="G23">
        <f>STANDARDIZE(Dataset!AA23,'standardized values'!$AB$12,'standardized values'!$AD$12)</f>
        <v>0.23941982235910808</v>
      </c>
      <c r="H23">
        <f>STANDARDIZE(Dataset!AB23,'standardized values'!$AB$13,'standardized values'!$AD$13)</f>
        <v>0.22435326229994937</v>
      </c>
      <c r="I23">
        <f>STANDARDIZE(Dataset!AC23,'standardized values'!$AB$14,'standardized values'!$AD$14)</f>
        <v>9.6991972310767699E-2</v>
      </c>
      <c r="J23">
        <f>STANDARDIZE(Dataset!AK23,'standardized values'!$AB$20,'standardized values'!$AD$20)</f>
        <v>-0.39487679555885796</v>
      </c>
      <c r="K23">
        <f>STANDARDIZE(Dataset!AL23,'standardized values'!$AB$21,'standardized values'!$AD$21)</f>
        <v>7.1162864766024167E-2</v>
      </c>
      <c r="L23">
        <f>STANDARDIZE(Dataset!AM23,'standardized values'!$AB$22,'standardized values'!$AD$22)</f>
        <v>-0.20225640439458367</v>
      </c>
      <c r="M23">
        <f>STANDARDIZE(Dataset!AN23,'standardized values'!$AB$23,'standardized values'!$AD$23)</f>
        <v>-0.28833751317555206</v>
      </c>
      <c r="N23">
        <f>STANDARDIZE(Dataset!AO23,'standardized values'!$AB$24,'standardized values'!$AD$24)</f>
        <v>-0.18566695203706238</v>
      </c>
      <c r="O23">
        <f>STANDARDIZE(Dataset!AP23,'standardized values'!$AB$27,'standardized values'!$AD$27)</f>
        <v>-0.248113867902364</v>
      </c>
      <c r="P23">
        <f>STANDARDIZE(Dataset!AQ23,'standardized values'!$AB$28,'standardized values'!$AD$28)</f>
        <v>-0.25061303106195076</v>
      </c>
      <c r="Q23">
        <f>STANDARDIZE(Dataset!AD23,'standardized values'!$AB$15,'standardized values'!$AD$15)</f>
        <v>-0.22567768348035319</v>
      </c>
      <c r="R23">
        <f>STANDARDIZE(Dataset!AE23,'standardized values'!$AB$16,'standardized values'!$AD$16)</f>
        <v>-0.60525907635337506</v>
      </c>
      <c r="S23">
        <f>STANDARDIZE(Dataset!AF23,'standardized values'!$AB$17,'standardized values'!$AD$17)</f>
        <v>0.44059283439682434</v>
      </c>
      <c r="T23">
        <f>STANDARDIZE(Dataset!AG23,'standardized values'!$AB$18,'standardized values'!$AD$18)</f>
        <v>6.1581586322311553E-2</v>
      </c>
      <c r="U23">
        <f>STANDARDIZE(Dataset!AH23,'standardized values'!$AB$19,'standardized values'!$AD$19)</f>
        <v>-6.7672969325617754E-2</v>
      </c>
      <c r="V23">
        <f>STANDARDIZE(Dataset!AR23,AVERAGE(Dataset!$AR$2:$AR$51),STDEV(Dataset!$AR$2:$AR$51))</f>
        <v>-0.6344490045263711</v>
      </c>
      <c r="W23">
        <f>STANDARDIZE(Dataset!AS23,AVERAGE(Dataset!$AS$2:$AS$51),STDEV(Dataset!$AS$2:$AS$51))</f>
        <v>-0.63042603978224043</v>
      </c>
      <c r="X23">
        <f>STANDARDIZE(Dataset!AT23,AVERAGE(Dataset!$AT$2:$AT$51),STDEV(Dataset!$AT$2:$AT$51))</f>
        <v>-0.45858951921025687</v>
      </c>
      <c r="Y23"/>
      <c r="Z23" s="8" t="s">
        <v>112</v>
      </c>
      <c r="AA23" s="43">
        <v>50</v>
      </c>
      <c r="AB23" s="16">
        <f>AVERAGE(Dataset!$AN$2:$AN$51)</f>
        <v>8.1259881465686199</v>
      </c>
      <c r="AC23" s="16">
        <f>MEDIAN(Dataset!$AN$2:$AN$51)</f>
        <v>7.9438555397501016</v>
      </c>
      <c r="AD23" s="16">
        <f>STDEV(Dataset!$AN$2:$AN$51)</f>
        <v>1.745200991503546</v>
      </c>
      <c r="AE23" s="16">
        <f>MAX(Dataset!$AN$2:$AN$51)</f>
        <v>11.372379685802075</v>
      </c>
      <c r="AF23" s="16">
        <f>MIN(Dataset!$AN$2:$AN$51)</f>
        <v>4.3407153021165783</v>
      </c>
      <c r="AH23" s="8" t="s">
        <v>65</v>
      </c>
      <c r="AI23" s="28">
        <f t="shared" si="11"/>
        <v>-1.7234645635188683</v>
      </c>
      <c r="AJ23" s="28">
        <f t="shared" si="0"/>
        <v>-0.22672195848206611</v>
      </c>
      <c r="AK23" s="28">
        <f t="shared" si="1"/>
        <v>0.46377308465905742</v>
      </c>
      <c r="AL23" s="28">
        <f t="shared" si="2"/>
        <v>-0.67626086960719811</v>
      </c>
      <c r="AM23" s="28">
        <f t="shared" si="3"/>
        <v>-0.49872689896431477</v>
      </c>
      <c r="AN23" s="28">
        <f t="shared" si="4"/>
        <v>-0.53228024118267803</v>
      </c>
      <c r="AO23">
        <f t="shared" si="5"/>
        <v>35</v>
      </c>
      <c r="AP23">
        <f t="shared" si="6"/>
        <v>26</v>
      </c>
      <c r="AQ23">
        <f t="shared" si="7"/>
        <v>25</v>
      </c>
      <c r="AR23">
        <f t="shared" si="8"/>
        <v>31</v>
      </c>
      <c r="AS23">
        <f t="shared" si="9"/>
        <v>30</v>
      </c>
      <c r="AT23" s="8">
        <f t="shared" si="10"/>
        <v>32</v>
      </c>
    </row>
    <row r="24" spans="1:46" s="8" customFormat="1" ht="15.75" customHeight="1" x14ac:dyDescent="0.25">
      <c r="A24" t="str">
        <f>Dataset!A24</f>
        <v>https://mn.gov/mmb/assets/2016-cafr-accessible_tcm1059-268792.pdf</v>
      </c>
      <c r="B24" s="8" t="s">
        <v>66</v>
      </c>
      <c r="C24" s="8">
        <v>2016</v>
      </c>
      <c r="D24">
        <f>STANDARDIZE(Dataset!X24,'standardized values'!$AB$9,'standardized values'!$AD$9)</f>
        <v>3.7344839787523426E-2</v>
      </c>
      <c r="E24">
        <f>STANDARDIZE(Dataset!Y24,'standardized values'!$AB$10,'standardized values'!$AD$10)</f>
        <v>-5.5435616912912682E-4</v>
      </c>
      <c r="F24">
        <f>STANDARDIZE(Dataset!Z24,'standardized values'!$AB$11,'standardized values'!$AD$11)</f>
        <v>-8.3521079139953575E-2</v>
      </c>
      <c r="G24">
        <f>STANDARDIZE(Dataset!AA24,'standardized values'!$AB$12,'standardized values'!$AD$12)</f>
        <v>0.43898699065144431</v>
      </c>
      <c r="H24">
        <f>STANDARDIZE(Dataset!AB24,'standardized values'!$AB$13,'standardized values'!$AD$13)</f>
        <v>0.37103515760810168</v>
      </c>
      <c r="I24">
        <f>STANDARDIZE(Dataset!AC24,'standardized values'!$AB$14,'standardized values'!$AD$14)</f>
        <v>0.3233983324734605</v>
      </c>
      <c r="J24">
        <f>STANDARDIZE(Dataset!AK24,'standardized values'!$AB$20,'standardized values'!$AD$20)</f>
        <v>-0.27808731464588893</v>
      </c>
      <c r="K24">
        <f>STANDARDIZE(Dataset!AL24,'standardized values'!$AB$21,'standardized values'!$AD$21)</f>
        <v>-0.14554173361031816</v>
      </c>
      <c r="L24">
        <f>STANDARDIZE(Dataset!AM24,'standardized values'!$AB$22,'standardized values'!$AD$22)</f>
        <v>-0.29007170521371939</v>
      </c>
      <c r="M24">
        <f>STANDARDIZE(Dataset!AN24,'standardized values'!$AB$23,'standardized values'!$AD$23)</f>
        <v>-0.52023202157562276</v>
      </c>
      <c r="N24">
        <f>STANDARDIZE(Dataset!AO24,'standardized values'!$AB$24,'standardized values'!$AD$24)</f>
        <v>-0.33254922651501906</v>
      </c>
      <c r="O24">
        <f>STANDARDIZE(Dataset!AP24,'standardized values'!$AB$27,'standardized values'!$AD$27)</f>
        <v>-0.36299312831830149</v>
      </c>
      <c r="P24">
        <f>STANDARDIZE(Dataset!AQ24,'standardized values'!$AB$28,'standardized values'!$AD$28)</f>
        <v>-0.18394280373942845</v>
      </c>
      <c r="Q24">
        <f>STANDARDIZE(Dataset!AD24,'standardized values'!$AB$15,'standardized values'!$AD$15)</f>
        <v>-0.3367460492818406</v>
      </c>
      <c r="R24">
        <f>STANDARDIZE(Dataset!AE24,'standardized values'!$AB$16,'standardized values'!$AD$16)</f>
        <v>-0.46618606369563031</v>
      </c>
      <c r="S24">
        <f>STANDARDIZE(Dataset!AF24,'standardized values'!$AB$17,'standardized values'!$AD$17)</f>
        <v>1.6911783793192907</v>
      </c>
      <c r="T24">
        <f>STANDARDIZE(Dataset!AG24,'standardized values'!$AB$18,'standardized values'!$AD$18)</f>
        <v>0.3005777479087246</v>
      </c>
      <c r="U24">
        <f>STANDARDIZE(Dataset!AH24,'standardized values'!$AB$19,'standardized values'!$AD$19)</f>
        <v>6.4974703713187948E-2</v>
      </c>
      <c r="V24">
        <f>STANDARDIZE(Dataset!AR24,AVERAGE(Dataset!$AR$2:$AR$51),STDEV(Dataset!$AR$2:$AR$51))</f>
        <v>0.1791493643992953</v>
      </c>
      <c r="W24">
        <f>STANDARDIZE(Dataset!AS24,AVERAGE(Dataset!$AS$2:$AS$51),STDEV(Dataset!$AS$2:$AS$51))</f>
        <v>8.4723510844791391E-2</v>
      </c>
      <c r="X24">
        <f>STANDARDIZE(Dataset!AT24,AVERAGE(Dataset!$AT$2:$AT$51),STDEV(Dataset!$AT$2:$AT$51))</f>
        <v>-2.1207591112651764E-2</v>
      </c>
      <c r="Y24"/>
      <c r="Z24" s="32" t="s">
        <v>113</v>
      </c>
      <c r="AA24" s="43">
        <v>50</v>
      </c>
      <c r="AB24" s="16">
        <f>AVERAGE(Dataset!$AO$2:$AO$51)</f>
        <v>8.2056941357923812</v>
      </c>
      <c r="AC24" s="16">
        <f>MEDIAN(Dataset!$AO$2:$AO$51)</f>
        <v>8.0253157991142654</v>
      </c>
      <c r="AD24" s="16">
        <f>STDEV(Dataset!$AO$2:$AO$51)</f>
        <v>1.9871399217732324</v>
      </c>
      <c r="AE24" s="16">
        <f>MAX(Dataset!$AO$2:$AO$51)</f>
        <v>13.147345366764762</v>
      </c>
      <c r="AF24" s="16">
        <f>MIN(Dataset!$AO$2:$AO$51)</f>
        <v>3.80238981924842</v>
      </c>
      <c r="AH24" s="8" t="s">
        <v>66</v>
      </c>
      <c r="AI24" s="28">
        <f t="shared" si="11"/>
        <v>0.24266528413143493</v>
      </c>
      <c r="AJ24" s="28">
        <f t="shared" si="0"/>
        <v>-0.10023071578274659</v>
      </c>
      <c r="AK24" s="28">
        <f t="shared" si="1"/>
        <v>0.81002214825954599</v>
      </c>
      <c r="AL24" s="28">
        <f t="shared" si="2"/>
        <v>-1.1428529533043612</v>
      </c>
      <c r="AM24" s="28">
        <f t="shared" si="3"/>
        <v>-0.54693593205772995</v>
      </c>
      <c r="AN24" s="28">
        <f t="shared" si="4"/>
        <v>-0.1474664337507714</v>
      </c>
      <c r="AO24">
        <f t="shared" si="5"/>
        <v>17</v>
      </c>
      <c r="AP24">
        <f t="shared" si="6"/>
        <v>22</v>
      </c>
      <c r="AQ24">
        <f t="shared" si="7"/>
        <v>12</v>
      </c>
      <c r="AR24">
        <f t="shared" si="8"/>
        <v>36</v>
      </c>
      <c r="AS24">
        <f t="shared" si="9"/>
        <v>32</v>
      </c>
      <c r="AT24" s="8">
        <f t="shared" si="10"/>
        <v>24</v>
      </c>
    </row>
    <row r="25" spans="1:46" s="8" customFormat="1" ht="15.75" customHeight="1" x14ac:dyDescent="0.25">
      <c r="A25" t="str">
        <f>Dataset!A25</f>
        <v>http://www.dfa.ms.gov/media/5221/2016-comprehensive-annual-financial-report-1.pdf</v>
      </c>
      <c r="B25" s="8" t="s">
        <v>67</v>
      </c>
      <c r="C25" s="8">
        <v>2016</v>
      </c>
      <c r="D25">
        <f>STANDARDIZE(Dataset!X25,'standardized values'!$AB$9,'standardized values'!$AD$9)</f>
        <v>-3.4698178730663158E-2</v>
      </c>
      <c r="E25">
        <f>STANDARDIZE(Dataset!Y25,'standardized values'!$AB$10,'standardized values'!$AD$10)</f>
        <v>-0.170839103466117</v>
      </c>
      <c r="F25">
        <f>STANDARDIZE(Dataset!Z25,'standardized values'!$AB$11,'standardized values'!$AD$11)</f>
        <v>-0.17257756034399932</v>
      </c>
      <c r="G25">
        <f>STANDARDIZE(Dataset!AA25,'standardized values'!$AB$12,'standardized values'!$AD$12)</f>
        <v>0.57963227963722785</v>
      </c>
      <c r="H25">
        <f>STANDARDIZE(Dataset!AB25,'standardized values'!$AB$13,'standardized values'!$AD$13)</f>
        <v>0.38120431374616659</v>
      </c>
      <c r="I25">
        <f>STANDARDIZE(Dataset!AC25,'standardized values'!$AB$14,'standardized values'!$AD$14)</f>
        <v>0.17367495830944363</v>
      </c>
      <c r="J25">
        <f>STANDARDIZE(Dataset!AK25,'standardized values'!$AB$20,'standardized values'!$AD$20)</f>
        <v>-0.2887628076938053</v>
      </c>
      <c r="K25">
        <f>STANDARDIZE(Dataset!AL25,'standardized values'!$AB$21,'standardized values'!$AD$21)</f>
        <v>-0.28046073648402214</v>
      </c>
      <c r="L25">
        <f>STANDARDIZE(Dataset!AM25,'standardized values'!$AB$22,'standardized values'!$AD$22)</f>
        <v>-0.20852394383205089</v>
      </c>
      <c r="M25">
        <f>STANDARDIZE(Dataset!AN25,'standardized values'!$AB$23,'standardized values'!$AD$23)</f>
        <v>-1.1987179273749478</v>
      </c>
      <c r="N25">
        <f>STANDARDIZE(Dataset!AO25,'standardized values'!$AB$24,'standardized values'!$AD$24)</f>
        <v>-0.91858747110915318</v>
      </c>
      <c r="O25">
        <f>STANDARDIZE(Dataset!AP25,'standardized values'!$AB$27,'standardized values'!$AD$27)</f>
        <v>-1.3440016582915535</v>
      </c>
      <c r="P25">
        <f>STANDARDIZE(Dataset!AQ25,'standardized values'!$AB$28,'standardized values'!$AD$28)</f>
        <v>-0.22981317586669553</v>
      </c>
      <c r="Q25">
        <f>STANDARDIZE(Dataset!AD25,'standardized values'!$AB$15,'standardized values'!$AD$15)</f>
        <v>-0.32843348961175767</v>
      </c>
      <c r="R25">
        <f>STANDARDIZE(Dataset!AE25,'standardized values'!$AB$16,'standardized values'!$AD$16)</f>
        <v>-0.32657793078929109</v>
      </c>
      <c r="S25">
        <f>STANDARDIZE(Dataset!AF25,'standardized values'!$AB$17,'standardized values'!$AD$17)</f>
        <v>0.50963406122457855</v>
      </c>
      <c r="T25">
        <f>STANDARDIZE(Dataset!AG25,'standardized values'!$AB$18,'standardized values'!$AD$18)</f>
        <v>1.1839638516410853</v>
      </c>
      <c r="U25">
        <f>STANDARDIZE(Dataset!AH25,'standardized values'!$AB$19,'standardized values'!$AD$19)</f>
        <v>0.71502773064328051</v>
      </c>
      <c r="V25">
        <f>STANDARDIZE(Dataset!AR25,AVERAGE(Dataset!$AR$2:$AR$51),STDEV(Dataset!$AR$2:$AR$51))</f>
        <v>6.3266182311160463E-2</v>
      </c>
      <c r="W25">
        <f>STANDARDIZE(Dataset!AS25,AVERAGE(Dataset!$AS$2:$AS$51),STDEV(Dataset!$AS$2:$AS$51))</f>
        <v>-0.15930735731421317</v>
      </c>
      <c r="X25">
        <f>STANDARDIZE(Dataset!AT25,AVERAGE(Dataset!$AT$2:$AT$51),STDEV(Dataset!$AT$2:$AT$51))</f>
        <v>-0.15753132474404252</v>
      </c>
      <c r="Y25"/>
      <c r="Z25" s="32" t="s">
        <v>138</v>
      </c>
      <c r="AA25" s="43">
        <v>50</v>
      </c>
      <c r="AB25" s="28">
        <f>AVERAGE(Dataset!$AI$2:$AI$51)</f>
        <v>0.42996354029039535</v>
      </c>
      <c r="AC25" s="28">
        <f>MEDIAN(Dataset!$AI$2:$AI$51)</f>
        <v>0.39699148595083045</v>
      </c>
      <c r="AD25" s="28">
        <f>STDEV(Dataset!$AI$2:$AI$51)</f>
        <v>0.15720548268397436</v>
      </c>
      <c r="AE25" s="28">
        <f>MAX(Dataset!$AI$2:$AI$51)</f>
        <v>0.90989031378503005</v>
      </c>
      <c r="AF25" s="28">
        <f>MIN(Dataset!$AI$2:$AI$51)</f>
        <v>0.17357284323662051</v>
      </c>
      <c r="AH25" s="8" t="s">
        <v>67</v>
      </c>
      <c r="AI25" s="28">
        <f t="shared" si="11"/>
        <v>-0.25357249974709523</v>
      </c>
      <c r="AJ25" s="28">
        <f t="shared" si="0"/>
        <v>-0.39554858586838382</v>
      </c>
      <c r="AK25" s="28">
        <f t="shared" si="1"/>
        <v>0.96083659338339444</v>
      </c>
      <c r="AL25" s="28">
        <f t="shared" si="2"/>
        <v>-2.325829342316152</v>
      </c>
      <c r="AM25" s="28">
        <f t="shared" si="3"/>
        <v>-1.573814834158249</v>
      </c>
      <c r="AN25" s="28">
        <f t="shared" si="4"/>
        <v>-0.71758573374129719</v>
      </c>
      <c r="AO25">
        <f t="shared" si="5"/>
        <v>19</v>
      </c>
      <c r="AP25">
        <f t="shared" si="6"/>
        <v>29</v>
      </c>
      <c r="AQ25">
        <f t="shared" si="7"/>
        <v>8</v>
      </c>
      <c r="AR25">
        <f t="shared" si="8"/>
        <v>44</v>
      </c>
      <c r="AS25">
        <f t="shared" si="9"/>
        <v>47</v>
      </c>
      <c r="AT25" s="8">
        <f t="shared" si="10"/>
        <v>36</v>
      </c>
    </row>
    <row r="26" spans="1:46" s="8" customFormat="1" ht="15.75" customHeight="1" x14ac:dyDescent="0.25">
      <c r="A26" t="str">
        <f>Dataset!A26</f>
        <v>https://oa.mo.gov/sites/default/files/CAFR_2016_0.pdf</v>
      </c>
      <c r="B26" s="8" t="s">
        <v>68</v>
      </c>
      <c r="C26" s="8">
        <v>2016</v>
      </c>
      <c r="D26">
        <f>STANDARDIZE(Dataset!X26,'standardized values'!$AB$9,'standardized values'!$AD$9)</f>
        <v>-0.10029443134868597</v>
      </c>
      <c r="E26">
        <f>STANDARDIZE(Dataset!Y26,'standardized values'!$AB$10,'standardized values'!$AD$10)</f>
        <v>0.27306673317622482</v>
      </c>
      <c r="F26">
        <f>STANDARDIZE(Dataset!Z26,'standardized values'!$AB$11,'standardized values'!$AD$11)</f>
        <v>0.19445578502003372</v>
      </c>
      <c r="G26">
        <f>STANDARDIZE(Dataset!AA26,'standardized values'!$AB$12,'standardized values'!$AD$12)</f>
        <v>0.20956496191800705</v>
      </c>
      <c r="H26">
        <f>STANDARDIZE(Dataset!AB26,'standardized values'!$AB$13,'standardized values'!$AD$13)</f>
        <v>0.17361282496060176</v>
      </c>
      <c r="I26">
        <f>STANDARDIZE(Dataset!AC26,'standardized values'!$AB$14,'standardized values'!$AD$14)</f>
        <v>0.21232234962352359</v>
      </c>
      <c r="J26">
        <f>STANDARDIZE(Dataset!AK26,'standardized values'!$AB$20,'standardized values'!$AD$20)</f>
        <v>-6.27397398847616E-2</v>
      </c>
      <c r="K26">
        <f>STANDARDIZE(Dataset!AL26,'standardized values'!$AB$21,'standardized values'!$AD$21)</f>
        <v>0.10885591521662968</v>
      </c>
      <c r="L26">
        <f>STANDARDIZE(Dataset!AM26,'standardized values'!$AB$22,'standardized values'!$AD$22)</f>
        <v>-3.0022629398828084E-2</v>
      </c>
      <c r="M26">
        <f>STANDARDIZE(Dataset!AN26,'standardized values'!$AB$23,'standardized values'!$AD$23)</f>
        <v>1.1447372699174929</v>
      </c>
      <c r="N26">
        <f>STANDARDIZE(Dataset!AO26,'standardized values'!$AB$24,'standardized values'!$AD$24)</f>
        <v>1.0951428406413646</v>
      </c>
      <c r="O26">
        <f>STANDARDIZE(Dataset!AP26,'standardized values'!$AB$27,'standardized values'!$AD$27)</f>
        <v>-0.31471483995912908</v>
      </c>
      <c r="P26">
        <f>STANDARDIZE(Dataset!AQ26,'standardized values'!$AB$28,'standardized values'!$AD$28)</f>
        <v>-0.2409128653339748</v>
      </c>
      <c r="Q26">
        <f>STANDARDIZE(Dataset!AD26,'standardized values'!$AB$15,'standardized values'!$AD$15)</f>
        <v>-0.45772644904617354</v>
      </c>
      <c r="R26">
        <f>STANDARDIZE(Dataset!AE26,'standardized values'!$AB$16,'standardized values'!$AD$16)</f>
        <v>-0.62306223895621271</v>
      </c>
      <c r="S26">
        <f>STANDARDIZE(Dataset!AF26,'standardized values'!$AB$17,'standardized values'!$AD$17)</f>
        <v>-0.82784187358205052</v>
      </c>
      <c r="T26">
        <f>STANDARDIZE(Dataset!AG26,'standardized values'!$AB$18,'standardized values'!$AD$18)</f>
        <v>-0.99146607030744471</v>
      </c>
      <c r="U26">
        <f>STANDARDIZE(Dataset!AH26,'standardized values'!$AB$19,'standardized values'!$AD$19)</f>
        <v>-0.9082743464373465</v>
      </c>
      <c r="V26">
        <f>STANDARDIZE(Dataset!AR26,AVERAGE(Dataset!$AR$2:$AR$51),STDEV(Dataset!$AR$2:$AR$51))</f>
        <v>-4.2247199037716544E-2</v>
      </c>
      <c r="W26">
        <f>STANDARDIZE(Dataset!AS26,AVERAGE(Dataset!$AS$2:$AS$51),STDEV(Dataset!$AS$2:$AS$51))</f>
        <v>0.47684314010967493</v>
      </c>
      <c r="X26">
        <f>STANDARDIZE(Dataset!AT26,AVERAGE(Dataset!$AT$2:$AT$51),STDEV(Dataset!$AT$2:$AT$51))</f>
        <v>0.40430713249978162</v>
      </c>
      <c r="Y26"/>
      <c r="Z26" s="32" t="s">
        <v>140</v>
      </c>
      <c r="AA26" s="45">
        <v>48</v>
      </c>
      <c r="AB26" s="28">
        <f>AVERAGE(Dataset!$AJ$2:$AJ$51)</f>
        <v>3.6663875127407583E-2</v>
      </c>
      <c r="AC26" s="28">
        <f>MEDIAN(Dataset!$AJ$2:$AJ$51)</f>
        <v>2.8260697790673486E-2</v>
      </c>
      <c r="AD26" s="28">
        <f>STDEV(Dataset!$AJ$2:$AJ$51)</f>
        <v>4.5502170456755767E-2</v>
      </c>
      <c r="AE26" s="28">
        <f>MAX(Dataset!$AJ$2:$AJ$51)</f>
        <v>0.20678157249598564</v>
      </c>
      <c r="AF26" s="28">
        <f>MIN(Dataset!$AJ$2:$AJ$51)</f>
        <v>0</v>
      </c>
      <c r="AH26" s="8" t="s">
        <v>68</v>
      </c>
      <c r="AI26" s="28">
        <f t="shared" si="11"/>
        <v>0.83890307357173999</v>
      </c>
      <c r="AJ26" s="28">
        <f t="shared" si="0"/>
        <v>0.25843852495539166</v>
      </c>
      <c r="AK26" s="28">
        <f t="shared" si="1"/>
        <v>0.38317778687860882</v>
      </c>
      <c r="AL26" s="28">
        <f t="shared" si="2"/>
        <v>2.2098574811600296</v>
      </c>
      <c r="AM26" s="28">
        <f t="shared" si="3"/>
        <v>-0.5556277052931039</v>
      </c>
      <c r="AN26" s="28">
        <f t="shared" si="4"/>
        <v>0.62694983225453316</v>
      </c>
      <c r="AO26">
        <f t="shared" si="5"/>
        <v>14</v>
      </c>
      <c r="AP26">
        <f t="shared" si="6"/>
        <v>15</v>
      </c>
      <c r="AQ26">
        <f t="shared" si="7"/>
        <v>26</v>
      </c>
      <c r="AR26">
        <f t="shared" si="8"/>
        <v>8</v>
      </c>
      <c r="AS26">
        <f t="shared" si="9"/>
        <v>33</v>
      </c>
      <c r="AT26" s="8">
        <f t="shared" si="10"/>
        <v>15</v>
      </c>
    </row>
    <row r="27" spans="1:46" ht="15.75" customHeight="1" x14ac:dyDescent="0.25">
      <c r="A27" t="str">
        <f>Dataset!A27</f>
        <v>http://sfsd.mt.gov/Portals/24/Final%20CAFR%20Web%20Version%20-%20Protected_1.pdf</v>
      </c>
      <c r="B27" s="8" t="s">
        <v>69</v>
      </c>
      <c r="C27" s="8">
        <v>2016</v>
      </c>
      <c r="D27">
        <f>STANDARDIZE(Dataset!X27,'standardized values'!$AB$9,'standardized values'!$AD$9)</f>
        <v>0.69322534802700231</v>
      </c>
      <c r="E27">
        <f>STANDARDIZE(Dataset!Y27,'standardized values'!$AB$10,'standardized values'!$AD$10)</f>
        <v>0.72143908878139074</v>
      </c>
      <c r="F27">
        <f>STANDARDIZE(Dataset!Z27,'standardized values'!$AB$11,'standardized values'!$AD$11)</f>
        <v>0.79577020113004548</v>
      </c>
      <c r="G27">
        <f>STANDARDIZE(Dataset!AA27,'standardized values'!$AB$12,'standardized values'!$AD$12)</f>
        <v>0.45897962918667384</v>
      </c>
      <c r="H27">
        <f>STANDARDIZE(Dataset!AB27,'standardized values'!$AB$13,'standardized values'!$AD$13)</f>
        <v>0.32188696683830681</v>
      </c>
      <c r="I27">
        <f>STANDARDIZE(Dataset!AC27,'standardized values'!$AB$14,'standardized values'!$AD$14)</f>
        <v>0.51503292147332602</v>
      </c>
      <c r="J27">
        <f>STANDARDIZE(Dataset!AK27,'standardized values'!$AB$20,'standardized values'!$AD$20)</f>
        <v>0.17645849163230085</v>
      </c>
      <c r="K27">
        <f>STANDARDIZE(Dataset!AL27,'standardized values'!$AB$21,'standardized values'!$AD$21)</f>
        <v>-7.8882084748110134E-2</v>
      </c>
      <c r="L27">
        <f>STANDARDIZE(Dataset!AM27,'standardized values'!$AB$22,'standardized values'!$AD$22)</f>
        <v>-0.13366339589388954</v>
      </c>
      <c r="M27">
        <f>STANDARDIZE(Dataset!AN27,'standardized values'!$AB$23,'standardized values'!$AD$23)</f>
        <v>-0.49051527892128505</v>
      </c>
      <c r="N27">
        <f>STANDARDIZE(Dataset!AO27,'standardized values'!$AB$24,'standardized values'!$AD$24)</f>
        <v>-0.29896321863085185</v>
      </c>
      <c r="O27">
        <f>STANDARDIZE(Dataset!AP27,'standardized values'!$AB$27,'standardized values'!$AD$27)</f>
        <v>-0.78980578430711335</v>
      </c>
      <c r="P27">
        <f>STANDARDIZE(Dataset!AQ27,'standardized values'!$AB$28,'standardized values'!$AD$28)</f>
        <v>-0.23883385901969911</v>
      </c>
      <c r="Q27">
        <f>STANDARDIZE(Dataset!AD27,'standardized values'!$AB$15,'standardized values'!$AD$15)</f>
        <v>-0.53397347044809906</v>
      </c>
      <c r="R27">
        <f>STANDARDIZE(Dataset!AE27,'standardized values'!$AB$16,'standardized values'!$AD$16)</f>
        <v>-0.51723979473856974</v>
      </c>
      <c r="S27">
        <f>STANDARDIZE(Dataset!AF27,'standardized values'!$AB$17,'standardized values'!$AD$17)</f>
        <v>-0.18494779849649887</v>
      </c>
      <c r="T27">
        <f>STANDARDIZE(Dataset!AG27,'standardized values'!$AB$18,'standardized values'!$AD$18)</f>
        <v>0.26846449710504572</v>
      </c>
      <c r="U27">
        <f>STANDARDIZE(Dataset!AH27,'standardized values'!$AB$19,'standardized values'!$AD$19)</f>
        <v>3.3746439468106189E-2</v>
      </c>
      <c r="V27">
        <f>STANDARDIZE(Dataset!AR27,AVERAGE(Dataset!$AR$2:$AR$51),STDEV(Dataset!$AR$2:$AR$51))</f>
        <v>1.2341512497684803</v>
      </c>
      <c r="W27">
        <f>STANDARDIZE(Dataset!AS27,AVERAGE(Dataset!$AS$2:$AS$51),STDEV(Dataset!$AS$2:$AS$51))</f>
        <v>1.1193944956106852</v>
      </c>
      <c r="X27">
        <f>STANDARDIZE(Dataset!AT27,AVERAGE(Dataset!$AT$2:$AT$51),STDEV(Dataset!$AT$2:$AT$51))</f>
        <v>1.32477271998105</v>
      </c>
      <c r="Z27" s="9" t="s">
        <v>139</v>
      </c>
      <c r="AA27" s="55">
        <v>50</v>
      </c>
      <c r="AB27" s="41">
        <f>AVERAGE(Dataset!$AP$2:$AP$51)</f>
        <v>2.6161152319322416</v>
      </c>
      <c r="AC27" s="41">
        <f>MEDIAN(Dataset!$AP$2:$AP$51)</f>
        <v>2.5189641187198979</v>
      </c>
      <c r="AD27" s="41">
        <f>STDEV(Dataset!$AP$2:$AP$51)</f>
        <v>0.90363970420098216</v>
      </c>
      <c r="AE27" s="41">
        <f>MAX(Dataset!$AP$2:$AP$51)</f>
        <v>5.761269916151373</v>
      </c>
      <c r="AF27" s="41">
        <f>MIN(Dataset!$AP$2:$AP$51)</f>
        <v>1.099033570145532</v>
      </c>
      <c r="AH27" s="8" t="s">
        <v>69</v>
      </c>
      <c r="AI27" s="28">
        <f t="shared" si="11"/>
        <v>3.6783184653602152</v>
      </c>
      <c r="AJ27" s="28">
        <f t="shared" si="0"/>
        <v>0.6126093283575168</v>
      </c>
      <c r="AK27" s="28">
        <f t="shared" si="1"/>
        <v>0.78086659602498065</v>
      </c>
      <c r="AL27" s="28">
        <f t="shared" si="2"/>
        <v>-0.92314189344602637</v>
      </c>
      <c r="AM27" s="28">
        <f t="shared" si="3"/>
        <v>-1.0286396433268123</v>
      </c>
      <c r="AN27" s="28">
        <f t="shared" si="4"/>
        <v>0.62400257059397479</v>
      </c>
      <c r="AO27">
        <f t="shared" si="5"/>
        <v>5</v>
      </c>
      <c r="AP27">
        <f t="shared" si="6"/>
        <v>13</v>
      </c>
      <c r="AQ27">
        <f t="shared" si="7"/>
        <v>14</v>
      </c>
      <c r="AR27">
        <f t="shared" si="8"/>
        <v>34</v>
      </c>
      <c r="AS27">
        <f t="shared" si="9"/>
        <v>40</v>
      </c>
      <c r="AT27" s="8">
        <f t="shared" si="10"/>
        <v>16</v>
      </c>
    </row>
    <row r="28" spans="1:46" x14ac:dyDescent="0.25">
      <c r="A28" t="str">
        <f>Dataset!A28</f>
        <v>http://das.nebraska.gov/accounting/cafr/cafr2016.pdf</v>
      </c>
      <c r="B28" s="8" t="s">
        <v>70</v>
      </c>
      <c r="C28" s="8">
        <v>2016</v>
      </c>
      <c r="D28">
        <f>STANDARDIZE(Dataset!X28,'standardized values'!$AB$9,'standardized values'!$AD$9)</f>
        <v>0.28689973411970954</v>
      </c>
      <c r="E28">
        <f>STANDARDIZE(Dataset!Y28,'standardized values'!$AB$10,'standardized values'!$AD$10)</f>
        <v>0.34189786020045038</v>
      </c>
      <c r="F28">
        <f>STANDARDIZE(Dataset!Z28,'standardized values'!$AB$11,'standardized values'!$AD$11)</f>
        <v>0.28510274883480724</v>
      </c>
      <c r="G28">
        <f>STANDARDIZE(Dataset!AA28,'standardized values'!$AB$12,'standardized values'!$AD$12)</f>
        <v>-0.15596491181704963</v>
      </c>
      <c r="H28">
        <f>STANDARDIZE(Dataset!AB28,'standardized values'!$AB$13,'standardized values'!$AD$13)</f>
        <v>6.9773326293145949E-2</v>
      </c>
      <c r="I28">
        <f>STANDARDIZE(Dataset!AC28,'standardized values'!$AB$14,'standardized values'!$AD$14)</f>
        <v>0.59600252605838611</v>
      </c>
      <c r="J28">
        <f>STANDARDIZE(Dataset!AK28,'standardized values'!$AB$20,'standardized values'!$AD$20)</f>
        <v>5.0624452309064143</v>
      </c>
      <c r="K28">
        <f>STANDARDIZE(Dataset!AL28,'standardized values'!$AB$21,'standardized values'!$AD$21)</f>
        <v>5.3194768093451428</v>
      </c>
      <c r="L28">
        <f>STANDARDIZE(Dataset!AM28,'standardized values'!$AB$22,'standardized values'!$AD$22)</f>
        <v>-0.12808042766727026</v>
      </c>
      <c r="M28">
        <f>STANDARDIZE(Dataset!AN28,'standardized values'!$AB$23,'standardized values'!$AD$23)</f>
        <v>1.5392533898724916</v>
      </c>
      <c r="N28">
        <f>STANDARDIZE(Dataset!AO28,'standardized values'!$AB$24,'standardized values'!$AD$24)</f>
        <v>1.2789940802783191</v>
      </c>
      <c r="O28">
        <f>STANDARDIZE(Dataset!AP28,'standardized values'!$AB$27,'standardized values'!$AD$27)</f>
        <v>2.1183227821566879</v>
      </c>
      <c r="P28" t="e">
        <f>STANDARDIZE(Dataset!AQ28,'standardized values'!$AB$28,'standardized values'!$AD$28)</f>
        <v>#DIV/0!</v>
      </c>
      <c r="Q28">
        <f>STANDARDIZE(Dataset!AD28,'standardized values'!$AB$15,'standardized values'!$AD$15)</f>
        <v>-0.74687423678329257</v>
      </c>
      <c r="R28">
        <f>STANDARDIZE(Dataset!AE28,'standardized values'!$AB$16,'standardized values'!$AD$16)</f>
        <v>-0.99210810876630129</v>
      </c>
      <c r="S28">
        <f>STANDARDIZE(Dataset!AF28,'standardized values'!$AB$17,'standardized values'!$AD$17)</f>
        <v>-0.22728872381032841</v>
      </c>
      <c r="T28">
        <f>STANDARDIZE(Dataset!AG28,'standardized values'!$AB$18,'standardized values'!$AD$18)</f>
        <v>-1.1958465938755616</v>
      </c>
      <c r="U28">
        <f>STANDARDIZE(Dataset!AH28,'standardized values'!$AB$19,'standardized values'!$AD$19)</f>
        <v>-0.99625986123162702</v>
      </c>
      <c r="V28">
        <f>STANDARDIZE(Dataset!AR28,AVERAGE(Dataset!$AR$2:$AR$51),STDEV(Dataset!$AR$2:$AR$51))</f>
        <v>0.58056529415495362</v>
      </c>
      <c r="W28">
        <f>STANDARDIZE(Dataset!AS28,AVERAGE(Dataset!$AS$2:$AS$51),STDEV(Dataset!$AS$2:$AS$51))</f>
        <v>0.57548332926760082</v>
      </c>
      <c r="X28">
        <f>STANDARDIZE(Dataset!AT28,AVERAGE(Dataset!$AT$2:$AT$51),STDEV(Dataset!$AT$2:$AT$51))</f>
        <v>0.54306550676415932</v>
      </c>
      <c r="Z28" s="53" t="s">
        <v>141</v>
      </c>
      <c r="AA28" s="56">
        <v>48</v>
      </c>
      <c r="AB28" s="35">
        <f>AVERAGE(Dataset!$AQ$2:$AQ$27,Dataset!$AQ$29:$AQ$41,Dataset!$AQ$43:$AQ$51)</f>
        <v>1554.6472464531878</v>
      </c>
      <c r="AC28" s="35">
        <f>MEDIAN(Dataset!$AQ$2:$AQ$27,Dataset!$AQ$29:$AQ$41,Dataset!$AQ$43:$AQ$51)</f>
        <v>33.141672625582075</v>
      </c>
      <c r="AD28" s="35">
        <f>STDEV(Dataset!$AQ$2:$AQ$27,Dataset!$AQ$29:$AQ$41,Dataset!$AQ$43:$AQ$51)</f>
        <v>6105.735722485354</v>
      </c>
      <c r="AE28" s="35">
        <f>MAX(Dataset!$AQ$2:$AQ$27,Dataset!$AQ$29:$AQ$41,Dataset!$AQ$43:$AQ$51)</f>
        <v>34369.702205177375</v>
      </c>
      <c r="AF28" s="35">
        <f>MIN(Dataset!$AQ$2:$AQ$27,Dataset!$AQ$29:$AQ$41,Dataset!$AQ$43:$AQ$51)</f>
        <v>4.8360208694099835</v>
      </c>
      <c r="AH28" s="8" t="s">
        <v>70</v>
      </c>
      <c r="AI28" s="28">
        <f t="shared" si="11"/>
        <v>1.6991141301867136</v>
      </c>
      <c r="AJ28" s="28">
        <f t="shared" si="0"/>
        <v>10.977924566309945</v>
      </c>
      <c r="AK28" s="28">
        <f t="shared" si="1"/>
        <v>-8.6191585523903685E-2</v>
      </c>
      <c r="AL28" s="28">
        <f t="shared" si="2"/>
        <v>2.6901670424835404</v>
      </c>
      <c r="AM28" s="28">
        <f>SUM(O28:O28)</f>
        <v>2.1183227821566879</v>
      </c>
      <c r="AN28" s="28">
        <f t="shared" si="4"/>
        <v>3.4798673871225967</v>
      </c>
      <c r="AO28">
        <f t="shared" si="5"/>
        <v>12</v>
      </c>
      <c r="AP28">
        <f t="shared" si="6"/>
        <v>1</v>
      </c>
      <c r="AQ28">
        <f t="shared" si="7"/>
        <v>37</v>
      </c>
      <c r="AR28">
        <f t="shared" si="8"/>
        <v>7</v>
      </c>
      <c r="AS28">
        <f t="shared" si="9"/>
        <v>4</v>
      </c>
      <c r="AT28" s="8">
        <f t="shared" si="10"/>
        <v>1</v>
      </c>
    </row>
    <row r="29" spans="1:46" ht="15.75" customHeight="1" x14ac:dyDescent="0.25">
      <c r="A29" t="str">
        <f>Dataset!A29</f>
        <v>http://controller.nv.gov/FinancialReports/CAFR_pdf_files/FY16All.pdf</v>
      </c>
      <c r="B29" s="8" t="s">
        <v>71</v>
      </c>
      <c r="C29" s="8">
        <v>2016</v>
      </c>
      <c r="D29">
        <f>STANDARDIZE(Dataset!X29,'standardized values'!$AB$9,'standardized values'!$AD$9)</f>
        <v>-0.3006031109573285</v>
      </c>
      <c r="E29">
        <f>STANDARDIZE(Dataset!Y29,'standardized values'!$AB$10,'standardized values'!$AD$10)</f>
        <v>-0.13294286339688102</v>
      </c>
      <c r="F29">
        <f>STANDARDIZE(Dataset!Z29,'standardized values'!$AB$11,'standardized values'!$AD$11)</f>
        <v>-0.20649793240369005</v>
      </c>
      <c r="G29">
        <f>STANDARDIZE(Dataset!AA29,'standardized values'!$AB$12,'standardized values'!$AD$12)</f>
        <v>1.7242312800879038</v>
      </c>
      <c r="H29">
        <f>STANDARDIZE(Dataset!AB29,'standardized values'!$AB$13,'standardized values'!$AD$13)</f>
        <v>0.57123688102856907</v>
      </c>
      <c r="I29">
        <f>STANDARDIZE(Dataset!AC29,'standardized values'!$AB$14,'standardized values'!$AD$14)</f>
        <v>0.26424415194068152</v>
      </c>
      <c r="J29">
        <f>STANDARDIZE(Dataset!AK29,'standardized values'!$AB$20,'standardized values'!$AD$20)</f>
        <v>-0.29845421829348112</v>
      </c>
      <c r="K29">
        <f>STANDARDIZE(Dataset!AL29,'standardized values'!$AB$21,'standardized values'!$AD$21)</f>
        <v>0.17264207188877898</v>
      </c>
      <c r="L29">
        <f>STANDARDIZE(Dataset!AM29,'standardized values'!$AB$22,'standardized values'!$AD$22)</f>
        <v>8.2186008028275991E-3</v>
      </c>
      <c r="M29">
        <f>STANDARDIZE(Dataset!AN29,'standardized values'!$AB$23,'standardized values'!$AD$23)</f>
        <v>1.860182039225514</v>
      </c>
      <c r="N29">
        <f>STANDARDIZE(Dataset!AO29,'standardized values'!$AB$24,'standardized values'!$AD$24)</f>
        <v>2.4868159392433111</v>
      </c>
      <c r="O29">
        <f>STANDARDIZE(Dataset!AP29,'standardized values'!$AB$27,'standardized values'!$AD$27)</f>
        <v>-1.2033179589630971</v>
      </c>
      <c r="P29">
        <f>STANDARDIZE(Dataset!AQ29,'standardized values'!$AB$28,'standardized values'!$AD$28)</f>
        <v>-0.24008287813132956</v>
      </c>
      <c r="Q29">
        <f>STANDARDIZE(Dataset!AD29,'standardized values'!$AB$15,'standardized values'!$AD$15)</f>
        <v>-0.32062027887865679</v>
      </c>
      <c r="R29">
        <f>STANDARDIZE(Dataset!AE29,'standardized values'!$AB$16,'standardized values'!$AD$16)</f>
        <v>-0.65021365190247116</v>
      </c>
      <c r="S29">
        <f>STANDARDIZE(Dataset!AF29,'standardized values'!$AB$17,'standardized values'!$AD$17)</f>
        <v>-1.0067057302427977</v>
      </c>
      <c r="T29">
        <f>STANDARDIZE(Dataset!AG29,'standardized values'!$AB$18,'standardized values'!$AD$18)</f>
        <v>-1.3438510512300601</v>
      </c>
      <c r="U29">
        <f>STANDARDIZE(Dataset!AH29,'standardized values'!$AB$19,'standardized values'!$AD$19)</f>
        <v>-1.4527024004164237</v>
      </c>
      <c r="V29">
        <f>STANDARDIZE(Dataset!AR29,AVERAGE(Dataset!$AR$2:$AR$51),STDEV(Dataset!$AR$2:$AR$51))</f>
        <v>-0.36444923429894627</v>
      </c>
      <c r="W29">
        <f>STANDARDIZE(Dataset!AS29,AVERAGE(Dataset!$AS$2:$AS$51),STDEV(Dataset!$AS$2:$AS$51))</f>
        <v>-0.10499919107587798</v>
      </c>
      <c r="X29">
        <f>STANDARDIZE(Dataset!AT29,AVERAGE(Dataset!$AT$2:$AT$51),STDEV(Dataset!$AT$2:$AT$51))</f>
        <v>-0.20945513425037274</v>
      </c>
      <c r="Z29" s="9" t="s">
        <v>161</v>
      </c>
      <c r="AA29" s="59">
        <v>50</v>
      </c>
      <c r="AB29" s="28">
        <f>AVERAGE(Dataset!AR2:AR51)</f>
        <v>2.0357211243293816</v>
      </c>
      <c r="AC29" s="15">
        <f>MEDIAN(Dataset!AR2:AR51)</f>
        <v>1.5044788268759979</v>
      </c>
      <c r="AD29" s="15">
        <f>STDEV(Dataset!AR2:AR51)</f>
        <v>1.5715630794229509</v>
      </c>
      <c r="AE29" s="15">
        <f>MAX(Dataset!AR2:AR51)</f>
        <v>7.7159909433013656</v>
      </c>
      <c r="AF29" s="15">
        <f>MIN(Dataset!AR2:AR51)</f>
        <v>0.42054752414552299</v>
      </c>
      <c r="AH29" s="8" t="s">
        <v>71</v>
      </c>
      <c r="AI29" s="28">
        <f t="shared" si="11"/>
        <v>-0.678903559625197</v>
      </c>
      <c r="AJ29" s="28">
        <f t="shared" si="0"/>
        <v>0.13843200553597937</v>
      </c>
      <c r="AK29" s="28">
        <f t="shared" si="1"/>
        <v>2.2954681611164727</v>
      </c>
      <c r="AL29" s="28">
        <f t="shared" si="2"/>
        <v>4.3552165792716524</v>
      </c>
      <c r="AM29" s="28">
        <f t="shared" ref="AM29:AM41" si="12">SUM(O29:P29)</f>
        <v>-1.4434008370944267</v>
      </c>
      <c r="AN29" s="28">
        <f t="shared" si="4"/>
        <v>0.9333624698408961</v>
      </c>
      <c r="AO29">
        <f t="shared" si="5"/>
        <v>24</v>
      </c>
      <c r="AP29">
        <f t="shared" si="6"/>
        <v>16</v>
      </c>
      <c r="AQ29">
        <f t="shared" si="7"/>
        <v>1</v>
      </c>
      <c r="AR29">
        <f t="shared" si="8"/>
        <v>1</v>
      </c>
      <c r="AS29">
        <f t="shared" si="9"/>
        <v>45</v>
      </c>
      <c r="AT29" s="8">
        <f t="shared" si="10"/>
        <v>10</v>
      </c>
    </row>
    <row r="30" spans="1:46" ht="15.75" customHeight="1" x14ac:dyDescent="0.25">
      <c r="A30" t="str">
        <f>Dataset!A30</f>
        <v>https://das.nh.gov/accounting/FY%2016/CAFR%20FY16.pdf</v>
      </c>
      <c r="B30" s="8" t="s">
        <v>72</v>
      </c>
      <c r="C30" s="8">
        <v>2016</v>
      </c>
      <c r="D30">
        <f>STANDARDIZE(Dataset!X30,'standardized values'!$AB$9,'standardized values'!$AD$9)</f>
        <v>-0.58235417802832012</v>
      </c>
      <c r="E30">
        <f>STANDARDIZE(Dataset!Y30,'standardized values'!$AB$10,'standardized values'!$AD$10)</f>
        <v>-0.60317158646316449</v>
      </c>
      <c r="F30">
        <f>STANDARDIZE(Dataset!Z30,'standardized values'!$AB$11,'standardized values'!$AD$11)</f>
        <v>-0.15702421933866481</v>
      </c>
      <c r="G30">
        <f>STANDARDIZE(Dataset!AA30,'standardized values'!$AB$12,'standardized values'!$AD$12)</f>
        <v>0.39335036202104301</v>
      </c>
      <c r="H30">
        <f>STANDARDIZE(Dataset!AB30,'standardized values'!$AB$13,'standardized values'!$AD$13)</f>
        <v>0.46740518185420771</v>
      </c>
      <c r="I30">
        <f>STANDARDIZE(Dataset!AC30,'standardized values'!$AB$14,'standardized values'!$AD$14)</f>
        <v>0.1927859972251886</v>
      </c>
      <c r="J30">
        <f>STANDARDIZE(Dataset!AK30,'standardized values'!$AB$20,'standardized values'!$AD$20)</f>
        <v>-0.44870053020171702</v>
      </c>
      <c r="K30">
        <f>STANDARDIZE(Dataset!AL30,'standardized values'!$AB$21,'standardized values'!$AD$21)</f>
        <v>-0.17228554625366091</v>
      </c>
      <c r="L30">
        <f>STANDARDIZE(Dataset!AM30,'standardized values'!$AB$22,'standardized values'!$AD$22)</f>
        <v>0.20127473865784601</v>
      </c>
      <c r="M30">
        <f>STANDARDIZE(Dataset!AN30,'standardized values'!$AB$23,'standardized values'!$AD$23)</f>
        <v>1.7944918387411251</v>
      </c>
      <c r="N30">
        <f>STANDARDIZE(Dataset!AO30,'standardized values'!$AB$24,'standardized values'!$AD$24)</f>
        <v>1.7701002872532678</v>
      </c>
      <c r="O30">
        <f>STANDARDIZE(Dataset!AP30,'standardized values'!$AB$27,'standardized values'!$AD$27)</f>
        <v>1.2359529357588277</v>
      </c>
      <c r="P30">
        <f>STANDARDIZE(Dataset!AQ30,'standardized values'!$AB$28,'standardized values'!$AD$28)</f>
        <v>-0.24865830135735037</v>
      </c>
      <c r="Q30">
        <f>STANDARDIZE(Dataset!AD30,'standardized values'!$AB$15,'standardized values'!$AD$15)</f>
        <v>-0.15396955050537214</v>
      </c>
      <c r="R30">
        <f>STANDARDIZE(Dataset!AE30,'standardized values'!$AB$16,'standardized values'!$AD$16)</f>
        <v>-0.44289969363405085</v>
      </c>
      <c r="S30">
        <f>STANDARDIZE(Dataset!AF30,'standardized values'!$AB$17,'standardized values'!$AD$17)</f>
        <v>-1.6383865250042668</v>
      </c>
      <c r="T30">
        <f>STANDARDIZE(Dataset!AG30,'standardized values'!$AB$18,'standardized values'!$AD$18)</f>
        <v>-1.3147550259079261</v>
      </c>
      <c r="U30">
        <f>STANDARDIZE(Dataset!AH30,'standardized values'!$AB$19,'standardized values'!$AD$19)</f>
        <v>-1.2043986874752737</v>
      </c>
      <c r="V30">
        <f>STANDARDIZE(Dataset!AR30,AVERAGE(Dataset!$AR$2:$AR$51),STDEV(Dataset!$AR$2:$AR$51))</f>
        <v>-0.81765359581069741</v>
      </c>
      <c r="W30">
        <f>STANDARDIZE(Dataset!AS30,AVERAGE(Dataset!$AS$2:$AS$51),STDEV(Dataset!$AS$2:$AS$51))</f>
        <v>-0.77887236729778064</v>
      </c>
      <c r="X30">
        <f>STANDARDIZE(Dataset!AT30,AVERAGE(Dataset!$AT$2:$AT$51),STDEV(Dataset!$AT$2:$AT$51))</f>
        <v>-0.13372295630613609</v>
      </c>
      <c r="Z30" t="s">
        <v>163</v>
      </c>
      <c r="AA30" s="60">
        <v>50</v>
      </c>
      <c r="AB30" s="28">
        <f>AVERAGE(Dataset!AS2:AS51)</f>
        <v>2.8405240183074589</v>
      </c>
      <c r="AC30" s="15">
        <f>MEDIAN(Dataset!AS2:AS51)</f>
        <v>2.4487060268529417</v>
      </c>
      <c r="AD30" s="15">
        <f>STDEV(Dataset!AS2:AS51)</f>
        <v>1.7688413850863065</v>
      </c>
      <c r="AE30" s="15">
        <f>MAX(Dataset!AS2:AS51)</f>
        <v>9.8138620577049238</v>
      </c>
      <c r="AF30" s="15">
        <f>MIN(Dataset!AS2:AS51)</f>
        <v>0.91653359231151732</v>
      </c>
      <c r="AH30" s="8" t="s">
        <v>72</v>
      </c>
      <c r="AI30" s="28">
        <f t="shared" si="11"/>
        <v>-1.7302489194146142</v>
      </c>
      <c r="AJ30" s="28">
        <f t="shared" si="0"/>
        <v>-0.42820007923018932</v>
      </c>
      <c r="AK30" s="28">
        <f t="shared" si="1"/>
        <v>0.86075554387525077</v>
      </c>
      <c r="AL30" s="28">
        <f t="shared" si="2"/>
        <v>3.7658668646522386</v>
      </c>
      <c r="AM30" s="28">
        <f t="shared" si="12"/>
        <v>0.98729463440147736</v>
      </c>
      <c r="AN30" s="28">
        <f t="shared" si="4"/>
        <v>0.69109360885683269</v>
      </c>
      <c r="AO30">
        <f t="shared" si="5"/>
        <v>36</v>
      </c>
      <c r="AP30">
        <f t="shared" si="6"/>
        <v>30</v>
      </c>
      <c r="AQ30">
        <f t="shared" si="7"/>
        <v>10</v>
      </c>
      <c r="AR30">
        <f t="shared" si="8"/>
        <v>3</v>
      </c>
      <c r="AS30">
        <f t="shared" si="9"/>
        <v>8</v>
      </c>
      <c r="AT30" s="8">
        <f t="shared" si="10"/>
        <v>12</v>
      </c>
    </row>
    <row r="31" spans="1:46" s="8" customFormat="1" ht="15.75" customHeight="1" x14ac:dyDescent="0.25">
      <c r="A31" t="str">
        <f>Dataset!A31</f>
        <v>http://www.state.nj.us/treasury/omb/publications/16cafr/pdf/fullcafr.pdf</v>
      </c>
      <c r="B31" s="8" t="s">
        <v>73</v>
      </c>
      <c r="C31" s="8">
        <v>2016</v>
      </c>
      <c r="D31">
        <f>STANDARDIZE(Dataset!X31,'standardized values'!$AB$9,'standardized values'!$AD$9)</f>
        <v>-0.50997184557680919</v>
      </c>
      <c r="E31">
        <f>STANDARDIZE(Dataset!Y31,'standardized values'!$AB$10,'standardized values'!$AD$10)</f>
        <v>-0.21816838663332691</v>
      </c>
      <c r="F31">
        <f>STANDARDIZE(Dataset!Z31,'standardized values'!$AB$11,'standardized values'!$AD$11)</f>
        <v>-0.30282746696093371</v>
      </c>
      <c r="G31">
        <f>STANDARDIZE(Dataset!AA31,'standardized values'!$AB$12,'standardized values'!$AD$12)</f>
        <v>-1.3406428119571969</v>
      </c>
      <c r="H31">
        <f>STANDARDIZE(Dataset!AB31,'standardized values'!$AB$13,'standardized values'!$AD$13)</f>
        <v>-0.69877050668815222</v>
      </c>
      <c r="I31">
        <f>STANDARDIZE(Dataset!AC31,'standardized values'!$AB$14,'standardized values'!$AD$14)</f>
        <v>-3.7706994869874668</v>
      </c>
      <c r="J31">
        <f>STANDARDIZE(Dataset!AK31,'standardized values'!$AB$20,'standardized values'!$AD$20)</f>
        <v>-0.81894003012071048</v>
      </c>
      <c r="K31">
        <f>STANDARDIZE(Dataset!AL31,'standardized values'!$AB$21,'standardized values'!$AD$21)</f>
        <v>-0.7625740335093063</v>
      </c>
      <c r="L31">
        <f>STANDARDIZE(Dataset!AM31,'standardized values'!$AB$22,'standardized values'!$AD$22)</f>
        <v>-0.14855290183155029</v>
      </c>
      <c r="M31">
        <f>STANDARDIZE(Dataset!AN31,'standardized values'!$AB$23,'standardized values'!$AD$23)</f>
        <v>0.73841981892435482</v>
      </c>
      <c r="N31">
        <f>STANDARDIZE(Dataset!AO31,'standardized values'!$AB$24,'standardized values'!$AD$24)</f>
        <v>9.6011684747996234E-2</v>
      </c>
      <c r="O31">
        <f>STANDARDIZE(Dataset!AP31,'standardized values'!$AB$27,'standardized values'!$AD$27)</f>
        <v>-0.64448505237293618</v>
      </c>
      <c r="P31">
        <f>STANDARDIZE(Dataset!AQ31,'standardized values'!$AB$28,'standardized values'!$AD$28)</f>
        <v>-0.25355811989398036</v>
      </c>
      <c r="Q31">
        <f>STANDARDIZE(Dataset!AD31,'standardized values'!$AB$15,'standardized values'!$AD$15)</f>
        <v>4.1195521028198687</v>
      </c>
      <c r="R31">
        <f>STANDARDIZE(Dataset!AE31,'standardized values'!$AB$16,'standardized values'!$AD$16)</f>
        <v>3.5147155642196428</v>
      </c>
      <c r="S31">
        <f>STANDARDIZE(Dataset!AF31,'standardized values'!$AB$17,'standardized values'!$AD$17)</f>
        <v>-6.6522734010699719E-2</v>
      </c>
      <c r="T31">
        <f>STANDARDIZE(Dataset!AG31,'standardized values'!$AB$18,'standardized values'!$AD$18)</f>
        <v>-0.7497238094113815</v>
      </c>
      <c r="U31">
        <f>STANDARDIZE(Dataset!AH31,'standardized values'!$AB$19,'standardized values'!$AD$19)</f>
        <v>-0.29625319025977725</v>
      </c>
      <c r="V31">
        <f>STANDARDIZE(Dataset!AR31,AVERAGE(Dataset!$AR$2:$AR$51),STDEV(Dataset!$AR$2:$AR$51))</f>
        <v>-0.70122461790321411</v>
      </c>
      <c r="W31">
        <f>STANDARDIZE(Dataset!AS31,AVERAGE(Dataset!$AS$2:$AS$51),STDEV(Dataset!$AS$2:$AS$51))</f>
        <v>-0.22713378477746662</v>
      </c>
      <c r="X31">
        <f>STANDARDIZE(Dataset!AT31,AVERAGE(Dataset!$AT$2:$AT$51),STDEV(Dataset!$AT$2:$AT$51))</f>
        <v>-0.35691213718011527</v>
      </c>
      <c r="Y31"/>
      <c r="Z31" s="8" t="s">
        <v>162</v>
      </c>
      <c r="AA31" s="59">
        <v>50</v>
      </c>
      <c r="AB31" s="28">
        <f>AVERAGE(Dataset!AT2:AT51)</f>
        <v>3.0421680267660576</v>
      </c>
      <c r="AC31" s="28">
        <f>MEDIAN(Dataset!AT2:AT51)</f>
        <v>2.6323899019284562</v>
      </c>
      <c r="AD31" s="28">
        <f>STDEV(Dataset!AT2:AT51)</f>
        <v>1.6736053808362235</v>
      </c>
      <c r="AE31" s="28">
        <f>MAX(Dataset!AT2:AT51)</f>
        <v>8.9985637572359778</v>
      </c>
      <c r="AF31" s="28">
        <f>MIN(Dataset!AT2:AT51)</f>
        <v>1.0465068208022437</v>
      </c>
      <c r="AH31" s="8" t="s">
        <v>73</v>
      </c>
      <c r="AI31" s="28">
        <f t="shared" si="11"/>
        <v>-1.285270539860796</v>
      </c>
      <c r="AJ31" s="28">
        <f t="shared" si="0"/>
        <v>-5.3522135506174839</v>
      </c>
      <c r="AK31" s="28">
        <f t="shared" si="1"/>
        <v>-2.0394133186453489</v>
      </c>
      <c r="AL31" s="28">
        <f t="shared" si="2"/>
        <v>0.68587860184080085</v>
      </c>
      <c r="AM31" s="28">
        <f t="shared" si="12"/>
        <v>-0.89804317226691655</v>
      </c>
      <c r="AN31" s="28">
        <f t="shared" si="4"/>
        <v>-1.777812395909949</v>
      </c>
      <c r="AO31">
        <f t="shared" si="5"/>
        <v>30</v>
      </c>
      <c r="AP31">
        <f t="shared" si="6"/>
        <v>50</v>
      </c>
      <c r="AQ31">
        <f t="shared" si="7"/>
        <v>49</v>
      </c>
      <c r="AR31">
        <f t="shared" si="8"/>
        <v>20</v>
      </c>
      <c r="AS31">
        <f t="shared" si="9"/>
        <v>38</v>
      </c>
      <c r="AT31" s="8">
        <f t="shared" si="10"/>
        <v>48</v>
      </c>
    </row>
    <row r="32" spans="1:46" s="8" customFormat="1" ht="15.75" customHeight="1" x14ac:dyDescent="0.25">
      <c r="A32" t="str">
        <f>Dataset!A32</f>
        <v>http://www.nmdfa.state.nm.us/uploads/files/FCD/State%20General%20Fund/Final%20Version%20341-A%20State%20of%20New%20Mexico%20CAFR.pdf</v>
      </c>
      <c r="B32" s="8" t="s">
        <v>74</v>
      </c>
      <c r="C32" s="8">
        <v>2016</v>
      </c>
      <c r="D32">
        <f>STANDARDIZE(Dataset!X32,'standardized values'!$AB$9,'standardized values'!$AD$9)</f>
        <v>-8.4969478184099417E-2</v>
      </c>
      <c r="E32">
        <f>STANDARDIZE(Dataset!Y32,'standardized values'!$AB$10,'standardized values'!$AD$10)</f>
        <v>-0.18157369170357052</v>
      </c>
      <c r="F32">
        <f>STANDARDIZE(Dataset!Z32,'standardized values'!$AB$11,'standardized values'!$AD$11)</f>
        <v>-0.24237649960068935</v>
      </c>
      <c r="G32">
        <f>STANDARDIZE(Dataset!AA32,'standardized values'!$AB$12,'standardized values'!$AD$12)</f>
        <v>-0.53741711230161715</v>
      </c>
      <c r="H32">
        <f>STANDARDIZE(Dataset!AB32,'standardized values'!$AB$13,'standardized values'!$AD$13)</f>
        <v>-0.40218308249466328</v>
      </c>
      <c r="I32">
        <f>STANDARDIZE(Dataset!AC32,'standardized values'!$AB$14,'standardized values'!$AD$14)</f>
        <v>0.90071588515776568</v>
      </c>
      <c r="J32">
        <f>STANDARDIZE(Dataset!AK32,'standardized values'!$AB$20,'standardized values'!$AD$20)</f>
        <v>7.19072876127856E-2</v>
      </c>
      <c r="K32">
        <f>STANDARDIZE(Dataset!AL32,'standardized values'!$AB$21,'standardized values'!$AD$21)</f>
        <v>-0.41635539078898071</v>
      </c>
      <c r="L32">
        <f>STANDARDIZE(Dataset!AM32,'standardized values'!$AB$22,'standardized values'!$AD$22)</f>
        <v>-0.23203226463696883</v>
      </c>
      <c r="M32">
        <f>STANDARDIZE(Dataset!AN32,'standardized values'!$AB$23,'standardized values'!$AD$23)</f>
        <v>-2.1689609752002883</v>
      </c>
      <c r="N32">
        <f>STANDARDIZE(Dataset!AO32,'standardized values'!$AB$24,'standardized values'!$AD$24)</f>
        <v>-2.0299751073237577</v>
      </c>
      <c r="O32">
        <f>STANDARDIZE(Dataset!AP32,'standardized values'!$AB$27,'standardized values'!$AD$27)</f>
        <v>-1.512418733800883</v>
      </c>
      <c r="P32">
        <f>STANDARDIZE(Dataset!AQ32,'standardized values'!$AB$28,'standardized values'!$AD$28)</f>
        <v>-0.25114472919646252</v>
      </c>
      <c r="Q32">
        <f>STANDARDIZE(Dataset!AD32,'standardized values'!$AB$15,'standardized values'!$AD$15)</f>
        <v>-0.50538924641929017</v>
      </c>
      <c r="R32">
        <f>STANDARDIZE(Dataset!AE32,'standardized values'!$AB$16,'standardized values'!$AD$16)</f>
        <v>-9.9078963973107961E-2</v>
      </c>
      <c r="S32">
        <f>STANDARDIZE(Dataset!AF32,'standardized values'!$AB$17,'standardized values'!$AD$17)</f>
        <v>0.79150557952905709</v>
      </c>
      <c r="T32">
        <f>STANDARDIZE(Dataset!AG32,'standardized values'!$AB$18,'standardized values'!$AD$18)</f>
        <v>3.2845987839037614</v>
      </c>
      <c r="U32">
        <f>STANDARDIZE(Dataset!AH32,'standardized values'!$AB$19,'standardized values'!$AD$19)</f>
        <v>2.9445491100282237</v>
      </c>
      <c r="V32">
        <f>STANDARDIZE(Dataset!AR32,AVERAGE(Dataset!$AR$2:$AR$51),STDEV(Dataset!$AR$2:$AR$51))</f>
        <v>-1.7596589241076606E-2</v>
      </c>
      <c r="W32">
        <f>STANDARDIZE(Dataset!AS32,AVERAGE(Dataset!$AS$2:$AS$51),STDEV(Dataset!$AS$2:$AS$51))</f>
        <v>-0.17469083075206907</v>
      </c>
      <c r="X32">
        <f>STANDARDIZE(Dataset!AT32,AVERAGE(Dataset!$AT$2:$AT$51),STDEV(Dataset!$AT$2:$AT$51))</f>
        <v>-0.26437646250758534</v>
      </c>
      <c r="Y32"/>
      <c r="AB32" s="28"/>
      <c r="AC32" s="28"/>
      <c r="AD32" s="28"/>
      <c r="AE32" s="28"/>
      <c r="AF32" s="28"/>
      <c r="AH32" s="8" t="s">
        <v>74</v>
      </c>
      <c r="AI32" s="28">
        <f t="shared" si="11"/>
        <v>-0.45666388250073098</v>
      </c>
      <c r="AJ32" s="28">
        <f t="shared" si="0"/>
        <v>0.55626778198157067</v>
      </c>
      <c r="AK32" s="28">
        <f t="shared" si="1"/>
        <v>-0.93960019479628043</v>
      </c>
      <c r="AL32" s="28">
        <f t="shared" si="2"/>
        <v>-4.4309683471610146</v>
      </c>
      <c r="AM32" s="28">
        <f t="shared" si="12"/>
        <v>-1.7635634629973456</v>
      </c>
      <c r="AN32" s="28">
        <f t="shared" si="4"/>
        <v>-1.4069056210947601</v>
      </c>
      <c r="AO32">
        <f t="shared" si="5"/>
        <v>21</v>
      </c>
      <c r="AP32">
        <f t="shared" si="6"/>
        <v>14</v>
      </c>
      <c r="AQ32">
        <f t="shared" si="7"/>
        <v>43</v>
      </c>
      <c r="AR32">
        <f t="shared" si="8"/>
        <v>50</v>
      </c>
      <c r="AS32">
        <f t="shared" si="9"/>
        <v>49</v>
      </c>
      <c r="AT32" s="8">
        <f t="shared" si="10"/>
        <v>45</v>
      </c>
    </row>
    <row r="33" spans="1:46" s="8" customFormat="1" ht="15.75" customHeight="1" x14ac:dyDescent="0.25">
      <c r="A33" t="str">
        <f>Dataset!A33</f>
        <v>http://www.osc.state.ny.us/finance/finreports/cafr/2016cafr.pdf</v>
      </c>
      <c r="B33" s="8" t="s">
        <v>75</v>
      </c>
      <c r="C33" s="8">
        <v>2016</v>
      </c>
      <c r="D33">
        <f>STANDARDIZE(Dataset!X33,'standardized values'!$AB$9,'standardized values'!$AD$9)</f>
        <v>-0.60010571223787734</v>
      </c>
      <c r="E33">
        <f>STANDARDIZE(Dataset!Y33,'standardized values'!$AB$10,'standardized values'!$AD$10)</f>
        <v>-0.5843998556294675</v>
      </c>
      <c r="F33">
        <f>STANDARDIZE(Dataset!Z33,'standardized values'!$AB$11,'standardized values'!$AD$11)</f>
        <v>-0.66211930440284406</v>
      </c>
      <c r="G33">
        <f>STANDARDIZE(Dataset!AA33,'standardized values'!$AB$12,'standardized values'!$AD$12)</f>
        <v>-5.0017250143418436E-2</v>
      </c>
      <c r="H33">
        <f>STANDARDIZE(Dataset!AB33,'standardized values'!$AB$13,'standardized values'!$AD$13)</f>
        <v>8.554479300903603E-2</v>
      </c>
      <c r="I33">
        <f>STANDARDIZE(Dataset!AC33,'standardized values'!$AB$14,'standardized values'!$AD$14)</f>
        <v>-0.1005539907806324</v>
      </c>
      <c r="J33">
        <f>STANDARDIZE(Dataset!AK33,'standardized values'!$AB$20,'standardized values'!$AD$20)</f>
        <v>-0.503546031663621</v>
      </c>
      <c r="K33">
        <f>STANDARDIZE(Dataset!AL33,'standardized values'!$AB$21,'standardized values'!$AD$21)</f>
        <v>-0.47610206484750128</v>
      </c>
      <c r="L33">
        <f>STANDARDIZE(Dataset!AM33,'standardized values'!$AB$22,'standardized values'!$AD$22)</f>
        <v>-0.19225341077646504</v>
      </c>
      <c r="M33">
        <f>STANDARDIZE(Dataset!AN33,'standardized values'!$AB$23,'standardized values'!$AD$23)</f>
        <v>-0.6184249707209124</v>
      </c>
      <c r="N33">
        <f>STANDARDIZE(Dataset!AO33,'standardized values'!$AB$24,'standardized values'!$AD$24)</f>
        <v>-0.57218913834673713</v>
      </c>
      <c r="O33">
        <f>STANDARDIZE(Dataset!AP33,'standardized values'!$AB$27,'standardized values'!$AD$27)</f>
        <v>0.23607794030957621</v>
      </c>
      <c r="P33">
        <f>STANDARDIZE(Dataset!AQ33,'standardized values'!$AB$28,'standardized values'!$AD$28)</f>
        <v>-0.25240891354115125</v>
      </c>
      <c r="Q33">
        <f>STANDARDIZE(Dataset!AD33,'standardized values'!$AB$15,'standardized values'!$AD$15)</f>
        <v>-5.9481708193787487E-2</v>
      </c>
      <c r="R33">
        <f>STANDARDIZE(Dataset!AE33,'standardized values'!$AB$16,'standardized values'!$AD$16)</f>
        <v>5.2632285952799764E-2</v>
      </c>
      <c r="S33">
        <f>STANDARDIZE(Dataset!AF33,'standardized values'!$AB$17,'standardized values'!$AD$17)</f>
        <v>0.33516709353582702</v>
      </c>
      <c r="T33">
        <f>STANDARDIZE(Dataset!AG33,'standardized values'!$AB$18,'standardized values'!$AD$18)</f>
        <v>0.41005091507213609</v>
      </c>
      <c r="U33">
        <f>STANDARDIZE(Dataset!AH33,'standardized values'!$AB$19,'standardized values'!$AD$19)</f>
        <v>0.304906224521101</v>
      </c>
      <c r="V33">
        <f>STANDARDIZE(Dataset!AR33,AVERAGE(Dataset!$AR$2:$AR$51),STDEV(Dataset!$AR$2:$AR$51))</f>
        <v>-0.84620742813840011</v>
      </c>
      <c r="W33">
        <f>STANDARDIZE(Dataset!AS33,AVERAGE(Dataset!$AS$2:$AS$51),STDEV(Dataset!$AS$2:$AS$51))</f>
        <v>-0.75197106318858253</v>
      </c>
      <c r="X33">
        <f>STANDARDIZE(Dataset!AT33,AVERAGE(Dataset!$AT$2:$AT$51),STDEV(Dataset!$AT$2:$AT$51))</f>
        <v>-0.90690023553245402</v>
      </c>
      <c r="Y33"/>
      <c r="AB33" s="28"/>
      <c r="AC33" s="28"/>
      <c r="AD33" s="28"/>
      <c r="AE33" s="28"/>
      <c r="AF33" s="28"/>
      <c r="AH33" s="8" t="s">
        <v>75</v>
      </c>
      <c r="AI33" s="28">
        <f t="shared" si="11"/>
        <v>-2.5050787268594368</v>
      </c>
      <c r="AJ33" s="28">
        <f t="shared" si="0"/>
        <v>-1.0802020872917546</v>
      </c>
      <c r="AK33" s="28">
        <f t="shared" si="1"/>
        <v>3.5527542865617594E-2</v>
      </c>
      <c r="AL33" s="28">
        <f t="shared" si="2"/>
        <v>-1.3828675198441145</v>
      </c>
      <c r="AM33" s="28">
        <f t="shared" si="12"/>
        <v>-1.6330973231575036E-2</v>
      </c>
      <c r="AN33" s="28">
        <f t="shared" si="4"/>
        <v>-0.9897903528722527</v>
      </c>
      <c r="AO33">
        <f t="shared" si="5"/>
        <v>44</v>
      </c>
      <c r="AP33">
        <f t="shared" si="6"/>
        <v>39</v>
      </c>
      <c r="AQ33">
        <f t="shared" si="7"/>
        <v>35</v>
      </c>
      <c r="AR33">
        <f t="shared" si="8"/>
        <v>38</v>
      </c>
      <c r="AS33">
        <f t="shared" si="9"/>
        <v>23</v>
      </c>
      <c r="AT33" s="8">
        <f t="shared" si="10"/>
        <v>41</v>
      </c>
    </row>
    <row r="34" spans="1:46" s="8" customFormat="1" ht="15.75" customHeight="1" x14ac:dyDescent="0.25">
      <c r="A34" t="str">
        <f>Dataset!A34</f>
        <v>https://ncosc.s3.amazonaws.com/s3fs-public/documents/files/2016_comprehensive_annual_financial_report_bookmarked.pdf</v>
      </c>
      <c r="B34" s="8" t="s">
        <v>76</v>
      </c>
      <c r="C34" s="8">
        <v>2016</v>
      </c>
      <c r="D34">
        <f>STANDARDIZE(Dataset!X34,'standardized values'!$AB$9,'standardized values'!$AD$9)</f>
        <v>-0.2192591784342991</v>
      </c>
      <c r="E34">
        <f>STANDARDIZE(Dataset!Y34,'standardized values'!$AB$10,'standardized values'!$AD$10)</f>
        <v>-0.17337940910368943</v>
      </c>
      <c r="F34">
        <f>STANDARDIZE(Dataset!Z34,'standardized values'!$AB$11,'standardized values'!$AD$11)</f>
        <v>-0.19503083911725314</v>
      </c>
      <c r="G34">
        <f>STANDARDIZE(Dataset!AA34,'standardized values'!$AB$12,'standardized values'!$AD$12)</f>
        <v>1.3578363386071275</v>
      </c>
      <c r="H34">
        <f>STANDARDIZE(Dataset!AB34,'standardized values'!$AB$13,'standardized values'!$AD$13)</f>
        <v>0.5802708001243847</v>
      </c>
      <c r="I34">
        <f>STANDARDIZE(Dataset!AC34,'standardized values'!$AB$14,'standardized values'!$AD$14)</f>
        <v>0.33606322910357217</v>
      </c>
      <c r="J34">
        <f>STANDARDIZE(Dataset!AK34,'standardized values'!$AB$20,'standardized values'!$AD$20)</f>
        <v>0.61995475043835602</v>
      </c>
      <c r="K34">
        <f>STANDARDIZE(Dataset!AL34,'standardized values'!$AB$21,'standardized values'!$AD$21)</f>
        <v>1.0028043081934577</v>
      </c>
      <c r="L34">
        <f>STANDARDIZE(Dataset!AM34,'standardized values'!$AB$22,'standardized values'!$AD$22)</f>
        <v>-0.17420092409835111</v>
      </c>
      <c r="M34">
        <f>STANDARDIZE(Dataset!AN34,'standardized values'!$AB$23,'standardized values'!$AD$23)</f>
        <v>0.37593876550287603</v>
      </c>
      <c r="N34">
        <f>STANDARDIZE(Dataset!AO34,'standardized values'!$AB$24,'standardized values'!$AD$24)</f>
        <v>0.84023230666532622</v>
      </c>
      <c r="O34">
        <f>STANDARDIZE(Dataset!AP34,'standardized values'!$AB$27,'standardized values'!$AD$27)</f>
        <v>0.68976226987527367</v>
      </c>
      <c r="P34">
        <f>STANDARDIZE(Dataset!AQ34,'standardized values'!$AB$28,'standardized values'!$AD$28)</f>
        <v>-0.25247087267694207</v>
      </c>
      <c r="Q34">
        <f>STANDARDIZE(Dataset!AD34,'standardized values'!$AB$15,'standardized values'!$AD$15)</f>
        <v>-0.61075282848519363</v>
      </c>
      <c r="R34">
        <f>STANDARDIZE(Dataset!AE34,'standardized values'!$AB$16,'standardized values'!$AD$16)</f>
        <v>-0.83351649838414521</v>
      </c>
      <c r="S34">
        <f>STANDARDIZE(Dataset!AF34,'standardized values'!$AB$17,'standardized values'!$AD$17)</f>
        <v>0.15843933105613284</v>
      </c>
      <c r="T34">
        <f>STANDARDIZE(Dataset!AG34,'standardized values'!$AB$18,'standardized values'!$AD$18)</f>
        <v>-0.50111410023934622</v>
      </c>
      <c r="U34">
        <f>STANDARDIZE(Dataset!AH34,'standardized values'!$AB$19,'standardized values'!$AD$19)</f>
        <v>-0.7755115241084477</v>
      </c>
      <c r="V34">
        <f>STANDARDIZE(Dataset!AR34,AVERAGE(Dataset!$AR$2:$AR$51),STDEV(Dataset!$AR$2:$AR$51))</f>
        <v>-0.23360527553351002</v>
      </c>
      <c r="W34">
        <f>STANDARDIZE(Dataset!AS34,AVERAGE(Dataset!$AS$2:$AS$51),STDEV(Dataset!$AS$2:$AS$51))</f>
        <v>-0.16294780662025021</v>
      </c>
      <c r="X34">
        <f>STANDARDIZE(Dataset!AT34,AVERAGE(Dataset!$AT$2:$AT$51),STDEV(Dataset!$AT$2:$AT$51))</f>
        <v>-0.19190181359845007</v>
      </c>
      <c r="Y34"/>
      <c r="AB34" s="28"/>
      <c r="AC34" s="28"/>
      <c r="AD34" s="28"/>
      <c r="AE34" s="28"/>
      <c r="AF34" s="28"/>
      <c r="AH34" s="8" t="s">
        <v>76</v>
      </c>
      <c r="AI34" s="28">
        <f t="shared" si="11"/>
        <v>-0.58845489575221033</v>
      </c>
      <c r="AJ34" s="28">
        <f t="shared" ref="AJ34:AJ51" si="13">SUM(I34:K34)</f>
        <v>1.9588222877353858</v>
      </c>
      <c r="AK34" s="28">
        <f t="shared" ref="AK34:AK51" si="14">SUM(G34:H34)</f>
        <v>1.9381071387315121</v>
      </c>
      <c r="AL34" s="28">
        <f t="shared" ref="AL34:AL51" si="15">SUM(L34:N34)</f>
        <v>1.0419701480698511</v>
      </c>
      <c r="AM34" s="28">
        <f t="shared" si="12"/>
        <v>0.4372913971983316</v>
      </c>
      <c r="AN34" s="28">
        <f t="shared" ref="AN34:AN51" si="16">(AI34*$AA$2)+(AJ34*$AB$2)+(AK34*$AC$2)+(AL34*$AD$2)+(AM34*$AE$2)</f>
        <v>0.95754721519657415</v>
      </c>
      <c r="AO34">
        <f t="shared" si="5"/>
        <v>23</v>
      </c>
      <c r="AP34">
        <f t="shared" si="6"/>
        <v>8</v>
      </c>
      <c r="AQ34">
        <f t="shared" si="7"/>
        <v>2</v>
      </c>
      <c r="AR34">
        <f t="shared" si="8"/>
        <v>16</v>
      </c>
      <c r="AS34">
        <f t="shared" si="9"/>
        <v>14</v>
      </c>
      <c r="AT34" s="8">
        <f t="shared" si="10"/>
        <v>9</v>
      </c>
    </row>
    <row r="35" spans="1:46" s="8" customFormat="1" x14ac:dyDescent="0.25">
      <c r="A35" t="str">
        <f>Dataset!A35</f>
        <v>https://www.nd.gov/omb/sites/omb/files/documents/agency/financial/cafr/2016-cafr-toc.pdf</v>
      </c>
      <c r="B35" s="8" t="s">
        <v>77</v>
      </c>
      <c r="C35" s="8">
        <v>2016</v>
      </c>
      <c r="D35">
        <f>STANDARDIZE(Dataset!X35,'standardized values'!$AB$9,'standardized values'!$AD$9)</f>
        <v>0.39755532922430842</v>
      </c>
      <c r="E35">
        <f>STANDARDIZE(Dataset!Y35,'standardized values'!$AB$10,'standardized values'!$AD$10)</f>
        <v>0.63090557728927543</v>
      </c>
      <c r="F35">
        <f>STANDARDIZE(Dataset!Z35,'standardized values'!$AB$11,'standardized values'!$AD$11)</f>
        <v>0.55023379090145608</v>
      </c>
      <c r="G35">
        <f>STANDARDIZE(Dataset!AA35,'standardized values'!$AB$12,'standardized values'!$AD$12)</f>
        <v>-0.26500182066195749</v>
      </c>
      <c r="H35">
        <f>STANDARDIZE(Dataset!AB35,'standardized values'!$AB$13,'standardized values'!$AD$13)</f>
        <v>-6.2634652371268265E-2</v>
      </c>
      <c r="I35">
        <f>STANDARDIZE(Dataset!AC35,'standardized values'!$AB$14,'standardized values'!$AD$14)</f>
        <v>0.94264052993686287</v>
      </c>
      <c r="J35">
        <f>STANDARDIZE(Dataset!AK35,'standardized values'!$AB$20,'standardized values'!$AD$20)</f>
        <v>1.2574504416147432</v>
      </c>
      <c r="K35">
        <f>STANDARDIZE(Dataset!AL35,'standardized values'!$AB$21,'standardized values'!$AD$21)</f>
        <v>-0.35783214709302202</v>
      </c>
      <c r="L35">
        <f>STANDARDIZE(Dataset!AM35,'standardized values'!$AB$22,'standardized values'!$AD$22)</f>
        <v>-0.27850974824127211</v>
      </c>
      <c r="M35">
        <f>STANDARDIZE(Dataset!AN35,'standardized values'!$AB$23,'standardized values'!$AD$23)</f>
        <v>-1.6047280621230409</v>
      </c>
      <c r="N35">
        <f>STANDARDIZE(Dataset!AO35,'standardized values'!$AB$24,'standardized values'!$AD$24)</f>
        <v>-1.4907774692442755</v>
      </c>
      <c r="O35">
        <f>STANDARDIZE(Dataset!AP35,'standardized values'!$AB$27,'standardized values'!$AD$27)</f>
        <v>0.74506903128680768</v>
      </c>
      <c r="P35">
        <f>STANDARDIZE(Dataset!AQ35,'standardized values'!$AB$28,'standardized values'!$AD$28)</f>
        <v>-0.17671609488035306</v>
      </c>
      <c r="Q35">
        <f>STANDARDIZE(Dataset!AD35,'standardized values'!$AB$15,'standardized values'!$AD$15)</f>
        <v>-0.66515205429965385</v>
      </c>
      <c r="R35">
        <f>STANDARDIZE(Dataset!AE35,'standardized values'!$AB$16,'standardized values'!$AD$16)</f>
        <v>-0.21230887141245475</v>
      </c>
      <c r="S35">
        <f>STANDARDIZE(Dataset!AF35,'standardized values'!$AB$17,'standardized values'!$AD$17)</f>
        <v>1.4832393149929963</v>
      </c>
      <c r="T35">
        <f>STANDARDIZE(Dataset!AG35,'standardized values'!$AB$18,'standardized values'!$AD$18)</f>
        <v>1.900461471130739</v>
      </c>
      <c r="U35">
        <f>STANDARDIZE(Dataset!AH35,'standardized values'!$AB$19,'standardized values'!$AD$19)</f>
        <v>1.6283191703676165</v>
      </c>
      <c r="V35">
        <f>STANDARDIZE(Dataset!AR35,AVERAGE(Dataset!$AR$2:$AR$51),STDEV(Dataset!$AR$2:$AR$51))</f>
        <v>0.7585578705395768</v>
      </c>
      <c r="W35">
        <f>STANDARDIZE(Dataset!AS35,AVERAGE(Dataset!$AS$2:$AS$51),STDEV(Dataset!$AS$2:$AS$51))</f>
        <v>0.9896531549586508</v>
      </c>
      <c r="X35">
        <f>STANDARDIZE(Dataset!AT35,AVERAGE(Dataset!$AT$2:$AT$51),STDEV(Dataset!$AT$2:$AT$51))</f>
        <v>0.9489164124752747</v>
      </c>
      <c r="Y35"/>
      <c r="AH35" s="8" t="s">
        <v>77</v>
      </c>
      <c r="AI35" s="28">
        <f t="shared" si="11"/>
        <v>2.697127437973502</v>
      </c>
      <c r="AJ35" s="28">
        <f t="shared" si="13"/>
        <v>1.8422588244585842</v>
      </c>
      <c r="AK35" s="28">
        <f t="shared" si="14"/>
        <v>-0.32763647303322574</v>
      </c>
      <c r="AL35" s="28">
        <f t="shared" si="15"/>
        <v>-3.3740152796085887</v>
      </c>
      <c r="AM35" s="28">
        <f t="shared" si="12"/>
        <v>0.56835293640645457</v>
      </c>
      <c r="AN35" s="28">
        <f t="shared" si="16"/>
        <v>0.28121748923934536</v>
      </c>
      <c r="AO35">
        <f t="shared" si="5"/>
        <v>8</v>
      </c>
      <c r="AP35">
        <f t="shared" si="6"/>
        <v>9</v>
      </c>
      <c r="AQ35">
        <f t="shared" si="7"/>
        <v>38</v>
      </c>
      <c r="AR35">
        <f t="shared" si="8"/>
        <v>49</v>
      </c>
      <c r="AS35">
        <f t="shared" si="9"/>
        <v>12</v>
      </c>
      <c r="AT35" s="8">
        <f t="shared" si="10"/>
        <v>19</v>
      </c>
    </row>
    <row r="36" spans="1:46" s="8" customFormat="1" ht="15.75" customHeight="1" x14ac:dyDescent="0.25">
      <c r="A36" t="str">
        <f>Dataset!A36</f>
        <v>http://obm.ohio.gov/stateaccounting/financialreporting/doc/cafr/2016/cafr_2016.pdf</v>
      </c>
      <c r="B36" s="8" t="s">
        <v>78</v>
      </c>
      <c r="C36" s="8">
        <v>2016</v>
      </c>
      <c r="D36">
        <f>STANDARDIZE(Dataset!X36,'standardized values'!$AB$9,'standardized values'!$AD$9)</f>
        <v>0.47787320108944342</v>
      </c>
      <c r="E36">
        <f>STANDARDIZE(Dataset!Y36,'standardized values'!$AB$10,'standardized values'!$AD$10)</f>
        <v>0.41674018651742695</v>
      </c>
      <c r="F36">
        <f>STANDARDIZE(Dataset!Z36,'standardized values'!$AB$11,'standardized values'!$AD$11)</f>
        <v>0.38231606448762784</v>
      </c>
      <c r="G36">
        <f>STANDARDIZE(Dataset!AA36,'standardized values'!$AB$12,'standardized values'!$AD$12)</f>
        <v>-4.4883658412975348E-2</v>
      </c>
      <c r="H36">
        <f>STANDARDIZE(Dataset!AB36,'standardized values'!$AB$13,'standardized values'!$AD$13)</f>
        <v>0.13054830142077167</v>
      </c>
      <c r="I36">
        <f>STANDARDIZE(Dataset!AC36,'standardized values'!$AB$14,'standardized values'!$AD$14)</f>
        <v>0.32079039138378845</v>
      </c>
      <c r="J36">
        <f>STANDARDIZE(Dataset!AK36,'standardized values'!$AB$20,'standardized values'!$AD$20)</f>
        <v>-0.45203837656702966</v>
      </c>
      <c r="K36">
        <f>STANDARDIZE(Dataset!AL36,'standardized values'!$AB$21,'standardized values'!$AD$21)</f>
        <v>-0.31720981761812866</v>
      </c>
      <c r="L36">
        <f>STANDARDIZE(Dataset!AM36,'standardized values'!$AB$22,'standardized values'!$AD$22)</f>
        <v>-8.889283213951335E-2</v>
      </c>
      <c r="M36">
        <f>STANDARDIZE(Dataset!AN36,'standardized values'!$AB$23,'standardized values'!$AD$23)</f>
        <v>-5.1497117192826007E-2</v>
      </c>
      <c r="N36">
        <f>STANDARDIZE(Dataset!AO36,'standardized values'!$AB$24,'standardized values'!$AD$24)</f>
        <v>-7.0944502780402166E-2</v>
      </c>
      <c r="O36">
        <f>STANDARDIZE(Dataset!AP36,'standardized values'!$AB$27,'standardized values'!$AD$27)</f>
        <v>-1.4122602276916472</v>
      </c>
      <c r="P36">
        <f>STANDARDIZE(Dataset!AQ36,'standardized values'!$AB$28,'standardized values'!$AD$28)</f>
        <v>-0.24898347566560369</v>
      </c>
      <c r="Q36">
        <f>STANDARDIZE(Dataset!AD36,'standardized values'!$AB$15,'standardized values'!$AD$15)</f>
        <v>-0.14892059385407436</v>
      </c>
      <c r="R36">
        <f>STANDARDIZE(Dataset!AE36,'standardized values'!$AB$16,'standardized values'!$AD$16)</f>
        <v>-0.27640575941260126</v>
      </c>
      <c r="S36">
        <f>STANDARDIZE(Dataset!AF36,'standardized values'!$AB$17,'standardized values'!$AD$17)</f>
        <v>-0.49674713555067895</v>
      </c>
      <c r="T36">
        <f>STANDARDIZE(Dataset!AG36,'standardized values'!$AB$18,'standardized values'!$AD$18)</f>
        <v>-0.15766442096478475</v>
      </c>
      <c r="U36">
        <f>STANDARDIZE(Dataset!AH36,'standardized values'!$AB$19,'standardized values'!$AD$19)</f>
        <v>-0.16459921523193208</v>
      </c>
      <c r="V36">
        <f>STANDARDIZE(Dataset!AR36,AVERAGE(Dataset!$AR$2:$AR$51),STDEV(Dataset!$AR$2:$AR$51))</f>
        <v>0.88775138244009955</v>
      </c>
      <c r="W36">
        <f>STANDARDIZE(Dataset!AS36,AVERAGE(Dataset!$AS$2:$AS$51),STDEV(Dataset!$AS$2:$AS$51))</f>
        <v>0.68273801975563353</v>
      </c>
      <c r="X36">
        <f>STANDARDIZE(Dataset!AT36,AVERAGE(Dataset!$AT$2:$AT$51),STDEV(Dataset!$AT$2:$AT$51))</f>
        <v>0.69187536281624618</v>
      </c>
      <c r="Y36"/>
      <c r="AH36" s="8" t="s">
        <v>78</v>
      </c>
      <c r="AI36" s="28">
        <f t="shared" si="11"/>
        <v>2.2623647650119789</v>
      </c>
      <c r="AJ36" s="28">
        <f t="shared" si="13"/>
        <v>-0.44845780280136988</v>
      </c>
      <c r="AK36" s="28">
        <f t="shared" si="14"/>
        <v>8.5664643007796332E-2</v>
      </c>
      <c r="AL36" s="28">
        <f t="shared" si="15"/>
        <v>-0.21133445211274154</v>
      </c>
      <c r="AM36" s="28">
        <f t="shared" si="12"/>
        <v>-1.6612437033572509</v>
      </c>
      <c r="AN36" s="28">
        <f t="shared" si="16"/>
        <v>5.3986899496825114E-3</v>
      </c>
      <c r="AO36">
        <f t="shared" si="5"/>
        <v>9</v>
      </c>
      <c r="AP36">
        <f t="shared" si="6"/>
        <v>32</v>
      </c>
      <c r="AQ36">
        <f t="shared" si="7"/>
        <v>33</v>
      </c>
      <c r="AR36">
        <f t="shared" si="8"/>
        <v>25</v>
      </c>
      <c r="AS36">
        <f t="shared" si="9"/>
        <v>48</v>
      </c>
      <c r="AT36" s="8">
        <f t="shared" si="10"/>
        <v>23</v>
      </c>
    </row>
    <row r="37" spans="1:46" s="8" customFormat="1" ht="15.75" customHeight="1" x14ac:dyDescent="0.25">
      <c r="A37" t="str">
        <f>Dataset!A37</f>
        <v>https://www.ok.gov/OSF/documents/cafr16.pdf</v>
      </c>
      <c r="B37" s="8" t="s">
        <v>79</v>
      </c>
      <c r="C37" s="8">
        <v>2016</v>
      </c>
      <c r="D37">
        <f>STANDARDIZE(Dataset!X37,'standardized values'!$AB$9,'standardized values'!$AD$9)</f>
        <v>-6.2941396788039186E-2</v>
      </c>
      <c r="E37">
        <f>STANDARDIZE(Dataset!Y37,'standardized values'!$AB$10,'standardized values'!$AD$10)</f>
        <v>-0.17396381709888503</v>
      </c>
      <c r="F37">
        <f>STANDARDIZE(Dataset!Z37,'standardized values'!$AB$11,'standardized values'!$AD$11)</f>
        <v>-0.21686107440245078</v>
      </c>
      <c r="G37">
        <f>STANDARDIZE(Dataset!AA37,'standardized values'!$AB$12,'standardized values'!$AD$12)</f>
        <v>-0.53165054608856366</v>
      </c>
      <c r="H37">
        <f>STANDARDIZE(Dataset!AB37,'standardized values'!$AB$13,'standardized values'!$AD$13)</f>
        <v>-9.462209889969396E-2</v>
      </c>
      <c r="I37">
        <f>STANDARDIZE(Dataset!AC37,'standardized values'!$AB$14,'standardized values'!$AD$14)</f>
        <v>0.64638567635718414</v>
      </c>
      <c r="J37">
        <f>STANDARDIZE(Dataset!AK37,'standardized values'!$AB$20,'standardized values'!$AD$20)</f>
        <v>1.1684656919781164</v>
      </c>
      <c r="K37">
        <f>STANDARDIZE(Dataset!AL37,'standardized values'!$AB$21,'standardized values'!$AD$21)</f>
        <v>2.0076112810029723</v>
      </c>
      <c r="L37">
        <f>STANDARDIZE(Dataset!AM37,'standardized values'!$AB$22,'standardized values'!$AD$22)</f>
        <v>-6.6546904344400304E-2</v>
      </c>
      <c r="M37">
        <f>STANDARDIZE(Dataset!AN37,'standardized values'!$AB$23,'standardized values'!$AD$23)</f>
        <v>0.97461149018486049</v>
      </c>
      <c r="N37">
        <f>STANDARDIZE(Dataset!AO37,'standardized values'!$AB$24,'standardized values'!$AD$24)</f>
        <v>0.62591448627478941</v>
      </c>
      <c r="O37">
        <f>STANDARDIZE(Dataset!AP37,'standardized values'!$AB$27,'standardized values'!$AD$27)</f>
        <v>0.24529770522455893</v>
      </c>
      <c r="P37">
        <f>STANDARDIZE(Dataset!AQ37,'standardized values'!$AB$28,'standardized values'!$AD$28)</f>
        <v>5.3744636928646399</v>
      </c>
      <c r="Q37">
        <f>STANDARDIZE(Dataset!AD37,'standardized values'!$AB$15,'standardized values'!$AD$15)</f>
        <v>-0.65959768113724215</v>
      </c>
      <c r="R37">
        <f>STANDARDIZE(Dataset!AE37,'standardized values'!$AB$16,'standardized values'!$AD$16)</f>
        <v>-0.9131468293968098</v>
      </c>
      <c r="S37">
        <f>STANDARDIZE(Dataset!AF37,'standardized values'!$AB$17,'standardized values'!$AD$17)</f>
        <v>-0.63156726227281135</v>
      </c>
      <c r="T37">
        <f>STANDARDIZE(Dataset!AG37,'standardized values'!$AB$18,'standardized values'!$AD$18)</f>
        <v>-0.89449391329223482</v>
      </c>
      <c r="U37">
        <f>STANDARDIZE(Dataset!AH37,'standardized values'!$AB$19,'standardized values'!$AD$19)</f>
        <v>-0.65287607259094216</v>
      </c>
      <c r="V37">
        <f>STANDARDIZE(Dataset!AR37,AVERAGE(Dataset!$AR$2:$AR$51),STDEV(Dataset!$AR$2:$AR$51))</f>
        <v>1.7836187174690904E-2</v>
      </c>
      <c r="W37">
        <f>STANDARDIZE(Dataset!AS37,AVERAGE(Dataset!$AS$2:$AS$51),STDEV(Dataset!$AS$2:$AS$51))</f>
        <v>-0.16378530729303753</v>
      </c>
      <c r="X37">
        <f>STANDARDIZE(Dataset!AT37,AVERAGE(Dataset!$AT$2:$AT$51),STDEV(Dataset!$AT$2:$AT$51))</f>
        <v>-0.22531857496039209</v>
      </c>
      <c r="Y37"/>
      <c r="AH37" s="8" t="s">
        <v>79</v>
      </c>
      <c r="AI37" s="28">
        <f t="shared" si="11"/>
        <v>-0.37126769507873869</v>
      </c>
      <c r="AJ37" s="28">
        <f t="shared" si="13"/>
        <v>3.8224626493382727</v>
      </c>
      <c r="AK37" s="28">
        <f t="shared" si="14"/>
        <v>-0.62627264498825763</v>
      </c>
      <c r="AL37" s="28">
        <f t="shared" si="15"/>
        <v>1.5339790721152495</v>
      </c>
      <c r="AM37" s="28">
        <f t="shared" si="12"/>
        <v>5.6197613980891985</v>
      </c>
      <c r="AN37" s="28">
        <f t="shared" si="16"/>
        <v>1.9957325558951451</v>
      </c>
      <c r="AO37">
        <f t="shared" si="5"/>
        <v>20</v>
      </c>
      <c r="AP37">
        <f t="shared" si="6"/>
        <v>3</v>
      </c>
      <c r="AQ37">
        <f t="shared" si="7"/>
        <v>41</v>
      </c>
      <c r="AR37">
        <f t="shared" si="8"/>
        <v>11</v>
      </c>
      <c r="AS37">
        <f t="shared" si="9"/>
        <v>1</v>
      </c>
      <c r="AT37" s="8">
        <f t="shared" si="10"/>
        <v>5</v>
      </c>
    </row>
    <row r="38" spans="1:46" s="8" customFormat="1" ht="15.75" customHeight="1" x14ac:dyDescent="0.25">
      <c r="A38" t="str">
        <f>Dataset!A38</f>
        <v>http://www.oregon.gov/das/Financial/Acctng/Documents/2016_CAFR.pdf</v>
      </c>
      <c r="B38" s="8" t="s">
        <v>80</v>
      </c>
      <c r="C38" s="8">
        <v>2016</v>
      </c>
      <c r="D38">
        <f>STANDARDIZE(Dataset!X38,'standardized values'!$AB$9,'standardized values'!$AD$9)</f>
        <v>0.18766980946955975</v>
      </c>
      <c r="E38">
        <f>STANDARDIZE(Dataset!Y38,'standardized values'!$AB$10,'standardized values'!$AD$10)</f>
        <v>0.10166073008720697</v>
      </c>
      <c r="F38">
        <f>STANDARDIZE(Dataset!Z38,'standardized values'!$AB$11,'standardized values'!$AD$11)</f>
        <v>7.6737554960520954E-2</v>
      </c>
      <c r="G38">
        <f>STANDARDIZE(Dataset!AA38,'standardized values'!$AB$12,'standardized values'!$AD$12)</f>
        <v>2.9967701832298501E-5</v>
      </c>
      <c r="H38">
        <f>STANDARDIZE(Dataset!AB38,'standardized values'!$AB$13,'standardized values'!$AD$13)</f>
        <v>3.7635317765769935E-2</v>
      </c>
      <c r="I38">
        <f>STANDARDIZE(Dataset!AC38,'standardized values'!$AB$14,'standardized values'!$AD$14)</f>
        <v>0.45608506707589597</v>
      </c>
      <c r="J38">
        <f>STANDARDIZE(Dataset!AK38,'standardized values'!$AB$20,'standardized values'!$AD$20)</f>
        <v>-0.35455467780344552</v>
      </c>
      <c r="K38">
        <f>STANDARDIZE(Dataset!AL38,'standardized values'!$AB$21,'standardized values'!$AD$21)</f>
        <v>-0.32374915598955306</v>
      </c>
      <c r="L38">
        <f>STANDARDIZE(Dataset!AM38,'standardized values'!$AB$22,'standardized values'!$AD$22)</f>
        <v>-0.17844684494790253</v>
      </c>
      <c r="M38">
        <f>STANDARDIZE(Dataset!AN38,'standardized values'!$AB$23,'standardized values'!$AD$23)</f>
        <v>-0.7374669876720592</v>
      </c>
      <c r="N38">
        <f>STANDARDIZE(Dataset!AO38,'standardized values'!$AB$24,'standardized values'!$AD$24)</f>
        <v>-0.66221405854533055</v>
      </c>
      <c r="O38">
        <f>STANDARDIZE(Dataset!AP38,'standardized values'!$AB$27,'standardized values'!$AD$27)</f>
        <v>-1.2015426546570864</v>
      </c>
      <c r="P38">
        <f>STANDARDIZE(Dataset!AQ38,'standardized values'!$AB$28,'standardized values'!$AD$28)</f>
        <v>-4.8087858129680526E-3</v>
      </c>
      <c r="Q38">
        <f>STANDARDIZE(Dataset!AD38,'standardized values'!$AB$15,'standardized values'!$AD$15)</f>
        <v>-0.26966662099594346</v>
      </c>
      <c r="R38">
        <f>STANDARDIZE(Dataset!AE38,'standardized values'!$AB$16,'standardized values'!$AD$16)</f>
        <v>-0.26674990430782608</v>
      </c>
      <c r="S38">
        <f>STANDARDIZE(Dataset!AF38,'standardized values'!$AB$17,'standardized values'!$AD$17)</f>
        <v>0.19853446856239107</v>
      </c>
      <c r="T38">
        <f>STANDARDIZE(Dataset!AG38,'standardized values'!$AB$18,'standardized values'!$AD$18)</f>
        <v>0.55012545458597639</v>
      </c>
      <c r="U38">
        <f>STANDARDIZE(Dataset!AH38,'standardized values'!$AB$19,'standardized values'!$AD$19)</f>
        <v>0.40361080437012065</v>
      </c>
      <c r="V38">
        <f>STANDARDIZE(Dataset!AR38,AVERAGE(Dataset!$AR$2:$AR$51),STDEV(Dataset!$AR$2:$AR$51))</f>
        <v>0.42095122379333516</v>
      </c>
      <c r="W38">
        <f>STANDARDIZE(Dataset!AS38,AVERAGE(Dataset!$AS$2:$AS$51),STDEV(Dataset!$AS$2:$AS$51))</f>
        <v>0.23120542795142382</v>
      </c>
      <c r="X38">
        <f>STANDARDIZE(Dataset!AT38,AVERAGE(Dataset!$AT$2:$AT$51),STDEV(Dataset!$AT$2:$AT$51))</f>
        <v>0.22410925783389196</v>
      </c>
      <c r="Y38"/>
      <c r="AH38" s="8" t="s">
        <v>80</v>
      </c>
      <c r="AI38" s="28">
        <f t="shared" si="11"/>
        <v>0.87626590957865091</v>
      </c>
      <c r="AJ38" s="28">
        <f t="shared" si="13"/>
        <v>-0.22221876671710261</v>
      </c>
      <c r="AK38" s="28">
        <f t="shared" si="14"/>
        <v>3.7665285467602234E-2</v>
      </c>
      <c r="AL38" s="28">
        <f t="shared" si="15"/>
        <v>-1.5781278911652923</v>
      </c>
      <c r="AM38" s="28">
        <f t="shared" si="12"/>
        <v>-1.2063514404700544</v>
      </c>
      <c r="AN38" s="28">
        <f t="shared" si="16"/>
        <v>-0.41855338066123926</v>
      </c>
      <c r="AO38">
        <f t="shared" si="5"/>
        <v>13</v>
      </c>
      <c r="AP38">
        <f t="shared" si="6"/>
        <v>25</v>
      </c>
      <c r="AQ38">
        <f t="shared" si="7"/>
        <v>34</v>
      </c>
      <c r="AR38">
        <f t="shared" si="8"/>
        <v>40</v>
      </c>
      <c r="AS38">
        <f t="shared" si="9"/>
        <v>42</v>
      </c>
      <c r="AT38" s="8">
        <f t="shared" si="10"/>
        <v>31</v>
      </c>
    </row>
    <row r="39" spans="1:46" s="8" customFormat="1" ht="15.75" customHeight="1" x14ac:dyDescent="0.25">
      <c r="A39" t="str">
        <f>Dataset!A39</f>
        <v>http://www.budget.pa.gov/PublicationsAndReports/AnnualFinancialReport/Documents/2016/june-30-2016-cafr.pdf</v>
      </c>
      <c r="B39" s="8" t="s">
        <v>81</v>
      </c>
      <c r="C39" s="8">
        <v>2016</v>
      </c>
      <c r="D39">
        <f>STANDARDIZE(Dataset!X39,'standardized values'!$AB$9,'standardized values'!$AD$9)</f>
        <v>-0.60680080137146641</v>
      </c>
      <c r="E39">
        <f>STANDARDIZE(Dataset!Y39,'standardized values'!$AB$10,'standardized values'!$AD$10)</f>
        <v>-0.75257632394561025</v>
      </c>
      <c r="F39">
        <f>STANDARDIZE(Dataset!Z39,'standardized values'!$AB$11,'standardized values'!$AD$11)</f>
        <v>-0.71516985297031999</v>
      </c>
      <c r="G39">
        <f>STANDARDIZE(Dataset!AA39,'standardized values'!$AB$12,'standardized values'!$AD$12)</f>
        <v>3.4489861273956424E-2</v>
      </c>
      <c r="H39">
        <f>STANDARDIZE(Dataset!AB39,'standardized values'!$AB$13,'standardized values'!$AD$13)</f>
        <v>0.12975013803264041</v>
      </c>
      <c r="I39">
        <f>STANDARDIZE(Dataset!AC39,'standardized values'!$AB$14,'standardized values'!$AD$14)</f>
        <v>-0.13649709896554846</v>
      </c>
      <c r="J39">
        <f>STANDARDIZE(Dataset!AK39,'standardized values'!$AB$20,'standardized values'!$AD$20)</f>
        <v>-0.5228765606257364</v>
      </c>
      <c r="K39">
        <f>STANDARDIZE(Dataset!AL39,'standardized values'!$AB$21,'standardized values'!$AD$21)</f>
        <v>-0.29400467597446711</v>
      </c>
      <c r="L39">
        <f>STANDARDIZE(Dataset!AM39,'standardized values'!$AB$22,'standardized values'!$AD$22)</f>
        <v>-0.13530553671400281</v>
      </c>
      <c r="M39">
        <f>STANDARDIZE(Dataset!AN39,'standardized values'!$AB$23,'standardized values'!$AD$23)</f>
        <v>0.20282868987184866</v>
      </c>
      <c r="N39">
        <f>STANDARDIZE(Dataset!AO39,'standardized values'!$AB$24,'standardized values'!$AD$24)</f>
        <v>0.18241304728388186</v>
      </c>
      <c r="O39">
        <f>STANDARDIZE(Dataset!AP39,'standardized values'!$AB$27,'standardized values'!$AD$27)</f>
        <v>6.0900516350164073E-2</v>
      </c>
      <c r="P39">
        <f>STANDARDIZE(Dataset!AQ39,'standardized values'!$AB$28,'standardized values'!$AD$28)</f>
        <v>-0.24944050795052586</v>
      </c>
      <c r="Q39">
        <f>STANDARDIZE(Dataset!AD39,'standardized values'!$AB$15,'standardized values'!$AD$15)</f>
        <v>-1.9149243319293137E-2</v>
      </c>
      <c r="R39">
        <f>STANDARDIZE(Dataset!AE39,'standardized values'!$AB$16,'standardized values'!$AD$16)</f>
        <v>-0.30885220763836474</v>
      </c>
      <c r="S39">
        <f>STANDARDIZE(Dataset!AF39,'standardized values'!$AB$17,'standardized values'!$AD$17)</f>
        <v>-0.1722862164277765</v>
      </c>
      <c r="T39">
        <f>STANDARDIZE(Dataset!AG39,'standardized values'!$AB$18,'standardized values'!$AD$18)</f>
        <v>-0.36929856861191473</v>
      </c>
      <c r="U39">
        <f>STANDARDIZE(Dataset!AH39,'standardized values'!$AB$19,'standardized values'!$AD$19)</f>
        <v>-0.36038196019862156</v>
      </c>
      <c r="V39">
        <f>STANDARDIZE(Dataset!AR39,AVERAGE(Dataset!$AR$2:$AR$51),STDEV(Dataset!$AR$2:$AR$51))</f>
        <v>-0.85697666364687819</v>
      </c>
      <c r="W39">
        <f>STANDARDIZE(Dataset!AS39,AVERAGE(Dataset!$AS$2:$AS$51),STDEV(Dataset!$AS$2:$AS$51))</f>
        <v>-0.99298060877945515</v>
      </c>
      <c r="X39">
        <f>STANDARDIZE(Dataset!AT39,AVERAGE(Dataset!$AT$2:$AT$51),STDEV(Dataset!$AT$2:$AT$51))</f>
        <v>-0.9881076755091327</v>
      </c>
      <c r="Y39"/>
      <c r="AH39" s="8" t="s">
        <v>81</v>
      </c>
      <c r="AI39" s="28">
        <f t="shared" si="11"/>
        <v>-2.8380649479354663</v>
      </c>
      <c r="AJ39" s="28">
        <f t="shared" si="13"/>
        <v>-0.95337833556575202</v>
      </c>
      <c r="AK39" s="28">
        <f t="shared" si="14"/>
        <v>0.16423999930659683</v>
      </c>
      <c r="AL39" s="28">
        <f t="shared" si="15"/>
        <v>0.24993620044172771</v>
      </c>
      <c r="AM39" s="28">
        <f t="shared" si="12"/>
        <v>-0.18853999160036178</v>
      </c>
      <c r="AN39" s="28">
        <f t="shared" si="16"/>
        <v>-0.71316141507065112</v>
      </c>
      <c r="AO39">
        <f t="shared" si="5"/>
        <v>47</v>
      </c>
      <c r="AP39">
        <f t="shared" si="6"/>
        <v>37</v>
      </c>
      <c r="AQ39">
        <f t="shared" si="7"/>
        <v>31</v>
      </c>
      <c r="AR39">
        <f t="shared" si="8"/>
        <v>23</v>
      </c>
      <c r="AS39">
        <f t="shared" si="9"/>
        <v>24</v>
      </c>
      <c r="AT39" s="8">
        <f t="shared" si="10"/>
        <v>35</v>
      </c>
    </row>
    <row r="40" spans="1:46" s="8" customFormat="1" ht="15.75" customHeight="1" x14ac:dyDescent="0.25">
      <c r="A40" t="str">
        <f>Dataset!A40</f>
        <v>http://controller.admin.ri.gov/documents/Financial%20Reports//118_Comprehensive%20Annual%20Financial%20Report_06-30-2016.pdf</v>
      </c>
      <c r="B40" s="8" t="s">
        <v>82</v>
      </c>
      <c r="C40" s="8">
        <v>2016</v>
      </c>
      <c r="D40">
        <f>STANDARDIZE(Dataset!X40,'standardized values'!$AB$9,'standardized values'!$AD$9)</f>
        <v>-0.4318260217783505</v>
      </c>
      <c r="E40">
        <f>STANDARDIZE(Dataset!Y40,'standardized values'!$AB$10,'standardized values'!$AD$10)</f>
        <v>-0.45361291394116815</v>
      </c>
      <c r="F40">
        <f>STANDARDIZE(Dataset!Z40,'standardized values'!$AB$11,'standardized values'!$AD$11)</f>
        <v>-0.46950859344821494</v>
      </c>
      <c r="G40">
        <f>STANDARDIZE(Dataset!AA40,'standardized values'!$AB$12,'standardized values'!$AD$12)</f>
        <v>0.26809590533261102</v>
      </c>
      <c r="H40">
        <f>STANDARDIZE(Dataset!AB40,'standardized values'!$AB$13,'standardized values'!$AD$13)</f>
        <v>0.28674791218905138</v>
      </c>
      <c r="I40">
        <f>STANDARDIZE(Dataset!AC40,'standardized values'!$AB$14,'standardized values'!$AD$14)</f>
        <v>-0.43220022731778956</v>
      </c>
      <c r="J40">
        <f>STANDARDIZE(Dataset!AK40,'standardized values'!$AB$20,'standardized values'!$AD$20)</f>
        <v>-0.63508093856324477</v>
      </c>
      <c r="K40">
        <f>STANDARDIZE(Dataset!AL40,'standardized values'!$AB$21,'standardized values'!$AD$21)</f>
        <v>-0.54976279401509565</v>
      </c>
      <c r="L40">
        <f>STANDARDIZE(Dataset!AM40,'standardized values'!$AB$22,'standardized values'!$AD$22)</f>
        <v>-0.18349128801373199</v>
      </c>
      <c r="M40">
        <f>STANDARDIZE(Dataset!AN40,'standardized values'!$AB$23,'standardized values'!$AD$23)</f>
        <v>-0.76757478878837515</v>
      </c>
      <c r="N40">
        <f>STANDARDIZE(Dataset!AO40,'standardized values'!$AB$24,'standardized values'!$AD$24)</f>
        <v>-0.60992707497034115</v>
      </c>
      <c r="O40">
        <f>STANDARDIZE(Dataset!AP40,'standardized values'!$AB$27,'standardized values'!$AD$27)</f>
        <v>-0.11504689023830306</v>
      </c>
      <c r="P40">
        <f>STANDARDIZE(Dataset!AQ40,'standardized values'!$AB$28,'standardized values'!$AD$28)</f>
        <v>-0.24077076362119751</v>
      </c>
      <c r="Q40">
        <f>STANDARDIZE(Dataset!AD40,'standardized values'!$AB$15,'standardized values'!$AD$15)</f>
        <v>0.34370153344921067</v>
      </c>
      <c r="R40">
        <f>STANDARDIZE(Dataset!AE40,'standardized values'!$AB$16,'standardized values'!$AD$16)</f>
        <v>0.32151260865087555</v>
      </c>
      <c r="S40">
        <f>STANDARDIZE(Dataset!AF40,'standardized values'!$AB$17,'standardized values'!$AD$17)</f>
        <v>0.24731944499932818</v>
      </c>
      <c r="T40">
        <f>STANDARDIZE(Dataset!AG40,'standardized values'!$AB$18,'standardized values'!$AD$18)</f>
        <v>0.58691157899411839</v>
      </c>
      <c r="U40">
        <f>STANDARDIZE(Dataset!AH40,'standardized values'!$AB$19,'standardized values'!$AD$19)</f>
        <v>0.34566791745522507</v>
      </c>
      <c r="V40">
        <f>STANDARDIZE(Dataset!AR40,AVERAGE(Dataset!$AR$2:$AR$51),STDEV(Dataset!$AR$2:$AR$51))</f>
        <v>-0.57552490521865984</v>
      </c>
      <c r="W40">
        <f>STANDARDIZE(Dataset!AS40,AVERAGE(Dataset!$AS$2:$AS$51),STDEV(Dataset!$AS$2:$AS$51))</f>
        <v>-0.56454352531055352</v>
      </c>
      <c r="X40">
        <f>STANDARDIZE(Dataset!AT40,AVERAGE(Dataset!$AT$2:$AT$51),STDEV(Dataset!$AT$2:$AT$51))</f>
        <v>-0.6120602542112652</v>
      </c>
      <c r="Y40"/>
      <c r="AH40" s="8" t="s">
        <v>82</v>
      </c>
      <c r="AI40" s="28">
        <f t="shared" si="11"/>
        <v>-1.7521286847404787</v>
      </c>
      <c r="AJ40" s="28">
        <f t="shared" si="13"/>
        <v>-1.6170439598961299</v>
      </c>
      <c r="AK40" s="28">
        <f t="shared" si="14"/>
        <v>0.55484381752166234</v>
      </c>
      <c r="AL40" s="28">
        <f t="shared" si="15"/>
        <v>-1.5609931517724482</v>
      </c>
      <c r="AM40" s="28">
        <f t="shared" si="12"/>
        <v>-0.35581765385950059</v>
      </c>
      <c r="AN40" s="28">
        <f t="shared" si="16"/>
        <v>-0.94622792654937904</v>
      </c>
      <c r="AO40">
        <f t="shared" si="5"/>
        <v>37</v>
      </c>
      <c r="AP40">
        <f t="shared" si="6"/>
        <v>43</v>
      </c>
      <c r="AQ40">
        <f t="shared" si="7"/>
        <v>21</v>
      </c>
      <c r="AR40">
        <f t="shared" si="8"/>
        <v>39</v>
      </c>
      <c r="AS40">
        <f t="shared" si="9"/>
        <v>27</v>
      </c>
      <c r="AT40" s="8">
        <f t="shared" si="10"/>
        <v>40</v>
      </c>
    </row>
    <row r="41" spans="1:46" s="8" customFormat="1" ht="15.75" customHeight="1" x14ac:dyDescent="0.25">
      <c r="A41" t="str">
        <f>Dataset!A41</f>
        <v>http://www.cg.sc.gov/publicationsandreports/Documents/Comprehensive%20Annaul%20Financial%20Report/Sections/FY2016/CompleteCAFRFY16before503b_edited.pdf</v>
      </c>
      <c r="B41" s="8" t="s">
        <v>83</v>
      </c>
      <c r="C41" s="8">
        <v>2016</v>
      </c>
      <c r="D41">
        <f>STANDARDIZE(Dataset!X41,'standardized values'!$AB$9,'standardized values'!$AD$9)</f>
        <v>-0.12677163859827975</v>
      </c>
      <c r="E41">
        <f>STANDARDIZE(Dataset!Y41,'standardized values'!$AB$10,'standardized values'!$AD$10)</f>
        <v>-0.20134571037237328</v>
      </c>
      <c r="F41">
        <f>STANDARDIZE(Dataset!Z41,'standardized values'!$AB$11,'standardized values'!$AD$11)</f>
        <v>-0.20303346006671749</v>
      </c>
      <c r="G41">
        <f>STANDARDIZE(Dataset!AA41,'standardized values'!$AB$12,'standardized values'!$AD$12)</f>
        <v>0.70656987775365765</v>
      </c>
      <c r="H41">
        <f>STANDARDIZE(Dataset!AB41,'standardized values'!$AB$13,'standardized values'!$AD$13)</f>
        <v>0.42872416922489925</v>
      </c>
      <c r="I41">
        <f>STANDARDIZE(Dataset!AC41,'standardized values'!$AB$14,'standardized values'!$AD$14)</f>
        <v>0.45476072267731338</v>
      </c>
      <c r="J41">
        <f>STANDARDIZE(Dataset!AK41,'standardized values'!$AB$20,'standardized values'!$AD$20)</f>
        <v>5.9670432625957531E-2</v>
      </c>
      <c r="K41">
        <f>STANDARDIZE(Dataset!AL41,'standardized values'!$AB$21,'standardized values'!$AD$21)</f>
        <v>0.47535641223863362</v>
      </c>
      <c r="L41">
        <f>STANDARDIZE(Dataset!AM41,'standardized values'!$AB$22,'standardized values'!$AD$22)</f>
        <v>-0.13228186079699494</v>
      </c>
      <c r="M41">
        <f>STANDARDIZE(Dataset!AN41,'standardized values'!$AB$23,'standardized values'!$AD$23)</f>
        <v>0.10586684162626747</v>
      </c>
      <c r="N41">
        <f>STANDARDIZE(Dataset!AO41,'standardized values'!$AB$24,'standardized values'!$AD$24)</f>
        <v>0.33869491460018852</v>
      </c>
      <c r="O41">
        <f>STANDARDIZE(Dataset!AP41,'standardized values'!$AB$27,'standardized values'!$AD$27)</f>
        <v>-0.48810684044171632</v>
      </c>
      <c r="P41">
        <f>STANDARDIZE(Dataset!AQ41,'standardized values'!$AB$28,'standardized values'!$AD$28)</f>
        <v>-0.2515623983214974</v>
      </c>
      <c r="Q41">
        <f>STANDARDIZE(Dataset!AD41,'standardized values'!$AB$15,'standardized values'!$AD$15)</f>
        <v>-0.50162534411020143</v>
      </c>
      <c r="R41">
        <f>STANDARDIZE(Dataset!AE41,'standardized values'!$AB$16,'standardized values'!$AD$16)</f>
        <v>-0.74356098819450578</v>
      </c>
      <c r="S41">
        <f>STANDARDIZE(Dataset!AF41,'standardized values'!$AB$17,'standardized values'!$AD$17)</f>
        <v>-0.19552618025222018</v>
      </c>
      <c r="T41">
        <f>STANDARDIZE(Dataset!AG41,'standardized values'!$AB$18,'standardized values'!$AD$18)</f>
        <v>-0.29127922482397539</v>
      </c>
      <c r="U41">
        <f>STANDARDIZE(Dataset!AH41,'standardized values'!$AB$19,'standardized values'!$AD$19)</f>
        <v>-0.47007714013647739</v>
      </c>
      <c r="V41">
        <f>STANDARDIZE(Dataset!AR41,AVERAGE(Dataset!$AR$2:$AR$51),STDEV(Dataset!$AR$2:$AR$51))</f>
        <v>-8.4836517086840285E-2</v>
      </c>
      <c r="W41">
        <f>STANDARDIZE(Dataset!AS41,AVERAGE(Dataset!$AS$2:$AS$51),STDEV(Dataset!$AS$2:$AS$51))</f>
        <v>-0.20302562266733609</v>
      </c>
      <c r="X41">
        <f>STANDARDIZE(Dataset!AT41,AVERAGE(Dataset!$AT$2:$AT$51),STDEV(Dataset!$AT$2:$AT$51))</f>
        <v>-0.2041518727959182</v>
      </c>
      <c r="Y41"/>
      <c r="AH41" s="8" t="s">
        <v>83</v>
      </c>
      <c r="AI41" s="28">
        <f t="shared" si="11"/>
        <v>-0.49201401255009458</v>
      </c>
      <c r="AJ41" s="28">
        <f t="shared" si="13"/>
        <v>0.98978756754190456</v>
      </c>
      <c r="AK41" s="28">
        <f t="shared" si="14"/>
        <v>1.1352940469785568</v>
      </c>
      <c r="AL41" s="28">
        <f t="shared" si="15"/>
        <v>0.31227989542946105</v>
      </c>
      <c r="AM41" s="28">
        <f t="shared" si="12"/>
        <v>-0.73966923876321378</v>
      </c>
      <c r="AN41" s="28">
        <f t="shared" si="16"/>
        <v>0.24113565172732285</v>
      </c>
      <c r="AO41">
        <f t="shared" si="5"/>
        <v>22</v>
      </c>
      <c r="AP41">
        <f t="shared" si="6"/>
        <v>11</v>
      </c>
      <c r="AQ41">
        <f t="shared" si="7"/>
        <v>5</v>
      </c>
      <c r="AR41">
        <f t="shared" si="8"/>
        <v>22</v>
      </c>
      <c r="AS41">
        <f t="shared" si="9"/>
        <v>35</v>
      </c>
      <c r="AT41" s="8">
        <f t="shared" si="10"/>
        <v>20</v>
      </c>
    </row>
    <row r="42" spans="1:46" s="8" customFormat="1" x14ac:dyDescent="0.25">
      <c r="A42" t="str">
        <f>Dataset!A42</f>
        <v>https://bfm.sd.gov/cafr/SD_CAFR_2016.PDF#view=fit</v>
      </c>
      <c r="B42" s="8" t="s">
        <v>84</v>
      </c>
      <c r="C42" s="8">
        <v>2016</v>
      </c>
      <c r="D42">
        <f>STANDARDIZE(Dataset!X42,'standardized values'!$AB$9,'standardized values'!$AD$9)</f>
        <v>1.0030417404328269</v>
      </c>
      <c r="E42">
        <f>STANDARDIZE(Dataset!Y42,'standardized values'!$AB$10,'standardized values'!$AD$10)</f>
        <v>1.435066788199693</v>
      </c>
      <c r="F42">
        <f>STANDARDIZE(Dataset!Z42,'standardized values'!$AB$11,'standardized values'!$AD$11)</f>
        <v>1.3897250341334502</v>
      </c>
      <c r="G42">
        <f>STANDARDIZE(Dataset!AA42,'standardized values'!$AB$12,'standardized values'!$AD$12)</f>
        <v>0.1919904889286978</v>
      </c>
      <c r="H42">
        <f>STANDARDIZE(Dataset!AB42,'standardized values'!$AB$13,'standardized values'!$AD$13)</f>
        <v>0.1719948560369908</v>
      </c>
      <c r="I42">
        <f>STANDARDIZE(Dataset!AC42,'standardized values'!$AB$14,'standardized values'!$AD$14)</f>
        <v>0.67831098279010638</v>
      </c>
      <c r="J42">
        <f>STANDARDIZE(Dataset!AK42,'standardized values'!$AB$20,'standardized values'!$AD$20)</f>
        <v>1.8802036908306443</v>
      </c>
      <c r="K42">
        <f>STANDARDIZE(Dataset!AL42,'standardized values'!$AB$21,'standardized values'!$AD$21)</f>
        <v>1.8274745019038581</v>
      </c>
      <c r="L42">
        <f>STANDARDIZE(Dataset!AM42,'standardized values'!$AB$22,'standardized values'!$AD$22)</f>
        <v>3.8461165369702101E-2</v>
      </c>
      <c r="M42">
        <f>STANDARDIZE(Dataset!AN42,'standardized values'!$AB$23,'standardized values'!$AD$23)</f>
        <v>1.4225153968587647</v>
      </c>
      <c r="N42">
        <f>STANDARDIZE(Dataset!AO42,'standardized values'!$AB$24,'standardized values'!$AD$24)</f>
        <v>1.337232050427698</v>
      </c>
      <c r="O42">
        <f>STANDARDIZE(Dataset!AP42,'standardized values'!$AB$27,'standardized values'!$AD$27)</f>
        <v>0.56081417332989936</v>
      </c>
      <c r="P42" t="e">
        <f>STANDARDIZE(Dataset!AQ42,'standardized values'!$AB$28,'standardized values'!$AD$28)</f>
        <v>#DIV/0!</v>
      </c>
      <c r="Q42">
        <f>STANDARDIZE(Dataset!AD42,'standardized values'!$AB$15,'standardized values'!$AD$15)</f>
        <v>-0.69397970178340784</v>
      </c>
      <c r="R42">
        <f>STANDARDIZE(Dataset!AE42,'standardized values'!$AB$16,'standardized values'!$AD$16)</f>
        <v>-0.90326041519022093</v>
      </c>
      <c r="S42">
        <f>STANDARDIZE(Dataset!AF42,'standardized values'!$AB$17,'standardized values'!$AD$17)</f>
        <v>-1.1321998089986298</v>
      </c>
      <c r="T42">
        <f>STANDARDIZE(Dataset!AG42,'standardized values'!$AB$18,'standardized values'!$AD$18)</f>
        <v>-1.1381336400409976</v>
      </c>
      <c r="U42">
        <f>STANDARDIZE(Dataset!AH42,'standardized values'!$AB$19,'standardized values'!$AD$19)</f>
        <v>-1.0228964922741397</v>
      </c>
      <c r="V42">
        <f>STANDARDIZE(Dataset!AR42,AVERAGE(Dataset!$AR$2:$AR$51),STDEV(Dataset!$AR$2:$AR$51))</f>
        <v>1.7324994610665667</v>
      </c>
      <c r="W42">
        <f>STANDARDIZE(Dataset!AS42,AVERAGE(Dataset!$AS$2:$AS$51),STDEV(Dataset!$AS$2:$AS$51))</f>
        <v>2.1420767369487024</v>
      </c>
      <c r="X42">
        <f>STANDARDIZE(Dataset!AT42,AVERAGE(Dataset!$AT$2:$AT$51),STDEV(Dataset!$AT$2:$AT$51))</f>
        <v>2.233972582233803</v>
      </c>
      <c r="Y42"/>
      <c r="AH42" s="8" t="s">
        <v>84</v>
      </c>
      <c r="AI42" s="28">
        <f t="shared" si="11"/>
        <v>6.1085487802490723</v>
      </c>
      <c r="AJ42" s="28">
        <f t="shared" si="13"/>
        <v>4.3859891755246085</v>
      </c>
      <c r="AK42" s="28">
        <f t="shared" si="14"/>
        <v>0.36398534496568857</v>
      </c>
      <c r="AL42" s="28">
        <f t="shared" si="15"/>
        <v>2.7982086126561647</v>
      </c>
      <c r="AM42" s="28">
        <f>SUM(O42:O42)</f>
        <v>0.56081417332989936</v>
      </c>
      <c r="AN42" s="28">
        <f t="shared" si="16"/>
        <v>2.8435092173450873</v>
      </c>
      <c r="AO42">
        <f t="shared" si="5"/>
        <v>3</v>
      </c>
      <c r="AP42">
        <f t="shared" si="6"/>
        <v>2</v>
      </c>
      <c r="AQ42">
        <f t="shared" si="7"/>
        <v>28</v>
      </c>
      <c r="AR42">
        <f t="shared" si="8"/>
        <v>6</v>
      </c>
      <c r="AS42">
        <f t="shared" si="9"/>
        <v>13</v>
      </c>
      <c r="AT42" s="8">
        <f t="shared" si="10"/>
        <v>2</v>
      </c>
    </row>
    <row r="43" spans="1:46" s="8" customFormat="1" ht="15.75" customHeight="1" x14ac:dyDescent="0.25">
      <c r="A43" t="str">
        <f>Dataset!A43</f>
        <v>http://www.tennessee.gov/assets/entities/finance/accounts/attachments/cafr_fy16.pdf</v>
      </c>
      <c r="B43" s="8" t="s">
        <v>85</v>
      </c>
      <c r="C43" s="8">
        <v>2016</v>
      </c>
      <c r="D43">
        <f>STANDARDIZE(Dataset!X43,'standardized values'!$AB$9,'standardized values'!$AD$9)</f>
        <v>0.31876372242134027</v>
      </c>
      <c r="E43">
        <f>STANDARDIZE(Dataset!Y43,'standardized values'!$AB$10,'standardized values'!$AD$10)</f>
        <v>0.44398606923841449</v>
      </c>
      <c r="F43">
        <f>STANDARDIZE(Dataset!Z43,'standardized values'!$AB$11,'standardized values'!$AD$11)</f>
        <v>0.37034098457503634</v>
      </c>
      <c r="G43">
        <f>STANDARDIZE(Dataset!AA43,'standardized values'!$AB$12,'standardized values'!$AD$12)</f>
        <v>0.68859597079639334</v>
      </c>
      <c r="H43">
        <f>STANDARDIZE(Dataset!AB43,'standardized values'!$AB$13,'standardized values'!$AD$13)</f>
        <v>0.34906293577928621</v>
      </c>
      <c r="I43">
        <f>STANDARDIZE(Dataset!AC43,'standardized values'!$AB$14,'standardized values'!$AD$14)</f>
        <v>0.41348086052309724</v>
      </c>
      <c r="J43">
        <f>STANDARDIZE(Dataset!AK43,'standardized values'!$AB$20,'standardized values'!$AD$20)</f>
        <v>1.1725403213402621</v>
      </c>
      <c r="K43">
        <f>STANDARDIZE(Dataset!AL43,'standardized values'!$AB$21,'standardized values'!$AD$21)</f>
        <v>1.8637216099886957</v>
      </c>
      <c r="L43">
        <f>STANDARDIZE(Dataset!AM43,'standardized values'!$AB$22,'standardized values'!$AD$22)</f>
        <v>-0.10957441360557364</v>
      </c>
      <c r="M43">
        <f>STANDARDIZE(Dataset!AN43,'standardized values'!$AB$23,'standardized values'!$AD$23)</f>
        <v>0.71231250549867897</v>
      </c>
      <c r="N43">
        <f>STANDARDIZE(Dataset!AO43,'standardized values'!$AB$24,'standardized values'!$AD$24)</f>
        <v>0.90039857058842399</v>
      </c>
      <c r="O43">
        <f>STANDARDIZE(Dataset!AP43,'standardized values'!$AB$27,'standardized values'!$AD$27)</f>
        <v>3.4805406066128373</v>
      </c>
      <c r="P43">
        <f>STANDARDIZE(Dataset!AQ43,'standardized values'!$AB$28,'standardized values'!$AD$28)</f>
        <v>-0.22764644051344637</v>
      </c>
      <c r="Q43">
        <f>STANDARDIZE(Dataset!AD43,'standardized values'!$AB$15,'standardized values'!$AD$15)</f>
        <v>-0.65986256786906805</v>
      </c>
      <c r="R43">
        <f>STANDARDIZE(Dataset!AE43,'standardized values'!$AB$16,'standardized values'!$AD$16)</f>
        <v>-0.90535505847484465</v>
      </c>
      <c r="S43">
        <f>STANDARDIZE(Dataset!AF43,'standardized values'!$AB$17,'standardized values'!$AD$17)</f>
        <v>-0.36027172289834714</v>
      </c>
      <c r="T43">
        <f>STANDARDIZE(Dataset!AG43,'standardized values'!$AB$18,'standardized values'!$AD$18)</f>
        <v>-0.73293988383804121</v>
      </c>
      <c r="U43">
        <f>STANDARDIZE(Dataset!AH43,'standardized values'!$AB$19,'standardized values'!$AD$19)</f>
        <v>-0.80806065838215602</v>
      </c>
      <c r="V43">
        <f>STANDARDIZE(Dataset!AR43,AVERAGE(Dataset!$AR$2:$AR$51),STDEV(Dataset!$AR$2:$AR$51))</f>
        <v>0.6318193980828718</v>
      </c>
      <c r="W43">
        <f>STANDARDIZE(Dataset!AS43,AVERAGE(Dataset!$AS$2:$AS$51),STDEV(Dataset!$AS$2:$AS$51))</f>
        <v>0.72178342176433485</v>
      </c>
      <c r="X43">
        <f>STANDARDIZE(Dataset!AT43,AVERAGE(Dataset!$AT$2:$AT$51),STDEV(Dataset!$AT$2:$AT$51))</f>
        <v>0.67354443864152613</v>
      </c>
      <c r="Y43"/>
      <c r="AH43" s="8" t="s">
        <v>85</v>
      </c>
      <c r="AI43" s="28">
        <f t="shared" si="11"/>
        <v>2.0271472584887329</v>
      </c>
      <c r="AJ43" s="28">
        <f t="shared" si="13"/>
        <v>3.4497427918520551</v>
      </c>
      <c r="AK43" s="28">
        <f t="shared" si="14"/>
        <v>1.0376589065756796</v>
      </c>
      <c r="AL43" s="28">
        <f t="shared" si="15"/>
        <v>1.5031366624815292</v>
      </c>
      <c r="AM43" s="28">
        <f t="shared" ref="AM43:AM51" si="17">SUM(O43:P43)</f>
        <v>3.2528941660993911</v>
      </c>
      <c r="AN43" s="28">
        <f t="shared" si="16"/>
        <v>2.2541159570994775</v>
      </c>
      <c r="AO43">
        <f t="shared" si="5"/>
        <v>10</v>
      </c>
      <c r="AP43">
        <f t="shared" si="6"/>
        <v>4</v>
      </c>
      <c r="AQ43">
        <f t="shared" si="7"/>
        <v>7</v>
      </c>
      <c r="AR43">
        <f t="shared" si="8"/>
        <v>12</v>
      </c>
      <c r="AS43">
        <f t="shared" si="9"/>
        <v>3</v>
      </c>
      <c r="AT43" s="8">
        <f t="shared" si="10"/>
        <v>3</v>
      </c>
    </row>
    <row r="44" spans="1:46" s="8" customFormat="1" ht="15.75" customHeight="1" x14ac:dyDescent="0.25">
      <c r="A44" t="str">
        <f>Dataset!A44</f>
        <v>https://comptroller.texas.gov/transparency/reports/comprehensive-annual-financial/2016/</v>
      </c>
      <c r="B44" s="8" t="s">
        <v>86</v>
      </c>
      <c r="C44" s="8">
        <v>2016</v>
      </c>
      <c r="D44">
        <f>STANDARDIZE(Dataset!X44,'standardized values'!$AB$9,'standardized values'!$AD$9)</f>
        <v>-0.37208634739737712</v>
      </c>
      <c r="E44">
        <f>STANDARDIZE(Dataset!Y44,'standardized values'!$AB$10,'standardized values'!$AD$10)</f>
        <v>-0.48632110572381254</v>
      </c>
      <c r="F44">
        <f>STANDARDIZE(Dataset!Z44,'standardized values'!$AB$11,'standardized values'!$AD$11)</f>
        <v>-0.440834292381931</v>
      </c>
      <c r="G44">
        <f>STANDARDIZE(Dataset!AA44,'standardized values'!$AB$12,'standardized values'!$AD$12)</f>
        <v>0.24870244035535344</v>
      </c>
      <c r="H44">
        <f>STANDARDIZE(Dataset!AB44,'standardized values'!$AB$13,'standardized values'!$AD$13)</f>
        <v>0.21956074006041934</v>
      </c>
      <c r="I44">
        <f>STANDARDIZE(Dataset!AC44,'standardized values'!$AB$14,'standardized values'!$AD$14)</f>
        <v>0.574917521288274</v>
      </c>
      <c r="J44">
        <f>STANDARDIZE(Dataset!AK44,'standardized values'!$AB$20,'standardized values'!$AD$20)</f>
        <v>-0.2312164317803849</v>
      </c>
      <c r="K44">
        <f>STANDARDIZE(Dataset!AL44,'standardized values'!$AB$21,'standardized values'!$AD$21)</f>
        <v>-0.35284604258983421</v>
      </c>
      <c r="L44">
        <f>STANDARDIZE(Dataset!AM44,'standardized values'!$AB$22,'standardized values'!$AD$22)</f>
        <v>7.6010426694256464E-2</v>
      </c>
      <c r="M44">
        <f>STANDARDIZE(Dataset!AN44,'standardized values'!$AB$23,'standardized values'!$AD$23)</f>
        <v>0.6100266047784586</v>
      </c>
      <c r="N44">
        <f>STANDARDIZE(Dataset!AO44,'standardized values'!$AB$24,'standardized values'!$AD$24)</f>
        <v>0.62916684926796973</v>
      </c>
      <c r="O44">
        <f>STANDARDIZE(Dataset!AP44,'standardized values'!$AB$27,'standardized values'!$AD$27)</f>
        <v>0.50961761689994101</v>
      </c>
      <c r="P44">
        <f>STANDARDIZE(Dataset!AQ44,'standardized values'!$AB$28,'standardized values'!$AD$28)</f>
        <v>-0.25213277225148684</v>
      </c>
      <c r="Q44">
        <f>STANDARDIZE(Dataset!AD44,'standardized values'!$AB$15,'standardized values'!$AD$15)</f>
        <v>-0.36997642627107535</v>
      </c>
      <c r="R44">
        <f>STANDARDIZE(Dataset!AE44,'standardized values'!$AB$16,'standardized values'!$AD$16)</f>
        <v>-0.22073500796913534</v>
      </c>
      <c r="S44">
        <f>STANDARDIZE(Dataset!AF44,'standardized values'!$AB$17,'standardized values'!$AD$17)</f>
        <v>-1.2716266564980687</v>
      </c>
      <c r="T44">
        <f>STANDARDIZE(Dataset!AG44,'standardized values'!$AB$18,'standardized values'!$AD$18)</f>
        <v>-0.66557889475112952</v>
      </c>
      <c r="U44">
        <f>STANDARDIZE(Dataset!AH44,'standardized values'!$AB$19,'standardized values'!$AD$19)</f>
        <v>-0.65481966344525611</v>
      </c>
      <c r="V44">
        <f>STANDARDIZE(Dataset!AR44,AVERAGE(Dataset!$AR$2:$AR$51),STDEV(Dataset!$AR$2:$AR$51))</f>
        <v>-0.47943199147673177</v>
      </c>
      <c r="W44">
        <f>STANDARDIZE(Dataset!AS44,AVERAGE(Dataset!$AS$2:$AS$51),STDEV(Dataset!$AS$2:$AS$51))</f>
        <v>-0.61141682760761207</v>
      </c>
      <c r="X44">
        <f>STANDARDIZE(Dataset!AT44,AVERAGE(Dataset!$AT$2:$AT$51),STDEV(Dataset!$AT$2:$AT$51))</f>
        <v>-0.56816689880605731</v>
      </c>
      <c r="Y44"/>
      <c r="AH44" s="8" t="s">
        <v>86</v>
      </c>
      <c r="AI44" s="28">
        <f t="shared" si="11"/>
        <v>-1.659015717890401</v>
      </c>
      <c r="AJ44" s="28">
        <f t="shared" si="13"/>
        <v>-9.1449530819450731E-3</v>
      </c>
      <c r="AK44" s="28">
        <f t="shared" si="14"/>
        <v>0.46826318041577275</v>
      </c>
      <c r="AL44" s="28">
        <f t="shared" si="15"/>
        <v>1.3152038807406847</v>
      </c>
      <c r="AM44" s="28">
        <f t="shared" si="17"/>
        <v>0.25748484464845417</v>
      </c>
      <c r="AN44" s="28">
        <f t="shared" si="16"/>
        <v>7.4558246966513114E-2</v>
      </c>
      <c r="AO44">
        <f t="shared" si="5"/>
        <v>34</v>
      </c>
      <c r="AP44">
        <f t="shared" si="6"/>
        <v>21</v>
      </c>
      <c r="AQ44">
        <f t="shared" si="7"/>
        <v>24</v>
      </c>
      <c r="AR44">
        <f t="shared" si="8"/>
        <v>13</v>
      </c>
      <c r="AS44">
        <f t="shared" si="9"/>
        <v>15</v>
      </c>
      <c r="AT44" s="8">
        <f t="shared" si="10"/>
        <v>22</v>
      </c>
    </row>
    <row r="45" spans="1:46" s="8" customFormat="1" ht="15.75" customHeight="1" x14ac:dyDescent="0.25">
      <c r="A45" t="str">
        <f>Dataset!A45</f>
        <v>http://apps.finance.utah.gov/nxt/gateway.dll?f=templates&amp;fn=default.htm&amp;vid=nxtpub:cafr</v>
      </c>
      <c r="B45" s="8" t="s">
        <v>87</v>
      </c>
      <c r="C45" s="8">
        <v>2016</v>
      </c>
      <c r="D45">
        <f>STANDARDIZE(Dataset!X45,'standardized values'!$AB$9,'standardized values'!$AD$9)</f>
        <v>-0.242737443817405</v>
      </c>
      <c r="E45">
        <f>STANDARDIZE(Dataset!Y45,'standardized values'!$AB$10,'standardized values'!$AD$10)</f>
        <v>0.26000425049106946</v>
      </c>
      <c r="F45">
        <f>STANDARDIZE(Dataset!Z45,'standardized values'!$AB$11,'standardized values'!$AD$11)</f>
        <v>0.20620470478270184</v>
      </c>
      <c r="G45">
        <f>STANDARDIZE(Dataset!AA45,'standardized values'!$AB$12,'standardized values'!$AD$12)</f>
        <v>0.78693915980185203</v>
      </c>
      <c r="H45">
        <f>STANDARDIZE(Dataset!AB45,'standardized values'!$AB$13,'standardized values'!$AD$13)</f>
        <v>0.35041671408382197</v>
      </c>
      <c r="I45">
        <f>STANDARDIZE(Dataset!AC45,'standardized values'!$AB$14,'standardized values'!$AD$14)</f>
        <v>0.57855735407452002</v>
      </c>
      <c r="J45">
        <f>STANDARDIZE(Dataset!AK45,'standardized values'!$AB$20,'standardized values'!$AD$20)</f>
        <v>0.52118049475936634</v>
      </c>
      <c r="K45">
        <f>STANDARDIZE(Dataset!AL45,'standardized values'!$AB$21,'standardized values'!$AD$21)</f>
        <v>0.26605559477216245</v>
      </c>
      <c r="L45">
        <f>STANDARDIZE(Dataset!AM45,'standardized values'!$AB$22,'standardized values'!$AD$22)</f>
        <v>-0.15181899448992273</v>
      </c>
      <c r="M45">
        <f>STANDARDIZE(Dataset!AN45,'standardized values'!$AB$23,'standardized values'!$AD$23)</f>
        <v>0.95362709960084457</v>
      </c>
      <c r="N45">
        <f>STANDARDIZE(Dataset!AO45,'standardized values'!$AB$24,'standardized values'!$AD$24)</f>
        <v>1.1682592812316142</v>
      </c>
      <c r="O45">
        <f>STANDARDIZE(Dataset!AP45,'standardized values'!$AB$27,'standardized values'!$AD$27)</f>
        <v>0.15959043671675521</v>
      </c>
      <c r="P45">
        <f>STANDARDIZE(Dataset!AQ45,'standardized values'!$AB$28,'standardized values'!$AD$28)</f>
        <v>-0.14426836121767328</v>
      </c>
      <c r="Q45">
        <f>STANDARDIZE(Dataset!AD45,'standardized values'!$AB$15,'standardized values'!$AD$15)</f>
        <v>-0.59787701453248843</v>
      </c>
      <c r="R45">
        <f>STANDARDIZE(Dataset!AE45,'standardized values'!$AB$16,'standardized values'!$AD$16)</f>
        <v>-0.68439898048615599</v>
      </c>
      <c r="S45">
        <f>STANDARDIZE(Dataset!AF45,'standardized values'!$AB$17,'standardized values'!$AD$17)</f>
        <v>-3.9413906723949066E-2</v>
      </c>
      <c r="T45">
        <f>STANDARDIZE(Dataset!AG45,'standardized values'!$AB$18,'standardized values'!$AD$18)</f>
        <v>-0.88212527167450405</v>
      </c>
      <c r="U45">
        <f>STANDARDIZE(Dataset!AH45,'standardized values'!$AB$19,'standardized values'!$AD$19)</f>
        <v>-0.94399702081227144</v>
      </c>
      <c r="V45">
        <f>STANDARDIZE(Dataset!AR45,AVERAGE(Dataset!$AR$2:$AR$51),STDEV(Dataset!$AR$2:$AR$51))</f>
        <v>-0.27137071288559972</v>
      </c>
      <c r="W45">
        <f>STANDARDIZE(Dataset!AS45,AVERAGE(Dataset!$AS$2:$AS$51),STDEV(Dataset!$AS$2:$AS$51))</f>
        <v>0.45812361859897288</v>
      </c>
      <c r="X45">
        <f>STANDARDIZE(Dataset!AT45,AVERAGE(Dataset!$AT$2:$AT$51),STDEV(Dataset!$AT$2:$AT$51))</f>
        <v>0.42229186069168989</v>
      </c>
      <c r="Y45"/>
      <c r="AH45" s="8" t="s">
        <v>87</v>
      </c>
      <c r="AI45" s="28">
        <f t="shared" si="11"/>
        <v>0.60904476640506311</v>
      </c>
      <c r="AJ45" s="28">
        <f t="shared" si="13"/>
        <v>1.3657934436060488</v>
      </c>
      <c r="AK45" s="28">
        <f t="shared" si="14"/>
        <v>1.1373558738856739</v>
      </c>
      <c r="AL45" s="28">
        <f t="shared" si="15"/>
        <v>1.970067386342536</v>
      </c>
      <c r="AM45" s="28">
        <f t="shared" si="17"/>
        <v>1.5322075499081933E-2</v>
      </c>
      <c r="AN45" s="28">
        <f t="shared" si="16"/>
        <v>1.0195167091476809</v>
      </c>
      <c r="AO45">
        <f t="shared" si="5"/>
        <v>15</v>
      </c>
      <c r="AP45">
        <f t="shared" si="6"/>
        <v>10</v>
      </c>
      <c r="AQ45">
        <f t="shared" si="7"/>
        <v>4</v>
      </c>
      <c r="AR45">
        <f t="shared" si="8"/>
        <v>9</v>
      </c>
      <c r="AS45">
        <f t="shared" si="9"/>
        <v>20</v>
      </c>
      <c r="AT45" s="8">
        <f t="shared" si="10"/>
        <v>8</v>
      </c>
    </row>
    <row r="46" spans="1:46" s="8" customFormat="1" ht="15.75" customHeight="1" x14ac:dyDescent="0.25">
      <c r="A46" t="str">
        <f>Dataset!A46</f>
        <v>http://finance.vermont.gov/sites/finance/files/documents/Rpts_Pubs/CAFR/FIN-2016_CAFR_FINAL.pdf</v>
      </c>
      <c r="B46" s="8" t="s">
        <v>88</v>
      </c>
      <c r="C46" s="8">
        <v>2016</v>
      </c>
      <c r="D46">
        <f>STANDARDIZE(Dataset!X46,'standardized values'!$AB$9,'standardized values'!$AD$9)</f>
        <v>-0.23848422048074505</v>
      </c>
      <c r="E46">
        <f>STANDARDIZE(Dataset!Y46,'standardized values'!$AB$10,'standardized values'!$AD$10)</f>
        <v>-0.21032135993168394</v>
      </c>
      <c r="F46">
        <f>STANDARDIZE(Dataset!Z46,'standardized values'!$AB$11,'standardized values'!$AD$11)</f>
        <v>-0.28170294306048715</v>
      </c>
      <c r="G46">
        <f>STANDARDIZE(Dataset!AA46,'standardized values'!$AB$12,'standardized values'!$AD$12)</f>
        <v>0.44173617565585943</v>
      </c>
      <c r="H46">
        <f>STANDARDIZE(Dataset!AB46,'standardized values'!$AB$13,'standardized values'!$AD$13)</f>
        <v>0.46676477698466745</v>
      </c>
      <c r="I46">
        <f>STANDARDIZE(Dataset!AC46,'standardized values'!$AB$14,'standardized values'!$AD$14)</f>
        <v>-0.11267112999068123</v>
      </c>
      <c r="J46">
        <f>STANDARDIZE(Dataset!AK46,'standardized values'!$AB$20,'standardized values'!$AD$20)</f>
        <v>-0.55977469176415806</v>
      </c>
      <c r="K46">
        <f>STANDARDIZE(Dataset!AL46,'standardized values'!$AB$21,'standardized values'!$AD$21)</f>
        <v>-0.51644292984997509</v>
      </c>
      <c r="L46">
        <f>STANDARDIZE(Dataset!AM46,'standardized values'!$AB$22,'standardized values'!$AD$22)</f>
        <v>-0.33232256002075972</v>
      </c>
      <c r="M46">
        <f>STANDARDIZE(Dataset!AN46,'standardized values'!$AB$23,'standardized values'!$AD$23)</f>
        <v>-1.6104335026848104</v>
      </c>
      <c r="N46">
        <f>STANDARDIZE(Dataset!AO46,'standardized values'!$AB$24,'standardized values'!$AD$24)</f>
        <v>-1.3327308022707123</v>
      </c>
      <c r="O46">
        <f>STANDARDIZE(Dataset!AP46,'standardized values'!$AB$27,'standardized values'!$AD$27)</f>
        <v>0.3648100973642362</v>
      </c>
      <c r="P46">
        <f>STANDARDIZE(Dataset!AQ46,'standardized values'!$AB$28,'standardized values'!$AD$28)</f>
        <v>-0.25179607210286259</v>
      </c>
      <c r="Q46">
        <f>STANDARDIZE(Dataset!AD46,'standardized values'!$AB$15,'standardized values'!$AD$15)</f>
        <v>7.1601710984109168E-2</v>
      </c>
      <c r="R46">
        <f>STANDARDIZE(Dataset!AE46,'standardized values'!$AB$16,'standardized values'!$AD$16)</f>
        <v>0.1853800798663818</v>
      </c>
      <c r="S46">
        <f>STANDARDIZE(Dataset!AF46,'standardized values'!$AB$17,'standardized values'!$AD$17)</f>
        <v>2.6241270325126655</v>
      </c>
      <c r="T46">
        <f>STANDARDIZE(Dataset!AG46,'standardized values'!$AB$18,'standardized values'!$AD$18)</f>
        <v>1.9118910586355264</v>
      </c>
      <c r="U46">
        <f>STANDARDIZE(Dataset!AH46,'standardized values'!$AB$19,'standardized values'!$AD$19)</f>
        <v>1.3386993159259515</v>
      </c>
      <c r="V46">
        <f>STANDARDIZE(Dataset!AR46,AVERAGE(Dataset!$AR$2:$AR$51),STDEV(Dataset!$AR$2:$AR$51))</f>
        <v>-0.26452928585323227</v>
      </c>
      <c r="W46">
        <f>STANDARDIZE(Dataset!AS46,AVERAGE(Dataset!$AS$2:$AS$51),STDEV(Dataset!$AS$2:$AS$51))</f>
        <v>-0.21588840450198554</v>
      </c>
      <c r="X46">
        <f>STANDARDIZE(Dataset!AT46,AVERAGE(Dataset!$AT$2:$AT$51),STDEV(Dataset!$AT$2:$AT$51))</f>
        <v>-0.32457564768086927</v>
      </c>
      <c r="Y46"/>
      <c r="AH46" s="8" t="s">
        <v>88</v>
      </c>
      <c r="AI46" s="28">
        <f t="shared" si="11"/>
        <v>-0.80499333803608708</v>
      </c>
      <c r="AJ46" s="28">
        <f t="shared" si="13"/>
        <v>-1.1888887516048143</v>
      </c>
      <c r="AK46" s="28">
        <f t="shared" si="14"/>
        <v>0.90850095264052688</v>
      </c>
      <c r="AL46" s="28">
        <f t="shared" si="15"/>
        <v>-3.2754868649762825</v>
      </c>
      <c r="AM46" s="28">
        <f t="shared" si="17"/>
        <v>0.11301402526137361</v>
      </c>
      <c r="AN46" s="28">
        <f t="shared" si="16"/>
        <v>-0.84957079534305668</v>
      </c>
      <c r="AO46">
        <f t="shared" si="5"/>
        <v>25</v>
      </c>
      <c r="AP46">
        <f t="shared" si="6"/>
        <v>41</v>
      </c>
      <c r="AQ46">
        <f t="shared" si="7"/>
        <v>9</v>
      </c>
      <c r="AR46">
        <f t="shared" si="8"/>
        <v>47</v>
      </c>
      <c r="AS46">
        <f t="shared" si="9"/>
        <v>18</v>
      </c>
      <c r="AT46" s="8">
        <f t="shared" si="10"/>
        <v>39</v>
      </c>
    </row>
    <row r="47" spans="1:46" s="8" customFormat="1" ht="15.75" customHeight="1" x14ac:dyDescent="0.25">
      <c r="A47" t="str">
        <f>Dataset!A47</f>
        <v>http://www.doa.virginia.gov/reports/CAFR/2016/2016CAFR.pdf</v>
      </c>
      <c r="B47" s="8" t="s">
        <v>89</v>
      </c>
      <c r="C47" s="8">
        <v>2016</v>
      </c>
      <c r="D47">
        <f>STANDARDIZE(Dataset!X47,'standardized values'!$AB$9,'standardized values'!$AD$9)</f>
        <v>-0.26775954787586226</v>
      </c>
      <c r="E47">
        <f>STANDARDIZE(Dataset!Y47,'standardized values'!$AB$10,'standardized values'!$AD$10)</f>
        <v>-0.30248659226599606</v>
      </c>
      <c r="F47">
        <f>STANDARDIZE(Dataset!Z47,'standardized values'!$AB$11,'standardized values'!$AD$11)</f>
        <v>-0.35694414955139359</v>
      </c>
      <c r="G47">
        <f>STANDARDIZE(Dataset!AA47,'standardized values'!$AB$12,'standardized values'!$AD$12)</f>
        <v>0.14330592296775432</v>
      </c>
      <c r="H47">
        <f>STANDARDIZE(Dataset!AB47,'standardized values'!$AB$13,'standardized values'!$AD$13)</f>
        <v>0.15862790491546255</v>
      </c>
      <c r="I47">
        <f>STANDARDIZE(Dataset!AC47,'standardized values'!$AB$14,'standardized values'!$AD$14)</f>
        <v>0.14457768640488991</v>
      </c>
      <c r="J47">
        <f>STANDARDIZE(Dataset!AK47,'standardized values'!$AB$20,'standardized values'!$AD$20)</f>
        <v>-0.22761278865297144</v>
      </c>
      <c r="K47">
        <f>STANDARDIZE(Dataset!AL47,'standardized values'!$AB$21,'standardized values'!$AD$21)</f>
        <v>0.16244761374741451</v>
      </c>
      <c r="L47">
        <f>STANDARDIZE(Dataset!AM47,'standardized values'!$AB$22,'standardized values'!$AD$22)</f>
        <v>-0.10170673415499971</v>
      </c>
      <c r="M47">
        <f>STANDARDIZE(Dataset!AN47,'standardized values'!$AB$23,'standardized values'!$AD$23)</f>
        <v>1.8188803455918083</v>
      </c>
      <c r="N47">
        <f>STANDARDIZE(Dataset!AO47,'standardized values'!$AB$24,'standardized values'!$AD$24)</f>
        <v>1.6698183323544695</v>
      </c>
      <c r="O47">
        <f>STANDARDIZE(Dataset!AP47,'standardized values'!$AB$27,'standardized values'!$AD$27)</f>
        <v>1.024443116468339</v>
      </c>
      <c r="P47">
        <f>STANDARDIZE(Dataset!AQ47,'standardized values'!$AB$28,'standardized values'!$AD$28)</f>
        <v>-0.24099267739740579</v>
      </c>
      <c r="Q47">
        <f>STANDARDIZE(Dataset!AD47,'standardized values'!$AB$15,'standardized values'!$AD$15)</f>
        <v>-0.37233190578317915</v>
      </c>
      <c r="R47">
        <f>STANDARDIZE(Dataset!AE47,'standardized values'!$AB$16,'standardized values'!$AD$16)</f>
        <v>-0.64610288990123177</v>
      </c>
      <c r="S47">
        <f>STANDARDIZE(Dataset!AF47,'standardized values'!$AB$17,'standardized values'!$AD$17)</f>
        <v>-0.41361459669131984</v>
      </c>
      <c r="T47">
        <f>STANDARDIZE(Dataset!AG47,'standardized values'!$AB$18,'standardized values'!$AD$18)</f>
        <v>-1.3256262806156514</v>
      </c>
      <c r="U47">
        <f>STANDARDIZE(Dataset!AH47,'standardized values'!$AB$19,'standardized values'!$AD$19)</f>
        <v>-1.1647618190812314</v>
      </c>
      <c r="V47">
        <f>STANDARDIZE(Dataset!AR47,AVERAGE(Dataset!$AR$2:$AR$51),STDEV(Dataset!$AR$2:$AR$51))</f>
        <v>-0.31161945732295937</v>
      </c>
      <c r="W47">
        <f>STANDARDIZE(Dataset!AS47,AVERAGE(Dataset!$AS$2:$AS$51),STDEV(Dataset!$AS$2:$AS$51))</f>
        <v>-0.34796812401669036</v>
      </c>
      <c r="X47">
        <f>STANDARDIZE(Dataset!AT47,AVERAGE(Dataset!$AT$2:$AT$51),STDEV(Dataset!$AT$2:$AT$51))</f>
        <v>-0.43975156809781946</v>
      </c>
      <c r="Y47"/>
      <c r="AH47" s="8" t="s">
        <v>89</v>
      </c>
      <c r="AI47" s="41">
        <f t="shared" si="11"/>
        <v>-1.0993391494374691</v>
      </c>
      <c r="AJ47" s="41">
        <f t="shared" si="13"/>
        <v>7.9412511499332983E-2</v>
      </c>
      <c r="AK47" s="41">
        <f t="shared" si="14"/>
        <v>0.30193382788321688</v>
      </c>
      <c r="AL47" s="41">
        <f t="shared" si="15"/>
        <v>3.3869919437912781</v>
      </c>
      <c r="AM47" s="41">
        <f t="shared" si="17"/>
        <v>0.78345043907093315</v>
      </c>
      <c r="AN47" s="41">
        <f t="shared" si="16"/>
        <v>0.69048991456145847</v>
      </c>
      <c r="AO47" s="5">
        <f t="shared" si="5"/>
        <v>28</v>
      </c>
      <c r="AP47">
        <f t="shared" si="6"/>
        <v>18</v>
      </c>
      <c r="AQ47">
        <f t="shared" si="7"/>
        <v>29</v>
      </c>
      <c r="AR47">
        <f t="shared" si="8"/>
        <v>4</v>
      </c>
      <c r="AS47">
        <f t="shared" si="9"/>
        <v>10</v>
      </c>
      <c r="AT47" s="8">
        <f t="shared" si="10"/>
        <v>13</v>
      </c>
    </row>
    <row r="48" spans="1:46" s="8" customFormat="1" ht="15.75" customHeight="1" x14ac:dyDescent="0.25">
      <c r="A48" t="str">
        <f>Dataset!A48</f>
        <v>http://www.ofm.wa.gov/cafr/2016/CAFR16.pdf</v>
      </c>
      <c r="B48" s="8" t="s">
        <v>90</v>
      </c>
      <c r="C48" s="8">
        <v>2016</v>
      </c>
      <c r="D48">
        <f>STANDARDIZE(Dataset!X48,'standardized values'!$AB$9,'standardized values'!$AD$9)</f>
        <v>-0.35269189631426906</v>
      </c>
      <c r="E48">
        <f>STANDARDIZE(Dataset!Y48,'standardized values'!$AB$10,'standardized values'!$AD$10)</f>
        <v>-0.37185508417560992</v>
      </c>
      <c r="F48">
        <f>STANDARDIZE(Dataset!Z48,'standardized values'!$AB$11,'standardized values'!$AD$11)</f>
        <v>-0.28952117710054631</v>
      </c>
      <c r="G48">
        <f>STANDARDIZE(Dataset!AA48,'standardized values'!$AB$12,'standardized values'!$AD$12)</f>
        <v>0.3654159593636559</v>
      </c>
      <c r="H48">
        <f>STANDARDIZE(Dataset!AB48,'standardized values'!$AB$13,'standardized values'!$AD$13)</f>
        <v>0.29082791869831148</v>
      </c>
      <c r="I48">
        <f>STANDARDIZE(Dataset!AC48,'standardized values'!$AB$14,'standardized values'!$AD$14)</f>
        <v>0.24926401656654956</v>
      </c>
      <c r="J48">
        <f>STANDARDIZE(Dataset!AK48,'standardized values'!$AB$20,'standardized values'!$AD$20)</f>
        <v>-0.54050751197381219</v>
      </c>
      <c r="K48">
        <f>STANDARDIZE(Dataset!AL48,'standardized values'!$AB$21,'standardized values'!$AD$21)</f>
        <v>-0.64127062059318218</v>
      </c>
      <c r="L48">
        <f>STANDARDIZE(Dataset!AM48,'standardized values'!$AB$22,'standardized values'!$AD$22)</f>
        <v>-0.13406844436742277</v>
      </c>
      <c r="M48">
        <f>STANDARDIZE(Dataset!AN48,'standardized values'!$AB$23,'standardized values'!$AD$23)</f>
        <v>-0.30795111210169962</v>
      </c>
      <c r="N48">
        <f>STANDARDIZE(Dataset!AO48,'standardized values'!$AB$24,'standardized values'!$AD$24)</f>
        <v>-0.16189481049082313</v>
      </c>
      <c r="O48">
        <f>STANDARDIZE(Dataset!AP48,'standardized values'!$AB$27,'standardized values'!$AD$27)</f>
        <v>0.31843688638133477</v>
      </c>
      <c r="P48">
        <f>STANDARDIZE(Dataset!AQ48,'standardized values'!$AB$28,'standardized values'!$AD$28)</f>
        <v>-0.24997736875222251</v>
      </c>
      <c r="Q48">
        <f>STANDARDIZE(Dataset!AD48,'standardized values'!$AB$15,'standardized values'!$AD$15)</f>
        <v>2.1710862478676811E-2</v>
      </c>
      <c r="R48">
        <f>STANDARDIZE(Dataset!AE48,'standardized values'!$AB$16,'standardized values'!$AD$16)</f>
        <v>0.91407399731471262</v>
      </c>
      <c r="S48">
        <f>STANDARDIZE(Dataset!AF48,'standardized values'!$AB$17,'standardized values'!$AD$17)</f>
        <v>-0.18183359963897255</v>
      </c>
      <c r="T48">
        <f>STANDARDIZE(Dataset!AG48,'standardized values'!$AB$18,'standardized values'!$AD$18)</f>
        <v>8.0808982558025044E-2</v>
      </c>
      <c r="U48">
        <f>STANDARDIZE(Dataset!AH48,'standardized values'!$AB$19,'standardized values'!$AD$19)</f>
        <v>-8.8217895062713284E-2</v>
      </c>
      <c r="V48">
        <f>STANDARDIZE(Dataset!AR48,AVERAGE(Dataset!$AR$2:$AR$51),STDEV(Dataset!$AR$2:$AR$51))</f>
        <v>-0.4482354820495778</v>
      </c>
      <c r="W48">
        <f>STANDARDIZE(Dataset!AS48,AVERAGE(Dataset!$AS$2:$AS$51),STDEV(Dataset!$AS$2:$AS$51))</f>
        <v>-0.44737839752791858</v>
      </c>
      <c r="X48">
        <f>STANDARDIZE(Dataset!AT48,AVERAGE(Dataset!$AT$2:$AT$51),STDEV(Dataset!$AT$2:$AT$51))</f>
        <v>-0.33654345552972104</v>
      </c>
      <c r="Y48"/>
      <c r="AH48" s="8" t="s">
        <v>90</v>
      </c>
      <c r="AI48" s="41">
        <f t="shared" si="11"/>
        <v>-1.2321573351072175</v>
      </c>
      <c r="AJ48" s="41">
        <f t="shared" si="13"/>
        <v>-0.93251411600044487</v>
      </c>
      <c r="AK48" s="41">
        <f t="shared" si="14"/>
        <v>0.65624387806196738</v>
      </c>
      <c r="AL48" s="41">
        <f t="shared" si="15"/>
        <v>-0.60391436695994549</v>
      </c>
      <c r="AM48" s="41">
        <f t="shared" si="17"/>
        <v>6.845951762911226E-2</v>
      </c>
      <c r="AN48" s="41">
        <f t="shared" si="16"/>
        <v>-0.40877648447530573</v>
      </c>
      <c r="AO48" s="5">
        <f t="shared" si="5"/>
        <v>29</v>
      </c>
      <c r="AP48">
        <f t="shared" si="6"/>
        <v>36</v>
      </c>
      <c r="AQ48">
        <f t="shared" si="7"/>
        <v>19</v>
      </c>
      <c r="AR48">
        <f t="shared" si="8"/>
        <v>30</v>
      </c>
      <c r="AS48">
        <f t="shared" si="9"/>
        <v>19</v>
      </c>
      <c r="AT48" s="8">
        <f t="shared" si="10"/>
        <v>30</v>
      </c>
    </row>
    <row r="49" spans="1:46" s="8" customFormat="1" ht="15.75" customHeight="1" x14ac:dyDescent="0.25">
      <c r="A49" t="str">
        <f>Dataset!A49</f>
        <v>http://www.finance.wv.gov/FARS/CAFR/Documents/CAFR2016.pdf</v>
      </c>
      <c r="B49" s="8" t="s">
        <v>91</v>
      </c>
      <c r="C49" s="8">
        <v>2016</v>
      </c>
      <c r="D49">
        <f>STANDARDIZE(Dataset!X49,'standardized values'!$AB$9,'standardized values'!$AD$9)</f>
        <v>-0.37522947758411485</v>
      </c>
      <c r="E49">
        <f>STANDARDIZE(Dataset!Y49,'standardized values'!$AB$10,'standardized values'!$AD$10)</f>
        <v>-0.5743630675421918</v>
      </c>
      <c r="F49">
        <f>STANDARDIZE(Dataset!Z49,'standardized values'!$AB$11,'standardized values'!$AD$11)</f>
        <v>-0.56190576322156871</v>
      </c>
      <c r="G49">
        <f>STANDARDIZE(Dataset!AA49,'standardized values'!$AB$12,'standardized values'!$AD$12)</f>
        <v>6.7778328497141868E-2</v>
      </c>
      <c r="H49">
        <f>STANDARDIZE(Dataset!AB49,'standardized values'!$AB$13,'standardized values'!$AD$13)</f>
        <v>0.15558703230987025</v>
      </c>
      <c r="I49">
        <f>STANDARDIZE(Dataset!AC49,'standardized values'!$AB$14,'standardized values'!$AD$14)</f>
        <v>6.0371571158002096E-2</v>
      </c>
      <c r="J49">
        <f>STANDARDIZE(Dataset!AK49,'standardized values'!$AB$20,'standardized values'!$AD$20)</f>
        <v>-0.37694096501951158</v>
      </c>
      <c r="K49">
        <f>STANDARDIZE(Dataset!AL49,'standardized values'!$AB$21,'standardized values'!$AD$21)</f>
        <v>-0.43902571440523469</v>
      </c>
      <c r="L49">
        <f>STANDARDIZE(Dataset!AM49,'standardized values'!$AB$22,'standardized values'!$AD$22)</f>
        <v>-0.24689275066152991</v>
      </c>
      <c r="M49">
        <f>STANDARDIZE(Dataset!AN49,'standardized values'!$AB$23,'standardized values'!$AD$23)</f>
        <v>-1.5060475841396432</v>
      </c>
      <c r="N49">
        <f>STANDARDIZE(Dataset!AO49,'standardized values'!$AB$24,'standardized values'!$AD$24)</f>
        <v>-1.3260754632065594</v>
      </c>
      <c r="O49">
        <f>STANDARDIZE(Dataset!AP49,'standardized values'!$AB$27,'standardized values'!$AD$27)</f>
        <v>-0.16484244268963294</v>
      </c>
      <c r="P49">
        <f>STANDARDIZE(Dataset!AQ49,'standardized values'!$AB$28,'standardized values'!$AD$28)</f>
        <v>-0.25095687597993865</v>
      </c>
      <c r="Q49">
        <f>STANDARDIZE(Dataset!AD49,'standardized values'!$AB$15,'standardized values'!$AD$15)</f>
        <v>-0.24612532453871722</v>
      </c>
      <c r="R49">
        <f>STANDARDIZE(Dataset!AE49,'standardized values'!$AB$16,'standardized values'!$AD$16)</f>
        <v>-4.6648509825970387E-2</v>
      </c>
      <c r="S49">
        <f>STANDARDIZE(Dataset!AF49,'standardized values'!$AB$17,'standardized values'!$AD$17)</f>
        <v>0.9909393920187427</v>
      </c>
      <c r="T49">
        <f>STANDARDIZE(Dataset!AG49,'standardized values'!$AB$18,'standardized values'!$AD$18)</f>
        <v>1.7093276206357251</v>
      </c>
      <c r="U49">
        <f>STANDARDIZE(Dataset!AH49,'standardized values'!$AB$19,'standardized values'!$AD$19)</f>
        <v>1.3272199722953446</v>
      </c>
      <c r="V49">
        <f>STANDARDIZE(Dataset!AR49,AVERAGE(Dataset!$AR$2:$AR$51),STDEV(Dataset!$AR$2:$AR$51))</f>
        <v>-0.48448780306331174</v>
      </c>
      <c r="W49">
        <f>STANDARDIZE(Dataset!AS49,AVERAGE(Dataset!$AS$2:$AS$51),STDEV(Dataset!$AS$2:$AS$51))</f>
        <v>-0.73758758992192452</v>
      </c>
      <c r="X49">
        <f>STANDARDIZE(Dataset!AT49,AVERAGE(Dataset!$AT$2:$AT$51),STDEV(Dataset!$AT$2:$AT$51))</f>
        <v>-0.75349776656499667</v>
      </c>
      <c r="Y49"/>
      <c r="AH49" s="8" t="s">
        <v>91</v>
      </c>
      <c r="AI49" s="41">
        <f t="shared" si="11"/>
        <v>-1.9755731595502328</v>
      </c>
      <c r="AJ49" s="41">
        <f t="shared" si="13"/>
        <v>-0.75559510826674425</v>
      </c>
      <c r="AK49" s="41">
        <f t="shared" si="14"/>
        <v>0.22336536080701214</v>
      </c>
      <c r="AL49" s="41">
        <f t="shared" si="15"/>
        <v>-3.0790157980077328</v>
      </c>
      <c r="AM49" s="41">
        <f t="shared" si="17"/>
        <v>-0.41579931866957159</v>
      </c>
      <c r="AN49" s="41">
        <f t="shared" si="16"/>
        <v>-1.2005236047374539</v>
      </c>
      <c r="AO49" s="5">
        <f t="shared" si="5"/>
        <v>38</v>
      </c>
      <c r="AP49">
        <f t="shared" si="6"/>
        <v>34</v>
      </c>
      <c r="AQ49">
        <f t="shared" si="7"/>
        <v>30</v>
      </c>
      <c r="AR49">
        <f t="shared" si="8"/>
        <v>46</v>
      </c>
      <c r="AS49">
        <f t="shared" si="9"/>
        <v>29</v>
      </c>
      <c r="AT49" s="8">
        <f t="shared" si="10"/>
        <v>43</v>
      </c>
    </row>
    <row r="50" spans="1:46" s="8" customFormat="1" ht="15.75" customHeight="1" x14ac:dyDescent="0.25">
      <c r="A50" t="str">
        <f>Dataset!A50</f>
        <v>http://www.doa.state.wi.us/Documents/DEBF/Financial%20Reporting/CAFR/CAFR2016%20Links.pdf</v>
      </c>
      <c r="B50" s="8" t="s">
        <v>92</v>
      </c>
      <c r="C50" s="8">
        <v>2016</v>
      </c>
      <c r="D50">
        <f>STANDARDIZE(Dataset!X50,'standardized values'!$AB$9,'standardized values'!$AD$9)</f>
        <v>-0.52896254383163555</v>
      </c>
      <c r="E50">
        <f>STANDARDIZE(Dataset!Y50,'standardized values'!$AB$10,'standardized values'!$AD$10)</f>
        <v>-0.49564429186448872</v>
      </c>
      <c r="F50">
        <f>STANDARDIZE(Dataset!Z50,'standardized values'!$AB$11,'standardized values'!$AD$11)</f>
        <v>-0.5703249093332694</v>
      </c>
      <c r="G50">
        <f>STANDARDIZE(Dataset!AA50,'standardized values'!$AB$12,'standardized values'!$AD$12)</f>
        <v>0.37778909534497052</v>
      </c>
      <c r="H50">
        <f>STANDARDIZE(Dataset!AB50,'standardized values'!$AB$13,'standardized values'!$AD$13)</f>
        <v>0.30440595100714102</v>
      </c>
      <c r="I50">
        <f>STANDARDIZE(Dataset!AC50,'standardized values'!$AB$14,'standardized values'!$AD$14)</f>
        <v>0.23007786966069119</v>
      </c>
      <c r="J50">
        <f>STANDARDIZE(Dataset!AK50,'standardized values'!$AB$20,'standardized values'!$AD$20)</f>
        <v>-0.23133929515345952</v>
      </c>
      <c r="K50">
        <f>STANDARDIZE(Dataset!AL50,'standardized values'!$AB$21,'standardized values'!$AD$21)</f>
        <v>-0.18129265211074447</v>
      </c>
      <c r="L50">
        <f>STANDARDIZE(Dataset!AM50,'standardized values'!$AB$22,'standardized values'!$AD$22)</f>
        <v>-0.18180966226036679</v>
      </c>
      <c r="M50">
        <f>STANDARDIZE(Dataset!AN50,'standardized values'!$AB$23,'standardized values'!$AD$23)</f>
        <v>-0.32986598626854097</v>
      </c>
      <c r="N50">
        <f>STANDARDIZE(Dataset!AO50,'standardized values'!$AB$24,'standardized values'!$AD$24)</f>
        <v>-0.1778377709308612</v>
      </c>
      <c r="O50">
        <f>STANDARDIZE(Dataset!AP50,'standardized values'!$AB$27,'standardized values'!$AD$27)</f>
        <v>1.385032958559294</v>
      </c>
      <c r="P50">
        <f>STANDARDIZE(Dataset!AQ50,'standardized values'!$AB$28,'standardized values'!$AD$28)</f>
        <v>-0.20713873894217513</v>
      </c>
      <c r="Q50">
        <f>STANDARDIZE(Dataset!AD50,'standardized values'!$AB$15,'standardized values'!$AD$15)</f>
        <v>-0.3698956525789644</v>
      </c>
      <c r="R50">
        <f>STANDARDIZE(Dataset!AE50,'standardized values'!$AB$16,'standardized values'!$AD$16)</f>
        <v>-0.43464064378969169</v>
      </c>
      <c r="S50">
        <f>STANDARDIZE(Dataset!AF50,'standardized values'!$AB$17,'standardized values'!$AD$17)</f>
        <v>0.23091498573705721</v>
      </c>
      <c r="T50">
        <f>STANDARDIZE(Dataset!AG50,'standardized values'!$AB$18,'standardized values'!$AD$18)</f>
        <v>0.10249855981817522</v>
      </c>
      <c r="U50">
        <f>STANDARDIZE(Dataset!AH50,'standardized values'!$AB$19,'standardized values'!$AD$19)</f>
        <v>-7.4466589870539099E-2</v>
      </c>
      <c r="V50">
        <f>STANDARDIZE(Dataset!AR50,AVERAGE(Dataset!$AR$2:$AR$51),STDEV(Dataset!$AR$2:$AR$51))</f>
        <v>-0.73177167977138569</v>
      </c>
      <c r="W50">
        <f>STANDARDIZE(Dataset!AS50,AVERAGE(Dataset!$AS$2:$AS$51),STDEV(Dataset!$AS$2:$AS$51))</f>
        <v>-0.62477765553866094</v>
      </c>
      <c r="X50">
        <f>STANDARDIZE(Dataset!AT50,AVERAGE(Dataset!$AT$2:$AT$51),STDEV(Dataset!$AT$2:$AT$51))</f>
        <v>-0.76638542411016253</v>
      </c>
      <c r="Y50"/>
      <c r="AH50" s="8" t="s">
        <v>92</v>
      </c>
      <c r="AI50" s="41">
        <f t="shared" si="11"/>
        <v>-2.1229347594202093</v>
      </c>
      <c r="AJ50" s="41">
        <f t="shared" si="13"/>
        <v>-0.1825540776035128</v>
      </c>
      <c r="AK50" s="41">
        <f t="shared" si="14"/>
        <v>0.68219504635211159</v>
      </c>
      <c r="AL50" s="41">
        <f t="shared" si="15"/>
        <v>-0.68951341945976896</v>
      </c>
      <c r="AM50" s="41">
        <f t="shared" si="17"/>
        <v>1.1778942196171189</v>
      </c>
      <c r="AN50" s="41">
        <f t="shared" si="16"/>
        <v>-0.22698259810285212</v>
      </c>
      <c r="AO50" s="5">
        <f t="shared" si="5"/>
        <v>39</v>
      </c>
      <c r="AP50">
        <f t="shared" si="6"/>
        <v>24</v>
      </c>
      <c r="AQ50">
        <f t="shared" si="7"/>
        <v>18</v>
      </c>
      <c r="AR50">
        <f t="shared" si="8"/>
        <v>32</v>
      </c>
      <c r="AS50">
        <f t="shared" si="9"/>
        <v>6</v>
      </c>
      <c r="AT50" s="8">
        <f t="shared" si="10"/>
        <v>26</v>
      </c>
    </row>
    <row r="51" spans="1:46" s="8" customFormat="1" x14ac:dyDescent="0.25">
      <c r="A51" t="str">
        <f>Dataset!A51</f>
        <v>https://drive.google.com/file/d/0B78Yf4yTSYVYcWtQazExOEhUazQ/view</v>
      </c>
      <c r="B51" s="9" t="s">
        <v>93</v>
      </c>
      <c r="C51" s="8">
        <v>2016</v>
      </c>
      <c r="D51" s="5">
        <f>STANDARDIZE(Dataset!X51,'standardized values'!$AB$9,'standardized values'!$AD$9)</f>
        <v>1.9684437598226963</v>
      </c>
      <c r="E51" s="5">
        <f>STANDARDIZE(Dataset!Y51,'standardized values'!$AB$10,'standardized values'!$AD$10)</f>
        <v>1.815053958483648</v>
      </c>
      <c r="F51" s="5">
        <f>STANDARDIZE(Dataset!Z51,'standardized values'!$AB$11,'standardized values'!$AD$11)</f>
        <v>1.7913806788087412</v>
      </c>
      <c r="G51" s="5">
        <f>STANDARDIZE(Dataset!AA51,'standardized values'!$AB$12,'standardized values'!$AD$12)</f>
        <v>-0.91047684035537035</v>
      </c>
      <c r="H51" s="5">
        <f>STANDARDIZE(Dataset!AB51,'standardized values'!$AB$13,'standardized values'!$AD$13)</f>
        <v>-0.48570137502915828</v>
      </c>
      <c r="I51" s="5">
        <f>STANDARDIZE(Dataset!AC51,'standardized values'!$AB$14,'standardized values'!$AD$14)</f>
        <v>1.2154235323605693</v>
      </c>
      <c r="J51" s="5">
        <f>STANDARDIZE(Dataset!AK51,'standardized values'!$AB$20,'standardized values'!$AD$20)</f>
        <v>1.3340978331143567</v>
      </c>
      <c r="K51" s="5">
        <f>STANDARDIZE(Dataset!AL51,'standardized values'!$AB$21,'standardized values'!$AD$21)</f>
        <v>-0.41769912093651312</v>
      </c>
      <c r="L51" s="5">
        <f>STANDARDIZE(Dataset!AM51,'standardized values'!$AB$22,'standardized values'!$AD$22)</f>
        <v>-0.21672978885346483</v>
      </c>
      <c r="M51" s="5">
        <f>STANDARDIZE(Dataset!AN51,'standardized values'!$AB$23,'standardized values'!$AD$23)</f>
        <v>-0.4593274133262964</v>
      </c>
      <c r="N51" s="5">
        <f>STANDARDIZE(Dataset!AO51,'standardized values'!$AB$24,'standardized values'!$AD$24)</f>
        <v>-0.70545048642193664</v>
      </c>
      <c r="O51" s="5">
        <f>STANDARDIZE(Dataset!AP51,'standardized values'!$AB$27,'standardized values'!$AD$27)</f>
        <v>-0.64082411050902832</v>
      </c>
      <c r="P51" s="5">
        <f>STANDARDIZE(Dataset!AQ51,'standardized values'!$AB$28,'standardized values'!$AD$28)</f>
        <v>-0.2328980340347232</v>
      </c>
      <c r="Q51" s="5">
        <f>STANDARDIZE(Dataset!AD51,'standardized values'!$AB$15,'standardized values'!$AD$15)</f>
        <v>-0.66957750663413074</v>
      </c>
      <c r="R51" s="5">
        <f>STANDARDIZE(Dataset!AE51,'standardized values'!$AB$16,'standardized values'!$AD$16)</f>
        <v>-9.6122945133977095E-2</v>
      </c>
      <c r="S51" s="5">
        <f>STANDARDIZE(Dataset!AF51,'standardized values'!$AB$17,'standardized values'!$AD$17)</f>
        <v>0.60374536388982247</v>
      </c>
      <c r="T51" s="5">
        <f>STANDARDIZE(Dataset!AG51,'standardized values'!$AB$18,'standardized values'!$AD$18)</f>
        <v>0.23525058054734613</v>
      </c>
      <c r="U51" s="5">
        <f>STANDARDIZE(Dataset!AH51,'standardized values'!$AB$19,'standardized values'!$AD$19)</f>
        <v>0.45286084873715454</v>
      </c>
      <c r="V51">
        <f>STANDARDIZE(Dataset!AR51,AVERAGE(Dataset!$AR$2:$AR$51),STDEV(Dataset!$AR$2:$AR$51))</f>
        <v>3.2853752331022399</v>
      </c>
      <c r="W51">
        <f>STANDARDIZE(Dataset!AS51,AVERAGE(Dataset!$AS$2:$AS$51),STDEV(Dataset!$AS$2:$AS$51))</f>
        <v>2.6866269713390571</v>
      </c>
      <c r="X51">
        <f>STANDARDIZE(Dataset!AT51,AVERAGE(Dataset!$AT$2:$AT$51),STDEV(Dataset!$AT$2:$AT$51))</f>
        <v>2.8488093282624734</v>
      </c>
      <c r="Y51" s="5"/>
      <c r="AH51" s="8" t="s">
        <v>93</v>
      </c>
      <c r="AI51" s="41">
        <f t="shared" si="11"/>
        <v>8.8208115327037717</v>
      </c>
      <c r="AJ51" s="41">
        <f t="shared" si="13"/>
        <v>2.1318222445384132</v>
      </c>
      <c r="AK51" s="41">
        <f t="shared" si="14"/>
        <v>-1.3961782153845286</v>
      </c>
      <c r="AL51" s="41">
        <f t="shared" si="15"/>
        <v>-1.3815076886016979</v>
      </c>
      <c r="AM51" s="41">
        <f t="shared" si="17"/>
        <v>-0.87372214454375152</v>
      </c>
      <c r="AN51" s="41">
        <f t="shared" si="16"/>
        <v>1.4602451457424412</v>
      </c>
      <c r="AO51" s="5">
        <f t="shared" si="5"/>
        <v>2</v>
      </c>
      <c r="AP51">
        <f t="shared" si="6"/>
        <v>7</v>
      </c>
      <c r="AQ51">
        <f t="shared" si="7"/>
        <v>47</v>
      </c>
      <c r="AR51">
        <f t="shared" si="8"/>
        <v>37</v>
      </c>
      <c r="AS51">
        <f t="shared" si="9"/>
        <v>37</v>
      </c>
      <c r="AT51" s="8">
        <f t="shared" si="10"/>
        <v>6</v>
      </c>
    </row>
    <row r="52" spans="1:46" x14ac:dyDescent="0.25">
      <c r="AI52" s="82"/>
      <c r="AJ52" s="82"/>
      <c r="AK52" s="82"/>
      <c r="AL52" s="82"/>
      <c r="AM52" s="82"/>
      <c r="AN52" s="82"/>
      <c r="AO52" s="5"/>
    </row>
    <row r="53" spans="1:46" x14ac:dyDescent="0.25">
      <c r="AI53" s="9"/>
      <c r="AJ53" s="5"/>
      <c r="AK53" s="5"/>
      <c r="AL53" s="5"/>
      <c r="AM53" s="5"/>
      <c r="AN53" s="83"/>
      <c r="AO53" s="5"/>
    </row>
    <row r="54" spans="1:46" x14ac:dyDescent="0.25">
      <c r="AI54" s="8"/>
      <c r="AK54" s="8"/>
      <c r="AL54" s="8"/>
      <c r="AM54" s="8"/>
      <c r="AN54" s="8"/>
    </row>
    <row r="55" spans="1:46" x14ac:dyDescent="0.25">
      <c r="AI55" s="8"/>
      <c r="AN55"/>
    </row>
    <row r="56" spans="1:46" x14ac:dyDescent="0.25">
      <c r="AI56" s="8"/>
    </row>
    <row r="57" spans="1:46" x14ac:dyDescent="0.25">
      <c r="AI57" s="8"/>
    </row>
  </sheetData>
  <autoFilter ref="B1:B52"/>
  <pageMargins left="0.75" right="0.75" top="1" bottom="1" header="0.5" footer="0.5"/>
  <pageSetup orientation="portrait" horizontalDpi="4294967292" verticalDpi="4294967292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53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13" sqref="N13:N20"/>
    </sheetView>
  </sheetViews>
  <sheetFormatPr defaultRowHeight="15.75" x14ac:dyDescent="0.25"/>
  <cols>
    <col min="1" max="1" width="15.5" customWidth="1"/>
    <col min="2" max="2" width="11.125" bestFit="1" customWidth="1"/>
    <col min="3" max="3" width="13.625" bestFit="1" customWidth="1"/>
    <col min="4" max="4" width="14.625" customWidth="1"/>
    <col min="5" max="5" width="10.875" customWidth="1"/>
    <col min="6" max="6" width="13.875" bestFit="1" customWidth="1"/>
    <col min="7" max="7" width="11.625" customWidth="1"/>
    <col min="8" max="8" width="13.625" bestFit="1" customWidth="1"/>
    <col min="9" max="9" width="15.875" customWidth="1"/>
    <col min="11" max="11" width="13.875" bestFit="1" customWidth="1"/>
    <col min="12" max="12" width="13.25" customWidth="1"/>
    <col min="13" max="13" width="13.625" bestFit="1" customWidth="1"/>
    <col min="14" max="14" width="15" customWidth="1"/>
  </cols>
  <sheetData>
    <row r="1" spans="1:16" x14ac:dyDescent="0.25">
      <c r="A1" s="8" t="s">
        <v>95</v>
      </c>
      <c r="B1" s="98" t="s">
        <v>142</v>
      </c>
      <c r="C1" s="8"/>
      <c r="D1" s="8"/>
      <c r="E1" s="8"/>
      <c r="F1" s="8" t="s">
        <v>95</v>
      </c>
      <c r="G1" s="98" t="s">
        <v>143</v>
      </c>
      <c r="H1" s="8"/>
      <c r="I1" s="8"/>
      <c r="J1" s="8"/>
      <c r="K1" s="8" t="s">
        <v>95</v>
      </c>
      <c r="L1" s="98" t="s">
        <v>144</v>
      </c>
      <c r="M1" s="8"/>
      <c r="N1" s="8"/>
      <c r="O1" s="8"/>
      <c r="P1" s="8"/>
    </row>
    <row r="2" spans="1:16" x14ac:dyDescent="0.25">
      <c r="A2" s="8" t="s">
        <v>219</v>
      </c>
      <c r="B2" s="28">
        <v>0.42054752414552299</v>
      </c>
      <c r="C2" s="45" t="s">
        <v>31</v>
      </c>
      <c r="D2" s="28">
        <f>AVERAGE(B2:B51)</f>
        <v>2.2228615352511802</v>
      </c>
      <c r="E2" s="8"/>
      <c r="F2" s="8" t="s">
        <v>54</v>
      </c>
      <c r="G2" s="28">
        <v>0.91653359231151732</v>
      </c>
      <c r="H2" s="45" t="s">
        <v>31</v>
      </c>
      <c r="I2" s="28">
        <f>AVERAGE(G2:G51)</f>
        <v>2.9917916985687429</v>
      </c>
      <c r="J2" s="8"/>
      <c r="K2" s="8" t="s">
        <v>219</v>
      </c>
      <c r="L2" s="28">
        <v>1.0465068208022437</v>
      </c>
      <c r="M2" s="45" t="s">
        <v>31</v>
      </c>
      <c r="N2" s="28">
        <f>AVERAGE(L2:L51)</f>
        <v>3.2206459792518576</v>
      </c>
      <c r="O2" s="8"/>
      <c r="P2" s="8"/>
    </row>
    <row r="3" spans="1:16" x14ac:dyDescent="0.25">
      <c r="A3" s="8" t="s">
        <v>64</v>
      </c>
      <c r="B3" s="28">
        <v>0.48263502715411682</v>
      </c>
      <c r="C3" s="45" t="s">
        <v>156</v>
      </c>
      <c r="D3" s="28">
        <f>STDEV(B2:B51)</f>
        <v>2.5279025538024302</v>
      </c>
      <c r="E3" s="8"/>
      <c r="F3" s="8" t="s">
        <v>219</v>
      </c>
      <c r="G3" s="28">
        <v>0.99861883140826846</v>
      </c>
      <c r="H3" s="45" t="s">
        <v>156</v>
      </c>
      <c r="I3" s="28">
        <f>STDEV(G2:G51)</f>
        <v>2.534882928095481</v>
      </c>
      <c r="J3" s="8"/>
      <c r="K3" s="8" t="s">
        <v>54</v>
      </c>
      <c r="L3" s="28">
        <v>1.134754492161973</v>
      </c>
      <c r="M3" s="45" t="s">
        <v>156</v>
      </c>
      <c r="N3" s="28">
        <f>STDEV(L2:L51)</f>
        <v>2.5618813033768801</v>
      </c>
      <c r="O3" s="8"/>
      <c r="P3" s="8"/>
    </row>
    <row r="4" spans="1:16" x14ac:dyDescent="0.25">
      <c r="A4" s="8" t="s">
        <v>54</v>
      </c>
      <c r="B4" s="28">
        <v>0.55128067945488701</v>
      </c>
      <c r="C4" s="45" t="s">
        <v>137</v>
      </c>
      <c r="D4" s="28">
        <f>D3*2</f>
        <v>5.0558051076048605</v>
      </c>
      <c r="E4" s="8"/>
      <c r="F4" s="8" t="s">
        <v>81</v>
      </c>
      <c r="G4" s="28">
        <v>1.0840988229101636</v>
      </c>
      <c r="H4" s="45" t="s">
        <v>137</v>
      </c>
      <c r="I4" s="28">
        <f>I3*2</f>
        <v>5.069765856190962</v>
      </c>
      <c r="J4" s="8"/>
      <c r="K4" s="8" t="s">
        <v>64</v>
      </c>
      <c r="L4" s="28">
        <v>1.1578763300445158</v>
      </c>
      <c r="M4" s="45" t="s">
        <v>137</v>
      </c>
      <c r="N4" s="28">
        <f>N3*2</f>
        <v>5.1237626067537603</v>
      </c>
      <c r="O4" s="8"/>
      <c r="P4" s="8"/>
    </row>
    <row r="5" spans="1:16" x14ac:dyDescent="0.25">
      <c r="A5" s="8" t="s">
        <v>62</v>
      </c>
      <c r="B5" s="28">
        <v>0.65373044935423585</v>
      </c>
      <c r="C5" s="8"/>
      <c r="D5" s="8"/>
      <c r="E5" s="8"/>
      <c r="F5" s="8" t="s">
        <v>64</v>
      </c>
      <c r="G5" s="28">
        <v>1.1055373169188329</v>
      </c>
      <c r="H5" s="8"/>
      <c r="I5" s="8"/>
      <c r="J5" s="8"/>
      <c r="K5" s="8" t="s">
        <v>81</v>
      </c>
      <c r="L5" s="28">
        <v>1.3884657041884001</v>
      </c>
      <c r="M5" s="8"/>
      <c r="N5" s="8"/>
      <c r="O5" s="8"/>
      <c r="P5" s="8"/>
    </row>
    <row r="6" spans="1:16" x14ac:dyDescent="0.25">
      <c r="A6" s="8" t="s">
        <v>81</v>
      </c>
      <c r="B6" s="28">
        <v>0.68892823981488727</v>
      </c>
      <c r="C6" s="8"/>
      <c r="D6" s="8"/>
      <c r="E6" s="8"/>
      <c r="F6" s="8" t="s">
        <v>221</v>
      </c>
      <c r="G6" s="28">
        <v>1.1354580034777342</v>
      </c>
      <c r="H6" s="8"/>
      <c r="I6" s="8"/>
      <c r="J6" s="8"/>
      <c r="K6" s="8" t="s">
        <v>221</v>
      </c>
      <c r="L6" s="28">
        <v>1.4034605261686159</v>
      </c>
      <c r="M6" s="8"/>
      <c r="N6" s="8"/>
      <c r="O6" s="8"/>
      <c r="P6" s="8"/>
    </row>
    <row r="7" spans="1:16" x14ac:dyDescent="0.25">
      <c r="A7" s="8" t="s">
        <v>75</v>
      </c>
      <c r="B7" s="28">
        <v>0.70585277273362201</v>
      </c>
      <c r="C7" s="8" t="s">
        <v>35</v>
      </c>
      <c r="D7" s="28">
        <f>MIN(B2:B51)</f>
        <v>0.42054752414552299</v>
      </c>
      <c r="E7" s="8"/>
      <c r="F7" s="8" t="s">
        <v>220</v>
      </c>
      <c r="G7" s="28">
        <v>1.1925859568394712</v>
      </c>
      <c r="H7" s="8" t="s">
        <v>35</v>
      </c>
      <c r="I7" s="28">
        <f>MIN(G2:G51)</f>
        <v>0.91653359231151732</v>
      </c>
      <c r="J7" s="8"/>
      <c r="K7" s="8" t="s">
        <v>75</v>
      </c>
      <c r="L7" s="28">
        <v>1.5243749126973041</v>
      </c>
      <c r="M7" s="8" t="s">
        <v>35</v>
      </c>
      <c r="N7" s="28">
        <f>MIN(L2:L51)</f>
        <v>1.0465068208022437</v>
      </c>
      <c r="O7" s="8"/>
      <c r="P7" s="8"/>
    </row>
    <row r="8" spans="1:16" x14ac:dyDescent="0.25">
      <c r="A8" s="8" t="s">
        <v>63</v>
      </c>
      <c r="B8" s="28">
        <v>0.74898007355480767</v>
      </c>
      <c r="C8" s="8" t="s">
        <v>146</v>
      </c>
      <c r="D8" s="28">
        <f>_xlfn.QUARTILE.INC(B2:B51,1)</f>
        <v>0.89769742848757383</v>
      </c>
      <c r="E8" s="8"/>
      <c r="F8" s="8" t="s">
        <v>62</v>
      </c>
      <c r="G8" s="28">
        <v>1.3008653575709912</v>
      </c>
      <c r="H8" s="8" t="s">
        <v>146</v>
      </c>
      <c r="I8" s="28">
        <f>_xlfn.QUARTILE.INC(G2:G51,1)</f>
        <v>1.6296538909499245</v>
      </c>
      <c r="J8" s="8"/>
      <c r="K8" s="8" t="s">
        <v>220</v>
      </c>
      <c r="L8" s="28">
        <v>1.6194802473682206</v>
      </c>
      <c r="M8" s="8" t="s">
        <v>146</v>
      </c>
      <c r="N8" s="28">
        <f>_xlfn.QUARTILE.INC(L2:L51,1)</f>
        <v>1.9890029111004031</v>
      </c>
      <c r="O8" s="8"/>
      <c r="P8" s="8"/>
    </row>
    <row r="9" spans="1:16" x14ac:dyDescent="0.25">
      <c r="A9" s="8" t="s">
        <v>72</v>
      </c>
      <c r="B9" s="28">
        <v>0.75072692139587316</v>
      </c>
      <c r="C9" s="8" t="s">
        <v>145</v>
      </c>
      <c r="D9" s="28">
        <f>_xlfn.QUARTILE.INC(B2:B51,2)</f>
        <v>1.5044788268759979</v>
      </c>
      <c r="E9" s="8"/>
      <c r="F9" s="8" t="s">
        <v>72</v>
      </c>
      <c r="G9" s="28">
        <v>1.4628223413310022</v>
      </c>
      <c r="H9" s="8" t="s">
        <v>145</v>
      </c>
      <c r="I9" s="28">
        <f>_xlfn.QUARTILE.INC(G2:G51,2)</f>
        <v>2.4487060268529417</v>
      </c>
      <c r="J9" s="8"/>
      <c r="K9" s="8" t="s">
        <v>59</v>
      </c>
      <c r="L9" s="28">
        <v>1.6199439930621164</v>
      </c>
      <c r="M9" s="8" t="s">
        <v>145</v>
      </c>
      <c r="N9" s="28">
        <f>_xlfn.QUARTILE.INC(L2:L51,2)</f>
        <v>2.6323899019284562</v>
      </c>
      <c r="O9" s="8"/>
      <c r="P9" s="8"/>
    </row>
    <row r="10" spans="1:16" x14ac:dyDescent="0.25">
      <c r="A10" s="8" t="s">
        <v>59</v>
      </c>
      <c r="B10" s="28">
        <v>0.79951696438520758</v>
      </c>
      <c r="C10" s="8" t="s">
        <v>147</v>
      </c>
      <c r="D10" s="28">
        <f>_xlfn.QUARTILE.INC(B2:B51,3)</f>
        <v>2.6022708071910219</v>
      </c>
      <c r="E10" s="8"/>
      <c r="F10" s="8" t="s">
        <v>75</v>
      </c>
      <c r="G10" s="28">
        <v>1.5104064813521441</v>
      </c>
      <c r="H10" s="8" t="s">
        <v>147</v>
      </c>
      <c r="I10" s="28">
        <f>_xlfn.QUARTILE.INC(G2:G51,3)</f>
        <v>3.6757059326386745</v>
      </c>
      <c r="J10" s="8"/>
      <c r="K10" s="8" t="s">
        <v>60</v>
      </c>
      <c r="L10" s="28">
        <v>1.7547225003281293</v>
      </c>
      <c r="M10" s="8" t="s">
        <v>147</v>
      </c>
      <c r="N10" s="28">
        <f>_xlfn.QUARTILE.INC(L2:L51,3)</f>
        <v>3.7413931226342969</v>
      </c>
      <c r="O10" s="8"/>
      <c r="P10" s="8"/>
    </row>
    <row r="11" spans="1:16" x14ac:dyDescent="0.25">
      <c r="A11" s="8" t="s">
        <v>220</v>
      </c>
      <c r="B11" s="28">
        <v>0.82410858896909511</v>
      </c>
      <c r="C11" s="8" t="s">
        <v>34</v>
      </c>
      <c r="D11" s="28">
        <f>MAX(B2:B51)</f>
        <v>17.073011489391259</v>
      </c>
      <c r="E11" s="8"/>
      <c r="F11" s="8" t="s">
        <v>60</v>
      </c>
      <c r="G11" s="28">
        <v>1.5229917954588819</v>
      </c>
      <c r="H11" s="8" t="s">
        <v>34</v>
      </c>
      <c r="I11" s="28">
        <f>MAX(G2:G51)</f>
        <v>17.377246070769175</v>
      </c>
      <c r="J11" s="8"/>
      <c r="K11" s="8" t="s">
        <v>63</v>
      </c>
      <c r="L11" s="28">
        <v>1.7548191589620405</v>
      </c>
      <c r="M11" s="8" t="s">
        <v>34</v>
      </c>
      <c r="N11" s="28">
        <f>MAX(L2:L51)</f>
        <v>17.922461381525956</v>
      </c>
      <c r="O11" s="8"/>
      <c r="P11" s="8"/>
    </row>
    <row r="12" spans="1:16" x14ac:dyDescent="0.25">
      <c r="A12" s="8" t="s">
        <v>60</v>
      </c>
      <c r="B12" s="28">
        <v>0.87223826541951355</v>
      </c>
      <c r="C12" s="8"/>
      <c r="D12" s="8"/>
      <c r="E12" s="8"/>
      <c r="F12" s="8" t="s">
        <v>91</v>
      </c>
      <c r="G12" s="28">
        <v>1.5358485641274913</v>
      </c>
      <c r="H12" s="8"/>
      <c r="I12" s="8"/>
      <c r="J12" s="8"/>
      <c r="K12" s="8" t="s">
        <v>92</v>
      </c>
      <c r="L12" s="28">
        <v>1.7595412571808384</v>
      </c>
      <c r="M12" s="8"/>
      <c r="N12" s="8"/>
      <c r="O12" s="8"/>
      <c r="P12" s="8"/>
    </row>
    <row r="13" spans="1:16" x14ac:dyDescent="0.25">
      <c r="A13" s="8" t="s">
        <v>221</v>
      </c>
      <c r="B13" s="28">
        <v>0.87672783245615615</v>
      </c>
      <c r="C13" s="8" t="s">
        <v>148</v>
      </c>
      <c r="D13" s="28">
        <f>D10-D8</f>
        <v>1.704573378703448</v>
      </c>
      <c r="E13" s="8"/>
      <c r="F13" s="8" t="s">
        <v>63</v>
      </c>
      <c r="G13" s="28">
        <v>1.5955148576198996</v>
      </c>
      <c r="H13" s="8" t="s">
        <v>148</v>
      </c>
      <c r="I13" s="28">
        <f>I10-I8</f>
        <v>2.0460520416887498</v>
      </c>
      <c r="J13" s="8"/>
      <c r="K13" s="8" t="s">
        <v>91</v>
      </c>
      <c r="L13" s="28">
        <v>1.7811101101948026</v>
      </c>
      <c r="M13" s="8" t="s">
        <v>148</v>
      </c>
      <c r="N13" s="28">
        <f>N10-N8</f>
        <v>1.7523902115338938</v>
      </c>
      <c r="O13" s="8"/>
      <c r="P13" s="8"/>
    </row>
    <row r="14" spans="1:16" x14ac:dyDescent="0.25">
      <c r="A14" s="8" t="s">
        <v>92</v>
      </c>
      <c r="B14" s="28">
        <v>0.88569576983335707</v>
      </c>
      <c r="C14" s="8" t="s">
        <v>151</v>
      </c>
      <c r="D14" s="28"/>
      <c r="E14" s="8"/>
      <c r="F14" s="8" t="s">
        <v>59</v>
      </c>
      <c r="G14" s="28">
        <v>1.597738404965044</v>
      </c>
      <c r="H14" s="8" t="s">
        <v>151</v>
      </c>
      <c r="I14" s="28"/>
      <c r="J14" s="8"/>
      <c r="K14" s="8" t="s">
        <v>223</v>
      </c>
      <c r="L14" s="28">
        <v>1.9793969841598382</v>
      </c>
      <c r="M14" s="8" t="s">
        <v>151</v>
      </c>
      <c r="N14" s="28"/>
      <c r="O14" s="8"/>
      <c r="P14" s="8"/>
    </row>
    <row r="15" spans="1:16" x14ac:dyDescent="0.25">
      <c r="A15" s="8" t="s">
        <v>73</v>
      </c>
      <c r="B15" s="28">
        <v>0.93370240445022423</v>
      </c>
      <c r="C15" s="8" t="s">
        <v>149</v>
      </c>
      <c r="D15" s="28">
        <f>D8-(D13*1.5)</f>
        <v>-1.6591626395675982</v>
      </c>
      <c r="E15" s="8"/>
      <c r="F15" s="8" t="s">
        <v>65</v>
      </c>
      <c r="G15" s="28">
        <v>1.7254003489045657</v>
      </c>
      <c r="H15" s="8" t="s">
        <v>149</v>
      </c>
      <c r="I15" s="28">
        <f>I8-(I13*1.5)</f>
        <v>-1.4394241715832001</v>
      </c>
      <c r="J15" s="8"/>
      <c r="K15" s="8" t="s">
        <v>82</v>
      </c>
      <c r="L15" s="28">
        <v>2.0178206919220973</v>
      </c>
      <c r="M15" s="8" t="s">
        <v>149</v>
      </c>
      <c r="N15" s="28">
        <f>N8-(N13*1.5)</f>
        <v>-0.63958240620043783</v>
      </c>
      <c r="O15" s="8"/>
      <c r="P15" s="8"/>
    </row>
    <row r="16" spans="1:16" x14ac:dyDescent="0.25">
      <c r="A16" s="8" t="s">
        <v>65</v>
      </c>
      <c r="B16" s="28">
        <v>1.0386444930390921</v>
      </c>
      <c r="C16" s="8" t="s">
        <v>150</v>
      </c>
      <c r="D16" s="28">
        <f>D10+(D13*1.5)</f>
        <v>5.159130875246194</v>
      </c>
      <c r="E16" s="8"/>
      <c r="F16" s="8" t="s">
        <v>92</v>
      </c>
      <c r="G16" s="28">
        <v>1.7353914447134786</v>
      </c>
      <c r="H16" s="8" t="s">
        <v>150</v>
      </c>
      <c r="I16" s="28">
        <f>I10+(I13*1.5)</f>
        <v>6.7447839951717992</v>
      </c>
      <c r="J16" s="8"/>
      <c r="K16" s="8" t="s">
        <v>62</v>
      </c>
      <c r="L16" s="28">
        <v>2.021968449538103</v>
      </c>
      <c r="M16" s="8" t="s">
        <v>150</v>
      </c>
      <c r="N16" s="28">
        <f>N10+(N13*1.5)</f>
        <v>6.3699784399351378</v>
      </c>
      <c r="O16" s="8"/>
      <c r="P16" s="8"/>
    </row>
    <row r="17" spans="1:16" x14ac:dyDescent="0.25">
      <c r="A17" s="8" t="s">
        <v>82</v>
      </c>
      <c r="B17" s="28">
        <v>1.1312474319993426</v>
      </c>
      <c r="C17" s="8" t="s">
        <v>152</v>
      </c>
      <c r="D17" s="28"/>
      <c r="E17" s="8"/>
      <c r="F17" s="8" t="s">
        <v>86</v>
      </c>
      <c r="G17" s="28">
        <v>1.759024630096935</v>
      </c>
      <c r="H17" s="8" t="s">
        <v>152</v>
      </c>
      <c r="I17" s="28"/>
      <c r="J17" s="8"/>
      <c r="K17" s="8" t="s">
        <v>86</v>
      </c>
      <c r="L17" s="28">
        <v>2.0912808477112099</v>
      </c>
      <c r="M17" s="8" t="s">
        <v>152</v>
      </c>
      <c r="N17" s="28"/>
      <c r="O17" s="8"/>
      <c r="P17" s="8"/>
    </row>
    <row r="18" spans="1:16" x14ac:dyDescent="0.25">
      <c r="A18" s="8" t="s">
        <v>61</v>
      </c>
      <c r="B18" s="28">
        <v>1.2731100305621981</v>
      </c>
      <c r="C18" s="8" t="s">
        <v>149</v>
      </c>
      <c r="D18" s="28">
        <f>D8-(D13*3)</f>
        <v>-4.2160227076227699</v>
      </c>
      <c r="E18" s="8"/>
      <c r="F18" s="8" t="s">
        <v>82</v>
      </c>
      <c r="G18" s="28">
        <v>1.8419360670556331</v>
      </c>
      <c r="H18" s="8" t="s">
        <v>149</v>
      </c>
      <c r="I18" s="28">
        <f>I8-(I13*3)</f>
        <v>-4.5085022341163246</v>
      </c>
      <c r="J18" s="8"/>
      <c r="K18" s="8" t="s">
        <v>222</v>
      </c>
      <c r="L18" s="28">
        <v>2.1080605301465858</v>
      </c>
      <c r="M18" s="8" t="s">
        <v>149</v>
      </c>
      <c r="N18" s="28">
        <f>N8-(N13*3)</f>
        <v>-3.2681677235012785</v>
      </c>
      <c r="O18" s="8"/>
      <c r="P18" s="8"/>
    </row>
    <row r="19" spans="1:16" x14ac:dyDescent="0.25">
      <c r="A19" s="8" t="s">
        <v>91</v>
      </c>
      <c r="B19" s="28">
        <v>1.2743179806043432</v>
      </c>
      <c r="C19" s="8" t="s">
        <v>150</v>
      </c>
      <c r="D19" s="28">
        <f>D10+(D13*3)</f>
        <v>7.7159909433013656</v>
      </c>
      <c r="E19" s="8"/>
      <c r="F19" s="8" t="s">
        <v>222</v>
      </c>
      <c r="G19" s="28">
        <v>1.9299342018649543</v>
      </c>
      <c r="H19" s="8" t="s">
        <v>150</v>
      </c>
      <c r="I19" s="28">
        <f>I10+(I13*3)</f>
        <v>9.8138620577049238</v>
      </c>
      <c r="J19" s="8"/>
      <c r="K19" s="8" t="s">
        <v>65</v>
      </c>
      <c r="L19" s="28">
        <v>2.274670139820675</v>
      </c>
      <c r="M19" s="8" t="s">
        <v>150</v>
      </c>
      <c r="N19" s="28">
        <f>N10+(N13*3)</f>
        <v>8.9985637572359778</v>
      </c>
      <c r="O19" s="8"/>
      <c r="P19" s="8"/>
    </row>
    <row r="20" spans="1:16" x14ac:dyDescent="0.25">
      <c r="A20" s="8" t="s">
        <v>86</v>
      </c>
      <c r="B20" s="28">
        <v>1.282263507430331</v>
      </c>
      <c r="C20" s="8"/>
      <c r="D20" s="8"/>
      <c r="E20" s="8"/>
      <c r="F20" s="8" t="s">
        <v>223</v>
      </c>
      <c r="G20" s="28">
        <v>1.9539245796452096</v>
      </c>
      <c r="H20" s="8"/>
      <c r="I20" s="8"/>
      <c r="J20" s="8"/>
      <c r="K20" s="8" t="s">
        <v>89</v>
      </c>
      <c r="L20" s="28">
        <v>2.30619743616638</v>
      </c>
      <c r="M20" s="8"/>
      <c r="N20" s="28"/>
      <c r="O20" s="8"/>
      <c r="P20" s="8"/>
    </row>
    <row r="21" spans="1:16" x14ac:dyDescent="0.25">
      <c r="A21" s="8" t="s">
        <v>222</v>
      </c>
      <c r="B21" s="28">
        <v>1.3214773030757831</v>
      </c>
      <c r="C21" s="8"/>
      <c r="D21" s="8"/>
      <c r="E21" s="8"/>
      <c r="F21" s="8" t="s">
        <v>61</v>
      </c>
      <c r="G21" s="28">
        <v>2.0081150134489922</v>
      </c>
      <c r="H21" s="8"/>
      <c r="I21" s="8"/>
      <c r="J21" s="8"/>
      <c r="K21" s="8" t="s">
        <v>73</v>
      </c>
      <c r="L21" s="28">
        <v>2.4448379534956604</v>
      </c>
      <c r="M21" s="8"/>
      <c r="N21" s="8"/>
      <c r="O21" s="8"/>
      <c r="P21" s="8"/>
    </row>
    <row r="22" spans="1:16" x14ac:dyDescent="0.25">
      <c r="A22" s="8" t="s">
        <v>90</v>
      </c>
      <c r="B22" s="28">
        <v>1.3312907898529163</v>
      </c>
      <c r="C22" s="8"/>
      <c r="D22" s="8"/>
      <c r="E22" s="8"/>
      <c r="F22" s="8" t="s">
        <v>90</v>
      </c>
      <c r="G22" s="28">
        <v>2.0491825939664832</v>
      </c>
      <c r="H22" s="8"/>
      <c r="I22" s="8"/>
      <c r="J22" s="8"/>
      <c r="K22" s="8" t="s">
        <v>58</v>
      </c>
      <c r="L22" s="28">
        <v>2.4729850937021571</v>
      </c>
      <c r="M22" s="8"/>
      <c r="N22" s="8"/>
      <c r="O22" s="8"/>
      <c r="P22" s="8"/>
    </row>
    <row r="23" spans="1:16" x14ac:dyDescent="0.25">
      <c r="A23" s="8" t="s">
        <v>223</v>
      </c>
      <c r="B23" s="28">
        <v>1.3416957861030281</v>
      </c>
      <c r="C23" s="8"/>
      <c r="D23" s="8"/>
      <c r="E23" s="8"/>
      <c r="F23" s="8" t="s">
        <v>56</v>
      </c>
      <c r="G23" s="28">
        <v>2.0596325317898057</v>
      </c>
      <c r="H23" s="8"/>
      <c r="I23" s="8"/>
      <c r="J23" s="8"/>
      <c r="K23" s="8" t="s">
        <v>61</v>
      </c>
      <c r="L23" s="28">
        <v>2.4751627656831654</v>
      </c>
      <c r="M23" s="8"/>
      <c r="N23" s="8"/>
      <c r="O23" s="8"/>
      <c r="P23" s="8"/>
    </row>
    <row r="24" spans="1:16" x14ac:dyDescent="0.25">
      <c r="A24" s="8" t="s">
        <v>56</v>
      </c>
      <c r="B24" s="28">
        <v>1.3695296805733379</v>
      </c>
      <c r="C24" s="8"/>
      <c r="D24" s="8"/>
      <c r="E24" s="8"/>
      <c r="F24" s="8" t="s">
        <v>89</v>
      </c>
      <c r="G24" s="28">
        <v>2.2250235998558927</v>
      </c>
      <c r="H24" s="8"/>
      <c r="I24" s="8"/>
      <c r="J24" s="8"/>
      <c r="K24" s="8" t="s">
        <v>90</v>
      </c>
      <c r="L24" s="28">
        <v>2.4789270887063002</v>
      </c>
      <c r="M24" s="8"/>
      <c r="N24" s="8"/>
      <c r="O24" s="8"/>
      <c r="P24" s="8"/>
    </row>
    <row r="25" spans="1:16" x14ac:dyDescent="0.25">
      <c r="A25" s="8" t="s">
        <v>58</v>
      </c>
      <c r="B25" s="28">
        <v>1.3905377880925396</v>
      </c>
      <c r="C25" s="8"/>
      <c r="D25" s="8"/>
      <c r="E25" s="8"/>
      <c r="F25" s="8" t="s">
        <v>58</v>
      </c>
      <c r="G25" s="28">
        <v>2.3632789787004089</v>
      </c>
      <c r="H25" s="8"/>
      <c r="I25" s="8"/>
      <c r="J25" s="8"/>
      <c r="K25" s="8" t="s">
        <v>88</v>
      </c>
      <c r="L25" s="28">
        <v>2.4989564763189525</v>
      </c>
      <c r="M25" s="8"/>
      <c r="N25" s="8"/>
      <c r="O25" s="8"/>
      <c r="P25" s="8"/>
    </row>
    <row r="26" spans="1:16" x14ac:dyDescent="0.25">
      <c r="A26" s="8" t="s">
        <v>71</v>
      </c>
      <c r="B26" s="99">
        <v>1.462966163381193</v>
      </c>
      <c r="C26" s="28"/>
      <c r="D26" s="8"/>
      <c r="E26" s="8"/>
      <c r="F26" s="8" t="s">
        <v>73</v>
      </c>
      <c r="G26" s="99">
        <v>2.4387603798417898</v>
      </c>
      <c r="H26" s="28"/>
      <c r="I26" s="8"/>
      <c r="J26" s="8"/>
      <c r="K26" s="8" t="s">
        <v>74</v>
      </c>
      <c r="L26" s="99">
        <v>2.5997061565469166</v>
      </c>
      <c r="M26" s="28"/>
      <c r="N26" s="8"/>
      <c r="O26" s="8"/>
      <c r="P26" s="8"/>
    </row>
    <row r="27" spans="1:16" x14ac:dyDescent="0.25">
      <c r="A27" s="8" t="s">
        <v>89</v>
      </c>
      <c r="B27" s="99">
        <v>1.5459914903708027</v>
      </c>
      <c r="C27" s="8"/>
      <c r="D27" s="8"/>
      <c r="E27" s="8"/>
      <c r="F27" s="8" t="s">
        <v>88</v>
      </c>
      <c r="G27" s="99">
        <v>2.458651673864094</v>
      </c>
      <c r="H27" s="8"/>
      <c r="I27" s="8"/>
      <c r="J27" s="8"/>
      <c r="K27" s="8" t="s">
        <v>79</v>
      </c>
      <c r="L27" s="99">
        <v>2.6650736473099954</v>
      </c>
      <c r="M27" s="8"/>
      <c r="N27" s="8"/>
      <c r="O27" s="8"/>
      <c r="P27" s="8"/>
    </row>
    <row r="28" spans="1:16" x14ac:dyDescent="0.25">
      <c r="A28" s="8" t="s">
        <v>87</v>
      </c>
      <c r="B28" s="28">
        <v>1.609244931121687</v>
      </c>
      <c r="C28" s="8"/>
      <c r="D28" s="8"/>
      <c r="E28" s="8"/>
      <c r="F28" s="8" t="s">
        <v>83</v>
      </c>
      <c r="G28" s="28">
        <v>2.4814038947005583</v>
      </c>
      <c r="H28" s="8"/>
      <c r="I28" s="8"/>
      <c r="J28" s="8"/>
      <c r="K28" s="8" t="s">
        <v>56</v>
      </c>
      <c r="L28" s="28">
        <v>2.6785957262016935</v>
      </c>
      <c r="M28" s="8"/>
      <c r="N28" s="8"/>
      <c r="O28" s="8"/>
      <c r="P28" s="8"/>
    </row>
    <row r="29" spans="1:16" x14ac:dyDescent="0.25">
      <c r="A29" s="8" t="s">
        <v>88</v>
      </c>
      <c r="B29" s="28">
        <v>1.6199966652563218</v>
      </c>
      <c r="C29" s="8"/>
      <c r="D29" s="8"/>
      <c r="E29" s="8"/>
      <c r="F29" s="8" t="s">
        <v>74</v>
      </c>
      <c r="G29" s="28">
        <v>2.5315236472780915</v>
      </c>
      <c r="H29" s="8"/>
      <c r="I29" s="8"/>
      <c r="J29" s="8"/>
      <c r="K29" s="8" t="s">
        <v>71</v>
      </c>
      <c r="L29" s="28">
        <v>2.6916227870408602</v>
      </c>
      <c r="M29" s="8"/>
      <c r="N29" s="8"/>
      <c r="O29" s="8"/>
      <c r="P29" s="8"/>
    </row>
    <row r="30" spans="1:16" x14ac:dyDescent="0.25">
      <c r="A30" s="8" t="s">
        <v>76</v>
      </c>
      <c r="B30" s="28">
        <v>1.6685956981424916</v>
      </c>
      <c r="C30" s="8"/>
      <c r="D30" s="8"/>
      <c r="E30" s="8"/>
      <c r="F30" s="8" t="s">
        <v>79</v>
      </c>
      <c r="G30" s="28">
        <v>2.5508137884984561</v>
      </c>
      <c r="H30" s="8"/>
      <c r="I30" s="8"/>
      <c r="J30" s="8"/>
      <c r="K30" s="8" t="s">
        <v>83</v>
      </c>
      <c r="L30" s="28">
        <v>2.7004983539470166</v>
      </c>
      <c r="M30" s="8"/>
      <c r="N30" s="8"/>
      <c r="O30" s="8"/>
      <c r="P30" s="8"/>
    </row>
    <row r="31" spans="1:16" x14ac:dyDescent="0.25">
      <c r="A31" s="8" t="s">
        <v>83</v>
      </c>
      <c r="B31" s="28">
        <v>1.9023951862888691</v>
      </c>
      <c r="C31" s="8"/>
      <c r="D31" s="8"/>
      <c r="E31" s="8"/>
      <c r="F31" s="8" t="s">
        <v>76</v>
      </c>
      <c r="G31" s="28">
        <v>2.5522951943485199</v>
      </c>
      <c r="H31" s="8"/>
      <c r="I31" s="8"/>
      <c r="J31" s="8"/>
      <c r="K31" s="8" t="s">
        <v>76</v>
      </c>
      <c r="L31" s="28">
        <v>2.7210001189354616</v>
      </c>
      <c r="M31" s="8"/>
      <c r="N31" s="8"/>
      <c r="O31" s="8"/>
      <c r="P31" s="8"/>
    </row>
    <row r="32" spans="1:16" x14ac:dyDescent="0.25">
      <c r="A32" s="8" t="s">
        <v>68</v>
      </c>
      <c r="B32" s="28">
        <v>1.9693269861126734</v>
      </c>
      <c r="C32" s="8"/>
      <c r="D32" s="8"/>
      <c r="E32" s="8"/>
      <c r="F32" s="8" t="s">
        <v>67</v>
      </c>
      <c r="G32" s="28">
        <v>2.558734571741347</v>
      </c>
      <c r="H32" s="8"/>
      <c r="I32" s="8"/>
      <c r="J32" s="8"/>
      <c r="K32" s="8" t="s">
        <v>67</v>
      </c>
      <c r="L32" s="28">
        <v>2.7785227540241695</v>
      </c>
      <c r="M32" s="8"/>
      <c r="N32" s="8"/>
      <c r="O32" s="8"/>
      <c r="P32" s="8"/>
    </row>
    <row r="33" spans="1:16" x14ac:dyDescent="0.25">
      <c r="A33" s="8" t="s">
        <v>74</v>
      </c>
      <c r="B33" s="28">
        <v>2.0080669743543345</v>
      </c>
      <c r="C33" s="8"/>
      <c r="D33" s="8"/>
      <c r="E33" s="8"/>
      <c r="F33" s="8" t="s">
        <v>71</v>
      </c>
      <c r="G33" s="28">
        <v>2.6547971037318612</v>
      </c>
      <c r="H33" s="8"/>
      <c r="I33" s="8"/>
      <c r="J33" s="8"/>
      <c r="K33" s="8" t="s">
        <v>72</v>
      </c>
      <c r="L33" s="28">
        <v>2.818368567550781</v>
      </c>
      <c r="M33" s="8"/>
      <c r="N33" s="8"/>
      <c r="O33" s="8"/>
      <c r="P33" s="8"/>
    </row>
    <row r="34" spans="1:16" x14ac:dyDescent="0.25">
      <c r="A34" s="8" t="s">
        <v>79</v>
      </c>
      <c r="B34" s="28">
        <v>2.0637518175708029</v>
      </c>
      <c r="C34" s="8"/>
      <c r="D34" s="8"/>
      <c r="E34" s="8"/>
      <c r="F34" s="8" t="s">
        <v>226</v>
      </c>
      <c r="G34" s="28">
        <v>2.765514432276706</v>
      </c>
      <c r="H34" s="8"/>
      <c r="I34" s="8"/>
      <c r="J34" s="8"/>
      <c r="K34" s="8" t="s">
        <v>226</v>
      </c>
      <c r="L34" s="28">
        <v>2.9124750198356293</v>
      </c>
      <c r="M34" s="8"/>
      <c r="N34" s="8"/>
      <c r="O34" s="8"/>
      <c r="P34" s="8"/>
    </row>
    <row r="35" spans="1:16" x14ac:dyDescent="0.25">
      <c r="A35" s="8" t="s">
        <v>224</v>
      </c>
      <c r="B35" s="28">
        <v>2.1334718209023982</v>
      </c>
      <c r="C35" s="8"/>
      <c r="D35" s="8"/>
      <c r="E35" s="8"/>
      <c r="F35" s="8" t="s">
        <v>66</v>
      </c>
      <c r="G35" s="28">
        <v>2.9903864705795344</v>
      </c>
      <c r="H35" s="8"/>
      <c r="I35" s="8"/>
      <c r="J35" s="8"/>
      <c r="K35" s="8" t="s">
        <v>66</v>
      </c>
      <c r="L35" s="28">
        <v>3.0066748881653491</v>
      </c>
      <c r="M35" s="8"/>
      <c r="N35" s="8"/>
      <c r="O35" s="8"/>
      <c r="P35" s="8"/>
    </row>
    <row r="36" spans="1:16" x14ac:dyDescent="0.25">
      <c r="A36" s="8" t="s">
        <v>67</v>
      </c>
      <c r="B36" s="28">
        <v>2.1351479206256427</v>
      </c>
      <c r="C36" s="8"/>
      <c r="D36" s="8"/>
      <c r="E36" s="8"/>
      <c r="F36" s="8" t="s">
        <v>224</v>
      </c>
      <c r="G36" s="28">
        <v>3.1318611938579588</v>
      </c>
      <c r="H36" s="8"/>
      <c r="I36" s="8"/>
      <c r="J36" s="8"/>
      <c r="K36" s="8" t="s">
        <v>224</v>
      </c>
      <c r="L36" s="28">
        <v>3.2449442296750726</v>
      </c>
      <c r="M36" s="8"/>
      <c r="N36" s="8"/>
      <c r="O36" s="8"/>
      <c r="P36" s="8"/>
    </row>
    <row r="37" spans="1:16" x14ac:dyDescent="0.25">
      <c r="A37" s="8" t="s">
        <v>226</v>
      </c>
      <c r="B37" s="28">
        <v>2.2155235545447987</v>
      </c>
      <c r="C37" s="8"/>
      <c r="D37" s="8"/>
      <c r="E37" s="8"/>
      <c r="F37" s="8" t="s">
        <v>80</v>
      </c>
      <c r="G37" s="28">
        <v>3.2494897477245277</v>
      </c>
      <c r="H37" s="8"/>
      <c r="I37" s="8"/>
      <c r="J37" s="8"/>
      <c r="K37" s="8" t="s">
        <v>80</v>
      </c>
      <c r="L37" s="28">
        <v>3.4172384865720717</v>
      </c>
      <c r="M37" s="8"/>
      <c r="N37" s="8"/>
      <c r="O37" s="8"/>
      <c r="P37" s="8"/>
    </row>
    <row r="38" spans="1:16" x14ac:dyDescent="0.25">
      <c r="A38" s="8" t="s">
        <v>66</v>
      </c>
      <c r="B38" s="28">
        <v>2.3172656511214025</v>
      </c>
      <c r="C38" s="8"/>
      <c r="D38" s="8"/>
      <c r="E38" s="8"/>
      <c r="F38" s="8" t="s">
        <v>87</v>
      </c>
      <c r="G38" s="28">
        <v>3.650872034370817</v>
      </c>
      <c r="H38" s="8"/>
      <c r="I38" s="8"/>
      <c r="J38" s="8"/>
      <c r="K38" s="8" t="s">
        <v>68</v>
      </c>
      <c r="L38" s="28">
        <v>3.718818619228156</v>
      </c>
      <c r="M38" s="8"/>
      <c r="N38" s="8"/>
      <c r="O38" s="8"/>
      <c r="P38" s="8"/>
    </row>
    <row r="39" spans="1:16" x14ac:dyDescent="0.25">
      <c r="A39" s="8" t="s">
        <v>80</v>
      </c>
      <c r="B39" s="28">
        <v>2.6972725258808952</v>
      </c>
      <c r="C39" s="8"/>
      <c r="D39" s="8"/>
      <c r="E39" s="8"/>
      <c r="F39" s="8" t="s">
        <v>68</v>
      </c>
      <c r="G39" s="28">
        <v>3.6839838987279601</v>
      </c>
      <c r="H39" s="8"/>
      <c r="I39" s="8"/>
      <c r="J39" s="8"/>
      <c r="K39" s="8" t="s">
        <v>87</v>
      </c>
      <c r="L39" s="28">
        <v>3.7489179571030107</v>
      </c>
      <c r="M39" s="8"/>
      <c r="N39" s="8"/>
      <c r="O39" s="8"/>
      <c r="P39" s="8"/>
    </row>
    <row r="40" spans="1:16" x14ac:dyDescent="0.25">
      <c r="A40" s="8" t="s">
        <v>70</v>
      </c>
      <c r="B40" s="28">
        <v>2.9481161058176317</v>
      </c>
      <c r="C40" s="8"/>
      <c r="D40" s="28"/>
      <c r="E40" s="8"/>
      <c r="F40" s="8" t="s">
        <v>70</v>
      </c>
      <c r="G40" s="28">
        <v>3.8584627475432409</v>
      </c>
      <c r="H40" s="8"/>
      <c r="I40" s="28"/>
      <c r="J40" s="8"/>
      <c r="K40" s="8" t="s">
        <v>70</v>
      </c>
      <c r="L40" s="28">
        <v>3.9510453810331052</v>
      </c>
      <c r="M40" s="8"/>
      <c r="N40" s="28"/>
      <c r="O40" s="8"/>
      <c r="P40" s="8"/>
    </row>
    <row r="41" spans="1:16" x14ac:dyDescent="0.25">
      <c r="A41" s="8" t="s">
        <v>85</v>
      </c>
      <c r="B41" s="28">
        <v>3.0286651632196548</v>
      </c>
      <c r="C41" s="8"/>
      <c r="D41" s="8"/>
      <c r="E41" s="8"/>
      <c r="F41" s="8" t="s">
        <v>225</v>
      </c>
      <c r="G41" s="28">
        <v>3.8631176525049367</v>
      </c>
      <c r="H41" s="8"/>
      <c r="I41" s="8"/>
      <c r="J41" s="8"/>
      <c r="K41" s="8" t="s">
        <v>225</v>
      </c>
      <c r="L41" s="28">
        <v>4.1384909254222988</v>
      </c>
      <c r="M41" s="8"/>
      <c r="N41" s="8"/>
      <c r="O41" s="8"/>
      <c r="P41" s="8"/>
    </row>
    <row r="42" spans="1:16" x14ac:dyDescent="0.25">
      <c r="A42" s="8" t="s">
        <v>225</v>
      </c>
      <c r="B42" s="28">
        <v>3.1674485766711262</v>
      </c>
      <c r="C42" s="8"/>
      <c r="D42" s="28"/>
      <c r="E42" s="8"/>
      <c r="F42" s="8" t="s">
        <v>78</v>
      </c>
      <c r="G42" s="28">
        <v>4.0481792828230958</v>
      </c>
      <c r="H42" s="8"/>
      <c r="I42" s="28"/>
      <c r="J42" s="8"/>
      <c r="K42" s="8" t="s">
        <v>85</v>
      </c>
      <c r="L42" s="28">
        <v>4.1694156235088293</v>
      </c>
      <c r="M42" s="8"/>
      <c r="N42" s="28"/>
      <c r="O42" s="8"/>
      <c r="P42" s="8"/>
    </row>
    <row r="43" spans="1:16" x14ac:dyDescent="0.25">
      <c r="A43" s="8" t="s">
        <v>77</v>
      </c>
      <c r="B43" s="28">
        <v>3.2278426672750751</v>
      </c>
      <c r="C43" s="8"/>
      <c r="D43" s="8"/>
      <c r="E43" s="8"/>
      <c r="F43" s="8" t="s">
        <v>85</v>
      </c>
      <c r="G43" s="28">
        <v>4.1172444057934188</v>
      </c>
      <c r="H43" s="8"/>
      <c r="I43" s="8"/>
      <c r="J43" s="8"/>
      <c r="K43" s="8" t="s">
        <v>78</v>
      </c>
      <c r="L43" s="28">
        <v>4.2000943568433415</v>
      </c>
      <c r="M43" s="8"/>
      <c r="N43" s="8"/>
      <c r="O43" s="8"/>
      <c r="P43" s="8"/>
    </row>
    <row r="44" spans="1:16" x14ac:dyDescent="0.25">
      <c r="A44" s="8" t="s">
        <v>78</v>
      </c>
      <c r="B44" s="28">
        <v>3.4308784206789262</v>
      </c>
      <c r="C44" s="8"/>
      <c r="D44" s="8"/>
      <c r="E44" s="8"/>
      <c r="F44" s="8" t="s">
        <v>227</v>
      </c>
      <c r="G44" s="28">
        <v>4.2272151985238846</v>
      </c>
      <c r="H44" s="8"/>
      <c r="I44" s="8"/>
      <c r="J44" s="8"/>
      <c r="K44" s="8" t="s">
        <v>77</v>
      </c>
      <c r="L44" s="28">
        <v>4.6302796406484825</v>
      </c>
      <c r="M44" s="8"/>
      <c r="N44" s="8"/>
      <c r="O44" s="8"/>
      <c r="P44" s="8"/>
    </row>
    <row r="45" spans="1:16" x14ac:dyDescent="0.25">
      <c r="A45" s="8" t="s">
        <v>53</v>
      </c>
      <c r="B45" s="28">
        <v>3.5700397925099834</v>
      </c>
      <c r="C45" s="8"/>
      <c r="D45" s="8"/>
      <c r="E45" s="8"/>
      <c r="F45" s="8" t="s">
        <v>53</v>
      </c>
      <c r="G45" s="28">
        <v>4.3600581016891669</v>
      </c>
      <c r="H45" s="8"/>
      <c r="I45" s="8"/>
      <c r="J45" s="8"/>
      <c r="K45" s="8" t="s">
        <v>53</v>
      </c>
      <c r="L45" s="28">
        <v>4.6605479580675651</v>
      </c>
      <c r="M45" s="8"/>
      <c r="N45" s="8"/>
      <c r="O45" s="8"/>
      <c r="P45" s="8"/>
    </row>
    <row r="46" spans="1:16" x14ac:dyDescent="0.25">
      <c r="A46" s="8" t="s">
        <v>227</v>
      </c>
      <c r="B46" s="28">
        <v>3.6637176245472562</v>
      </c>
      <c r="C46" s="8"/>
      <c r="D46" s="8"/>
      <c r="E46" s="8"/>
      <c r="F46" s="9" t="s">
        <v>77</v>
      </c>
      <c r="G46" s="28">
        <v>4.5910634756795519</v>
      </c>
      <c r="H46" s="8"/>
      <c r="I46" s="98" t="s">
        <v>155</v>
      </c>
      <c r="J46" s="8"/>
      <c r="K46" s="9" t="s">
        <v>227</v>
      </c>
      <c r="L46" s="28">
        <v>4.886231121437846</v>
      </c>
      <c r="M46" s="8"/>
      <c r="N46" s="98" t="s">
        <v>155</v>
      </c>
      <c r="O46" s="8"/>
      <c r="P46" s="8"/>
    </row>
    <row r="47" spans="1:16" x14ac:dyDescent="0.25">
      <c r="A47" s="8" t="s">
        <v>69</v>
      </c>
      <c r="B47" s="28">
        <v>3.9752676628892178</v>
      </c>
      <c r="C47" s="8"/>
      <c r="D47" s="98" t="s">
        <v>155</v>
      </c>
      <c r="E47" s="8"/>
      <c r="F47" s="8" t="s">
        <v>69</v>
      </c>
      <c r="G47" s="28">
        <v>4.8205553283814506</v>
      </c>
      <c r="H47" s="8"/>
      <c r="I47" s="28">
        <f>AVERAGE(G2:G47)</f>
        <v>2.4390184465394511</v>
      </c>
      <c r="J47" s="8"/>
      <c r="K47" s="8" t="s">
        <v>69</v>
      </c>
      <c r="L47" s="28">
        <v>5.2593147793113824</v>
      </c>
      <c r="M47" s="8"/>
      <c r="N47" s="28">
        <f>AVERAGE(L2:L47)</f>
        <v>2.6676782088899857</v>
      </c>
      <c r="O47" s="8"/>
      <c r="P47" s="8"/>
    </row>
    <row r="48" spans="1:16" x14ac:dyDescent="0.25">
      <c r="A48" s="8" t="s">
        <v>84</v>
      </c>
      <c r="B48" s="28">
        <v>4.7584533124617581</v>
      </c>
      <c r="C48" s="8"/>
      <c r="D48" s="28">
        <f>AVERAGE(B2:B48)</f>
        <v>1.7461326173659444</v>
      </c>
      <c r="E48" s="8"/>
      <c r="F48" s="8" t="s">
        <v>228</v>
      </c>
      <c r="G48" s="28">
        <v>5.7952313246992126</v>
      </c>
      <c r="H48" s="8" t="s">
        <v>153</v>
      </c>
      <c r="I48" s="28">
        <f>AVERAGE(G2:G48)</f>
        <v>2.510427231181148</v>
      </c>
      <c r="J48" s="8"/>
      <c r="K48" s="8" t="s">
        <v>228</v>
      </c>
      <c r="L48" s="28">
        <v>5.8057327635718616</v>
      </c>
      <c r="M48" s="8" t="s">
        <v>153</v>
      </c>
      <c r="N48" s="28">
        <f>AVERAGE(L2:L48)</f>
        <v>2.7344453270747069</v>
      </c>
      <c r="O48" s="8"/>
      <c r="P48" s="8"/>
    </row>
    <row r="49" spans="1:16" x14ac:dyDescent="0.25">
      <c r="A49" s="9" t="s">
        <v>228</v>
      </c>
      <c r="B49" s="28">
        <v>4.8029367142449342</v>
      </c>
      <c r="C49" s="8" t="s">
        <v>153</v>
      </c>
      <c r="D49" s="28">
        <f>AVERAGE(B2:B49)</f>
        <v>1.8098160360509234</v>
      </c>
      <c r="E49" s="8"/>
      <c r="F49" s="8" t="s">
        <v>84</v>
      </c>
      <c r="G49" s="28">
        <v>6.6295180006529577</v>
      </c>
      <c r="H49" s="8" t="s">
        <v>153</v>
      </c>
      <c r="I49" s="28">
        <f>AVERAGE(G2:G49)</f>
        <v>2.5962416222118105</v>
      </c>
      <c r="J49" s="8"/>
      <c r="K49" s="8" t="s">
        <v>84</v>
      </c>
      <c r="L49" s="28">
        <v>6.7809565610331433</v>
      </c>
      <c r="M49" s="8" t="s">
        <v>153</v>
      </c>
      <c r="N49" s="28">
        <f>AVERAGE(L2:L49)</f>
        <v>2.8187476444488411</v>
      </c>
      <c r="O49" s="8"/>
      <c r="P49" s="8"/>
    </row>
    <row r="50" spans="1:16" x14ac:dyDescent="0.25">
      <c r="A50" s="8" t="s">
        <v>93</v>
      </c>
      <c r="B50" s="28">
        <v>7.1988955427234336</v>
      </c>
      <c r="C50" s="8" t="s">
        <v>153</v>
      </c>
      <c r="D50" s="28">
        <f>AVERAGE(B2:B50)</f>
        <v>1.9197972504728114</v>
      </c>
      <c r="E50" s="8"/>
      <c r="F50" s="8" t="s">
        <v>93</v>
      </c>
      <c r="G50" s="28">
        <v>7.5927409915010653</v>
      </c>
      <c r="H50" s="8" t="s">
        <v>153</v>
      </c>
      <c r="I50" s="28">
        <f>AVERAGE(G2:G50)</f>
        <v>2.698210997095265</v>
      </c>
      <c r="J50" s="8"/>
      <c r="K50" s="8" t="s">
        <v>93</v>
      </c>
      <c r="L50" s="28">
        <v>7.8099506475225597</v>
      </c>
      <c r="M50" s="8" t="s">
        <v>153</v>
      </c>
      <c r="N50" s="28">
        <f>AVERAGE(L2:L50)</f>
        <v>2.9206089302258555</v>
      </c>
      <c r="O50" s="8"/>
      <c r="P50" s="8"/>
    </row>
    <row r="51" spans="1:16" x14ac:dyDescent="0.25">
      <c r="A51" s="53" t="s">
        <v>229</v>
      </c>
      <c r="B51" s="28">
        <v>17.073011489391259</v>
      </c>
      <c r="C51" s="8" t="s">
        <v>154</v>
      </c>
      <c r="D51" s="28">
        <f>AVERAGE(B2:B51)</f>
        <v>2.2228615352511802</v>
      </c>
      <c r="E51" s="8"/>
      <c r="F51" s="53" t="s">
        <v>229</v>
      </c>
      <c r="G51" s="28">
        <v>17.377246070769175</v>
      </c>
      <c r="H51" s="8" t="s">
        <v>154</v>
      </c>
      <c r="I51" s="28">
        <f>AVERAGE(G2:G51)</f>
        <v>2.9917916985687429</v>
      </c>
      <c r="J51" s="8"/>
      <c r="K51" s="53" t="s">
        <v>229</v>
      </c>
      <c r="L51" s="28">
        <v>17.922461381525956</v>
      </c>
      <c r="M51" s="8" t="s">
        <v>154</v>
      </c>
      <c r="N51" s="28">
        <f>AVERAGE(L2:L51)</f>
        <v>3.2206459792518576</v>
      </c>
      <c r="O51" s="8"/>
      <c r="P51" s="8"/>
    </row>
    <row r="52" spans="1:16" x14ac:dyDescent="0.25">
      <c r="A52" s="9"/>
    </row>
    <row r="53" spans="1:16" x14ac:dyDescent="0.25">
      <c r="A53" s="9"/>
    </row>
  </sheetData>
  <sortState ref="A2:D57">
    <sortCondition ref="B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</vt:lpstr>
      <vt:lpstr>standardized values</vt:lpstr>
      <vt:lpstr>cash outliers</vt:lpstr>
    </vt:vector>
  </TitlesOfParts>
  <Company>Mercatus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Eileen Norcross</dc:creator>
  <cp:lastModifiedBy>Marc Morris</cp:lastModifiedBy>
  <dcterms:created xsi:type="dcterms:W3CDTF">2015-02-18T17:49:37Z</dcterms:created>
  <dcterms:modified xsi:type="dcterms:W3CDTF">2018-10-08T16:47:46Z</dcterms:modified>
</cp:coreProperties>
</file>