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jwil\Documents\Computer\Arduino\Pedelec\"/>
    </mc:Choice>
  </mc:AlternateContent>
  <xr:revisionPtr revIDLastSave="0" documentId="13_ncr:1_{FADA23FC-0FB7-4B01-BAB6-630EB16EB847}" xr6:coauthVersionLast="45" xr6:coauthVersionMax="45" xr10:uidLastSave="{00000000-0000-0000-0000-000000000000}"/>
  <bookViews>
    <workbookView xWindow="-120" yWindow="-120" windowWidth="29040" windowHeight="17640" tabRatio="500" activeTab="4" xr2:uid="{00000000-000D-0000-FFFF-FFFF00000000}"/>
  </bookViews>
  <sheets>
    <sheet name="Parameters" sheetId="1" r:id="rId1"/>
    <sheet name="velocityMap" sheetId="2" r:id="rId2"/>
    <sheet name="velocityMap (2)" sheetId="3" r:id="rId3"/>
    <sheet name="coil" sheetId="4" r:id="rId4"/>
    <sheet name="test" sheetId="5" r:id="rId5"/>
  </sheets>
  <definedNames>
    <definedName name="average_speed">test!$B$1</definedName>
    <definedName name="battery_capacity">test!$B$3</definedName>
    <definedName name="Bmax">coil!$B$9</definedName>
    <definedName name="coilDiameter">coil!$B$4</definedName>
    <definedName name="coilLength">coil!$B$5</definedName>
    <definedName name="deltaT" localSheetId="2">'velocityMap (2)'!$B$2:$B$100</definedName>
    <definedName name="deltaT">velocityMap!$B$2:$B$51</definedName>
    <definedName name="deltaTau" localSheetId="2">'velocityMap (2)'!$E$3:$E$100</definedName>
    <definedName name="deltaTau">velocityMap!$E$3:$E$51</definedName>
    <definedName name="deltaTau_" localSheetId="2">'velocityMap (2)'!$G$2:$G$100</definedName>
    <definedName name="deltaTau_">velocityMap!$G$2:$G$51</definedName>
    <definedName name="estimated_range">test!$B$5</definedName>
    <definedName name="Imax">coil!$B$6</definedName>
    <definedName name="iPulse">Parameters!$B$6</definedName>
    <definedName name="k_" localSheetId="2">'velocityMap (2)'!$F$3</definedName>
    <definedName name="k_">velocityMap!$F$3</definedName>
    <definedName name="k__" localSheetId="2">'velocityMap (2)'!$H$2</definedName>
    <definedName name="k__">velocityMap!$H$2</definedName>
    <definedName name="measured_range">test!$B$2</definedName>
    <definedName name="motor_power">test!$B$4</definedName>
    <definedName name="mu0">coil!$B$1</definedName>
    <definedName name="nTurns">coil!$B$3</definedName>
    <definedName name="pulseFreq" localSheetId="2">'velocityMap (2)'!$C$2:$C$100</definedName>
    <definedName name="pulseFreq">velocityMap!$C$2:$C$51</definedName>
    <definedName name="pulseFrequency">Parameters!$B$18</definedName>
    <definedName name="radiusSensor">Parameters!$B$4</definedName>
    <definedName name="roadSpeed">Parameters!$B$2</definedName>
    <definedName name="sensorDiameter">Parameters!$B$1</definedName>
    <definedName name="tPulse">Parameters!$B$5</definedName>
    <definedName name="transitTime">Parameters!$B$17</definedName>
    <definedName name="ur">coil!$B$2</definedName>
    <definedName name="velocity" localSheetId="2">'velocityMap (2)'!$A$2:$A$51</definedName>
    <definedName name="velocity">velocityMap!$A$2:$A$51</definedName>
    <definedName name="wheelDiameter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5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3" i="3"/>
  <c r="B83" i="3"/>
  <c r="C82" i="3"/>
  <c r="D82" i="3" s="1"/>
  <c r="E82" i="3"/>
  <c r="I82" i="3" s="1"/>
  <c r="K82" i="3"/>
  <c r="B11" i="4"/>
  <c r="B9" i="4"/>
  <c r="B1" i="4"/>
  <c r="K83" i="3" l="1"/>
  <c r="C83" i="3"/>
  <c r="D83" i="3" s="1"/>
  <c r="E83" i="3"/>
  <c r="I83" i="3" s="1"/>
  <c r="H2" i="3"/>
  <c r="K57" i="3" s="1"/>
  <c r="H2" i="2"/>
  <c r="B76" i="3"/>
  <c r="C76" i="3" s="1"/>
  <c r="D76" i="3" s="1"/>
  <c r="B77" i="3"/>
  <c r="C77" i="3" s="1"/>
  <c r="D77" i="3" s="1"/>
  <c r="B78" i="3"/>
  <c r="E78" i="3" s="1"/>
  <c r="I78" i="3" s="1"/>
  <c r="C78" i="3"/>
  <c r="D78" i="3" s="1"/>
  <c r="B79" i="3"/>
  <c r="C79" i="3"/>
  <c r="D79" i="3"/>
  <c r="E79" i="3"/>
  <c r="I79" i="3" s="1"/>
  <c r="B80" i="3"/>
  <c r="C80" i="3"/>
  <c r="D80" i="3"/>
  <c r="E80" i="3"/>
  <c r="I80" i="3" s="1"/>
  <c r="B81" i="3"/>
  <c r="C81" i="3"/>
  <c r="D81" i="3"/>
  <c r="E81" i="3"/>
  <c r="I81" i="3" s="1"/>
  <c r="B82" i="3"/>
  <c r="B72" i="3"/>
  <c r="C72" i="3" s="1"/>
  <c r="D72" i="3" s="1"/>
  <c r="B73" i="3"/>
  <c r="E73" i="3" s="1"/>
  <c r="I73" i="3" s="1"/>
  <c r="B74" i="3"/>
  <c r="E74" i="3" s="1"/>
  <c r="I74" i="3" s="1"/>
  <c r="B75" i="3"/>
  <c r="B65" i="3"/>
  <c r="C65" i="3" s="1"/>
  <c r="D65" i="3" s="1"/>
  <c r="B66" i="3"/>
  <c r="E66" i="3" s="1"/>
  <c r="I66" i="3" s="1"/>
  <c r="C66" i="3"/>
  <c r="D66" i="3" s="1"/>
  <c r="B67" i="3"/>
  <c r="E67" i="3" s="1"/>
  <c r="I67" i="3" s="1"/>
  <c r="B68" i="3"/>
  <c r="C68" i="3"/>
  <c r="D68" i="3" s="1"/>
  <c r="E68" i="3"/>
  <c r="I68" i="3" s="1"/>
  <c r="B69" i="3"/>
  <c r="C69" i="3"/>
  <c r="D69" i="3"/>
  <c r="E69" i="3"/>
  <c r="I69" i="3"/>
  <c r="B70" i="3"/>
  <c r="C70" i="3"/>
  <c r="D70" i="3"/>
  <c r="E70" i="3"/>
  <c r="I70" i="3" s="1"/>
  <c r="K70" i="3"/>
  <c r="B71" i="3"/>
  <c r="C71" i="3"/>
  <c r="D71" i="3"/>
  <c r="E71" i="3"/>
  <c r="K71" i="3"/>
  <c r="I71" i="3"/>
  <c r="B61" i="3"/>
  <c r="C61" i="3"/>
  <c r="D61" i="3"/>
  <c r="E61" i="3"/>
  <c r="I61" i="3"/>
  <c r="B62" i="3"/>
  <c r="C62" i="3"/>
  <c r="D62" i="3"/>
  <c r="E62" i="3"/>
  <c r="I62" i="3"/>
  <c r="B63" i="3"/>
  <c r="C63" i="3" s="1"/>
  <c r="D63" i="3" s="1"/>
  <c r="E63" i="3"/>
  <c r="I63" i="3"/>
  <c r="B64" i="3"/>
  <c r="C64" i="3" s="1"/>
  <c r="D64" i="3" s="1"/>
  <c r="B52" i="3"/>
  <c r="E52" i="3" s="1"/>
  <c r="I52" i="3" s="1"/>
  <c r="C52" i="3"/>
  <c r="D52" i="3"/>
  <c r="B53" i="3"/>
  <c r="E53" i="3" s="1"/>
  <c r="I53" i="3" s="1"/>
  <c r="C53" i="3"/>
  <c r="D53" i="3" s="1"/>
  <c r="B54" i="3"/>
  <c r="C54" i="3"/>
  <c r="D54" i="3" s="1"/>
  <c r="E54" i="3"/>
  <c r="I54" i="3" s="1"/>
  <c r="B55" i="3"/>
  <c r="C55" i="3"/>
  <c r="D55" i="3" s="1"/>
  <c r="E55" i="3"/>
  <c r="I55" i="3" s="1"/>
  <c r="B56" i="3"/>
  <c r="C56" i="3"/>
  <c r="D56" i="3"/>
  <c r="E56" i="3"/>
  <c r="I56" i="3" s="1"/>
  <c r="B57" i="3"/>
  <c r="C57" i="3"/>
  <c r="D57" i="3"/>
  <c r="E57" i="3"/>
  <c r="I57" i="3"/>
  <c r="B58" i="3"/>
  <c r="E58" i="3" s="1"/>
  <c r="I58" i="3" s="1"/>
  <c r="C58" i="3"/>
  <c r="D58" i="3" s="1"/>
  <c r="B59" i="3"/>
  <c r="C59" i="3"/>
  <c r="D59" i="3" s="1"/>
  <c r="E59" i="3"/>
  <c r="I59" i="3" s="1"/>
  <c r="B60" i="3"/>
  <c r="E60" i="3" s="1"/>
  <c r="I60" i="3" s="1"/>
  <c r="C60" i="3"/>
  <c r="D60" i="3"/>
  <c r="B51" i="3"/>
  <c r="C50" i="3"/>
  <c r="B50" i="3"/>
  <c r="B49" i="3"/>
  <c r="C49" i="3" s="1"/>
  <c r="C48" i="3"/>
  <c r="B48" i="3"/>
  <c r="B47" i="3"/>
  <c r="C47" i="3" s="1"/>
  <c r="B46" i="3"/>
  <c r="C45" i="3"/>
  <c r="B45" i="3"/>
  <c r="C44" i="3"/>
  <c r="B44" i="3"/>
  <c r="B43" i="3"/>
  <c r="C42" i="3"/>
  <c r="B42" i="3"/>
  <c r="B41" i="3"/>
  <c r="C41" i="3" s="1"/>
  <c r="C40" i="3"/>
  <c r="B40" i="3"/>
  <c r="B39" i="3"/>
  <c r="C39" i="3" s="1"/>
  <c r="B38" i="3"/>
  <c r="C37" i="3"/>
  <c r="B37" i="3"/>
  <c r="C36" i="3"/>
  <c r="B36" i="3"/>
  <c r="B35" i="3"/>
  <c r="C34" i="3"/>
  <c r="B34" i="3"/>
  <c r="B33" i="3"/>
  <c r="C33" i="3" s="1"/>
  <c r="C32" i="3"/>
  <c r="B32" i="3"/>
  <c r="B31" i="3"/>
  <c r="C31" i="3" s="1"/>
  <c r="B30" i="3"/>
  <c r="C29" i="3"/>
  <c r="B29" i="3"/>
  <c r="C28" i="3"/>
  <c r="B28" i="3"/>
  <c r="B27" i="3"/>
  <c r="C26" i="3"/>
  <c r="B26" i="3"/>
  <c r="B25" i="3"/>
  <c r="C25" i="3" s="1"/>
  <c r="C24" i="3"/>
  <c r="B24" i="3"/>
  <c r="C23" i="3"/>
  <c r="B23" i="3"/>
  <c r="B22" i="3"/>
  <c r="C21" i="3"/>
  <c r="B21" i="3"/>
  <c r="C20" i="3"/>
  <c r="B20" i="3"/>
  <c r="B19" i="3"/>
  <c r="T18" i="3"/>
  <c r="C18" i="3"/>
  <c r="B18" i="3"/>
  <c r="B17" i="3"/>
  <c r="C17" i="3" s="1"/>
  <c r="B16" i="3"/>
  <c r="C16" i="3" s="1"/>
  <c r="C15" i="3"/>
  <c r="B15" i="3"/>
  <c r="B14" i="3"/>
  <c r="C13" i="3"/>
  <c r="B13" i="3"/>
  <c r="C12" i="3"/>
  <c r="B12" i="3"/>
  <c r="B11" i="3"/>
  <c r="T10" i="3"/>
  <c r="C10" i="3"/>
  <c r="B10" i="3"/>
  <c r="B9" i="3"/>
  <c r="C9" i="3" s="1"/>
  <c r="B8" i="3"/>
  <c r="C8" i="3" s="1"/>
  <c r="T7" i="3"/>
  <c r="C7" i="3"/>
  <c r="B7" i="3"/>
  <c r="B6" i="3"/>
  <c r="T5" i="3"/>
  <c r="C5" i="3"/>
  <c r="B5" i="3"/>
  <c r="K4" i="3"/>
  <c r="C4" i="3"/>
  <c r="B4" i="3"/>
  <c r="K3" i="3"/>
  <c r="F3" i="3"/>
  <c r="E47" i="3" s="1"/>
  <c r="C3" i="3"/>
  <c r="B3" i="3"/>
  <c r="K55" i="3" l="1"/>
  <c r="K63" i="3"/>
  <c r="K80" i="3"/>
  <c r="K79" i="3"/>
  <c r="T34" i="3"/>
  <c r="K59" i="3"/>
  <c r="K68" i="3"/>
  <c r="K75" i="3"/>
  <c r="K56" i="3"/>
  <c r="K61" i="3"/>
  <c r="K36" i="3"/>
  <c r="K46" i="3"/>
  <c r="T42" i="3"/>
  <c r="K54" i="3"/>
  <c r="K81" i="3"/>
  <c r="T26" i="3"/>
  <c r="K62" i="3"/>
  <c r="K69" i="3"/>
  <c r="K76" i="3"/>
  <c r="K77" i="3"/>
  <c r="E76" i="3"/>
  <c r="I76" i="3" s="1"/>
  <c r="K78" i="3"/>
  <c r="E77" i="3"/>
  <c r="I77" i="3" s="1"/>
  <c r="C74" i="3"/>
  <c r="D74" i="3" s="1"/>
  <c r="K72" i="3"/>
  <c r="K73" i="3"/>
  <c r="E72" i="3"/>
  <c r="I72" i="3" s="1"/>
  <c r="E75" i="3"/>
  <c r="I75" i="3" s="1"/>
  <c r="C73" i="3"/>
  <c r="D73" i="3" s="1"/>
  <c r="C75" i="3"/>
  <c r="D75" i="3" s="1"/>
  <c r="K74" i="3"/>
  <c r="C67" i="3"/>
  <c r="D67" i="3" s="1"/>
  <c r="K65" i="3"/>
  <c r="K66" i="3"/>
  <c r="E65" i="3"/>
  <c r="I65" i="3" s="1"/>
  <c r="K67" i="3"/>
  <c r="E64" i="3"/>
  <c r="I64" i="3" s="1"/>
  <c r="K64" i="3"/>
  <c r="K58" i="3"/>
  <c r="K60" i="3"/>
  <c r="K52" i="3"/>
  <c r="K53" i="3"/>
  <c r="T3" i="3"/>
  <c r="K5" i="3"/>
  <c r="T46" i="3"/>
  <c r="T14" i="3"/>
  <c r="K14" i="3"/>
  <c r="K19" i="3"/>
  <c r="T19" i="3"/>
  <c r="T24" i="3"/>
  <c r="K24" i="3"/>
  <c r="T38" i="3"/>
  <c r="K38" i="3"/>
  <c r="K43" i="3"/>
  <c r="T43" i="3"/>
  <c r="K44" i="3"/>
  <c r="T44" i="3"/>
  <c r="R47" i="3"/>
  <c r="I47" i="3"/>
  <c r="K27" i="3"/>
  <c r="T27" i="3"/>
  <c r="T6" i="3"/>
  <c r="K6" i="3"/>
  <c r="K11" i="3"/>
  <c r="T11" i="3"/>
  <c r="T30" i="3"/>
  <c r="K30" i="3"/>
  <c r="K35" i="3"/>
  <c r="T35" i="3"/>
  <c r="T22" i="3"/>
  <c r="K22" i="3"/>
  <c r="T37" i="3"/>
  <c r="K37" i="3"/>
  <c r="T48" i="3"/>
  <c r="K48" i="3"/>
  <c r="T51" i="3"/>
  <c r="K51" i="3"/>
  <c r="E8" i="3"/>
  <c r="E48" i="3"/>
  <c r="T4" i="3"/>
  <c r="E9" i="3"/>
  <c r="C11" i="3"/>
  <c r="E17" i="3"/>
  <c r="C19" i="3"/>
  <c r="E25" i="3"/>
  <c r="C27" i="3"/>
  <c r="E33" i="3"/>
  <c r="C35" i="3"/>
  <c r="E41" i="3"/>
  <c r="C43" i="3"/>
  <c r="E49" i="3"/>
  <c r="C51" i="3"/>
  <c r="E11" i="3"/>
  <c r="E16" i="3"/>
  <c r="E24" i="3"/>
  <c r="E32" i="3"/>
  <c r="E40" i="3"/>
  <c r="E3" i="3"/>
  <c r="K7" i="3"/>
  <c r="E10" i="3"/>
  <c r="E18" i="3"/>
  <c r="E26" i="3"/>
  <c r="E34" i="3"/>
  <c r="E42" i="3"/>
  <c r="E50" i="3"/>
  <c r="E51" i="3"/>
  <c r="E4" i="3"/>
  <c r="C6" i="3"/>
  <c r="E12" i="3"/>
  <c r="C14" i="3"/>
  <c r="E20" i="3"/>
  <c r="C22" i="3"/>
  <c r="E28" i="3"/>
  <c r="C30" i="3"/>
  <c r="E36" i="3"/>
  <c r="C38" i="3"/>
  <c r="E44" i="3"/>
  <c r="C46" i="3"/>
  <c r="E19" i="3"/>
  <c r="E27" i="3"/>
  <c r="K10" i="3"/>
  <c r="E13" i="3"/>
  <c r="K18" i="3"/>
  <c r="E21" i="3"/>
  <c r="K26" i="3"/>
  <c r="E29" i="3"/>
  <c r="K34" i="3"/>
  <c r="E37" i="3"/>
  <c r="K42" i="3"/>
  <c r="E45" i="3"/>
  <c r="E35" i="3"/>
  <c r="E5" i="3"/>
  <c r="E6" i="3"/>
  <c r="E14" i="3"/>
  <c r="E30" i="3"/>
  <c r="E46" i="3"/>
  <c r="E43" i="3"/>
  <c r="E22" i="3"/>
  <c r="E38" i="3"/>
  <c r="E7" i="3"/>
  <c r="E15" i="3"/>
  <c r="E23" i="3"/>
  <c r="E31" i="3"/>
  <c r="E39" i="3"/>
  <c r="K3" i="2"/>
  <c r="C7" i="2"/>
  <c r="C27" i="2"/>
  <c r="C35" i="2"/>
  <c r="C39" i="2"/>
  <c r="B4" i="2"/>
  <c r="C4" i="2" s="1"/>
  <c r="B5" i="2"/>
  <c r="G5" i="2" s="1"/>
  <c r="K5" i="2" s="1"/>
  <c r="B6" i="2"/>
  <c r="G6" i="2" s="1"/>
  <c r="K6" i="2" s="1"/>
  <c r="B7" i="2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B27" i="2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B36" i="2"/>
  <c r="C36" i="2" s="1"/>
  <c r="B37" i="2"/>
  <c r="C37" i="2" s="1"/>
  <c r="B38" i="2"/>
  <c r="C38" i="2" s="1"/>
  <c r="B39" i="2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G50" i="2" s="1"/>
  <c r="K50" i="2" s="1"/>
  <c r="B51" i="2"/>
  <c r="C51" i="2" s="1"/>
  <c r="B3" i="2"/>
  <c r="G3" i="2" s="1"/>
  <c r="G4" i="2"/>
  <c r="K4" i="2" s="1"/>
  <c r="G9" i="2"/>
  <c r="K9" i="2" s="1"/>
  <c r="T36" i="3" l="1"/>
  <c r="D16" i="2"/>
  <c r="D23" i="2"/>
  <c r="D19" i="2"/>
  <c r="I36" i="3"/>
  <c r="R36" i="3"/>
  <c r="T21" i="3"/>
  <c r="K21" i="3"/>
  <c r="T50" i="3"/>
  <c r="K50" i="3"/>
  <c r="T29" i="3"/>
  <c r="K29" i="3"/>
  <c r="R14" i="3"/>
  <c r="I14" i="3"/>
  <c r="I29" i="3"/>
  <c r="R29" i="3"/>
  <c r="I28" i="3"/>
  <c r="R28" i="3"/>
  <c r="R51" i="3"/>
  <c r="I51" i="3"/>
  <c r="T25" i="3"/>
  <c r="K25" i="3"/>
  <c r="T39" i="3"/>
  <c r="K39" i="3"/>
  <c r="R41" i="3"/>
  <c r="I41" i="3"/>
  <c r="R17" i="3"/>
  <c r="I17" i="3"/>
  <c r="T31" i="3"/>
  <c r="K31" i="3"/>
  <c r="R30" i="3"/>
  <c r="I30" i="3"/>
  <c r="T33" i="3"/>
  <c r="K33" i="3"/>
  <c r="R25" i="3"/>
  <c r="I25" i="3"/>
  <c r="R38" i="3"/>
  <c r="I38" i="3"/>
  <c r="K12" i="3"/>
  <c r="T12" i="3"/>
  <c r="R26" i="3"/>
  <c r="I26" i="3"/>
  <c r="T47" i="3"/>
  <c r="K47" i="3"/>
  <c r="K28" i="3"/>
  <c r="T28" i="3"/>
  <c r="R18" i="3"/>
  <c r="I18" i="3"/>
  <c r="T40" i="3"/>
  <c r="K40" i="3"/>
  <c r="T23" i="3"/>
  <c r="K23" i="3"/>
  <c r="R39" i="3"/>
  <c r="I39" i="3"/>
  <c r="T13" i="3"/>
  <c r="K13" i="3"/>
  <c r="I5" i="3"/>
  <c r="R5" i="3"/>
  <c r="R19" i="3"/>
  <c r="I19" i="3"/>
  <c r="I20" i="3"/>
  <c r="R20" i="3"/>
  <c r="T49" i="3"/>
  <c r="K49" i="3"/>
  <c r="T17" i="3"/>
  <c r="K17" i="3"/>
  <c r="R24" i="3"/>
  <c r="I24" i="3"/>
  <c r="T15" i="3"/>
  <c r="K15" i="3"/>
  <c r="R7" i="3"/>
  <c r="I7" i="3"/>
  <c r="I13" i="3"/>
  <c r="R13" i="3"/>
  <c r="I4" i="3"/>
  <c r="R4" i="3"/>
  <c r="R49" i="3"/>
  <c r="I49" i="3"/>
  <c r="R48" i="3"/>
  <c r="I48" i="3"/>
  <c r="D30" i="3"/>
  <c r="R40" i="3"/>
  <c r="I40" i="3"/>
  <c r="R22" i="3"/>
  <c r="I22" i="3"/>
  <c r="R6" i="3"/>
  <c r="I6" i="3"/>
  <c r="R27" i="3"/>
  <c r="I27" i="3"/>
  <c r="R50" i="3"/>
  <c r="I50" i="3"/>
  <c r="R32" i="3"/>
  <c r="I32" i="3"/>
  <c r="T16" i="3"/>
  <c r="K16" i="3"/>
  <c r="R31" i="3"/>
  <c r="I31" i="3"/>
  <c r="R43" i="3"/>
  <c r="I43" i="3"/>
  <c r="R35" i="3"/>
  <c r="I35" i="3"/>
  <c r="I21" i="3"/>
  <c r="R21" i="3"/>
  <c r="D46" i="3"/>
  <c r="R42" i="3"/>
  <c r="I42" i="3"/>
  <c r="R10" i="3"/>
  <c r="I10" i="3"/>
  <c r="R16" i="3"/>
  <c r="I16" i="3"/>
  <c r="R33" i="3"/>
  <c r="I33" i="3"/>
  <c r="I9" i="3"/>
  <c r="R9" i="3"/>
  <c r="R8" i="3"/>
  <c r="I8" i="3"/>
  <c r="R23" i="3"/>
  <c r="I23" i="3"/>
  <c r="R46" i="3"/>
  <c r="I46" i="3"/>
  <c r="I45" i="3"/>
  <c r="R45" i="3"/>
  <c r="K20" i="3"/>
  <c r="T20" i="3"/>
  <c r="I44" i="3"/>
  <c r="R44" i="3"/>
  <c r="I12" i="3"/>
  <c r="R12" i="3"/>
  <c r="T41" i="3"/>
  <c r="K41" i="3"/>
  <c r="T9" i="3"/>
  <c r="K9" i="3"/>
  <c r="R11" i="3"/>
  <c r="I11" i="3"/>
  <c r="T32" i="3"/>
  <c r="K32" i="3"/>
  <c r="T8" i="3"/>
  <c r="K8" i="3"/>
  <c r="I37" i="3"/>
  <c r="R37" i="3"/>
  <c r="R3" i="3"/>
  <c r="I3" i="3"/>
  <c r="G8" i="2"/>
  <c r="G10" i="2"/>
  <c r="K10" i="2" s="1"/>
  <c r="R15" i="3"/>
  <c r="I15" i="3"/>
  <c r="T45" i="3"/>
  <c r="K45" i="3"/>
  <c r="R34" i="3"/>
  <c r="I34" i="3"/>
  <c r="C6" i="2"/>
  <c r="C50" i="2"/>
  <c r="C26" i="2"/>
  <c r="C5" i="2"/>
  <c r="G7" i="2"/>
  <c r="K7" i="2" s="1"/>
  <c r="C3" i="2"/>
  <c r="G28" i="2"/>
  <c r="K28" i="2" s="1"/>
  <c r="G40" i="2"/>
  <c r="K40" i="2" s="1"/>
  <c r="G30" i="2"/>
  <c r="K30" i="2" s="1"/>
  <c r="G38" i="2"/>
  <c r="K38" i="2" s="1"/>
  <c r="T50" i="2"/>
  <c r="T10" i="2"/>
  <c r="G42" i="2"/>
  <c r="K42" i="2" s="1"/>
  <c r="T9" i="2"/>
  <c r="G46" i="2"/>
  <c r="G34" i="2"/>
  <c r="T5" i="2"/>
  <c r="T6" i="2"/>
  <c r="G36" i="2"/>
  <c r="K36" i="2" s="1"/>
  <c r="G24" i="2"/>
  <c r="K24" i="2" s="1"/>
  <c r="T40" i="2"/>
  <c r="T28" i="2"/>
  <c r="T4" i="2"/>
  <c r="G20" i="2"/>
  <c r="K20" i="2" s="1"/>
  <c r="T3" i="2"/>
  <c r="G22" i="2"/>
  <c r="K22" i="2" s="1"/>
  <c r="G14" i="2"/>
  <c r="K14" i="2" s="1"/>
  <c r="G48" i="2"/>
  <c r="K48" i="2" s="1"/>
  <c r="G16" i="2"/>
  <c r="K16" i="2" s="1"/>
  <c r="G45" i="2"/>
  <c r="K45" i="2" s="1"/>
  <c r="G37" i="2"/>
  <c r="K37" i="2" s="1"/>
  <c r="G29" i="2"/>
  <c r="K29" i="2" s="1"/>
  <c r="G21" i="2"/>
  <c r="K21" i="2" s="1"/>
  <c r="G13" i="2"/>
  <c r="K13" i="2" s="1"/>
  <c r="G44" i="2"/>
  <c r="K44" i="2" s="1"/>
  <c r="G12" i="2"/>
  <c r="K12" i="2" s="1"/>
  <c r="G18" i="2"/>
  <c r="K18" i="2" s="1"/>
  <c r="G32" i="2"/>
  <c r="K32" i="2" s="1"/>
  <c r="G49" i="2"/>
  <c r="K49" i="2" s="1"/>
  <c r="G41" i="2"/>
  <c r="K41" i="2" s="1"/>
  <c r="G33" i="2"/>
  <c r="K33" i="2" s="1"/>
  <c r="G25" i="2"/>
  <c r="K25" i="2" s="1"/>
  <c r="G17" i="2"/>
  <c r="K17" i="2" s="1"/>
  <c r="G47" i="2"/>
  <c r="K47" i="2" s="1"/>
  <c r="G35" i="2"/>
  <c r="K35" i="2" s="1"/>
  <c r="G27" i="2"/>
  <c r="K27" i="2" s="1"/>
  <c r="G15" i="2"/>
  <c r="K15" i="2" s="1"/>
  <c r="F3" i="2"/>
  <c r="G26" i="2"/>
  <c r="K26" i="2" s="1"/>
  <c r="G51" i="2"/>
  <c r="K51" i="2" s="1"/>
  <c r="G43" i="2"/>
  <c r="K43" i="2" s="1"/>
  <c r="G39" i="2"/>
  <c r="K39" i="2" s="1"/>
  <c r="G31" i="2"/>
  <c r="K31" i="2" s="1"/>
  <c r="G23" i="2"/>
  <c r="K23" i="2" s="1"/>
  <c r="G19" i="2"/>
  <c r="K19" i="2" s="1"/>
  <c r="G11" i="2"/>
  <c r="K11" i="2" s="1"/>
  <c r="B4" i="1"/>
  <c r="D8" i="2" s="1"/>
  <c r="B18" i="1"/>
  <c r="B17" i="1" s="1"/>
  <c r="T8" i="2" l="1"/>
  <c r="K8" i="2"/>
  <c r="D5" i="2"/>
  <c r="D3" i="2"/>
  <c r="D14" i="3"/>
  <c r="D49" i="2"/>
  <c r="D14" i="2"/>
  <c r="D31" i="2"/>
  <c r="D27" i="2"/>
  <c r="D26" i="2"/>
  <c r="D38" i="3"/>
  <c r="D43" i="3"/>
  <c r="D9" i="2"/>
  <c r="D38" i="2"/>
  <c r="D39" i="2"/>
  <c r="D20" i="3"/>
  <c r="D23" i="3"/>
  <c r="D44" i="3"/>
  <c r="D28" i="3"/>
  <c r="D36" i="3"/>
  <c r="D4" i="3"/>
  <c r="D12" i="3"/>
  <c r="D18" i="3"/>
  <c r="D48" i="3"/>
  <c r="D3" i="3"/>
  <c r="D9" i="3"/>
  <c r="D16" i="3"/>
  <c r="D17" i="3"/>
  <c r="D36" i="2"/>
  <c r="D49" i="3"/>
  <c r="D45" i="3"/>
  <c r="D5" i="3"/>
  <c r="D33" i="3"/>
  <c r="D42" i="3"/>
  <c r="D37" i="3"/>
  <c r="D8" i="3"/>
  <c r="D21" i="3"/>
  <c r="D24" i="3"/>
  <c r="D10" i="3"/>
  <c r="D32" i="3"/>
  <c r="D26" i="3"/>
  <c r="D47" i="3"/>
  <c r="D39" i="3"/>
  <c r="D25" i="3"/>
  <c r="D42" i="2"/>
  <c r="D41" i="3"/>
  <c r="D20" i="2"/>
  <c r="D44" i="2"/>
  <c r="D13" i="2"/>
  <c r="D29" i="2"/>
  <c r="D34" i="3"/>
  <c r="D31" i="3"/>
  <c r="D18" i="2"/>
  <c r="D34" i="2"/>
  <c r="D4" i="2"/>
  <c r="D28" i="2"/>
  <c r="D21" i="2"/>
  <c r="D37" i="2"/>
  <c r="D13" i="3"/>
  <c r="D29" i="3"/>
  <c r="D15" i="3"/>
  <c r="D40" i="3"/>
  <c r="D7" i="3"/>
  <c r="D50" i="3"/>
  <c r="D12" i="2"/>
  <c r="D45" i="2"/>
  <c r="D51" i="2"/>
  <c r="T7" i="2"/>
  <c r="T30" i="2"/>
  <c r="D50" i="2"/>
  <c r="D17" i="2"/>
  <c r="D15" i="2"/>
  <c r="D11" i="2"/>
  <c r="D7" i="2"/>
  <c r="D6" i="3"/>
  <c r="D48" i="2"/>
  <c r="D6" i="2"/>
  <c r="D25" i="2"/>
  <c r="D24" i="2"/>
  <c r="D43" i="2"/>
  <c r="D22" i="2"/>
  <c r="T34" i="2"/>
  <c r="K34" i="2"/>
  <c r="D27" i="3"/>
  <c r="D19" i="3"/>
  <c r="D11" i="3"/>
  <c r="D22" i="3"/>
  <c r="D33" i="2"/>
  <c r="D35" i="2"/>
  <c r="D30" i="2"/>
  <c r="D47" i="2"/>
  <c r="D40" i="2"/>
  <c r="T46" i="2"/>
  <c r="K46" i="2"/>
  <c r="D51" i="3"/>
  <c r="D35" i="3"/>
  <c r="D41" i="2"/>
  <c r="D10" i="2"/>
  <c r="D46" i="2"/>
  <c r="D32" i="2"/>
  <c r="T42" i="2"/>
  <c r="T38" i="2"/>
  <c r="T19" i="2"/>
  <c r="T15" i="2"/>
  <c r="T49" i="2"/>
  <c r="T37" i="2"/>
  <c r="T23" i="2"/>
  <c r="T27" i="2"/>
  <c r="T25" i="2"/>
  <c r="T13" i="2"/>
  <c r="T22" i="2"/>
  <c r="T24" i="2"/>
  <c r="T31" i="2"/>
  <c r="T35" i="2"/>
  <c r="T33" i="2"/>
  <c r="T18" i="2"/>
  <c r="T21" i="2"/>
  <c r="T16" i="2"/>
  <c r="T36" i="2"/>
  <c r="T43" i="2"/>
  <c r="T17" i="2"/>
  <c r="T44" i="2"/>
  <c r="T14" i="2"/>
  <c r="T51" i="2"/>
  <c r="T32" i="2"/>
  <c r="T45" i="2"/>
  <c r="T20" i="2"/>
  <c r="T26" i="2"/>
  <c r="T11" i="2"/>
  <c r="T39" i="2"/>
  <c r="T47" i="2"/>
  <c r="T41" i="2"/>
  <c r="T12" i="2"/>
  <c r="T29" i="2"/>
  <c r="T48" i="2"/>
  <c r="E4" i="2"/>
  <c r="I4" i="2" s="1"/>
  <c r="E8" i="2"/>
  <c r="I8" i="2" s="1"/>
  <c r="E12" i="2"/>
  <c r="I12" i="2" s="1"/>
  <c r="E16" i="2"/>
  <c r="I16" i="2" s="1"/>
  <c r="E20" i="2"/>
  <c r="I20" i="2" s="1"/>
  <c r="E24" i="2"/>
  <c r="I24" i="2" s="1"/>
  <c r="E28" i="2"/>
  <c r="I28" i="2" s="1"/>
  <c r="E32" i="2"/>
  <c r="I32" i="2" s="1"/>
  <c r="E36" i="2"/>
  <c r="I36" i="2" s="1"/>
  <c r="E40" i="2"/>
  <c r="I40" i="2" s="1"/>
  <c r="E44" i="2"/>
  <c r="I44" i="2" s="1"/>
  <c r="E48" i="2"/>
  <c r="I48" i="2" s="1"/>
  <c r="E3" i="2"/>
  <c r="I3" i="2" s="1"/>
  <c r="E10" i="2"/>
  <c r="I10" i="2" s="1"/>
  <c r="E14" i="2"/>
  <c r="I14" i="2" s="1"/>
  <c r="E18" i="2"/>
  <c r="I18" i="2" s="1"/>
  <c r="E26" i="2"/>
  <c r="I26" i="2" s="1"/>
  <c r="E34" i="2"/>
  <c r="I34" i="2" s="1"/>
  <c r="E38" i="2"/>
  <c r="I38" i="2" s="1"/>
  <c r="E46" i="2"/>
  <c r="I46" i="2" s="1"/>
  <c r="E5" i="2"/>
  <c r="I5" i="2" s="1"/>
  <c r="E9" i="2"/>
  <c r="I9" i="2" s="1"/>
  <c r="E13" i="2"/>
  <c r="I13" i="2" s="1"/>
  <c r="E17" i="2"/>
  <c r="I17" i="2" s="1"/>
  <c r="E21" i="2"/>
  <c r="I21" i="2" s="1"/>
  <c r="E25" i="2"/>
  <c r="I25" i="2" s="1"/>
  <c r="E29" i="2"/>
  <c r="I29" i="2" s="1"/>
  <c r="E33" i="2"/>
  <c r="I33" i="2" s="1"/>
  <c r="E37" i="2"/>
  <c r="I37" i="2" s="1"/>
  <c r="E41" i="2"/>
  <c r="I41" i="2" s="1"/>
  <c r="E45" i="2"/>
  <c r="I45" i="2" s="1"/>
  <c r="E49" i="2"/>
  <c r="I49" i="2" s="1"/>
  <c r="E6" i="2"/>
  <c r="I6" i="2" s="1"/>
  <c r="E22" i="2"/>
  <c r="I22" i="2" s="1"/>
  <c r="E30" i="2"/>
  <c r="I30" i="2" s="1"/>
  <c r="E42" i="2"/>
  <c r="I42" i="2" s="1"/>
  <c r="E50" i="2"/>
  <c r="I50" i="2" s="1"/>
  <c r="E7" i="2"/>
  <c r="I7" i="2" s="1"/>
  <c r="E23" i="2"/>
  <c r="I23" i="2" s="1"/>
  <c r="E39" i="2"/>
  <c r="I39" i="2" s="1"/>
  <c r="E11" i="2"/>
  <c r="I11" i="2" s="1"/>
  <c r="E27" i="2"/>
  <c r="I27" i="2" s="1"/>
  <c r="E43" i="2"/>
  <c r="I43" i="2" s="1"/>
  <c r="E15" i="2"/>
  <c r="I15" i="2" s="1"/>
  <c r="E31" i="2"/>
  <c r="I31" i="2" s="1"/>
  <c r="E47" i="2"/>
  <c r="I47" i="2" s="1"/>
  <c r="E19" i="2"/>
  <c r="I19" i="2" s="1"/>
  <c r="E35" i="2"/>
  <c r="I35" i="2" s="1"/>
  <c r="E51" i="2"/>
  <c r="I51" i="2" s="1"/>
  <c r="R7" i="2" l="1"/>
  <c r="R25" i="2"/>
  <c r="R10" i="2"/>
  <c r="R51" i="2"/>
  <c r="R6" i="2"/>
  <c r="R21" i="2"/>
  <c r="R26" i="2"/>
  <c r="R20" i="2"/>
  <c r="R15" i="2"/>
  <c r="R42" i="2"/>
  <c r="R46" i="2"/>
  <c r="R16" i="2"/>
  <c r="R47" i="2"/>
  <c r="R27" i="2"/>
  <c r="R22" i="2"/>
  <c r="R41" i="2"/>
  <c r="R9" i="2"/>
  <c r="R34" i="2"/>
  <c r="R40" i="2"/>
  <c r="R24" i="2"/>
  <c r="R8" i="2"/>
  <c r="R31" i="2"/>
  <c r="R11" i="2"/>
  <c r="R50" i="2"/>
  <c r="R37" i="2"/>
  <c r="R5" i="2"/>
  <c r="R36" i="2"/>
  <c r="R4" i="2"/>
  <c r="R35" i="2"/>
  <c r="R39" i="2"/>
  <c r="R49" i="2"/>
  <c r="R33" i="2"/>
  <c r="R17" i="2"/>
  <c r="R18" i="2"/>
  <c r="R48" i="2"/>
  <c r="R32" i="2"/>
  <c r="R19" i="2"/>
  <c r="R43" i="2"/>
  <c r="R23" i="2"/>
  <c r="R30" i="2"/>
  <c r="R45" i="2"/>
  <c r="R29" i="2"/>
  <c r="R13" i="2"/>
  <c r="R38" i="2"/>
  <c r="R14" i="2"/>
  <c r="R44" i="2"/>
  <c r="R28" i="2"/>
  <c r="R12" i="2"/>
  <c r="R3" i="2"/>
</calcChain>
</file>

<file path=xl/sharedStrings.xml><?xml version="1.0" encoding="utf-8"?>
<sst xmlns="http://schemas.openxmlformats.org/spreadsheetml/2006/main" count="80" uniqueCount="46">
  <si>
    <t>roadSpeed</t>
  </si>
  <si>
    <t>wheelDiameter</t>
  </si>
  <si>
    <t>sensorDiameter</t>
  </si>
  <si>
    <t>mm</t>
  </si>
  <si>
    <t>kmh</t>
  </si>
  <si>
    <t>transitTime</t>
  </si>
  <si>
    <t>pulseFrequency</t>
  </si>
  <si>
    <t>Hz</t>
  </si>
  <si>
    <t>radiusSensor</t>
  </si>
  <si>
    <t>msec</t>
  </si>
  <si>
    <t>velocity</t>
  </si>
  <si>
    <t>deltaT</t>
  </si>
  <si>
    <t>deltaTau</t>
  </si>
  <si>
    <t>mSec</t>
  </si>
  <si>
    <t>k_</t>
  </si>
  <si>
    <t>mSec^-1</t>
  </si>
  <si>
    <t>k__</t>
  </si>
  <si>
    <t>deltaTau_</t>
  </si>
  <si>
    <t>vTau</t>
  </si>
  <si>
    <t>vTau_</t>
  </si>
  <si>
    <t>tPulse</t>
  </si>
  <si>
    <t>iPulse</t>
  </si>
  <si>
    <t>amp</t>
  </si>
  <si>
    <t>mAh per hour</t>
  </si>
  <si>
    <t>mAh per hour_</t>
  </si>
  <si>
    <t>pulseFreq</t>
  </si>
  <si>
    <t>tTransit</t>
  </si>
  <si>
    <t>depends on diverse of B field and hysteresis of reed switch - measure with scope</t>
  </si>
  <si>
    <t>mu0</t>
  </si>
  <si>
    <t>ur</t>
  </si>
  <si>
    <t>nTurns</t>
  </si>
  <si>
    <t>coilDiameter</t>
  </si>
  <si>
    <t>coilLength</t>
  </si>
  <si>
    <t>Imax</t>
  </si>
  <si>
    <t>A</t>
  </si>
  <si>
    <t>Bmax</t>
  </si>
  <si>
    <t>Lcoil</t>
  </si>
  <si>
    <t>average_speed</t>
  </si>
  <si>
    <t>measured_range</t>
  </si>
  <si>
    <t>estimated_range</t>
  </si>
  <si>
    <t>battery_capacity</t>
  </si>
  <si>
    <t>km</t>
  </si>
  <si>
    <t>Wh</t>
  </si>
  <si>
    <t>km/h</t>
  </si>
  <si>
    <t>motor_power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</si>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</sst>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Output velocity vs input - model 2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piecewise linear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velocityMap!$K$3:$K$51</c:f>
              <c:numCache>
                <c:formatCode>0.0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  <c:pt idx="4">
                  <c:v>5.0000000000000009</c:v>
                </c:pt>
                <c:pt idx="5">
                  <c:v>5.9999999999999991</c:v>
                </c:pt>
                <c:pt idx="6">
                  <c:v>6.9999999999999991</c:v>
                </c:pt>
                <c:pt idx="7">
                  <c:v>8</c:v>
                </c:pt>
                <c:pt idx="8">
                  <c:v>9.0000000000000018</c:v>
                </c:pt>
                <c:pt idx="9">
                  <c:v>10.000000000000002</c:v>
                </c:pt>
                <c:pt idx="10">
                  <c:v>10.717948717948717</c:v>
                </c:pt>
                <c:pt idx="11">
                  <c:v>11.4</c:v>
                </c:pt>
                <c:pt idx="12">
                  <c:v>12.048780487804876</c:v>
                </c:pt>
                <c:pt idx="13">
                  <c:v>12.666666666666664</c:v>
                </c:pt>
                <c:pt idx="14">
                  <c:v>13.255813953488373</c:v>
                </c:pt>
                <c:pt idx="15">
                  <c:v>13.81818181818182</c:v>
                </c:pt>
                <c:pt idx="16">
                  <c:v>14.35555555555556</c:v>
                </c:pt>
                <c:pt idx="17">
                  <c:v>14.869565217391305</c:v>
                </c:pt>
                <c:pt idx="18">
                  <c:v>15.361702127659576</c:v>
                </c:pt>
                <c:pt idx="19">
                  <c:v>15.833333333333332</c:v>
                </c:pt>
                <c:pt idx="20">
                  <c:v>16.285714285714288</c:v>
                </c:pt>
                <c:pt idx="21">
                  <c:v>16.720000000000002</c:v>
                </c:pt>
                <c:pt idx="22">
                  <c:v>17.137254901960787</c:v>
                </c:pt>
                <c:pt idx="23">
                  <c:v>17.53846153846154</c:v>
                </c:pt>
                <c:pt idx="24">
                  <c:v>17.924528301886792</c:v>
                </c:pt>
                <c:pt idx="25">
                  <c:v>18.296296296296298</c:v>
                </c:pt>
                <c:pt idx="26">
                  <c:v>18.654545454545453</c:v>
                </c:pt>
                <c:pt idx="27">
                  <c:v>19</c:v>
                </c:pt>
                <c:pt idx="28">
                  <c:v>19.333333333333332</c:v>
                </c:pt>
                <c:pt idx="29">
                  <c:v>19.655172413793103</c:v>
                </c:pt>
                <c:pt idx="30">
                  <c:v>19.966101694915256</c:v>
                </c:pt>
                <c:pt idx="31">
                  <c:v>20.266666666666669</c:v>
                </c:pt>
                <c:pt idx="32">
                  <c:v>20.557377049180332</c:v>
                </c:pt>
                <c:pt idx="33">
                  <c:v>20.838709677419359</c:v>
                </c:pt>
                <c:pt idx="34">
                  <c:v>21.111111111111114</c:v>
                </c:pt>
                <c:pt idx="35">
                  <c:v>21.375000000000007</c:v>
                </c:pt>
                <c:pt idx="36">
                  <c:v>21.630769230769236</c:v>
                </c:pt>
                <c:pt idx="37">
                  <c:v>21.878787878787882</c:v>
                </c:pt>
                <c:pt idx="38">
                  <c:v>22.119402985074629</c:v>
                </c:pt>
                <c:pt idx="39">
                  <c:v>22.352941176470591</c:v>
                </c:pt>
                <c:pt idx="40">
                  <c:v>22.579710144927535</c:v>
                </c:pt>
                <c:pt idx="41">
                  <c:v>22.800000000000004</c:v>
                </c:pt>
                <c:pt idx="42">
                  <c:v>23.014084507042256</c:v>
                </c:pt>
                <c:pt idx="43">
                  <c:v>23.222222222222225</c:v>
                </c:pt>
                <c:pt idx="44">
                  <c:v>23.424657534246581</c:v>
                </c:pt>
                <c:pt idx="45">
                  <c:v>23.621621621621628</c:v>
                </c:pt>
                <c:pt idx="46">
                  <c:v>23.813333333333336</c:v>
                </c:pt>
                <c:pt idx="47">
                  <c:v>23.999999999999996</c:v>
                </c:pt>
                <c:pt idx="48">
                  <c:v>24.181818181818187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8F44-9A31-CA61C7C4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velocity vs input</a:t>
            </a:r>
            <a:r>
              <a:rPr lang="en-GB" sz="1400" b="0" i="0" u="none" strike="noStrike" baseline="0">
                <a:effectLst/>
              </a:rPr>
              <a:t> - model 1</a:t>
            </a:r>
            <a:br>
              <a:rPr lang="en-GB" sz="1400" b="0" i="0" u="none" strike="noStrike" baseline="0">
                <a:effectLst/>
              </a:rPr>
            </a:br>
            <a:r>
              <a:rPr lang="en-GB" sz="1400" b="0" i="0" u="none" strike="noStrike" baseline="0">
                <a:effectLst/>
              </a:rPr>
              <a:t>quadratic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velocityMap!$I$3:$I$51</c:f>
              <c:numCache>
                <c:formatCode>0.0</c:formatCode>
                <c:ptCount val="49"/>
                <c:pt idx="0">
                  <c:v>1.0416666666666666E-2</c:v>
                </c:pt>
                <c:pt idx="1">
                  <c:v>4.1666666666666664E-2</c:v>
                </c:pt>
                <c:pt idx="2">
                  <c:v>9.3749999999999986E-2</c:v>
                </c:pt>
                <c:pt idx="3">
                  <c:v>0.16666666666666666</c:v>
                </c:pt>
                <c:pt idx="4">
                  <c:v>0.26041666666666663</c:v>
                </c:pt>
                <c:pt idx="5">
                  <c:v>0.37499999999999994</c:v>
                </c:pt>
                <c:pt idx="6">
                  <c:v>0.51041666666666641</c:v>
                </c:pt>
                <c:pt idx="7">
                  <c:v>0.66666666666666663</c:v>
                </c:pt>
                <c:pt idx="8">
                  <c:v>0.84375000000000011</c:v>
                </c:pt>
                <c:pt idx="9">
                  <c:v>1.0416666666666665</c:v>
                </c:pt>
                <c:pt idx="10">
                  <c:v>1.2604166666666667</c:v>
                </c:pt>
                <c:pt idx="11">
                  <c:v>1.4999999999999998</c:v>
                </c:pt>
                <c:pt idx="12">
                  <c:v>1.7604166666666665</c:v>
                </c:pt>
                <c:pt idx="13">
                  <c:v>2.0416666666666656</c:v>
                </c:pt>
                <c:pt idx="14">
                  <c:v>2.34375</c:v>
                </c:pt>
                <c:pt idx="15">
                  <c:v>2.6666666666666665</c:v>
                </c:pt>
                <c:pt idx="16">
                  <c:v>3.010416666666667</c:v>
                </c:pt>
                <c:pt idx="17">
                  <c:v>3.3750000000000004</c:v>
                </c:pt>
                <c:pt idx="18">
                  <c:v>3.7604166666666656</c:v>
                </c:pt>
                <c:pt idx="19">
                  <c:v>4.1666666666666661</c:v>
                </c:pt>
                <c:pt idx="20">
                  <c:v>4.5937500000000018</c:v>
                </c:pt>
                <c:pt idx="21">
                  <c:v>5.041666666666667</c:v>
                </c:pt>
                <c:pt idx="22">
                  <c:v>5.5104166666666652</c:v>
                </c:pt>
                <c:pt idx="23">
                  <c:v>5.9999999999999991</c:v>
                </c:pt>
                <c:pt idx="24">
                  <c:v>6.5104166666666652</c:v>
                </c:pt>
                <c:pt idx="25">
                  <c:v>7.0416666666666661</c:v>
                </c:pt>
                <c:pt idx="26">
                  <c:v>7.59375</c:v>
                </c:pt>
                <c:pt idx="27">
                  <c:v>8.1666666666666625</c:v>
                </c:pt>
                <c:pt idx="28">
                  <c:v>8.7604166666666661</c:v>
                </c:pt>
                <c:pt idx="29">
                  <c:v>9.375</c:v>
                </c:pt>
                <c:pt idx="30">
                  <c:v>10.010416666666668</c:v>
                </c:pt>
                <c:pt idx="31">
                  <c:v>10.666666666666666</c:v>
                </c:pt>
                <c:pt idx="32">
                  <c:v>11.34375</c:v>
                </c:pt>
                <c:pt idx="33">
                  <c:v>12.041666666666668</c:v>
                </c:pt>
                <c:pt idx="34">
                  <c:v>12.760416666666668</c:v>
                </c:pt>
                <c:pt idx="35">
                  <c:v>13.500000000000002</c:v>
                </c:pt>
                <c:pt idx="36">
                  <c:v>14.260416666666668</c:v>
                </c:pt>
                <c:pt idx="37">
                  <c:v>15.041666666666663</c:v>
                </c:pt>
                <c:pt idx="38">
                  <c:v>15.84375</c:v>
                </c:pt>
                <c:pt idx="39">
                  <c:v>16.666666666666664</c:v>
                </c:pt>
                <c:pt idx="40">
                  <c:v>17.510416666666668</c:v>
                </c:pt>
                <c:pt idx="41">
                  <c:v>18.375000000000007</c:v>
                </c:pt>
                <c:pt idx="42">
                  <c:v>19.260416666666671</c:v>
                </c:pt>
                <c:pt idx="43">
                  <c:v>20.166666666666668</c:v>
                </c:pt>
                <c:pt idx="44">
                  <c:v>21.09375</c:v>
                </c:pt>
                <c:pt idx="45">
                  <c:v>22.041666666666661</c:v>
                </c:pt>
                <c:pt idx="46">
                  <c:v>23.010416666666671</c:v>
                </c:pt>
                <c:pt idx="47">
                  <c:v>23.999999999999996</c:v>
                </c:pt>
                <c:pt idx="48">
                  <c:v>25.010416666666668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8F44-9A31-CA61C7C4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deltaTau vs deltaT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Fastest at 48 kmh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velocityMap!$G$9:$G$60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738.65006218852841</c:v>
                </c:pt>
                <c:pt idx="5">
                  <c:v>694.45732342511224</c:v>
                </c:pt>
                <c:pt idx="6">
                  <c:v>657.06346754837546</c:v>
                </c:pt>
                <c:pt idx="7">
                  <c:v>625.01159108260106</c:v>
                </c:pt>
                <c:pt idx="8">
                  <c:v>597.23329814559645</c:v>
                </c:pt>
                <c:pt idx="9">
                  <c:v>572.92729182571748</c:v>
                </c:pt>
                <c:pt idx="10">
                  <c:v>551.48081566111841</c:v>
                </c:pt>
                <c:pt idx="11">
                  <c:v>532.41728129258604</c:v>
                </c:pt>
                <c:pt idx="12">
                  <c:v>515.36043475232009</c:v>
                </c:pt>
                <c:pt idx="13">
                  <c:v>500.00927286608078</c:v>
                </c:pt>
                <c:pt idx="14">
                  <c:v>486.12012639757847</c:v>
                </c:pt>
                <c:pt idx="15">
                  <c:v>473.49362960803097</c:v>
                </c:pt>
                <c:pt idx="16">
                  <c:v>461.96508906105288</c:v>
                </c:pt>
                <c:pt idx="17">
                  <c:v>451.39726022632289</c:v>
                </c:pt>
                <c:pt idx="18">
                  <c:v>441.67485769837134</c:v>
                </c:pt>
                <c:pt idx="19">
                  <c:v>432.7003322879545</c:v>
                </c:pt>
                <c:pt idx="20">
                  <c:v>424.39058653756854</c:v>
                </c:pt>
                <c:pt idx="21">
                  <c:v>416.6743940550673</c:v>
                </c:pt>
                <c:pt idx="22">
                  <c:v>409.49035277825584</c:v>
                </c:pt>
                <c:pt idx="23">
                  <c:v>402.78524758656505</c:v>
                </c:pt>
                <c:pt idx="24">
                  <c:v>396.51272982659628</c:v>
                </c:pt>
                <c:pt idx="25">
                  <c:v>390.63224442662556</c:v>
                </c:pt>
                <c:pt idx="26">
                  <c:v>385.10815208119851</c:v>
                </c:pt>
                <c:pt idx="27">
                  <c:v>379.90900634432597</c:v>
                </c:pt>
                <c:pt idx="28">
                  <c:v>375.00695464956056</c:v>
                </c:pt>
                <c:pt idx="29">
                  <c:v>370.37723916005973</c:v>
                </c:pt>
                <c:pt idx="30">
                  <c:v>365.99777856188337</c:v>
                </c:pt>
                <c:pt idx="31">
                  <c:v>361.84881588992681</c:v>
                </c:pt>
                <c:pt idx="32">
                  <c:v>357.91262053448088</c:v>
                </c:pt>
                <c:pt idx="33">
                  <c:v>354.17323494680716</c:v>
                </c:pt>
                <c:pt idx="34">
                  <c:v>350.61625841219075</c:v>
                </c:pt>
                <c:pt idx="35">
                  <c:v>347.22866171255606</c:v>
                </c:pt>
                <c:pt idx="36">
                  <c:v>343.99862765011369</c:v>
                </c:pt>
                <c:pt idx="37">
                  <c:v>340.91541331778234</c:v>
                </c:pt>
                <c:pt idx="38">
                  <c:v>337.96923073355453</c:v>
                </c:pt>
                <c:pt idx="39">
                  <c:v>335.15114304429324</c:v>
                </c:pt>
                <c:pt idx="40">
                  <c:v>332.45297398010683</c:v>
                </c:pt>
                <c:pt idx="41">
                  <c:v>329.86722862692829</c:v>
                </c:pt>
                <c:pt idx="42">
                  <c:v>327.38702390040999</c:v>
                </c:pt>
              </c:numCache>
            </c:numRef>
          </c:xVal>
          <c:yVal>
            <c:numRef>
              <c:f>velocityMap!$B$9:$B$60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8C-4A85-AFF6-2A10BB10DBD8}"/>
            </c:ext>
          </c:extLst>
        </c:ser>
        <c:ser>
          <c:idx val="4"/>
          <c:order val="1"/>
          <c:tx>
            <c:v>No change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'velocityMap (2)'!$B$9:$B$60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</c:numCache>
            </c:numRef>
          </c:xVal>
          <c:yVal>
            <c:numRef>
              <c:f>'velocityMap (2)'!$B$9:$B$60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8C-4A85-AFF6-2A10BB10DBD8}"/>
            </c:ext>
          </c:extLst>
        </c:ser>
        <c:ser>
          <c:idx val="0"/>
          <c:order val="2"/>
          <c:tx>
            <c:v>Fastest at 64kmh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'velocityMap (2)'!$G$9:$G$60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741.92359839322592</c:v>
                </c:pt>
                <c:pt idx="5">
                  <c:v>700.45880646705757</c:v>
                </c:pt>
                <c:pt idx="6">
                  <c:v>665.37321329876136</c:v>
                </c:pt>
                <c:pt idx="7">
                  <c:v>635.29984772593605</c:v>
                </c:pt>
                <c:pt idx="8">
                  <c:v>609.23626422948723</c:v>
                </c:pt>
                <c:pt idx="9">
                  <c:v>586.43062867009473</c:v>
                </c:pt>
                <c:pt idx="10">
                  <c:v>566.30800905886599</c:v>
                </c:pt>
                <c:pt idx="11">
                  <c:v>548.42123607110705</c:v>
                </c:pt>
                <c:pt idx="12">
                  <c:v>532.41728129258604</c:v>
                </c:pt>
                <c:pt idx="13">
                  <c:v>518.01372199191701</c:v>
                </c:pt>
                <c:pt idx="14">
                  <c:v>504.98193024369266</c:v>
                </c:pt>
                <c:pt idx="15">
                  <c:v>493.13484683621596</c:v>
                </c:pt>
                <c:pt idx="16">
                  <c:v>482.3179445946069</c:v>
                </c:pt>
                <c:pt idx="17">
                  <c:v>472.40245087313184</c:v>
                </c:pt>
                <c:pt idx="18">
                  <c:v>463.28019664937483</c:v>
                </c:pt>
                <c:pt idx="19">
                  <c:v>454.85965428898373</c:v>
                </c:pt>
                <c:pt idx="20">
                  <c:v>447.06285580714007</c:v>
                </c:pt>
                <c:pt idx="21">
                  <c:v>439.82297150257108</c:v>
                </c:pt>
                <c:pt idx="22">
                  <c:v>433.08238956383434</c:v>
                </c:pt>
                <c:pt idx="23">
                  <c:v>426.79117975434667</c:v>
                </c:pt>
                <c:pt idx="24">
                  <c:v>420.90585444869697</c:v>
                </c:pt>
                <c:pt idx="25">
                  <c:v>415.38836197465037</c:v>
                </c:pt>
                <c:pt idx="26">
                  <c:v>410.20526298387938</c:v>
                </c:pt>
                <c:pt idx="27">
                  <c:v>405.32705216903599</c:v>
                </c:pt>
                <c:pt idx="28">
                  <c:v>400.72759625789803</c:v>
                </c:pt>
                <c:pt idx="29">
                  <c:v>396.38366567515652</c:v>
                </c:pt>
                <c:pt idx="30">
                  <c:v>392.27454215094167</c:v>
                </c:pt>
                <c:pt idx="31">
                  <c:v>388.38168828589602</c:v>
                </c:pt>
                <c:pt idx="32">
                  <c:v>384.68846795239119</c:v>
                </c:pt>
                <c:pt idx="33">
                  <c:v>381.17990863556156</c:v>
                </c:pt>
                <c:pt idx="34">
                  <c:v>377.84249855369922</c:v>
                </c:pt>
                <c:pt idx="35">
                  <c:v>374.66401276144938</c:v>
                </c:pt>
                <c:pt idx="36">
                  <c:v>371.63336351767629</c:v>
                </c:pt>
                <c:pt idx="37">
                  <c:v>368.74047105771109</c:v>
                </c:pt>
                <c:pt idx="38">
                  <c:v>365.97615159596648</c:v>
                </c:pt>
                <c:pt idx="39">
                  <c:v>363.33201993690648</c:v>
                </c:pt>
                <c:pt idx="40">
                  <c:v>360.8004045186575</c:v>
                </c:pt>
                <c:pt idx="41">
                  <c:v>358.374273076169</c:v>
                </c:pt>
                <c:pt idx="42">
                  <c:v>356.04716740684319</c:v>
                </c:pt>
                <c:pt idx="43">
                  <c:v>353.81314596429041</c:v>
                </c:pt>
                <c:pt idx="44">
                  <c:v>351.66673320575939</c:v>
                </c:pt>
                <c:pt idx="45">
                  <c:v>349.60287478409492</c:v>
                </c:pt>
                <c:pt idx="46">
                  <c:v>347.6168978123045</c:v>
                </c:pt>
                <c:pt idx="47">
                  <c:v>345.70447554317309</c:v>
                </c:pt>
                <c:pt idx="48">
                  <c:v>343.86159590201004</c:v>
                </c:pt>
                <c:pt idx="49">
                  <c:v>342.08453339088862</c:v>
                </c:pt>
                <c:pt idx="50">
                  <c:v>340.36982395033272</c:v>
                </c:pt>
                <c:pt idx="51">
                  <c:v>338.71424242152023</c:v>
                </c:pt>
              </c:numCache>
            </c:numRef>
          </c:xVal>
          <c:yVal>
            <c:numRef>
              <c:f>'velocityMap (2)'!$B$9:$B$60</c:f>
              <c:numCache>
                <c:formatCode>0.0</c:formatCode>
                <c:ptCount val="52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C-4A85-AFF6-2A10BB10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35072"/>
        <c:axId val="1286235200"/>
      </c:scatterChart>
      <c:valAx>
        <c:axId val="12863350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crossBetween val="midCat"/>
      </c:val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Output velocity vs input - model 2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piecewise linear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'velocityMap (2)'!$A$3:$A$60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cat>
          <c:val>
            <c:numRef>
              <c:f>'velocityMap (2)'!$K$3:$K$60</c:f>
              <c:numCache>
                <c:formatCode>0.0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2.9999999999999996</c:v>
                </c:pt>
                <c:pt idx="3">
                  <c:v>4</c:v>
                </c:pt>
                <c:pt idx="4">
                  <c:v>5.0000000000000009</c:v>
                </c:pt>
                <c:pt idx="5">
                  <c:v>5.9999999999999991</c:v>
                </c:pt>
                <c:pt idx="6">
                  <c:v>6.9999999999999991</c:v>
                </c:pt>
                <c:pt idx="7">
                  <c:v>8</c:v>
                </c:pt>
                <c:pt idx="8">
                  <c:v>9.0000000000000018</c:v>
                </c:pt>
                <c:pt idx="9">
                  <c:v>10.000000000000002</c:v>
                </c:pt>
                <c:pt idx="10">
                  <c:v>10.670658682634732</c:v>
                </c:pt>
                <c:pt idx="11">
                  <c:v>11.302325581395349</c:v>
                </c:pt>
                <c:pt idx="12">
                  <c:v>11.898305084745763</c:v>
                </c:pt>
                <c:pt idx="13">
                  <c:v>12.46153846153846</c:v>
                </c:pt>
                <c:pt idx="14">
                  <c:v>12.994652406417114</c:v>
                </c:pt>
                <c:pt idx="15">
                  <c:v>13.500000000000002</c:v>
                </c:pt>
                <c:pt idx="16">
                  <c:v>13.979695431472081</c:v>
                </c:pt>
                <c:pt idx="17">
                  <c:v>14.435643564356438</c:v>
                </c:pt>
                <c:pt idx="18">
                  <c:v>14.869565217391305</c:v>
                </c:pt>
                <c:pt idx="19">
                  <c:v>15.283018867924529</c:v>
                </c:pt>
                <c:pt idx="20">
                  <c:v>15.67741935483871</c:v>
                </c:pt>
                <c:pt idx="21">
                  <c:v>16.054054054054056</c:v>
                </c:pt>
                <c:pt idx="22">
                  <c:v>16.41409691629956</c:v>
                </c:pt>
                <c:pt idx="23">
                  <c:v>16.758620689655174</c:v>
                </c:pt>
                <c:pt idx="24">
                  <c:v>17.088607594936708</c:v>
                </c:pt>
                <c:pt idx="25">
                  <c:v>17.404958677685951</c:v>
                </c:pt>
                <c:pt idx="26">
                  <c:v>17.708502024291498</c:v>
                </c:pt>
                <c:pt idx="27">
                  <c:v>17.999999999999996</c:v>
                </c:pt>
                <c:pt idx="28">
                  <c:v>18.280155642023345</c:v>
                </c:pt>
                <c:pt idx="29">
                  <c:v>18.549618320610691</c:v>
                </c:pt>
                <c:pt idx="30">
                  <c:v>18.808988764044948</c:v>
                </c:pt>
                <c:pt idx="31">
                  <c:v>19.058823529411768</c:v>
                </c:pt>
                <c:pt idx="32">
                  <c:v>19.299638989169676</c:v>
                </c:pt>
                <c:pt idx="33">
                  <c:v>19.531914893617024</c:v>
                </c:pt>
                <c:pt idx="34">
                  <c:v>19.756097560975611</c:v>
                </c:pt>
                <c:pt idx="35">
                  <c:v>19.972602739726032</c:v>
                </c:pt>
                <c:pt idx="36">
                  <c:v>20.181818181818183</c:v>
                </c:pt>
                <c:pt idx="37">
                  <c:v>20.384105960264904</c:v>
                </c:pt>
                <c:pt idx="38">
                  <c:v>20.579804560260587</c:v>
                </c:pt>
                <c:pt idx="39">
                  <c:v>20.76923076923077</c:v>
                </c:pt>
                <c:pt idx="40">
                  <c:v>20.952681388012621</c:v>
                </c:pt>
                <c:pt idx="41">
                  <c:v>21.130434782608699</c:v>
                </c:pt>
                <c:pt idx="42">
                  <c:v>21.302752293577985</c:v>
                </c:pt>
                <c:pt idx="43">
                  <c:v>21.46987951807229</c:v>
                </c:pt>
                <c:pt idx="44">
                  <c:v>21.632047477744813</c:v>
                </c:pt>
                <c:pt idx="45">
                  <c:v>21.789473684210531</c:v>
                </c:pt>
                <c:pt idx="46">
                  <c:v>21.942363112391934</c:v>
                </c:pt>
                <c:pt idx="47">
                  <c:v>22.09090909090909</c:v>
                </c:pt>
                <c:pt idx="48">
                  <c:v>22.235294117647062</c:v>
                </c:pt>
                <c:pt idx="49">
                  <c:v>22.375690607734807</c:v>
                </c:pt>
                <c:pt idx="50">
                  <c:v>22.512261580381473</c:v>
                </c:pt>
                <c:pt idx="51">
                  <c:v>22.64516129032258</c:v>
                </c:pt>
                <c:pt idx="52">
                  <c:v>22.774535809018573</c:v>
                </c:pt>
                <c:pt idx="53">
                  <c:v>22.900523560209425</c:v>
                </c:pt>
                <c:pt idx="54">
                  <c:v>23.02325581395349</c:v>
                </c:pt>
                <c:pt idx="55">
                  <c:v>23.142857142857142</c:v>
                </c:pt>
                <c:pt idx="56">
                  <c:v>23.259445843828718</c:v>
                </c:pt>
                <c:pt idx="57">
                  <c:v>23.373134328358212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2-4B4E-A93C-BA770A4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velocity vs input</a:t>
            </a:r>
            <a:r>
              <a:rPr lang="en-GB" sz="1400" b="0" i="0" u="none" strike="noStrike" baseline="0">
                <a:effectLst/>
              </a:rPr>
              <a:t> - model 1</a:t>
            </a:r>
            <a:br>
              <a:rPr lang="en-GB" sz="1400" b="0" i="0" u="none" strike="noStrike" baseline="0">
                <a:effectLst/>
              </a:rPr>
            </a:br>
            <a:r>
              <a:rPr lang="en-GB" sz="1400" b="0" i="0" u="none" strike="noStrike" baseline="0">
                <a:effectLst/>
              </a:rPr>
              <a:t>quadratic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'velocityMap (2)'!$I$3:$I$51</c:f>
              <c:numCache>
                <c:formatCode>0.0</c:formatCode>
                <c:ptCount val="49"/>
                <c:pt idx="0">
                  <c:v>1.0416666666666666E-2</c:v>
                </c:pt>
                <c:pt idx="1">
                  <c:v>4.1666666666666664E-2</c:v>
                </c:pt>
                <c:pt idx="2">
                  <c:v>9.3749999999999986E-2</c:v>
                </c:pt>
                <c:pt idx="3">
                  <c:v>0.16666666666666666</c:v>
                </c:pt>
                <c:pt idx="4">
                  <c:v>0.26041666666666663</c:v>
                </c:pt>
                <c:pt idx="5">
                  <c:v>0.37499999999999994</c:v>
                </c:pt>
                <c:pt idx="6">
                  <c:v>0.51041666666666641</c:v>
                </c:pt>
                <c:pt idx="7">
                  <c:v>0.66666666666666663</c:v>
                </c:pt>
                <c:pt idx="8">
                  <c:v>0.84375000000000011</c:v>
                </c:pt>
                <c:pt idx="9">
                  <c:v>1.0416666666666665</c:v>
                </c:pt>
                <c:pt idx="10">
                  <c:v>1.2604166666666667</c:v>
                </c:pt>
                <c:pt idx="11">
                  <c:v>1.4999999999999998</c:v>
                </c:pt>
                <c:pt idx="12">
                  <c:v>1.7604166666666665</c:v>
                </c:pt>
                <c:pt idx="13">
                  <c:v>2.0416666666666656</c:v>
                </c:pt>
                <c:pt idx="14">
                  <c:v>2.34375</c:v>
                </c:pt>
                <c:pt idx="15">
                  <c:v>2.6666666666666665</c:v>
                </c:pt>
                <c:pt idx="16">
                  <c:v>3.010416666666667</c:v>
                </c:pt>
                <c:pt idx="17">
                  <c:v>3.3750000000000004</c:v>
                </c:pt>
                <c:pt idx="18">
                  <c:v>3.7604166666666656</c:v>
                </c:pt>
                <c:pt idx="19">
                  <c:v>4.1666666666666661</c:v>
                </c:pt>
                <c:pt idx="20">
                  <c:v>4.5937500000000018</c:v>
                </c:pt>
                <c:pt idx="21">
                  <c:v>5.041666666666667</c:v>
                </c:pt>
                <c:pt idx="22">
                  <c:v>5.5104166666666652</c:v>
                </c:pt>
                <c:pt idx="23">
                  <c:v>5.9999999999999991</c:v>
                </c:pt>
                <c:pt idx="24">
                  <c:v>6.5104166666666652</c:v>
                </c:pt>
                <c:pt idx="25">
                  <c:v>7.0416666666666661</c:v>
                </c:pt>
                <c:pt idx="26">
                  <c:v>7.59375</c:v>
                </c:pt>
                <c:pt idx="27">
                  <c:v>8.1666666666666625</c:v>
                </c:pt>
                <c:pt idx="28">
                  <c:v>8.7604166666666661</c:v>
                </c:pt>
                <c:pt idx="29">
                  <c:v>9.375</c:v>
                </c:pt>
                <c:pt idx="30">
                  <c:v>10.010416666666668</c:v>
                </c:pt>
                <c:pt idx="31">
                  <c:v>10.666666666666666</c:v>
                </c:pt>
                <c:pt idx="32">
                  <c:v>11.34375</c:v>
                </c:pt>
                <c:pt idx="33">
                  <c:v>12.041666666666668</c:v>
                </c:pt>
                <c:pt idx="34">
                  <c:v>12.760416666666668</c:v>
                </c:pt>
                <c:pt idx="35">
                  <c:v>13.500000000000002</c:v>
                </c:pt>
                <c:pt idx="36">
                  <c:v>14.260416666666668</c:v>
                </c:pt>
                <c:pt idx="37">
                  <c:v>15.041666666666663</c:v>
                </c:pt>
                <c:pt idx="38">
                  <c:v>15.84375</c:v>
                </c:pt>
                <c:pt idx="39">
                  <c:v>16.666666666666664</c:v>
                </c:pt>
                <c:pt idx="40">
                  <c:v>17.510416666666668</c:v>
                </c:pt>
                <c:pt idx="41">
                  <c:v>18.375000000000007</c:v>
                </c:pt>
                <c:pt idx="42">
                  <c:v>19.260416666666671</c:v>
                </c:pt>
                <c:pt idx="43">
                  <c:v>20.166666666666668</c:v>
                </c:pt>
                <c:pt idx="44">
                  <c:v>21.09375</c:v>
                </c:pt>
                <c:pt idx="45">
                  <c:v>22.041666666666661</c:v>
                </c:pt>
                <c:pt idx="46">
                  <c:v>23.010416666666671</c:v>
                </c:pt>
                <c:pt idx="47">
                  <c:v>23.999999999999996</c:v>
                </c:pt>
                <c:pt idx="48">
                  <c:v>25.010416666666668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E-4DAE-9154-3C1D5464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35072"/>
        <c:axId val="1286235200"/>
      </c:lineChart>
      <c:catAx>
        <c:axId val="128633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auto val="1"/>
        <c:lblAlgn val="ctr"/>
        <c:lblOffset val="100"/>
        <c:noMultiLvlLbl val="0"/>
      </c:cat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tout vs 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'velocityMap (2)'!$B$12:$B$83</c:f>
              <c:numCache>
                <c:formatCode>0.0</c:formatCode>
                <c:ptCount val="72"/>
                <c:pt idx="0">
                  <c:v>791.68134870462791</c:v>
                </c:pt>
                <c:pt idx="1">
                  <c:v>719.71031700420713</c:v>
                </c:pt>
                <c:pt idx="2">
                  <c:v>659.73445725385659</c:v>
                </c:pt>
                <c:pt idx="3">
                  <c:v>608.9856528497138</c:v>
                </c:pt>
                <c:pt idx="4">
                  <c:v>565.48667764616289</c:v>
                </c:pt>
                <c:pt idx="5">
                  <c:v>527.78756580308527</c:v>
                </c:pt>
                <c:pt idx="6">
                  <c:v>494.80084294039244</c:v>
                </c:pt>
                <c:pt idx="7">
                  <c:v>465.69491100272222</c:v>
                </c:pt>
                <c:pt idx="8">
                  <c:v>439.82297150257102</c:v>
                </c:pt>
                <c:pt idx="9">
                  <c:v>416.67439405506735</c:v>
                </c:pt>
                <c:pt idx="10">
                  <c:v>395.84067435231395</c:v>
                </c:pt>
                <c:pt idx="11">
                  <c:v>376.99111843077515</c:v>
                </c:pt>
                <c:pt idx="12">
                  <c:v>359.85515850210356</c:v>
                </c:pt>
                <c:pt idx="13">
                  <c:v>344.2092820454904</c:v>
                </c:pt>
                <c:pt idx="14">
                  <c:v>329.86722862692829</c:v>
                </c:pt>
                <c:pt idx="15">
                  <c:v>316.67253948185117</c:v>
                </c:pt>
                <c:pt idx="16">
                  <c:v>304.4928264248569</c:v>
                </c:pt>
                <c:pt idx="17">
                  <c:v>293.21531433504737</c:v>
                </c:pt>
                <c:pt idx="18">
                  <c:v>282.74333882308144</c:v>
                </c:pt>
                <c:pt idx="19">
                  <c:v>272.99356851883721</c:v>
                </c:pt>
                <c:pt idx="20">
                  <c:v>263.89378290154264</c:v>
                </c:pt>
                <c:pt idx="21">
                  <c:v>255.38108022729932</c:v>
                </c:pt>
                <c:pt idx="22">
                  <c:v>247.40042147019622</c:v>
                </c:pt>
                <c:pt idx="23">
                  <c:v>239.9034390014024</c:v>
                </c:pt>
                <c:pt idx="24">
                  <c:v>232.84745550136111</c:v>
                </c:pt>
                <c:pt idx="25">
                  <c:v>226.1946710584651</c:v>
                </c:pt>
                <c:pt idx="26">
                  <c:v>219.91148575128551</c:v>
                </c:pt>
                <c:pt idx="27">
                  <c:v>213.96793208233186</c:v>
                </c:pt>
                <c:pt idx="28">
                  <c:v>208.33719702753368</c:v>
                </c:pt>
                <c:pt idx="29">
                  <c:v>202.99521761657124</c:v>
                </c:pt>
                <c:pt idx="30">
                  <c:v>197.92033717615698</c:v>
                </c:pt>
                <c:pt idx="31">
                  <c:v>193.09301187917754</c:v>
                </c:pt>
                <c:pt idx="32">
                  <c:v>188.49555921538757</c:v>
                </c:pt>
                <c:pt idx="33">
                  <c:v>184.11194155921578</c:v>
                </c:pt>
                <c:pt idx="34">
                  <c:v>179.92757925105178</c:v>
                </c:pt>
                <c:pt idx="35">
                  <c:v>175.92918860102841</c:v>
                </c:pt>
                <c:pt idx="36">
                  <c:v>172.1046410227452</c:v>
                </c:pt>
                <c:pt idx="37">
                  <c:v>168.44284014992081</c:v>
                </c:pt>
                <c:pt idx="38">
                  <c:v>164.93361431346415</c:v>
                </c:pt>
                <c:pt idx="39">
                  <c:v>161.56762218461793</c:v>
                </c:pt>
                <c:pt idx="40">
                  <c:v>158.33626974092559</c:v>
                </c:pt>
                <c:pt idx="41">
                  <c:v>155.23163700090743</c:v>
                </c:pt>
                <c:pt idx="42">
                  <c:v>152.24641321242845</c:v>
                </c:pt>
                <c:pt idx="43">
                  <c:v>149.37383937823168</c:v>
                </c:pt>
                <c:pt idx="44">
                  <c:v>146.60765716752368</c:v>
                </c:pt>
                <c:pt idx="45">
                  <c:v>143.94206340084145</c:v>
                </c:pt>
                <c:pt idx="46">
                  <c:v>141.37166941154072</c:v>
                </c:pt>
                <c:pt idx="47">
                  <c:v>138.89146468502244</c:v>
                </c:pt>
                <c:pt idx="48">
                  <c:v>136.4967842594186</c:v>
                </c:pt>
                <c:pt idx="49">
                  <c:v>134.18327944146236</c:v>
                </c:pt>
                <c:pt idx="50">
                  <c:v>131.94689145077132</c:v>
                </c:pt>
                <c:pt idx="51">
                  <c:v>129.78382765649636</c:v>
                </c:pt>
                <c:pt idx="52">
                  <c:v>127.69054011364966</c:v>
                </c:pt>
                <c:pt idx="53">
                  <c:v>125.66370614359172</c:v>
                </c:pt>
                <c:pt idx="54">
                  <c:v>123.70021073509811</c:v>
                </c:pt>
                <c:pt idx="55">
                  <c:v>121.79713056994277</c:v>
                </c:pt>
                <c:pt idx="56">
                  <c:v>119.9517195007012</c:v>
                </c:pt>
                <c:pt idx="57">
                  <c:v>118.16139532904893</c:v>
                </c:pt>
                <c:pt idx="58">
                  <c:v>116.42372775068056</c:v>
                </c:pt>
                <c:pt idx="59">
                  <c:v>114.7364273484968</c:v>
                </c:pt>
                <c:pt idx="60">
                  <c:v>113.09733552923255</c:v>
                </c:pt>
                <c:pt idx="61">
                  <c:v>111.50441531051096</c:v>
                </c:pt>
                <c:pt idx="62">
                  <c:v>109.95574287564276</c:v>
                </c:pt>
                <c:pt idx="63">
                  <c:v>108.44949982255176</c:v>
                </c:pt>
                <c:pt idx="64">
                  <c:v>106.98396604116593</c:v>
                </c:pt>
                <c:pt idx="65">
                  <c:v>105.55751316061705</c:v>
                </c:pt>
                <c:pt idx="66">
                  <c:v>104.16859851376684</c:v>
                </c:pt>
                <c:pt idx="67">
                  <c:v>102.81575957202959</c:v>
                </c:pt>
                <c:pt idx="68">
                  <c:v>101.49760880828562</c:v>
                </c:pt>
                <c:pt idx="69">
                  <c:v>100.21282894995289</c:v>
                </c:pt>
                <c:pt idx="70">
                  <c:v>98.960168588078488</c:v>
                </c:pt>
                <c:pt idx="71">
                  <c:v>7.9168134870462783</c:v>
                </c:pt>
              </c:numCache>
            </c:numRef>
          </c:xVal>
          <c:yVal>
            <c:numRef>
              <c:f>'velocityMap (2)'!$B$12:$B$83</c:f>
              <c:numCache>
                <c:formatCode>0.0</c:formatCode>
                <c:ptCount val="72"/>
                <c:pt idx="0">
                  <c:v>791.68134870462791</c:v>
                </c:pt>
                <c:pt idx="1">
                  <c:v>719.71031700420713</c:v>
                </c:pt>
                <c:pt idx="2">
                  <c:v>659.73445725385659</c:v>
                </c:pt>
                <c:pt idx="3">
                  <c:v>608.9856528497138</c:v>
                </c:pt>
                <c:pt idx="4">
                  <c:v>565.48667764616289</c:v>
                </c:pt>
                <c:pt idx="5">
                  <c:v>527.78756580308527</c:v>
                </c:pt>
                <c:pt idx="6">
                  <c:v>494.80084294039244</c:v>
                </c:pt>
                <c:pt idx="7">
                  <c:v>465.69491100272222</c:v>
                </c:pt>
                <c:pt idx="8">
                  <c:v>439.82297150257102</c:v>
                </c:pt>
                <c:pt idx="9">
                  <c:v>416.67439405506735</c:v>
                </c:pt>
                <c:pt idx="10">
                  <c:v>395.84067435231395</c:v>
                </c:pt>
                <c:pt idx="11">
                  <c:v>376.99111843077515</c:v>
                </c:pt>
                <c:pt idx="12">
                  <c:v>359.85515850210356</c:v>
                </c:pt>
                <c:pt idx="13">
                  <c:v>344.2092820454904</c:v>
                </c:pt>
                <c:pt idx="14">
                  <c:v>329.86722862692829</c:v>
                </c:pt>
                <c:pt idx="15">
                  <c:v>316.67253948185117</c:v>
                </c:pt>
                <c:pt idx="16">
                  <c:v>304.4928264248569</c:v>
                </c:pt>
                <c:pt idx="17">
                  <c:v>293.21531433504737</c:v>
                </c:pt>
                <c:pt idx="18">
                  <c:v>282.74333882308144</c:v>
                </c:pt>
                <c:pt idx="19">
                  <c:v>272.99356851883721</c:v>
                </c:pt>
                <c:pt idx="20">
                  <c:v>263.89378290154264</c:v>
                </c:pt>
                <c:pt idx="21">
                  <c:v>255.38108022729932</c:v>
                </c:pt>
                <c:pt idx="22">
                  <c:v>247.40042147019622</c:v>
                </c:pt>
                <c:pt idx="23">
                  <c:v>239.9034390014024</c:v>
                </c:pt>
                <c:pt idx="24">
                  <c:v>232.84745550136111</c:v>
                </c:pt>
                <c:pt idx="25">
                  <c:v>226.1946710584651</c:v>
                </c:pt>
                <c:pt idx="26">
                  <c:v>219.91148575128551</c:v>
                </c:pt>
                <c:pt idx="27">
                  <c:v>213.96793208233186</c:v>
                </c:pt>
                <c:pt idx="28">
                  <c:v>208.33719702753368</c:v>
                </c:pt>
                <c:pt idx="29">
                  <c:v>202.99521761657124</c:v>
                </c:pt>
                <c:pt idx="30">
                  <c:v>197.92033717615698</c:v>
                </c:pt>
                <c:pt idx="31">
                  <c:v>193.09301187917754</c:v>
                </c:pt>
                <c:pt idx="32">
                  <c:v>188.49555921538757</c:v>
                </c:pt>
                <c:pt idx="33">
                  <c:v>184.11194155921578</c:v>
                </c:pt>
                <c:pt idx="34">
                  <c:v>179.92757925105178</c:v>
                </c:pt>
                <c:pt idx="35">
                  <c:v>175.92918860102841</c:v>
                </c:pt>
                <c:pt idx="36">
                  <c:v>172.1046410227452</c:v>
                </c:pt>
                <c:pt idx="37">
                  <c:v>168.44284014992081</c:v>
                </c:pt>
                <c:pt idx="38">
                  <c:v>164.93361431346415</c:v>
                </c:pt>
                <c:pt idx="39">
                  <c:v>161.56762218461793</c:v>
                </c:pt>
                <c:pt idx="40">
                  <c:v>158.33626974092559</c:v>
                </c:pt>
                <c:pt idx="41">
                  <c:v>155.23163700090743</c:v>
                </c:pt>
                <c:pt idx="42">
                  <c:v>152.24641321242845</c:v>
                </c:pt>
                <c:pt idx="43">
                  <c:v>149.37383937823168</c:v>
                </c:pt>
                <c:pt idx="44">
                  <c:v>146.60765716752368</c:v>
                </c:pt>
                <c:pt idx="45">
                  <c:v>143.94206340084145</c:v>
                </c:pt>
                <c:pt idx="46">
                  <c:v>141.37166941154072</c:v>
                </c:pt>
                <c:pt idx="47">
                  <c:v>138.89146468502244</c:v>
                </c:pt>
                <c:pt idx="48">
                  <c:v>136.4967842594186</c:v>
                </c:pt>
                <c:pt idx="49">
                  <c:v>134.18327944146236</c:v>
                </c:pt>
                <c:pt idx="50">
                  <c:v>131.94689145077132</c:v>
                </c:pt>
                <c:pt idx="51">
                  <c:v>129.78382765649636</c:v>
                </c:pt>
                <c:pt idx="52">
                  <c:v>127.69054011364966</c:v>
                </c:pt>
                <c:pt idx="53">
                  <c:v>125.66370614359172</c:v>
                </c:pt>
                <c:pt idx="54">
                  <c:v>123.70021073509811</c:v>
                </c:pt>
                <c:pt idx="55">
                  <c:v>121.79713056994277</c:v>
                </c:pt>
                <c:pt idx="56">
                  <c:v>119.9517195007012</c:v>
                </c:pt>
                <c:pt idx="57">
                  <c:v>118.16139532904893</c:v>
                </c:pt>
                <c:pt idx="58">
                  <c:v>116.42372775068056</c:v>
                </c:pt>
                <c:pt idx="59">
                  <c:v>114.7364273484968</c:v>
                </c:pt>
                <c:pt idx="60">
                  <c:v>113.09733552923255</c:v>
                </c:pt>
                <c:pt idx="61">
                  <c:v>111.50441531051096</c:v>
                </c:pt>
                <c:pt idx="62">
                  <c:v>109.95574287564276</c:v>
                </c:pt>
                <c:pt idx="63">
                  <c:v>108.44949982255176</c:v>
                </c:pt>
                <c:pt idx="64">
                  <c:v>106.98396604116593</c:v>
                </c:pt>
                <c:pt idx="65">
                  <c:v>105.55751316061705</c:v>
                </c:pt>
                <c:pt idx="66">
                  <c:v>104.16859851376684</c:v>
                </c:pt>
                <c:pt idx="67">
                  <c:v>102.81575957202959</c:v>
                </c:pt>
                <c:pt idx="68">
                  <c:v>101.49760880828562</c:v>
                </c:pt>
                <c:pt idx="69">
                  <c:v>100.21282894995289</c:v>
                </c:pt>
                <c:pt idx="70">
                  <c:v>98.960168588078488</c:v>
                </c:pt>
                <c:pt idx="71">
                  <c:v>7.9168134870462783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F-4E89-9A13-E48C3C05B357}"/>
            </c:ext>
          </c:extLst>
        </c:ser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'velocityMap (2)'!$B$9:$B$83</c:f>
              <c:numCache>
                <c:formatCode>0.0</c:formatCode>
                <c:ptCount val="75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719.71031700420713</c:v>
                </c:pt>
                <c:pt idx="5">
                  <c:v>659.73445725385659</c:v>
                </c:pt>
                <c:pt idx="6">
                  <c:v>608.9856528497138</c:v>
                </c:pt>
                <c:pt idx="7">
                  <c:v>565.48667764616289</c:v>
                </c:pt>
                <c:pt idx="8">
                  <c:v>527.78756580308527</c:v>
                </c:pt>
                <c:pt idx="9">
                  <c:v>494.80084294039244</c:v>
                </c:pt>
                <c:pt idx="10">
                  <c:v>465.69491100272222</c:v>
                </c:pt>
                <c:pt idx="11">
                  <c:v>439.82297150257102</c:v>
                </c:pt>
                <c:pt idx="12">
                  <c:v>416.67439405506735</c:v>
                </c:pt>
                <c:pt idx="13">
                  <c:v>395.84067435231395</c:v>
                </c:pt>
                <c:pt idx="14">
                  <c:v>376.99111843077515</c:v>
                </c:pt>
                <c:pt idx="15">
                  <c:v>359.85515850210356</c:v>
                </c:pt>
                <c:pt idx="16">
                  <c:v>344.2092820454904</c:v>
                </c:pt>
                <c:pt idx="17">
                  <c:v>329.86722862692829</c:v>
                </c:pt>
                <c:pt idx="18">
                  <c:v>316.67253948185117</c:v>
                </c:pt>
                <c:pt idx="19">
                  <c:v>304.4928264248569</c:v>
                </c:pt>
                <c:pt idx="20">
                  <c:v>293.21531433504737</c:v>
                </c:pt>
                <c:pt idx="21">
                  <c:v>282.74333882308144</c:v>
                </c:pt>
                <c:pt idx="22">
                  <c:v>272.99356851883721</c:v>
                </c:pt>
                <c:pt idx="23">
                  <c:v>263.89378290154264</c:v>
                </c:pt>
                <c:pt idx="24">
                  <c:v>255.38108022729932</c:v>
                </c:pt>
                <c:pt idx="25">
                  <c:v>247.40042147019622</c:v>
                </c:pt>
                <c:pt idx="26">
                  <c:v>239.9034390014024</c:v>
                </c:pt>
                <c:pt idx="27">
                  <c:v>232.84745550136111</c:v>
                </c:pt>
                <c:pt idx="28">
                  <c:v>226.1946710584651</c:v>
                </c:pt>
                <c:pt idx="29">
                  <c:v>219.91148575128551</c:v>
                </c:pt>
                <c:pt idx="30">
                  <c:v>213.96793208233186</c:v>
                </c:pt>
                <c:pt idx="31">
                  <c:v>208.33719702753368</c:v>
                </c:pt>
                <c:pt idx="32">
                  <c:v>202.99521761657124</c:v>
                </c:pt>
                <c:pt idx="33">
                  <c:v>197.92033717615698</c:v>
                </c:pt>
                <c:pt idx="34">
                  <c:v>193.09301187917754</c:v>
                </c:pt>
                <c:pt idx="35">
                  <c:v>188.49555921538757</c:v>
                </c:pt>
                <c:pt idx="36">
                  <c:v>184.11194155921578</c:v>
                </c:pt>
                <c:pt idx="37">
                  <c:v>179.92757925105178</c:v>
                </c:pt>
                <c:pt idx="38">
                  <c:v>175.92918860102841</c:v>
                </c:pt>
                <c:pt idx="39">
                  <c:v>172.1046410227452</c:v>
                </c:pt>
                <c:pt idx="40">
                  <c:v>168.44284014992081</c:v>
                </c:pt>
                <c:pt idx="41">
                  <c:v>164.93361431346415</c:v>
                </c:pt>
                <c:pt idx="42">
                  <c:v>161.56762218461793</c:v>
                </c:pt>
                <c:pt idx="43">
                  <c:v>158.33626974092559</c:v>
                </c:pt>
                <c:pt idx="44">
                  <c:v>155.23163700090743</c:v>
                </c:pt>
                <c:pt idx="45">
                  <c:v>152.24641321242845</c:v>
                </c:pt>
                <c:pt idx="46">
                  <c:v>149.37383937823168</c:v>
                </c:pt>
                <c:pt idx="47">
                  <c:v>146.60765716752368</c:v>
                </c:pt>
                <c:pt idx="48">
                  <c:v>143.94206340084145</c:v>
                </c:pt>
                <c:pt idx="49">
                  <c:v>141.37166941154072</c:v>
                </c:pt>
                <c:pt idx="50">
                  <c:v>138.89146468502244</c:v>
                </c:pt>
                <c:pt idx="51">
                  <c:v>136.4967842594186</c:v>
                </c:pt>
                <c:pt idx="52">
                  <c:v>134.18327944146236</c:v>
                </c:pt>
                <c:pt idx="53">
                  <c:v>131.94689145077132</c:v>
                </c:pt>
                <c:pt idx="54">
                  <c:v>129.78382765649636</c:v>
                </c:pt>
                <c:pt idx="55">
                  <c:v>127.69054011364966</c:v>
                </c:pt>
                <c:pt idx="56">
                  <c:v>125.66370614359172</c:v>
                </c:pt>
                <c:pt idx="57">
                  <c:v>123.70021073509811</c:v>
                </c:pt>
                <c:pt idx="58">
                  <c:v>121.79713056994277</c:v>
                </c:pt>
                <c:pt idx="59">
                  <c:v>119.9517195007012</c:v>
                </c:pt>
                <c:pt idx="60">
                  <c:v>118.16139532904893</c:v>
                </c:pt>
                <c:pt idx="61">
                  <c:v>116.42372775068056</c:v>
                </c:pt>
                <c:pt idx="62">
                  <c:v>114.7364273484968</c:v>
                </c:pt>
                <c:pt idx="63">
                  <c:v>113.09733552923255</c:v>
                </c:pt>
                <c:pt idx="64">
                  <c:v>111.50441531051096</c:v>
                </c:pt>
                <c:pt idx="65">
                  <c:v>109.95574287564276</c:v>
                </c:pt>
                <c:pt idx="66">
                  <c:v>108.44949982255176</c:v>
                </c:pt>
                <c:pt idx="67">
                  <c:v>106.98396604116593</c:v>
                </c:pt>
                <c:pt idx="68">
                  <c:v>105.55751316061705</c:v>
                </c:pt>
                <c:pt idx="69">
                  <c:v>104.16859851376684</c:v>
                </c:pt>
                <c:pt idx="70">
                  <c:v>102.81575957202959</c:v>
                </c:pt>
                <c:pt idx="71">
                  <c:v>101.49760880828562</c:v>
                </c:pt>
                <c:pt idx="72">
                  <c:v>100.21282894995289</c:v>
                </c:pt>
                <c:pt idx="73">
                  <c:v>98.960168588078488</c:v>
                </c:pt>
                <c:pt idx="74">
                  <c:v>7.9168134870462783</c:v>
                </c:pt>
              </c:numCache>
            </c:numRef>
          </c:xVal>
          <c:yVal>
            <c:numRef>
              <c:f>'velocityMap (2)'!$G$9:$G$83</c:f>
              <c:numCache>
                <c:formatCode>0.0</c:formatCode>
                <c:ptCount val="75"/>
                <c:pt idx="0">
                  <c:v>1130.9733552923258</c:v>
                </c:pt>
                <c:pt idx="1">
                  <c:v>989.60168588078488</c:v>
                </c:pt>
                <c:pt idx="2">
                  <c:v>879.64594300514204</c:v>
                </c:pt>
                <c:pt idx="3">
                  <c:v>791.68134870462791</c:v>
                </c:pt>
                <c:pt idx="4">
                  <c:v>741.92359839322592</c:v>
                </c:pt>
                <c:pt idx="5">
                  <c:v>700.45880646705757</c:v>
                </c:pt>
                <c:pt idx="6">
                  <c:v>665.37321329876136</c:v>
                </c:pt>
                <c:pt idx="7">
                  <c:v>635.29984772593605</c:v>
                </c:pt>
                <c:pt idx="8">
                  <c:v>609.23626422948723</c:v>
                </c:pt>
                <c:pt idx="9">
                  <c:v>586.43062867009473</c:v>
                </c:pt>
                <c:pt idx="10">
                  <c:v>566.30800905886599</c:v>
                </c:pt>
                <c:pt idx="11">
                  <c:v>548.42123607110705</c:v>
                </c:pt>
                <c:pt idx="12">
                  <c:v>532.41728129258604</c:v>
                </c:pt>
                <c:pt idx="13">
                  <c:v>518.01372199191701</c:v>
                </c:pt>
                <c:pt idx="14">
                  <c:v>504.98193024369266</c:v>
                </c:pt>
                <c:pt idx="15">
                  <c:v>493.13484683621596</c:v>
                </c:pt>
                <c:pt idx="16">
                  <c:v>482.3179445946069</c:v>
                </c:pt>
                <c:pt idx="17">
                  <c:v>472.40245087313184</c:v>
                </c:pt>
                <c:pt idx="18">
                  <c:v>463.28019664937483</c:v>
                </c:pt>
                <c:pt idx="19">
                  <c:v>454.85965428898373</c:v>
                </c:pt>
                <c:pt idx="20">
                  <c:v>447.06285580714007</c:v>
                </c:pt>
                <c:pt idx="21">
                  <c:v>439.82297150257108</c:v>
                </c:pt>
                <c:pt idx="22">
                  <c:v>433.08238956383434</c:v>
                </c:pt>
                <c:pt idx="23">
                  <c:v>426.79117975434667</c:v>
                </c:pt>
                <c:pt idx="24">
                  <c:v>420.90585444869697</c:v>
                </c:pt>
                <c:pt idx="25">
                  <c:v>415.38836197465037</c:v>
                </c:pt>
                <c:pt idx="26">
                  <c:v>410.20526298387938</c:v>
                </c:pt>
                <c:pt idx="27">
                  <c:v>405.32705216903599</c:v>
                </c:pt>
                <c:pt idx="28">
                  <c:v>400.72759625789803</c:v>
                </c:pt>
                <c:pt idx="29">
                  <c:v>396.38366567515652</c:v>
                </c:pt>
                <c:pt idx="30">
                  <c:v>392.27454215094167</c:v>
                </c:pt>
                <c:pt idx="31">
                  <c:v>388.38168828589602</c:v>
                </c:pt>
                <c:pt idx="32">
                  <c:v>384.68846795239119</c:v>
                </c:pt>
                <c:pt idx="33">
                  <c:v>381.17990863556156</c:v>
                </c:pt>
                <c:pt idx="34">
                  <c:v>377.84249855369922</c:v>
                </c:pt>
                <c:pt idx="35">
                  <c:v>374.66401276144938</c:v>
                </c:pt>
                <c:pt idx="36">
                  <c:v>371.63336351767629</c:v>
                </c:pt>
                <c:pt idx="37">
                  <c:v>368.74047105771109</c:v>
                </c:pt>
                <c:pt idx="38">
                  <c:v>365.97615159596648</c:v>
                </c:pt>
                <c:pt idx="39">
                  <c:v>363.33201993690648</c:v>
                </c:pt>
                <c:pt idx="40">
                  <c:v>360.8004045186575</c:v>
                </c:pt>
                <c:pt idx="41">
                  <c:v>358.374273076169</c:v>
                </c:pt>
                <c:pt idx="42">
                  <c:v>356.04716740684319</c:v>
                </c:pt>
                <c:pt idx="43">
                  <c:v>353.81314596429041</c:v>
                </c:pt>
                <c:pt idx="44">
                  <c:v>351.66673320575939</c:v>
                </c:pt>
                <c:pt idx="45">
                  <c:v>349.60287478409492</c:v>
                </c:pt>
                <c:pt idx="46">
                  <c:v>347.6168978123045</c:v>
                </c:pt>
                <c:pt idx="47">
                  <c:v>345.70447554317309</c:v>
                </c:pt>
                <c:pt idx="48">
                  <c:v>343.86159590201004</c:v>
                </c:pt>
                <c:pt idx="49">
                  <c:v>342.08453339088862</c:v>
                </c:pt>
                <c:pt idx="50">
                  <c:v>340.36982395033272</c:v>
                </c:pt>
                <c:pt idx="51">
                  <c:v>338.71424242152023</c:v>
                </c:pt>
                <c:pt idx="52">
                  <c:v>337.11478230046401</c:v>
                </c:pt>
                <c:pt idx="53">
                  <c:v>335.56863751677639</c:v>
                </c:pt>
                <c:pt idx="54">
                  <c:v>334.07318600468506</c:v>
                </c:pt>
                <c:pt idx="55">
                  <c:v>332.62597486395151</c:v>
                </c:pt>
                <c:pt idx="56">
                  <c:v>331.22470693403494</c:v>
                </c:pt>
                <c:pt idx="57">
                  <c:v>329.86722862692829</c:v>
                </c:pt>
                <c:pt idx="58">
                  <c:v>329.86722862692829</c:v>
                </c:pt>
                <c:pt idx="59">
                  <c:v>329.86722862692829</c:v>
                </c:pt>
                <c:pt idx="60">
                  <c:v>329.86722862692829</c:v>
                </c:pt>
                <c:pt idx="61">
                  <c:v>329.86722862692829</c:v>
                </c:pt>
                <c:pt idx="62">
                  <c:v>329.86722862692829</c:v>
                </c:pt>
                <c:pt idx="63">
                  <c:v>329.86722862692829</c:v>
                </c:pt>
                <c:pt idx="64">
                  <c:v>329.86722862692829</c:v>
                </c:pt>
                <c:pt idx="65">
                  <c:v>329.86722862692829</c:v>
                </c:pt>
                <c:pt idx="66">
                  <c:v>329.86722862692829</c:v>
                </c:pt>
                <c:pt idx="67">
                  <c:v>329.86722862692829</c:v>
                </c:pt>
                <c:pt idx="68">
                  <c:v>329.86722862692829</c:v>
                </c:pt>
                <c:pt idx="69">
                  <c:v>329.86722862692829</c:v>
                </c:pt>
                <c:pt idx="70">
                  <c:v>329.86722862692829</c:v>
                </c:pt>
                <c:pt idx="71">
                  <c:v>329.86722862692829</c:v>
                </c:pt>
                <c:pt idx="72">
                  <c:v>329.86722862692829</c:v>
                </c:pt>
                <c:pt idx="73">
                  <c:v>329.86722862692829</c:v>
                </c:pt>
                <c:pt idx="74">
                  <c:v>329.86722862692829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2-4B4E-A93C-BA770A4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35072"/>
        <c:axId val="1286235200"/>
      </c:scatterChart>
      <c:valAx>
        <c:axId val="12863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tin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35200"/>
        <c:crosses val="autoZero"/>
        <c:crossBetween val="midCat"/>
      </c:valAx>
      <c:valAx>
        <c:axId val="1286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tout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21</xdr:row>
      <xdr:rowOff>31750</xdr:rowOff>
    </xdr:from>
    <xdr:to>
      <xdr:col>16</xdr:col>
      <xdr:colOff>82550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EEBF6-119C-094E-AC30-10C11247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273050</xdr:colOff>
      <xdr:row>3</xdr:row>
      <xdr:rowOff>101600</xdr:rowOff>
    </xdr:from>
    <xdr:to>
      <xdr:col>16</xdr:col>
      <xdr:colOff>82550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E214B1-8DE5-F644-88A4-6CF5F05F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35</xdr:row>
      <xdr:rowOff>76200</xdr:rowOff>
    </xdr:from>
    <xdr:to>
      <xdr:col>17</xdr:col>
      <xdr:colOff>31751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1F168-0F57-4577-BE1F-A5697D26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273049</xdr:colOff>
      <xdr:row>21</xdr:row>
      <xdr:rowOff>31750</xdr:rowOff>
    </xdr:from>
    <xdr:to>
      <xdr:col>17</xdr:col>
      <xdr:colOff>38100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DF0EA-4F15-45A0-918D-40B6AEDB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273050</xdr:colOff>
      <xdr:row>3</xdr:row>
      <xdr:rowOff>101600</xdr:rowOff>
    </xdr:from>
    <xdr:to>
      <xdr:col>16</xdr:col>
      <xdr:colOff>82550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8541A-EF0F-495B-9886-78A1B0B41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273049</xdr:colOff>
      <xdr:row>36</xdr:row>
      <xdr:rowOff>117473</xdr:rowOff>
    </xdr:from>
    <xdr:to>
      <xdr:col>14</xdr:col>
      <xdr:colOff>981075</xdr:colOff>
      <xdr:row>54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42DB61-1BEB-4EB3-B839-747FE0787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0.68034</cdr:x>
      <cdr:y>0.41778</cdr:y>
    </cdr:from>
    <cdr:to>
      <cdr:x>0.90961</cdr:x>
      <cdr:y>0.45773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710FF37-52C1-420E-B462-12C002922C32}"/>
            </a:ext>
          </a:extLst>
        </cdr:cNvPr>
        <cdr:cNvSpPr txBox="1"/>
      </cdr:nvSpPr>
      <cdr:spPr>
        <a:xfrm xmlns:a="http://schemas.openxmlformats.org/drawingml/2006/main">
          <a:off x="2503522" y="1387477"/>
          <a:ext cx="843693" cy="132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800"/>
            </a:spcBef>
            <a:spcAft>
              <a:spcPts val="300"/>
            </a:spcAft>
          </a:pPr>
          <a:r>
            <a:rPr lang="en-GB" sz="900" dirty="0"/>
            <a:t>Speed = </a:t>
          </a:r>
          <a:r>
            <a:rPr lang="en-GB" sz="900" baseline="0" dirty="0"/>
            <a:t>10km</a:t>
          </a:r>
          <a:r>
            <a:rPr lang="en-GB" sz="900" dirty="0"/>
            <a:t>/h</a:t>
          </a:r>
        </a:p>
      </cdr:txBody>
    </cdr:sp>
  </cdr:relSizeAnchor>
  <cdr:relSizeAnchor xmlns:cdr="http://schemas.openxmlformats.org/drawingml/2006/chartDrawing">
    <cdr:from>
      <cdr:x>0.49915</cdr:x>
      <cdr:y>0.63289</cdr:y>
    </cdr:from>
    <cdr:to>
      <cdr:x>0.72842</cdr:x>
      <cdr:y>0.67283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86B0A957-CE1E-4112-9B4A-5F89021220E5}"/>
            </a:ext>
          </a:extLst>
        </cdr:cNvPr>
        <cdr:cNvSpPr txBox="1"/>
      </cdr:nvSpPr>
      <cdr:spPr>
        <a:xfrm xmlns:a="http://schemas.openxmlformats.org/drawingml/2006/main">
          <a:off x="1836772" y="2101852"/>
          <a:ext cx="843693" cy="13266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lIns="0" tIns="0" rIns="0" bIns="0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800"/>
            </a:spcBef>
            <a:spcAft>
              <a:spcPts val="300"/>
            </a:spcAft>
          </a:pPr>
          <a:r>
            <a:rPr lang="en-GB" sz="900" baseline="0" dirty="0"/>
            <a:t>Speed = 24km/h</a:t>
          </a:r>
        </a:p>
      </cdr:txBody>
    </cdr:sp>
  </cdr:relSizeAnchor>
  <cdr:relSizeAnchor xmlns:cdr="http://schemas.openxmlformats.org/drawingml/2006/chartDrawing">
    <cdr:from>
      <cdr:x>0.67386</cdr:x>
      <cdr:y>0.39484</cdr:y>
    </cdr:from>
    <cdr:to>
      <cdr:x>0.83434</cdr:x>
      <cdr:y>0.39484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1FBAD1C9-0FA3-45E9-ABE7-05A022C410F0}"/>
            </a:ext>
          </a:extLst>
        </cdr:cNvPr>
        <cdr:cNvCxnSpPr/>
      </cdr:nvCxnSpPr>
      <cdr:spPr>
        <a:xfrm xmlns:a="http://schemas.openxmlformats.org/drawingml/2006/main" flipH="1">
          <a:off x="2479676" y="1311277"/>
          <a:ext cx="590550" cy="0"/>
        </a:xfrm>
        <a:prstGeom xmlns:a="http://schemas.openxmlformats.org/drawingml/2006/main" prst="straightConnector1">
          <a:avLst/>
        </a:prstGeom>
        <a:ln xmlns:a="http://schemas.openxmlformats.org/drawingml/2006/main" w="12700" cmpd="sng">
          <a:solidFill>
            <a:schemeClr val="tx2"/>
          </a:solidFill>
          <a:tailEnd type="triangl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0.32528</cdr:x>
      <cdr:y>0.65105</cdr:y>
    </cdr:from>
    <cdr:to>
      <cdr:x>0.48576</cdr:x>
      <cdr:y>0.65105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C257E18A-0FD1-46BE-A6AF-2EC3B6D5C97A}"/>
            </a:ext>
          </a:extLst>
        </cdr:cNvPr>
        <cdr:cNvCxnSpPr/>
      </cdr:nvCxnSpPr>
      <cdr:spPr>
        <a:xfrm xmlns:a="http://schemas.openxmlformats.org/drawingml/2006/main" flipH="1">
          <a:off x="1196976" y="2162177"/>
          <a:ext cx="590550" cy="0"/>
        </a:xfrm>
        <a:prstGeom xmlns:a="http://schemas.openxmlformats.org/drawingml/2006/main" prst="straightConnector1">
          <a:avLst/>
        </a:prstGeom>
        <a:ln xmlns:a="http://schemas.openxmlformats.org/drawingml/2006/main" w="12700" cmpd="sng">
          <a:solidFill>
            <a:schemeClr val="tx2"/>
          </a:solidFill>
          <a:tailEnd type="triangle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0.27913</cdr:x>
      <cdr:y>0.77055</cdr:y>
    </cdr:from>
    <cdr:to>
      <cdr:x>0.4099</cdr:x>
      <cdr:y>0.82505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CCED63A-5456-4E74-A497-343DEA801B5C}"/>
            </a:ext>
          </a:extLst>
        </cdr:cNvPr>
        <cdr:cNvSpPr txBox="1"/>
      </cdr:nvSpPr>
      <cdr:spPr>
        <a:xfrm xmlns:a="http://schemas.openxmlformats.org/drawingml/2006/main">
          <a:off x="1027147" y="2559052"/>
          <a:ext cx="481222" cy="1809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pPr>
            <a:spcBef>
              <a:spcPts val="800"/>
            </a:spcBef>
            <a:spcAft>
              <a:spcPts val="300"/>
            </a:spcAft>
          </a:pPr>
          <a:r>
            <a:rPr lang="en-GB" sz="900" dirty="0"/>
            <a:t>regulated</a:t>
          </a:r>
        </a:p>
      </cdr:txBody>
    </cdr:sp>
  </cdr:relSizeAnchor>
  <cdr:relSizeAnchor xmlns:cdr="http://schemas.openxmlformats.org/drawingml/2006/chartDrawing">
    <cdr:from>
      <cdr:x>0.2403</cdr:x>
      <cdr:y>0.52677</cdr:y>
    </cdr:from>
    <cdr:to>
      <cdr:x>0.40596</cdr:x>
      <cdr:y>0.58413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49BCDAA5-8B39-41FC-B785-F5F6907FAE4C}"/>
            </a:ext>
          </a:extLst>
        </cdr:cNvPr>
        <cdr:cNvSpPr txBox="1"/>
      </cdr:nvSpPr>
      <cdr:spPr>
        <a:xfrm xmlns:a="http://schemas.openxmlformats.org/drawingml/2006/main">
          <a:off x="884272" y="1749427"/>
          <a:ext cx="609590" cy="1905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lIns="0" tIns="0" rIns="0" bIns="0" rtlCol="0">
          <a:noAutofit/>
        </a:bodyPr>
        <a:lstStyle xmlns:a="http://schemas.openxmlformats.org/drawingml/2006/main"/>
        <a:p xmlns:a="http://schemas.openxmlformats.org/drawingml/2006/main">
          <a:pPr>
            <a:spcBef>
              <a:spcPts val="800"/>
            </a:spcBef>
            <a:spcAft>
              <a:spcPts val="300"/>
            </a:spcAft>
          </a:pPr>
          <a:r>
            <a:rPr lang="en-GB" sz="900" dirty="0"/>
            <a:t>deregulated</a:t>
          </a:r>
        </a:p>
      </cdr:txBody>
    </cdr:sp>
  </cdr:relSizeAnchor>
</c:userShapes>
</file>

<file path=xl/theme/theme1.xml><?xml version="1.0" encoding="utf-8"?>
<a:theme xmlns:a="http://schemas.openxmlformats.org/drawingml/2006/main" name="Innovia 2017">
  <a:themeElements>
    <a:clrScheme name="Innovia 2017 v2">
      <a:dk1>
        <a:srgbClr val="48535D"/>
      </a:dk1>
      <a:lt1>
        <a:srgbClr val="FFFFFF"/>
      </a:lt1>
      <a:dk2>
        <a:srgbClr val="48535D"/>
      </a:dk2>
      <a:lt2>
        <a:srgbClr val="939A9E"/>
      </a:lt2>
      <a:accent1>
        <a:srgbClr val="2795A9"/>
      </a:accent1>
      <a:accent2>
        <a:srgbClr val="F0A33B"/>
      </a:accent2>
      <a:accent3>
        <a:srgbClr val="AE2577"/>
      </a:accent3>
      <a:accent4>
        <a:srgbClr val="513E7D"/>
      </a:accent4>
      <a:accent5>
        <a:srgbClr val="DE2C41"/>
      </a:accent5>
      <a:accent6>
        <a:srgbClr val="3AB97A"/>
      </a:accent6>
      <a:hlink>
        <a:srgbClr val="50A4B2"/>
      </a:hlink>
      <a:folHlink>
        <a:srgbClr val="B0479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12700" cmpd="sng">
          <a:solidFill>
            <a:schemeClr val="tx2"/>
          </a:solidFill>
          <a:tailEnd type="none"/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>
          <a:spcBef>
            <a:spcPts val="800"/>
          </a:spcBef>
          <a:spcAft>
            <a:spcPts val="300"/>
          </a:spcAft>
          <a:defRPr sz="1600" dirty="0" smtClean="0"/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" sqref="D2"/>
    </sheetView>
  </sheetViews>
  <sheetFormatPr defaultColWidth="11.5546875" defaultRowHeight="15" x14ac:dyDescent="0.2"/>
  <cols>
    <col min="1" max="1" width="16.109375" customWidth="1"/>
  </cols>
  <sheetData>
    <row r="1" spans="1:4" x14ac:dyDescent="0.2">
      <c r="A1" t="s">
        <v>2</v>
      </c>
      <c r="B1">
        <v>12</v>
      </c>
      <c r="C1" t="s">
        <v>3</v>
      </c>
      <c r="D1" t="s">
        <v>27</v>
      </c>
    </row>
    <row r="2" spans="1:4" x14ac:dyDescent="0.2">
      <c r="A2" t="s">
        <v>0</v>
      </c>
      <c r="B2">
        <v>24</v>
      </c>
      <c r="C2" t="s">
        <v>4</v>
      </c>
    </row>
    <row r="3" spans="1:4" x14ac:dyDescent="0.2">
      <c r="A3" t="s">
        <v>1</v>
      </c>
      <c r="B3">
        <v>700</v>
      </c>
      <c r="C3" t="s">
        <v>3</v>
      </c>
    </row>
    <row r="4" spans="1:4" x14ac:dyDescent="0.2">
      <c r="A4" t="s">
        <v>8</v>
      </c>
      <c r="B4">
        <f>wheelDiameter/2*0.7</f>
        <v>244.99999999999997</v>
      </c>
      <c r="C4" t="s">
        <v>3</v>
      </c>
    </row>
    <row r="5" spans="1:4" x14ac:dyDescent="0.2">
      <c r="A5" t="s">
        <v>20</v>
      </c>
      <c r="B5">
        <v>10</v>
      </c>
      <c r="C5" t="s">
        <v>9</v>
      </c>
    </row>
    <row r="6" spans="1:4" x14ac:dyDescent="0.2">
      <c r="A6" t="s">
        <v>21</v>
      </c>
      <c r="B6">
        <v>0.8</v>
      </c>
      <c r="C6" t="s">
        <v>22</v>
      </c>
    </row>
    <row r="17" spans="1:3" x14ac:dyDescent="0.2">
      <c r="A17" t="s">
        <v>5</v>
      </c>
      <c r="B17" s="1">
        <f>sensorDiameter/(pulseFrequency*2*PI()*radiusSensor)*1000</f>
        <v>2.5714285714285721</v>
      </c>
      <c r="C17" t="s">
        <v>9</v>
      </c>
    </row>
    <row r="18" spans="1:3" x14ac:dyDescent="0.2">
      <c r="A18" t="s">
        <v>6</v>
      </c>
      <c r="B18" s="1">
        <f>roadSpeed/3.6*1000/PI()/wheelDiameter</f>
        <v>3.0315227255599106</v>
      </c>
      <c r="C18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168A-B882-BE4E-848A-F4A51B716D3F}">
  <dimension ref="A1:T51"/>
  <sheetViews>
    <sheetView topLeftCell="F7" workbookViewId="0">
      <selection activeCell="H2" sqref="H2"/>
    </sheetView>
  </sheetViews>
  <sheetFormatPr defaultColWidth="11.5546875" defaultRowHeight="15" x14ac:dyDescent="0.2"/>
  <cols>
    <col min="2" max="2" width="12.44140625" bestFit="1" customWidth="1"/>
    <col min="3" max="4" width="12.44140625" customWidth="1"/>
    <col min="5" max="5" width="16.5546875" bestFit="1" customWidth="1"/>
    <col min="9" max="9" width="12.109375" bestFit="1" customWidth="1"/>
    <col min="18" max="18" width="12.33203125" bestFit="1" customWidth="1"/>
    <col min="20" max="20" width="11.44140625" bestFit="1" customWidth="1"/>
  </cols>
  <sheetData>
    <row r="1" spans="1:20" x14ac:dyDescent="0.2">
      <c r="A1" t="s">
        <v>10</v>
      </c>
      <c r="B1" t="s">
        <v>11</v>
      </c>
      <c r="C1" t="s">
        <v>25</v>
      </c>
      <c r="D1" t="s">
        <v>26</v>
      </c>
      <c r="E1" t="s">
        <v>12</v>
      </c>
      <c r="F1" t="s">
        <v>14</v>
      </c>
      <c r="G1" t="s">
        <v>17</v>
      </c>
      <c r="H1" t="s">
        <v>16</v>
      </c>
      <c r="I1" t="s">
        <v>18</v>
      </c>
      <c r="K1" t="s">
        <v>19</v>
      </c>
      <c r="R1" t="s">
        <v>23</v>
      </c>
      <c r="T1" t="s">
        <v>24</v>
      </c>
    </row>
    <row r="2" spans="1:20" x14ac:dyDescent="0.2">
      <c r="A2" t="s">
        <v>4</v>
      </c>
      <c r="B2" t="s">
        <v>13</v>
      </c>
      <c r="C2" t="s">
        <v>7</v>
      </c>
      <c r="D2" t="s">
        <v>13</v>
      </c>
      <c r="E2" t="s">
        <v>13</v>
      </c>
      <c r="F2" t="s">
        <v>15</v>
      </c>
      <c r="G2" t="s">
        <v>13</v>
      </c>
      <c r="H2">
        <f>(B26-B12)/(0.5*B26-B12)</f>
        <v>0.73684210526315796</v>
      </c>
      <c r="I2" t="s">
        <v>4</v>
      </c>
      <c r="K2" t="s">
        <v>4</v>
      </c>
    </row>
    <row r="3" spans="1:20" x14ac:dyDescent="0.2">
      <c r="A3">
        <v>1</v>
      </c>
      <c r="B3" s="2">
        <f t="shared" ref="B3:B34" si="0">3.6/A3*wheelDiameter*PI()</f>
        <v>7916.8134870462791</v>
      </c>
      <c r="C3" s="1">
        <f t="shared" ref="C3:C34" si="1">1000/deltaT</f>
        <v>0.12631344689832963</v>
      </c>
      <c r="D3" s="2">
        <f t="shared" ref="D3:D34" si="2">sensorDiameter/(pulseFreq*2*PI()*radiusSensor)*1000</f>
        <v>61.71428571428573</v>
      </c>
      <c r="E3" s="2">
        <f t="shared" ref="E3:E34" si="3">k_*B3^2</f>
        <v>760014.09475644282</v>
      </c>
      <c r="F3">
        <f>2/B50</f>
        <v>1.2126090902239645E-2</v>
      </c>
      <c r="G3" s="2">
        <f t="shared" ref="G3:G34" si="4">IF(B3&gt;B$12,B3,B$12-(B$12-B3)*k__)</f>
        <v>7916.8134870462791</v>
      </c>
      <c r="H3" s="2"/>
      <c r="I3" s="2">
        <f t="shared" ref="I3:I34" si="5">3.6/E3*PI()*wheelDiameter</f>
        <v>1.0416666666666666E-2</v>
      </c>
      <c r="J3" s="2"/>
      <c r="K3" s="2">
        <f t="shared" ref="K3:K34" si="6">3.6/G3*PI()*wheelDiameter</f>
        <v>1</v>
      </c>
      <c r="R3" s="2">
        <f t="shared" ref="R3:R34" si="7">tPulse/1000/3600*iPulse*1000*3600*1000/deltaTau</f>
        <v>1.0526120574860805E-2</v>
      </c>
      <c r="S3" s="2"/>
      <c r="T3" s="2">
        <f t="shared" ref="T3:T34" si="8">tPulse/1000/3600*iPulse*1000*3600*1000/deltaTau_</f>
        <v>1.0105075751866373</v>
      </c>
    </row>
    <row r="4" spans="1:20" x14ac:dyDescent="0.2">
      <c r="A4">
        <v>2</v>
      </c>
      <c r="B4" s="2">
        <f t="shared" si="0"/>
        <v>3958.4067435231395</v>
      </c>
      <c r="C4" s="1">
        <f t="shared" si="1"/>
        <v>0.25262689379665926</v>
      </c>
      <c r="D4" s="2">
        <f t="shared" si="2"/>
        <v>30.857142857142865</v>
      </c>
      <c r="E4" s="2">
        <f t="shared" si="3"/>
        <v>190003.52368911071</v>
      </c>
      <c r="G4" s="2">
        <f t="shared" si="4"/>
        <v>3958.4067435231395</v>
      </c>
      <c r="H4" s="2"/>
      <c r="I4" s="2">
        <f t="shared" si="5"/>
        <v>4.1666666666666664E-2</v>
      </c>
      <c r="J4" s="2"/>
      <c r="K4" s="2">
        <f t="shared" si="6"/>
        <v>2</v>
      </c>
      <c r="R4" s="2">
        <f t="shared" si="7"/>
        <v>4.2104482299443219E-2</v>
      </c>
      <c r="S4" s="2"/>
      <c r="T4" s="2">
        <f t="shared" si="8"/>
        <v>2.0210151503732745</v>
      </c>
    </row>
    <row r="5" spans="1:20" x14ac:dyDescent="0.2">
      <c r="A5">
        <v>3</v>
      </c>
      <c r="B5" s="2">
        <f t="shared" si="0"/>
        <v>2638.9378290154264</v>
      </c>
      <c r="C5" s="1">
        <f t="shared" si="1"/>
        <v>0.37894034069498889</v>
      </c>
      <c r="D5" s="2">
        <f t="shared" si="2"/>
        <v>20.571428571428573</v>
      </c>
      <c r="E5" s="2">
        <f t="shared" si="3"/>
        <v>84446.010528493644</v>
      </c>
      <c r="G5" s="2">
        <f t="shared" si="4"/>
        <v>2638.9378290154264</v>
      </c>
      <c r="H5" s="2"/>
      <c r="I5" s="2">
        <f t="shared" si="5"/>
        <v>9.3749999999999986E-2</v>
      </c>
      <c r="J5" s="2"/>
      <c r="K5" s="2">
        <f t="shared" si="6"/>
        <v>2.9999999999999996</v>
      </c>
      <c r="R5" s="2">
        <f t="shared" si="7"/>
        <v>9.4735085173747249E-2</v>
      </c>
      <c r="S5" s="2"/>
      <c r="T5" s="2">
        <f t="shared" si="8"/>
        <v>3.031522725559912</v>
      </c>
    </row>
    <row r="6" spans="1:20" x14ac:dyDescent="0.2">
      <c r="A6">
        <v>4</v>
      </c>
      <c r="B6" s="2">
        <f t="shared" si="0"/>
        <v>1979.2033717615698</v>
      </c>
      <c r="C6" s="1">
        <f t="shared" si="1"/>
        <v>0.50525378759331852</v>
      </c>
      <c r="D6" s="2">
        <f t="shared" si="2"/>
        <v>15.428571428571432</v>
      </c>
      <c r="E6" s="2">
        <f t="shared" si="3"/>
        <v>47500.880922277676</v>
      </c>
      <c r="G6" s="2">
        <f t="shared" si="4"/>
        <v>1979.2033717615698</v>
      </c>
      <c r="H6" s="2"/>
      <c r="I6" s="2">
        <f t="shared" si="5"/>
        <v>0.16666666666666666</v>
      </c>
      <c r="J6" s="2"/>
      <c r="K6" s="2">
        <f t="shared" si="6"/>
        <v>4</v>
      </c>
      <c r="R6" s="2">
        <f t="shared" si="7"/>
        <v>0.16841792919777288</v>
      </c>
      <c r="S6" s="2"/>
      <c r="T6" s="2">
        <f t="shared" si="8"/>
        <v>4.042030300746549</v>
      </c>
    </row>
    <row r="7" spans="1:20" x14ac:dyDescent="0.2">
      <c r="A7">
        <v>5</v>
      </c>
      <c r="B7" s="2">
        <f t="shared" si="0"/>
        <v>1583.3626974092558</v>
      </c>
      <c r="C7" s="1">
        <f t="shared" si="1"/>
        <v>0.6315672344916482</v>
      </c>
      <c r="D7" s="2">
        <f t="shared" si="2"/>
        <v>12.342857142857143</v>
      </c>
      <c r="E7" s="2">
        <f t="shared" si="3"/>
        <v>30400.563790257715</v>
      </c>
      <c r="G7" s="2">
        <f t="shared" si="4"/>
        <v>1583.3626974092558</v>
      </c>
      <c r="H7" s="2"/>
      <c r="I7" s="2">
        <f t="shared" si="5"/>
        <v>0.26041666666666663</v>
      </c>
      <c r="J7" s="2"/>
      <c r="K7" s="2">
        <f t="shared" si="6"/>
        <v>5.0000000000000009</v>
      </c>
      <c r="R7" s="2">
        <f t="shared" si="7"/>
        <v>0.26315301437152011</v>
      </c>
      <c r="S7" s="2"/>
      <c r="T7" s="2">
        <f t="shared" si="8"/>
        <v>5.0525378759331865</v>
      </c>
    </row>
    <row r="8" spans="1:20" x14ac:dyDescent="0.2">
      <c r="A8">
        <v>6</v>
      </c>
      <c r="B8" s="2">
        <f t="shared" si="0"/>
        <v>1319.4689145077132</v>
      </c>
      <c r="C8" s="1">
        <f t="shared" si="1"/>
        <v>0.75788068138997777</v>
      </c>
      <c r="D8" s="2">
        <f t="shared" si="2"/>
        <v>10.285714285714286</v>
      </c>
      <c r="E8" s="2">
        <f t="shared" si="3"/>
        <v>21111.502632123411</v>
      </c>
      <c r="G8" s="2">
        <f t="shared" si="4"/>
        <v>1319.4689145077132</v>
      </c>
      <c r="H8" s="2"/>
      <c r="I8" s="2">
        <f t="shared" si="5"/>
        <v>0.37499999999999994</v>
      </c>
      <c r="J8" s="2"/>
      <c r="K8" s="2">
        <f t="shared" si="6"/>
        <v>5.9999999999999991</v>
      </c>
      <c r="R8" s="2">
        <f t="shared" si="7"/>
        <v>0.378940340694989</v>
      </c>
      <c r="S8" s="2"/>
      <c r="T8" s="2">
        <f t="shared" si="8"/>
        <v>6.063045451119824</v>
      </c>
    </row>
    <row r="9" spans="1:20" x14ac:dyDescent="0.2">
      <c r="A9">
        <v>7</v>
      </c>
      <c r="B9" s="2">
        <f t="shared" si="0"/>
        <v>1130.9733552923258</v>
      </c>
      <c r="C9" s="1">
        <f t="shared" si="1"/>
        <v>0.88419412828830724</v>
      </c>
      <c r="D9" s="2">
        <f t="shared" si="2"/>
        <v>8.8163265306122476</v>
      </c>
      <c r="E9" s="2">
        <f t="shared" si="3"/>
        <v>15510.49172972333</v>
      </c>
      <c r="G9" s="2">
        <f t="shared" si="4"/>
        <v>1130.9733552923258</v>
      </c>
      <c r="H9" s="2"/>
      <c r="I9" s="2">
        <f t="shared" si="5"/>
        <v>0.51041666666666641</v>
      </c>
      <c r="J9" s="2"/>
      <c r="K9" s="2">
        <f t="shared" si="6"/>
        <v>6.9999999999999991</v>
      </c>
      <c r="R9" s="2">
        <f t="shared" si="7"/>
        <v>0.5157799081681792</v>
      </c>
      <c r="S9" s="2"/>
      <c r="T9" s="2">
        <f t="shared" si="8"/>
        <v>7.0735530263064597</v>
      </c>
    </row>
    <row r="10" spans="1:20" x14ac:dyDescent="0.2">
      <c r="A10">
        <v>8</v>
      </c>
      <c r="B10" s="2">
        <f t="shared" si="0"/>
        <v>989.60168588078488</v>
      </c>
      <c r="C10" s="1">
        <f t="shared" si="1"/>
        <v>1.010507575186637</v>
      </c>
      <c r="D10" s="2">
        <f t="shared" si="2"/>
        <v>7.7142857142857162</v>
      </c>
      <c r="E10" s="2">
        <f t="shared" si="3"/>
        <v>11875.220230569419</v>
      </c>
      <c r="G10" s="2">
        <f t="shared" si="4"/>
        <v>989.60168588078488</v>
      </c>
      <c r="H10" s="2"/>
      <c r="I10" s="2">
        <f t="shared" si="5"/>
        <v>0.66666666666666663</v>
      </c>
      <c r="J10" s="2"/>
      <c r="K10" s="2">
        <f t="shared" si="6"/>
        <v>8</v>
      </c>
      <c r="R10" s="2">
        <f t="shared" si="7"/>
        <v>0.6736717167910915</v>
      </c>
      <c r="S10" s="2"/>
      <c r="T10" s="2">
        <f t="shared" si="8"/>
        <v>8.084060601493098</v>
      </c>
    </row>
    <row r="11" spans="1:20" x14ac:dyDescent="0.2">
      <c r="A11">
        <v>9</v>
      </c>
      <c r="B11" s="2">
        <f t="shared" si="0"/>
        <v>879.64594300514204</v>
      </c>
      <c r="C11" s="1">
        <f t="shared" si="1"/>
        <v>1.1368210220849668</v>
      </c>
      <c r="D11" s="2">
        <f t="shared" si="2"/>
        <v>6.8571428571428568</v>
      </c>
      <c r="E11" s="2">
        <f t="shared" si="3"/>
        <v>9382.8900587215139</v>
      </c>
      <c r="G11" s="2">
        <f t="shared" si="4"/>
        <v>879.64594300514204</v>
      </c>
      <c r="H11" s="2"/>
      <c r="I11" s="2">
        <f t="shared" si="5"/>
        <v>0.84375000000000011</v>
      </c>
      <c r="J11" s="2"/>
      <c r="K11" s="2">
        <f t="shared" si="6"/>
        <v>9.0000000000000018</v>
      </c>
      <c r="R11" s="2">
        <f t="shared" si="7"/>
        <v>0.8526157665637254</v>
      </c>
      <c r="S11" s="2"/>
      <c r="T11" s="2">
        <f t="shared" si="8"/>
        <v>9.0945681766797364</v>
      </c>
    </row>
    <row r="12" spans="1:20" x14ac:dyDescent="0.2">
      <c r="A12">
        <v>10</v>
      </c>
      <c r="B12" s="2">
        <f t="shared" si="0"/>
        <v>791.68134870462791</v>
      </c>
      <c r="C12" s="1">
        <f t="shared" si="1"/>
        <v>1.2631344689832964</v>
      </c>
      <c r="D12" s="2">
        <f t="shared" si="2"/>
        <v>6.1714285714285717</v>
      </c>
      <c r="E12" s="2">
        <f t="shared" si="3"/>
        <v>7600.1409475644286</v>
      </c>
      <c r="G12" s="2">
        <f t="shared" si="4"/>
        <v>791.68134870462791</v>
      </c>
      <c r="H12" s="2"/>
      <c r="I12" s="2">
        <f t="shared" si="5"/>
        <v>1.0416666666666665</v>
      </c>
      <c r="J12" s="2"/>
      <c r="K12" s="2">
        <f t="shared" si="6"/>
        <v>10.000000000000002</v>
      </c>
      <c r="R12" s="2">
        <f t="shared" si="7"/>
        <v>1.0526120574860804</v>
      </c>
      <c r="S12" s="2"/>
      <c r="T12" s="2">
        <f t="shared" si="8"/>
        <v>10.105075751866373</v>
      </c>
    </row>
    <row r="13" spans="1:20" x14ac:dyDescent="0.2">
      <c r="A13">
        <v>11</v>
      </c>
      <c r="B13" s="2">
        <f t="shared" si="0"/>
        <v>719.71031700420713</v>
      </c>
      <c r="C13" s="1">
        <f t="shared" si="1"/>
        <v>1.389447915881626</v>
      </c>
      <c r="D13" s="2">
        <f t="shared" si="2"/>
        <v>5.6103896103896123</v>
      </c>
      <c r="E13" s="2">
        <f t="shared" si="3"/>
        <v>6281.1082211276253</v>
      </c>
      <c r="G13" s="2">
        <f t="shared" si="4"/>
        <v>738.65006218852841</v>
      </c>
      <c r="H13" s="2"/>
      <c r="I13" s="2">
        <f t="shared" si="5"/>
        <v>1.2604166666666667</v>
      </c>
      <c r="J13" s="2"/>
      <c r="K13" s="2">
        <f t="shared" si="6"/>
        <v>10.717948717948717</v>
      </c>
      <c r="R13" s="2">
        <f t="shared" si="7"/>
        <v>1.2736605895581576</v>
      </c>
      <c r="S13" s="2"/>
      <c r="T13" s="2">
        <f t="shared" si="8"/>
        <v>10.830568369949088</v>
      </c>
    </row>
    <row r="14" spans="1:20" x14ac:dyDescent="0.2">
      <c r="A14">
        <v>12</v>
      </c>
      <c r="B14" s="2">
        <f t="shared" si="0"/>
        <v>659.73445725385659</v>
      </c>
      <c r="C14" s="1">
        <f t="shared" si="1"/>
        <v>1.5157613627799555</v>
      </c>
      <c r="D14" s="2">
        <f t="shared" si="2"/>
        <v>5.1428571428571432</v>
      </c>
      <c r="E14" s="2">
        <f t="shared" si="3"/>
        <v>5277.8756580308527</v>
      </c>
      <c r="G14" s="2">
        <f t="shared" si="4"/>
        <v>694.45732342511224</v>
      </c>
      <c r="H14" s="2"/>
      <c r="I14" s="2">
        <f t="shared" si="5"/>
        <v>1.4999999999999998</v>
      </c>
      <c r="J14" s="2"/>
      <c r="K14" s="2">
        <f t="shared" si="6"/>
        <v>11.4</v>
      </c>
      <c r="R14" s="2">
        <f t="shared" si="7"/>
        <v>1.515761362779956</v>
      </c>
      <c r="S14" s="2"/>
      <c r="T14" s="2">
        <f t="shared" si="8"/>
        <v>11.519786357127664</v>
      </c>
    </row>
    <row r="15" spans="1:20" x14ac:dyDescent="0.2">
      <c r="A15">
        <v>13</v>
      </c>
      <c r="B15" s="2">
        <f t="shared" si="0"/>
        <v>608.9856528497138</v>
      </c>
      <c r="C15" s="1">
        <f t="shared" si="1"/>
        <v>1.6420748096782851</v>
      </c>
      <c r="D15" s="2">
        <f t="shared" si="2"/>
        <v>4.7472527472527482</v>
      </c>
      <c r="E15" s="2">
        <f t="shared" si="3"/>
        <v>4497.1248210440408</v>
      </c>
      <c r="G15" s="2">
        <f t="shared" si="4"/>
        <v>657.06346754837546</v>
      </c>
      <c r="H15" s="2"/>
      <c r="I15" s="2">
        <f t="shared" si="5"/>
        <v>1.7604166666666665</v>
      </c>
      <c r="J15" s="2"/>
      <c r="K15" s="2">
        <f t="shared" si="6"/>
        <v>12.048780487804876</v>
      </c>
      <c r="R15" s="2">
        <f t="shared" si="7"/>
        <v>1.7789143771514757</v>
      </c>
      <c r="S15" s="2"/>
      <c r="T15" s="2">
        <f t="shared" si="8"/>
        <v>12.175383954687774</v>
      </c>
    </row>
    <row r="16" spans="1:20" x14ac:dyDescent="0.2">
      <c r="A16">
        <v>14</v>
      </c>
      <c r="B16" s="2">
        <f t="shared" si="0"/>
        <v>565.48667764616289</v>
      </c>
      <c r="C16" s="1">
        <f t="shared" si="1"/>
        <v>1.7683882565766145</v>
      </c>
      <c r="D16" s="2">
        <f t="shared" si="2"/>
        <v>4.4081632653061238</v>
      </c>
      <c r="E16" s="2">
        <f t="shared" si="3"/>
        <v>3877.6229324308324</v>
      </c>
      <c r="G16" s="2">
        <f t="shared" si="4"/>
        <v>625.01159108260106</v>
      </c>
      <c r="H16" s="2"/>
      <c r="I16" s="2">
        <f t="shared" si="5"/>
        <v>2.0416666666666656</v>
      </c>
      <c r="J16" s="2"/>
      <c r="K16" s="2">
        <f t="shared" si="6"/>
        <v>12.666666666666664</v>
      </c>
      <c r="R16" s="2">
        <f t="shared" si="7"/>
        <v>2.0631196326727168</v>
      </c>
      <c r="S16" s="2"/>
      <c r="T16" s="2">
        <f t="shared" si="8"/>
        <v>12.799762619030737</v>
      </c>
    </row>
    <row r="17" spans="1:20" x14ac:dyDescent="0.2">
      <c r="A17">
        <v>15</v>
      </c>
      <c r="B17" s="2">
        <f t="shared" si="0"/>
        <v>527.78756580308527</v>
      </c>
      <c r="C17" s="1">
        <f t="shared" si="1"/>
        <v>1.8947017034749445</v>
      </c>
      <c r="D17" s="2">
        <f t="shared" si="2"/>
        <v>4.1142857142857148</v>
      </c>
      <c r="E17" s="2">
        <f t="shared" si="3"/>
        <v>3377.8404211397456</v>
      </c>
      <c r="G17" s="2">
        <f t="shared" si="4"/>
        <v>597.23329814559645</v>
      </c>
      <c r="H17" s="2"/>
      <c r="I17" s="2">
        <f t="shared" si="5"/>
        <v>2.34375</v>
      </c>
      <c r="J17" s="2"/>
      <c r="K17" s="2">
        <f t="shared" si="6"/>
        <v>13.255813953488373</v>
      </c>
      <c r="R17" s="2">
        <f t="shared" si="7"/>
        <v>2.3683771293436813</v>
      </c>
      <c r="S17" s="2"/>
      <c r="T17" s="2">
        <f t="shared" si="8"/>
        <v>13.395100415264727</v>
      </c>
    </row>
    <row r="18" spans="1:20" x14ac:dyDescent="0.2">
      <c r="A18">
        <v>16</v>
      </c>
      <c r="B18" s="2">
        <f t="shared" si="0"/>
        <v>494.80084294039244</v>
      </c>
      <c r="C18" s="1">
        <f t="shared" si="1"/>
        <v>2.0210151503732741</v>
      </c>
      <c r="D18" s="2">
        <f t="shared" si="2"/>
        <v>3.8571428571428581</v>
      </c>
      <c r="E18" s="2">
        <f t="shared" si="3"/>
        <v>2968.8050576423548</v>
      </c>
      <c r="G18" s="2">
        <f t="shared" si="4"/>
        <v>572.92729182571748</v>
      </c>
      <c r="H18" s="2"/>
      <c r="I18" s="2">
        <f t="shared" si="5"/>
        <v>2.6666666666666665</v>
      </c>
      <c r="J18" s="2"/>
      <c r="K18" s="2">
        <f t="shared" si="6"/>
        <v>13.81818181818182</v>
      </c>
      <c r="R18" s="2">
        <f t="shared" si="7"/>
        <v>2.694686867164366</v>
      </c>
      <c r="S18" s="2"/>
      <c r="T18" s="2">
        <f t="shared" si="8"/>
        <v>13.96337740257899</v>
      </c>
    </row>
    <row r="19" spans="1:20" x14ac:dyDescent="0.2">
      <c r="A19">
        <v>17</v>
      </c>
      <c r="B19" s="2">
        <f t="shared" si="0"/>
        <v>465.69491100272222</v>
      </c>
      <c r="C19" s="1">
        <f t="shared" si="1"/>
        <v>2.1473285972716041</v>
      </c>
      <c r="D19" s="2">
        <f t="shared" si="2"/>
        <v>3.6302521008403361</v>
      </c>
      <c r="E19" s="2">
        <f t="shared" si="3"/>
        <v>2629.8065562506663</v>
      </c>
      <c r="G19" s="2">
        <f t="shared" si="4"/>
        <v>551.48081566111841</v>
      </c>
      <c r="H19" s="2"/>
      <c r="I19" s="2">
        <f t="shared" si="5"/>
        <v>3.010416666666667</v>
      </c>
      <c r="J19" s="2"/>
      <c r="K19" s="2">
        <f t="shared" si="6"/>
        <v>14.35555555555556</v>
      </c>
      <c r="R19" s="2">
        <f t="shared" si="7"/>
        <v>3.0420488461347737</v>
      </c>
      <c r="S19" s="2"/>
      <c r="T19" s="2">
        <f t="shared" si="8"/>
        <v>14.506397634901507</v>
      </c>
    </row>
    <row r="20" spans="1:20" x14ac:dyDescent="0.2">
      <c r="A20">
        <v>18</v>
      </c>
      <c r="B20" s="2">
        <f t="shared" si="0"/>
        <v>439.82297150257102</v>
      </c>
      <c r="C20" s="1">
        <f t="shared" si="1"/>
        <v>2.2736420441699337</v>
      </c>
      <c r="D20" s="2">
        <f t="shared" si="2"/>
        <v>3.4285714285714284</v>
      </c>
      <c r="E20" s="2">
        <f t="shared" si="3"/>
        <v>2345.7225146803785</v>
      </c>
      <c r="G20" s="2">
        <f t="shared" si="4"/>
        <v>532.41728129258604</v>
      </c>
      <c r="H20" s="2"/>
      <c r="I20" s="2">
        <f t="shared" si="5"/>
        <v>3.3750000000000004</v>
      </c>
      <c r="J20" s="2"/>
      <c r="K20" s="2">
        <f t="shared" si="6"/>
        <v>14.869565217391305</v>
      </c>
      <c r="R20" s="2">
        <f t="shared" si="7"/>
        <v>3.4104630662549016</v>
      </c>
      <c r="S20" s="2"/>
      <c r="T20" s="2">
        <f t="shared" si="8"/>
        <v>15.025808291905649</v>
      </c>
    </row>
    <row r="21" spans="1:20" x14ac:dyDescent="0.2">
      <c r="A21">
        <v>19</v>
      </c>
      <c r="B21" s="2">
        <f t="shared" si="0"/>
        <v>416.67439405506735</v>
      </c>
      <c r="C21" s="1">
        <f t="shared" si="1"/>
        <v>2.3999554910682628</v>
      </c>
      <c r="D21" s="2">
        <f t="shared" si="2"/>
        <v>3.2481203007518804</v>
      </c>
      <c r="E21" s="2">
        <f t="shared" si="3"/>
        <v>2105.3022015413931</v>
      </c>
      <c r="G21" s="2">
        <f t="shared" si="4"/>
        <v>515.36043475232009</v>
      </c>
      <c r="H21" s="2"/>
      <c r="I21" s="2">
        <f t="shared" si="5"/>
        <v>3.7604166666666656</v>
      </c>
      <c r="J21" s="2"/>
      <c r="K21" s="2">
        <f t="shared" si="6"/>
        <v>15.361702127659576</v>
      </c>
      <c r="R21" s="2">
        <f t="shared" si="7"/>
        <v>3.7999295275247502</v>
      </c>
      <c r="S21" s="2"/>
      <c r="T21" s="2">
        <f t="shared" si="8"/>
        <v>15.523116367760684</v>
      </c>
    </row>
    <row r="22" spans="1:20" x14ac:dyDescent="0.2">
      <c r="A22">
        <v>20</v>
      </c>
      <c r="B22" s="2">
        <f t="shared" si="0"/>
        <v>395.84067435231395</v>
      </c>
      <c r="C22" s="1">
        <f t="shared" si="1"/>
        <v>2.5262689379665928</v>
      </c>
      <c r="D22" s="2">
        <f t="shared" si="2"/>
        <v>3.0857142857142859</v>
      </c>
      <c r="E22" s="2">
        <f t="shared" si="3"/>
        <v>1900.0352368911072</v>
      </c>
      <c r="G22" s="2">
        <f t="shared" si="4"/>
        <v>500.00927286608078</v>
      </c>
      <c r="H22" s="2"/>
      <c r="I22" s="2">
        <f t="shared" si="5"/>
        <v>4.1666666666666661</v>
      </c>
      <c r="J22" s="2"/>
      <c r="K22" s="2">
        <f t="shared" si="6"/>
        <v>15.833333333333332</v>
      </c>
      <c r="R22" s="2">
        <f t="shared" si="7"/>
        <v>4.2104482299443218</v>
      </c>
      <c r="S22" s="2"/>
      <c r="T22" s="2">
        <f t="shared" si="8"/>
        <v>15.999703273788423</v>
      </c>
    </row>
    <row r="23" spans="1:20" x14ac:dyDescent="0.2">
      <c r="A23">
        <v>21</v>
      </c>
      <c r="B23" s="2">
        <f t="shared" si="0"/>
        <v>376.99111843077515</v>
      </c>
      <c r="C23" s="1">
        <f t="shared" si="1"/>
        <v>2.6525823848649224</v>
      </c>
      <c r="D23" s="2">
        <f t="shared" si="2"/>
        <v>2.9387755102040818</v>
      </c>
      <c r="E23" s="2">
        <f t="shared" si="3"/>
        <v>1723.3879699692575</v>
      </c>
      <c r="G23" s="2">
        <f t="shared" si="4"/>
        <v>486.12012639757847</v>
      </c>
      <c r="H23" s="2"/>
      <c r="I23" s="2">
        <f t="shared" si="5"/>
        <v>4.5937500000000018</v>
      </c>
      <c r="J23" s="2"/>
      <c r="K23" s="2">
        <f t="shared" si="6"/>
        <v>16.285714285714288</v>
      </c>
      <c r="R23" s="2">
        <f t="shared" si="7"/>
        <v>4.6420191735136163</v>
      </c>
      <c r="S23" s="2"/>
      <c r="T23" s="2">
        <f t="shared" si="8"/>
        <v>16.456837653039525</v>
      </c>
    </row>
    <row r="24" spans="1:20" x14ac:dyDescent="0.2">
      <c r="A24">
        <v>22</v>
      </c>
      <c r="B24" s="2">
        <f t="shared" si="0"/>
        <v>359.85515850210356</v>
      </c>
      <c r="C24" s="1">
        <f t="shared" si="1"/>
        <v>2.7788958317632519</v>
      </c>
      <c r="D24" s="2">
        <f t="shared" si="2"/>
        <v>2.8051948051948061</v>
      </c>
      <c r="E24" s="2">
        <f t="shared" si="3"/>
        <v>1570.2770552819063</v>
      </c>
      <c r="G24" s="2">
        <f t="shared" si="4"/>
        <v>473.49362960803097</v>
      </c>
      <c r="H24" s="2"/>
      <c r="I24" s="2">
        <f t="shared" si="5"/>
        <v>5.041666666666667</v>
      </c>
      <c r="J24" s="2"/>
      <c r="K24" s="2">
        <f t="shared" si="6"/>
        <v>16.720000000000002</v>
      </c>
      <c r="R24" s="2">
        <f t="shared" si="7"/>
        <v>5.0946423582326306</v>
      </c>
      <c r="S24" s="2"/>
      <c r="T24" s="2">
        <f t="shared" si="8"/>
        <v>16.895686657120578</v>
      </c>
    </row>
    <row r="25" spans="1:20" x14ac:dyDescent="0.2">
      <c r="A25">
        <v>23</v>
      </c>
      <c r="B25" s="2">
        <f t="shared" si="0"/>
        <v>344.2092820454904</v>
      </c>
      <c r="C25" s="1">
        <f t="shared" si="1"/>
        <v>2.9052092786615815</v>
      </c>
      <c r="D25" s="2">
        <f t="shared" si="2"/>
        <v>2.6832298136645969</v>
      </c>
      <c r="E25" s="2">
        <f t="shared" si="3"/>
        <v>1436.6996120159599</v>
      </c>
      <c r="G25" s="2">
        <f t="shared" si="4"/>
        <v>461.96508906105288</v>
      </c>
      <c r="H25" s="2"/>
      <c r="I25" s="2">
        <f t="shared" si="5"/>
        <v>5.5104166666666652</v>
      </c>
      <c r="J25" s="2"/>
      <c r="K25" s="2">
        <f t="shared" si="6"/>
        <v>17.137254901960787</v>
      </c>
      <c r="R25" s="2">
        <f t="shared" si="7"/>
        <v>5.5683177841013656</v>
      </c>
      <c r="S25" s="2"/>
      <c r="T25" s="2">
        <f t="shared" si="8"/>
        <v>17.317325896335706</v>
      </c>
    </row>
    <row r="26" spans="1:20" x14ac:dyDescent="0.2">
      <c r="A26">
        <v>24</v>
      </c>
      <c r="B26" s="2">
        <f t="shared" si="0"/>
        <v>329.86722862692829</v>
      </c>
      <c r="C26" s="1">
        <f t="shared" si="1"/>
        <v>3.0315227255599111</v>
      </c>
      <c r="D26" s="2">
        <f t="shared" si="2"/>
        <v>2.5714285714285716</v>
      </c>
      <c r="E26" s="2">
        <f t="shared" si="3"/>
        <v>1319.4689145077132</v>
      </c>
      <c r="G26" s="2">
        <f t="shared" si="4"/>
        <v>451.39726022632289</v>
      </c>
      <c r="H26" s="2"/>
      <c r="I26" s="2">
        <f t="shared" si="5"/>
        <v>5.9999999999999991</v>
      </c>
      <c r="J26" s="2"/>
      <c r="K26" s="2">
        <f t="shared" si="6"/>
        <v>17.53846153846154</v>
      </c>
      <c r="R26" s="2">
        <f t="shared" si="7"/>
        <v>6.063045451119824</v>
      </c>
      <c r="S26" s="2"/>
      <c r="T26" s="2">
        <f t="shared" si="8"/>
        <v>17.72274824173487</v>
      </c>
    </row>
    <row r="27" spans="1:20" x14ac:dyDescent="0.2">
      <c r="A27">
        <v>25</v>
      </c>
      <c r="B27" s="2">
        <f t="shared" si="0"/>
        <v>316.67253948185117</v>
      </c>
      <c r="C27" s="1">
        <f t="shared" si="1"/>
        <v>3.1578361724582407</v>
      </c>
      <c r="D27" s="2">
        <f t="shared" si="2"/>
        <v>2.4685714285714293</v>
      </c>
      <c r="E27" s="2">
        <f t="shared" si="3"/>
        <v>1216.0225516103087</v>
      </c>
      <c r="G27" s="2">
        <f t="shared" si="4"/>
        <v>441.67485769837134</v>
      </c>
      <c r="H27" s="2"/>
      <c r="I27" s="2">
        <f t="shared" si="5"/>
        <v>6.5104166666666652</v>
      </c>
      <c r="J27" s="2"/>
      <c r="K27" s="2">
        <f t="shared" si="6"/>
        <v>17.924528301886792</v>
      </c>
      <c r="R27" s="2">
        <f t="shared" si="7"/>
        <v>6.5788253592880022</v>
      </c>
      <c r="S27" s="2"/>
      <c r="T27" s="2">
        <f t="shared" si="8"/>
        <v>18.112871630703875</v>
      </c>
    </row>
    <row r="28" spans="1:20" x14ac:dyDescent="0.2">
      <c r="A28">
        <v>26</v>
      </c>
      <c r="B28" s="2">
        <f t="shared" si="0"/>
        <v>304.4928264248569</v>
      </c>
      <c r="C28" s="1">
        <f t="shared" si="1"/>
        <v>3.2841496193565702</v>
      </c>
      <c r="D28" s="2">
        <f t="shared" si="2"/>
        <v>2.3736263736263741</v>
      </c>
      <c r="E28" s="2">
        <f t="shared" si="3"/>
        <v>1124.2812052610102</v>
      </c>
      <c r="G28" s="2">
        <f t="shared" si="4"/>
        <v>432.7003322879545</v>
      </c>
      <c r="H28" s="2"/>
      <c r="I28" s="2">
        <f t="shared" si="5"/>
        <v>7.0416666666666661</v>
      </c>
      <c r="J28" s="2"/>
      <c r="K28" s="2">
        <f t="shared" si="6"/>
        <v>18.296296296296298</v>
      </c>
      <c r="R28" s="2">
        <f t="shared" si="7"/>
        <v>7.1156575086059028</v>
      </c>
      <c r="S28" s="2"/>
      <c r="T28" s="2">
        <f t="shared" si="8"/>
        <v>18.488546005266624</v>
      </c>
    </row>
    <row r="29" spans="1:20" x14ac:dyDescent="0.2">
      <c r="A29">
        <v>27</v>
      </c>
      <c r="B29" s="2">
        <f t="shared" si="0"/>
        <v>293.21531433504737</v>
      </c>
      <c r="C29" s="1">
        <f t="shared" si="1"/>
        <v>3.4104630662549003</v>
      </c>
      <c r="D29" s="2">
        <f t="shared" si="2"/>
        <v>2.285714285714286</v>
      </c>
      <c r="E29" s="2">
        <f t="shared" si="3"/>
        <v>1042.5433398579462</v>
      </c>
      <c r="G29" s="2">
        <f t="shared" si="4"/>
        <v>424.39058653756854</v>
      </c>
      <c r="H29" s="2"/>
      <c r="I29" s="2">
        <f t="shared" si="5"/>
        <v>7.59375</v>
      </c>
      <c r="J29" s="2"/>
      <c r="K29" s="2">
        <f t="shared" si="6"/>
        <v>18.654545454545453</v>
      </c>
      <c r="R29" s="2">
        <f t="shared" si="7"/>
        <v>7.6735418990735269</v>
      </c>
      <c r="S29" s="2"/>
      <c r="T29" s="2">
        <f t="shared" si="8"/>
        <v>18.850559493481633</v>
      </c>
    </row>
    <row r="30" spans="1:20" x14ac:dyDescent="0.2">
      <c r="A30">
        <v>28</v>
      </c>
      <c r="B30" s="2">
        <f t="shared" si="0"/>
        <v>282.74333882308144</v>
      </c>
      <c r="C30" s="1">
        <f t="shared" si="1"/>
        <v>3.5367765131532289</v>
      </c>
      <c r="D30" s="2">
        <f t="shared" si="2"/>
        <v>2.2040816326530619</v>
      </c>
      <c r="E30" s="2">
        <f t="shared" si="3"/>
        <v>969.4057331077081</v>
      </c>
      <c r="G30" s="2">
        <f t="shared" si="4"/>
        <v>416.6743940550673</v>
      </c>
      <c r="H30" s="2"/>
      <c r="I30" s="2">
        <f t="shared" si="5"/>
        <v>8.1666666666666625</v>
      </c>
      <c r="J30" s="2"/>
      <c r="K30" s="2">
        <f t="shared" si="6"/>
        <v>19</v>
      </c>
      <c r="R30" s="2">
        <f t="shared" si="7"/>
        <v>8.2524785306908672</v>
      </c>
      <c r="S30" s="2"/>
      <c r="T30" s="2">
        <f t="shared" si="8"/>
        <v>19.199643928546109</v>
      </c>
    </row>
    <row r="31" spans="1:20" x14ac:dyDescent="0.2">
      <c r="A31">
        <v>29</v>
      </c>
      <c r="B31" s="2">
        <f t="shared" si="0"/>
        <v>272.99356851883721</v>
      </c>
      <c r="C31" s="1">
        <f t="shared" si="1"/>
        <v>3.6630899600515594</v>
      </c>
      <c r="D31" s="2">
        <f t="shared" si="2"/>
        <v>2.1280788177339907</v>
      </c>
      <c r="E31" s="2">
        <f t="shared" si="3"/>
        <v>903.70284751063355</v>
      </c>
      <c r="G31" s="2">
        <f t="shared" si="4"/>
        <v>409.49035277825584</v>
      </c>
      <c r="H31" s="2"/>
      <c r="I31" s="2">
        <f t="shared" si="5"/>
        <v>8.7604166666666661</v>
      </c>
      <c r="J31" s="2"/>
      <c r="K31" s="2">
        <f t="shared" si="6"/>
        <v>19.333333333333332</v>
      </c>
      <c r="R31" s="2">
        <f t="shared" si="7"/>
        <v>8.8524674034579363</v>
      </c>
      <c r="S31" s="2"/>
      <c r="T31" s="2">
        <f t="shared" si="8"/>
        <v>19.536479786941651</v>
      </c>
    </row>
    <row r="32" spans="1:20" x14ac:dyDescent="0.2">
      <c r="A32">
        <v>30</v>
      </c>
      <c r="B32" s="2">
        <f t="shared" si="0"/>
        <v>263.89378290154264</v>
      </c>
      <c r="C32" s="1">
        <f t="shared" si="1"/>
        <v>3.789403406949889</v>
      </c>
      <c r="D32" s="2">
        <f t="shared" si="2"/>
        <v>2.0571428571428574</v>
      </c>
      <c r="E32" s="2">
        <f t="shared" si="3"/>
        <v>844.46010528493639</v>
      </c>
      <c r="G32" s="2">
        <f t="shared" si="4"/>
        <v>402.78524758656505</v>
      </c>
      <c r="H32" s="2"/>
      <c r="I32" s="2">
        <f t="shared" si="5"/>
        <v>9.375</v>
      </c>
      <c r="J32" s="2"/>
      <c r="K32" s="2">
        <f t="shared" si="6"/>
        <v>19.655172413793103</v>
      </c>
      <c r="R32" s="2">
        <f t="shared" si="7"/>
        <v>9.4735085173747251</v>
      </c>
      <c r="S32" s="2"/>
      <c r="T32" s="2">
        <f t="shared" si="8"/>
        <v>19.861700615737355</v>
      </c>
    </row>
    <row r="33" spans="1:20" x14ac:dyDescent="0.2">
      <c r="A33">
        <v>31</v>
      </c>
      <c r="B33" s="2">
        <f t="shared" si="0"/>
        <v>255.38108022729932</v>
      </c>
      <c r="C33" s="1">
        <f t="shared" si="1"/>
        <v>3.9157168538482185</v>
      </c>
      <c r="D33" s="2">
        <f t="shared" si="2"/>
        <v>1.9907834101382491</v>
      </c>
      <c r="E33" s="2">
        <f t="shared" si="3"/>
        <v>790.85753876841079</v>
      </c>
      <c r="G33" s="2">
        <f t="shared" si="4"/>
        <v>396.51272982659628</v>
      </c>
      <c r="H33" s="2"/>
      <c r="I33" s="2">
        <f t="shared" si="5"/>
        <v>10.010416666666668</v>
      </c>
      <c r="J33" s="2"/>
      <c r="K33" s="2">
        <f t="shared" si="6"/>
        <v>19.966101694915256</v>
      </c>
      <c r="R33" s="2">
        <f t="shared" si="7"/>
        <v>10.115601872441234</v>
      </c>
      <c r="S33" s="2"/>
      <c r="T33" s="2">
        <f t="shared" si="8"/>
        <v>20.175897009658623</v>
      </c>
    </row>
    <row r="34" spans="1:20" x14ac:dyDescent="0.2">
      <c r="A34">
        <v>32</v>
      </c>
      <c r="B34" s="2">
        <f t="shared" si="0"/>
        <v>247.40042147019622</v>
      </c>
      <c r="C34" s="1">
        <f t="shared" si="1"/>
        <v>4.0420303007465481</v>
      </c>
      <c r="D34" s="2">
        <f t="shared" si="2"/>
        <v>1.928571428571429</v>
      </c>
      <c r="E34" s="2">
        <f t="shared" si="3"/>
        <v>742.20126441058869</v>
      </c>
      <c r="G34" s="2">
        <f t="shared" si="4"/>
        <v>390.63224442662556</v>
      </c>
      <c r="H34" s="2"/>
      <c r="I34" s="2">
        <f t="shared" si="5"/>
        <v>10.666666666666666</v>
      </c>
      <c r="J34" s="2"/>
      <c r="K34" s="2">
        <f t="shared" si="6"/>
        <v>20.266666666666669</v>
      </c>
      <c r="R34" s="2">
        <f t="shared" si="7"/>
        <v>10.778747468657464</v>
      </c>
      <c r="S34" s="2"/>
      <c r="T34" s="2">
        <f t="shared" si="8"/>
        <v>20.479620190449186</v>
      </c>
    </row>
    <row r="35" spans="1:20" x14ac:dyDescent="0.2">
      <c r="A35">
        <v>33</v>
      </c>
      <c r="B35" s="2">
        <f t="shared" ref="B35:B51" si="9">3.6/A35*wheelDiameter*PI()</f>
        <v>239.9034390014024</v>
      </c>
      <c r="C35" s="1">
        <f t="shared" ref="C35:C51" si="10">1000/deltaT</f>
        <v>4.1683437476448777</v>
      </c>
      <c r="D35" s="2">
        <f t="shared" ref="D35:D51" si="11">sensorDiameter/(pulseFreq*2*PI()*radiusSensor)*1000</f>
        <v>1.8701298701298703</v>
      </c>
      <c r="E35" s="2">
        <f t="shared" ref="E35:E51" si="12">k_*B35^2</f>
        <v>697.90091345862515</v>
      </c>
      <c r="G35" s="2">
        <f t="shared" ref="G35:G51" si="13">IF(B35&gt;B$12,B35,B$12-(B$12-B35)*k__)</f>
        <v>385.10815208119851</v>
      </c>
      <c r="H35" s="2"/>
      <c r="I35" s="2">
        <f t="shared" ref="I35:I51" si="14">3.6/E35*PI()*wheelDiameter</f>
        <v>11.34375</v>
      </c>
      <c r="J35" s="2"/>
      <c r="K35" s="2">
        <f t="shared" ref="K35:K51" si="15">3.6/G35*PI()*wheelDiameter</f>
        <v>20.557377049180332</v>
      </c>
      <c r="R35" s="2">
        <f t="shared" ref="R35:R51" si="16">tPulse/1000/3600*iPulse*1000*3600*1000/deltaTau</f>
        <v>11.462945306023416</v>
      </c>
      <c r="S35" s="2"/>
      <c r="T35" s="2">
        <f t="shared" ref="T35:T51" si="17">tPulse/1000/3600*iPulse*1000*3600*1000/deltaTau_</f>
        <v>20.773385234164646</v>
      </c>
    </row>
    <row r="36" spans="1:20" x14ac:dyDescent="0.2">
      <c r="A36">
        <v>34</v>
      </c>
      <c r="B36" s="2">
        <f t="shared" si="9"/>
        <v>232.84745550136111</v>
      </c>
      <c r="C36" s="1">
        <f t="shared" si="10"/>
        <v>4.2946571945432082</v>
      </c>
      <c r="D36" s="2">
        <f t="shared" si="11"/>
        <v>1.8151260504201681</v>
      </c>
      <c r="E36" s="2">
        <f t="shared" si="12"/>
        <v>657.45163906266657</v>
      </c>
      <c r="G36" s="2">
        <f t="shared" si="13"/>
        <v>379.90900634432597</v>
      </c>
      <c r="H36" s="2"/>
      <c r="I36" s="2">
        <f t="shared" si="14"/>
        <v>12.041666666666668</v>
      </c>
      <c r="J36" s="2"/>
      <c r="K36" s="2">
        <f t="shared" si="15"/>
        <v>20.838709677419359</v>
      </c>
      <c r="R36" s="2">
        <f t="shared" si="16"/>
        <v>12.168195384539095</v>
      </c>
      <c r="S36" s="2"/>
      <c r="T36" s="2">
        <f t="shared" si="17"/>
        <v>21.05767398614735</v>
      </c>
    </row>
    <row r="37" spans="1:20" x14ac:dyDescent="0.2">
      <c r="A37">
        <v>35</v>
      </c>
      <c r="B37" s="2">
        <f t="shared" si="9"/>
        <v>226.1946710584651</v>
      </c>
      <c r="C37" s="1">
        <f t="shared" si="10"/>
        <v>4.4209706414415368</v>
      </c>
      <c r="D37" s="2">
        <f t="shared" si="11"/>
        <v>1.7632653061224495</v>
      </c>
      <c r="E37" s="2">
        <f t="shared" si="12"/>
        <v>620.41966918893286</v>
      </c>
      <c r="G37" s="2">
        <f t="shared" si="13"/>
        <v>375.00695464956056</v>
      </c>
      <c r="H37" s="2"/>
      <c r="I37" s="2">
        <f t="shared" si="14"/>
        <v>12.760416666666668</v>
      </c>
      <c r="J37" s="2"/>
      <c r="K37" s="2">
        <f t="shared" si="15"/>
        <v>21.111111111111114</v>
      </c>
      <c r="R37" s="2">
        <f t="shared" si="16"/>
        <v>12.894497704204486</v>
      </c>
      <c r="S37" s="2"/>
      <c r="T37" s="2">
        <f t="shared" si="17"/>
        <v>21.332937698384566</v>
      </c>
    </row>
    <row r="38" spans="1:20" x14ac:dyDescent="0.2">
      <c r="A38">
        <v>36</v>
      </c>
      <c r="B38" s="2">
        <f t="shared" si="9"/>
        <v>219.91148575128551</v>
      </c>
      <c r="C38" s="1">
        <f t="shared" si="10"/>
        <v>4.5472840883398673</v>
      </c>
      <c r="D38" s="2">
        <f t="shared" si="11"/>
        <v>1.7142857142857142</v>
      </c>
      <c r="E38" s="2">
        <f t="shared" si="12"/>
        <v>586.43062867009462</v>
      </c>
      <c r="G38" s="2">
        <f t="shared" si="13"/>
        <v>370.37723916005973</v>
      </c>
      <c r="H38" s="2"/>
      <c r="I38" s="2">
        <f t="shared" si="14"/>
        <v>13.500000000000002</v>
      </c>
      <c r="J38" s="2"/>
      <c r="K38" s="2">
        <f t="shared" si="15"/>
        <v>21.375000000000007</v>
      </c>
      <c r="R38" s="2">
        <f t="shared" si="16"/>
        <v>13.641852265019606</v>
      </c>
      <c r="S38" s="2"/>
      <c r="T38" s="2">
        <f t="shared" si="17"/>
        <v>21.599599419614378</v>
      </c>
    </row>
    <row r="39" spans="1:20" x14ac:dyDescent="0.2">
      <c r="A39">
        <v>37</v>
      </c>
      <c r="B39" s="2">
        <f t="shared" si="9"/>
        <v>213.96793208233186</v>
      </c>
      <c r="C39" s="1">
        <f t="shared" si="10"/>
        <v>4.6735975352381969</v>
      </c>
      <c r="D39" s="2">
        <f t="shared" si="11"/>
        <v>1.6679536679536682</v>
      </c>
      <c r="E39" s="2">
        <f t="shared" si="12"/>
        <v>555.16003999740155</v>
      </c>
      <c r="G39" s="2">
        <f t="shared" si="13"/>
        <v>365.99777856188337</v>
      </c>
      <c r="H39" s="2"/>
      <c r="I39" s="2">
        <f t="shared" si="14"/>
        <v>14.260416666666668</v>
      </c>
      <c r="J39" s="2"/>
      <c r="K39" s="2">
        <f t="shared" si="15"/>
        <v>21.630769230769236</v>
      </c>
      <c r="R39" s="2">
        <f t="shared" si="16"/>
        <v>14.410259066984443</v>
      </c>
      <c r="S39" s="2"/>
      <c r="T39" s="2">
        <f t="shared" si="17"/>
        <v>21.858056164806342</v>
      </c>
    </row>
    <row r="40" spans="1:20" x14ac:dyDescent="0.2">
      <c r="A40">
        <v>38</v>
      </c>
      <c r="B40" s="2">
        <f t="shared" si="9"/>
        <v>208.33719702753368</v>
      </c>
      <c r="C40" s="1">
        <f t="shared" si="10"/>
        <v>4.7999109821365256</v>
      </c>
      <c r="D40" s="2">
        <f t="shared" si="11"/>
        <v>1.6240601503759402</v>
      </c>
      <c r="E40" s="2">
        <f t="shared" si="12"/>
        <v>526.32555038534827</v>
      </c>
      <c r="G40" s="2">
        <f t="shared" si="13"/>
        <v>361.84881588992681</v>
      </c>
      <c r="H40" s="2"/>
      <c r="I40" s="2">
        <f t="shared" si="14"/>
        <v>15.041666666666663</v>
      </c>
      <c r="J40" s="2"/>
      <c r="K40" s="2">
        <f t="shared" si="15"/>
        <v>21.878787878787882</v>
      </c>
      <c r="R40" s="2">
        <f t="shared" si="16"/>
        <v>15.199718110099001</v>
      </c>
      <c r="S40" s="2"/>
      <c r="T40" s="2">
        <f t="shared" si="17"/>
        <v>22.108680887416735</v>
      </c>
    </row>
    <row r="41" spans="1:20" x14ac:dyDescent="0.2">
      <c r="A41">
        <v>39</v>
      </c>
      <c r="B41" s="2">
        <f t="shared" si="9"/>
        <v>202.99521761657124</v>
      </c>
      <c r="C41" s="1">
        <f t="shared" si="10"/>
        <v>4.926224429034856</v>
      </c>
      <c r="D41" s="2">
        <f t="shared" si="11"/>
        <v>1.5824175824175828</v>
      </c>
      <c r="E41" s="2">
        <f t="shared" si="12"/>
        <v>499.68053567155994</v>
      </c>
      <c r="G41" s="2">
        <f t="shared" si="13"/>
        <v>357.91262053448088</v>
      </c>
      <c r="H41" s="2"/>
      <c r="I41" s="2">
        <f t="shared" si="14"/>
        <v>15.84375</v>
      </c>
      <c r="J41" s="2"/>
      <c r="K41" s="2">
        <f t="shared" si="15"/>
        <v>22.119402985074629</v>
      </c>
      <c r="R41" s="2">
        <f t="shared" si="16"/>
        <v>16.010229394363286</v>
      </c>
      <c r="S41" s="2"/>
      <c r="T41" s="2">
        <f t="shared" si="17"/>
        <v>22.35182427502383</v>
      </c>
    </row>
    <row r="42" spans="1:20" x14ac:dyDescent="0.2">
      <c r="A42">
        <v>40</v>
      </c>
      <c r="B42" s="2">
        <f t="shared" si="9"/>
        <v>197.92033717615698</v>
      </c>
      <c r="C42" s="1">
        <f t="shared" si="10"/>
        <v>5.0525378759331856</v>
      </c>
      <c r="D42" s="2">
        <f t="shared" si="11"/>
        <v>1.5428571428571429</v>
      </c>
      <c r="E42" s="2">
        <f t="shared" si="12"/>
        <v>475.00880922277679</v>
      </c>
      <c r="G42" s="2">
        <f t="shared" si="13"/>
        <v>354.17323494680716</v>
      </c>
      <c r="H42" s="2"/>
      <c r="I42" s="2">
        <f t="shared" si="14"/>
        <v>16.666666666666664</v>
      </c>
      <c r="J42" s="2"/>
      <c r="K42" s="2">
        <f t="shared" si="15"/>
        <v>22.352941176470591</v>
      </c>
      <c r="R42" s="2">
        <f t="shared" si="16"/>
        <v>16.841792919777287</v>
      </c>
      <c r="S42" s="2"/>
      <c r="T42" s="2">
        <f t="shared" si="17"/>
        <v>22.587816386524839</v>
      </c>
    </row>
    <row r="43" spans="1:20" x14ac:dyDescent="0.2">
      <c r="A43">
        <v>41</v>
      </c>
      <c r="B43" s="2">
        <f t="shared" si="9"/>
        <v>193.09301187917754</v>
      </c>
      <c r="C43" s="1">
        <f t="shared" si="10"/>
        <v>5.1788513228315152</v>
      </c>
      <c r="D43" s="2">
        <f t="shared" si="11"/>
        <v>1.5052264808362372</v>
      </c>
      <c r="E43" s="2">
        <f t="shared" si="12"/>
        <v>452.12022293661079</v>
      </c>
      <c r="G43" s="2">
        <f t="shared" si="13"/>
        <v>350.61625841219075</v>
      </c>
      <c r="H43" s="2"/>
      <c r="I43" s="2">
        <f t="shared" si="14"/>
        <v>17.510416666666668</v>
      </c>
      <c r="J43" s="2"/>
      <c r="K43" s="2">
        <f t="shared" si="15"/>
        <v>22.579710144927535</v>
      </c>
      <c r="R43" s="2">
        <f t="shared" si="16"/>
        <v>17.694408686341013</v>
      </c>
      <c r="S43" s="2"/>
      <c r="T43" s="2">
        <f t="shared" si="17"/>
        <v>22.816968146967842</v>
      </c>
    </row>
    <row r="44" spans="1:20" x14ac:dyDescent="0.2">
      <c r="A44">
        <v>42</v>
      </c>
      <c r="B44" s="2">
        <f t="shared" si="9"/>
        <v>188.49555921538757</v>
      </c>
      <c r="C44" s="1">
        <f t="shared" si="10"/>
        <v>5.3051647697298447</v>
      </c>
      <c r="D44" s="2">
        <f t="shared" si="11"/>
        <v>1.4693877551020409</v>
      </c>
      <c r="E44" s="2">
        <f t="shared" si="12"/>
        <v>430.84699249231437</v>
      </c>
      <c r="G44" s="2">
        <f t="shared" si="13"/>
        <v>347.22866171255606</v>
      </c>
      <c r="H44" s="2"/>
      <c r="I44" s="2">
        <f t="shared" si="14"/>
        <v>18.375000000000007</v>
      </c>
      <c r="J44" s="2"/>
      <c r="K44" s="2">
        <f t="shared" si="15"/>
        <v>22.800000000000004</v>
      </c>
      <c r="R44" s="2">
        <f t="shared" si="16"/>
        <v>18.568076694054465</v>
      </c>
      <c r="S44" s="2"/>
      <c r="T44" s="2">
        <f t="shared" si="17"/>
        <v>23.039572714255332</v>
      </c>
    </row>
    <row r="45" spans="1:20" x14ac:dyDescent="0.2">
      <c r="A45">
        <v>43</v>
      </c>
      <c r="B45" s="2">
        <f t="shared" si="9"/>
        <v>184.11194155921578</v>
      </c>
      <c r="C45" s="1">
        <f t="shared" si="10"/>
        <v>5.4314782166281743</v>
      </c>
      <c r="D45" s="2">
        <f t="shared" si="11"/>
        <v>1.4352159468438541</v>
      </c>
      <c r="E45" s="2">
        <f t="shared" si="12"/>
        <v>411.04061371359796</v>
      </c>
      <c r="G45" s="2">
        <f t="shared" si="13"/>
        <v>343.99862765011369</v>
      </c>
      <c r="H45" s="2"/>
      <c r="I45" s="2">
        <f t="shared" si="14"/>
        <v>19.260416666666671</v>
      </c>
      <c r="J45" s="2"/>
      <c r="K45" s="2">
        <f t="shared" si="15"/>
        <v>23.014084507042256</v>
      </c>
      <c r="R45" s="2">
        <f t="shared" si="16"/>
        <v>19.462796942917631</v>
      </c>
      <c r="S45" s="2"/>
      <c r="T45" s="2">
        <f t="shared" si="17"/>
        <v>23.255906730351626</v>
      </c>
    </row>
    <row r="46" spans="1:20" x14ac:dyDescent="0.2">
      <c r="A46">
        <v>44</v>
      </c>
      <c r="B46" s="2">
        <f t="shared" si="9"/>
        <v>179.92757925105178</v>
      </c>
      <c r="C46" s="1">
        <f t="shared" si="10"/>
        <v>5.5577916635265039</v>
      </c>
      <c r="D46" s="2">
        <f t="shared" si="11"/>
        <v>1.4025974025974031</v>
      </c>
      <c r="E46" s="2">
        <f t="shared" si="12"/>
        <v>392.56926382047658</v>
      </c>
      <c r="G46" s="2">
        <f t="shared" si="13"/>
        <v>340.91541331778234</v>
      </c>
      <c r="H46" s="2"/>
      <c r="I46" s="2">
        <f t="shared" si="14"/>
        <v>20.166666666666668</v>
      </c>
      <c r="J46" s="2"/>
      <c r="K46" s="2">
        <f t="shared" si="15"/>
        <v>23.222222222222225</v>
      </c>
      <c r="R46" s="2">
        <f t="shared" si="16"/>
        <v>20.378569432930522</v>
      </c>
      <c r="S46" s="2"/>
      <c r="T46" s="2">
        <f t="shared" si="17"/>
        <v>23.466231468223022</v>
      </c>
    </row>
    <row r="47" spans="1:20" x14ac:dyDescent="0.2">
      <c r="A47">
        <v>45</v>
      </c>
      <c r="B47" s="2">
        <f t="shared" si="9"/>
        <v>175.92918860102841</v>
      </c>
      <c r="C47" s="1">
        <f t="shared" si="10"/>
        <v>5.6841051104248335</v>
      </c>
      <c r="D47" s="2">
        <f t="shared" si="11"/>
        <v>1.3714285714285714</v>
      </c>
      <c r="E47" s="2">
        <f t="shared" si="12"/>
        <v>375.31560234886064</v>
      </c>
      <c r="G47" s="2">
        <f t="shared" si="13"/>
        <v>337.96923073355453</v>
      </c>
      <c r="H47" s="2"/>
      <c r="I47" s="2">
        <f t="shared" si="14"/>
        <v>21.09375</v>
      </c>
      <c r="J47" s="2"/>
      <c r="K47" s="2">
        <f t="shared" si="15"/>
        <v>23.424657534246581</v>
      </c>
      <c r="R47" s="2">
        <f t="shared" si="16"/>
        <v>21.315394164093131</v>
      </c>
      <c r="S47" s="2"/>
      <c r="T47" s="2">
        <f t="shared" si="17"/>
        <v>23.670793884508907</v>
      </c>
    </row>
    <row r="48" spans="1:20" x14ac:dyDescent="0.2">
      <c r="A48">
        <v>46</v>
      </c>
      <c r="B48" s="2">
        <f t="shared" si="9"/>
        <v>172.1046410227452</v>
      </c>
      <c r="C48" s="1">
        <f t="shared" si="10"/>
        <v>5.810418557323163</v>
      </c>
      <c r="D48" s="2">
        <f t="shared" si="11"/>
        <v>1.3416149068322984</v>
      </c>
      <c r="E48" s="2">
        <f t="shared" si="12"/>
        <v>359.17490300398998</v>
      </c>
      <c r="G48" s="2">
        <f t="shared" si="13"/>
        <v>335.15114304429324</v>
      </c>
      <c r="H48" s="2"/>
      <c r="I48" s="2">
        <f t="shared" si="14"/>
        <v>22.041666666666661</v>
      </c>
      <c r="J48" s="2"/>
      <c r="K48" s="2">
        <f t="shared" si="15"/>
        <v>23.621621621621628</v>
      </c>
      <c r="R48" s="2">
        <f t="shared" si="16"/>
        <v>22.273271136405462</v>
      </c>
      <c r="S48" s="2"/>
      <c r="T48" s="2">
        <f t="shared" si="17"/>
        <v>23.869827586841112</v>
      </c>
    </row>
    <row r="49" spans="1:20" x14ac:dyDescent="0.2">
      <c r="A49">
        <v>47</v>
      </c>
      <c r="B49" s="2">
        <f t="shared" si="9"/>
        <v>168.44284014992081</v>
      </c>
      <c r="C49" s="1">
        <f t="shared" si="10"/>
        <v>5.9367320042214935</v>
      </c>
      <c r="D49" s="2">
        <f t="shared" si="11"/>
        <v>1.3130699088145896</v>
      </c>
      <c r="E49" s="2">
        <f t="shared" si="12"/>
        <v>344.05346073175309</v>
      </c>
      <c r="G49" s="2">
        <f t="shared" si="13"/>
        <v>332.45297398010683</v>
      </c>
      <c r="H49" s="2"/>
      <c r="I49" s="2">
        <f t="shared" si="14"/>
        <v>23.010416666666671</v>
      </c>
      <c r="J49" s="2"/>
      <c r="K49" s="2">
        <f t="shared" si="15"/>
        <v>23.813333333333336</v>
      </c>
      <c r="R49" s="2">
        <f t="shared" si="16"/>
        <v>23.252200349867525</v>
      </c>
      <c r="S49" s="2"/>
      <c r="T49" s="2">
        <f t="shared" si="17"/>
        <v>24.063553723777794</v>
      </c>
    </row>
    <row r="50" spans="1:20" x14ac:dyDescent="0.2">
      <c r="A50">
        <v>48</v>
      </c>
      <c r="B50" s="2">
        <f t="shared" si="9"/>
        <v>164.93361431346415</v>
      </c>
      <c r="C50" s="1">
        <f t="shared" si="10"/>
        <v>6.0630454511198222</v>
      </c>
      <c r="D50" s="2">
        <f t="shared" si="11"/>
        <v>1.2857142857142858</v>
      </c>
      <c r="E50" s="2">
        <f t="shared" si="12"/>
        <v>329.86722862692829</v>
      </c>
      <c r="G50" s="2">
        <f t="shared" si="13"/>
        <v>329.86722862692829</v>
      </c>
      <c r="H50" s="2"/>
      <c r="I50" s="2">
        <f t="shared" si="14"/>
        <v>23.999999999999996</v>
      </c>
      <c r="J50" s="2"/>
      <c r="K50" s="2">
        <f t="shared" si="15"/>
        <v>23.999999999999996</v>
      </c>
      <c r="R50" s="2">
        <f t="shared" si="16"/>
        <v>24.252181804479296</v>
      </c>
      <c r="S50" s="2"/>
      <c r="T50" s="2">
        <f t="shared" si="17"/>
        <v>24.252181804479296</v>
      </c>
    </row>
    <row r="51" spans="1:20" x14ac:dyDescent="0.2">
      <c r="A51">
        <v>49</v>
      </c>
      <c r="B51" s="2">
        <f t="shared" si="9"/>
        <v>161.56762218461793</v>
      </c>
      <c r="C51" s="1">
        <f t="shared" si="10"/>
        <v>6.1893588980181518</v>
      </c>
      <c r="D51" s="2">
        <f t="shared" si="11"/>
        <v>1.2594752186588924</v>
      </c>
      <c r="E51" s="2">
        <f t="shared" si="12"/>
        <v>316.54064754537393</v>
      </c>
      <c r="G51" s="2">
        <f t="shared" si="13"/>
        <v>327.38702390040999</v>
      </c>
      <c r="H51" s="2"/>
      <c r="I51" s="2">
        <f t="shared" si="14"/>
        <v>25.010416666666668</v>
      </c>
      <c r="J51" s="2"/>
      <c r="K51" s="2">
        <f t="shared" si="15"/>
        <v>24.181818181818187</v>
      </c>
      <c r="R51" s="2">
        <f t="shared" si="16"/>
        <v>25.273215500240791</v>
      </c>
      <c r="S51" s="2"/>
      <c r="T51" s="2">
        <f t="shared" si="17"/>
        <v>24.435910454513234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57E8-16EA-43F6-8140-E58B1A4CDDC5}">
  <dimension ref="A1:T83"/>
  <sheetViews>
    <sheetView topLeftCell="F23" workbookViewId="0">
      <selection activeCell="L65" sqref="L65"/>
    </sheetView>
  </sheetViews>
  <sheetFormatPr defaultColWidth="11.5546875" defaultRowHeight="15" x14ac:dyDescent="0.2"/>
  <cols>
    <col min="2" max="2" width="12.44140625" bestFit="1" customWidth="1"/>
    <col min="3" max="4" width="12.44140625" customWidth="1"/>
    <col min="5" max="5" width="16.5546875" bestFit="1" customWidth="1"/>
    <col min="9" max="9" width="12.109375" bestFit="1" customWidth="1"/>
    <col min="18" max="18" width="12.33203125" bestFit="1" customWidth="1"/>
    <col min="20" max="20" width="11.44140625" bestFit="1" customWidth="1"/>
  </cols>
  <sheetData>
    <row r="1" spans="1:20" x14ac:dyDescent="0.2">
      <c r="A1" t="s">
        <v>10</v>
      </c>
      <c r="B1" t="s">
        <v>11</v>
      </c>
      <c r="C1" t="s">
        <v>25</v>
      </c>
      <c r="D1" t="s">
        <v>26</v>
      </c>
      <c r="E1" t="s">
        <v>12</v>
      </c>
      <c r="F1" t="s">
        <v>14</v>
      </c>
      <c r="G1" t="s">
        <v>17</v>
      </c>
      <c r="H1" t="s">
        <v>16</v>
      </c>
      <c r="I1" t="s">
        <v>18</v>
      </c>
      <c r="K1" t="s">
        <v>19</v>
      </c>
      <c r="R1" t="s">
        <v>23</v>
      </c>
      <c r="T1" t="s">
        <v>24</v>
      </c>
    </row>
    <row r="2" spans="1:20" x14ac:dyDescent="0.2">
      <c r="A2" t="s">
        <v>4</v>
      </c>
      <c r="B2" t="s">
        <v>13</v>
      </c>
      <c r="C2" t="s">
        <v>7</v>
      </c>
      <c r="D2" t="s">
        <v>13</v>
      </c>
      <c r="E2" t="s">
        <v>13</v>
      </c>
      <c r="F2" t="s">
        <v>15</v>
      </c>
      <c r="G2" t="s">
        <v>13</v>
      </c>
      <c r="H2">
        <f>(B26-B12)/(3/8*B26-B12)</f>
        <v>0.6913580246913581</v>
      </c>
      <c r="I2" t="s">
        <v>4</v>
      </c>
      <c r="K2" t="s">
        <v>4</v>
      </c>
    </row>
    <row r="3" spans="1:20" x14ac:dyDescent="0.2">
      <c r="A3">
        <v>1</v>
      </c>
      <c r="B3" s="2">
        <f t="shared" ref="B3:B51" si="0">3.6/A3*wheelDiameter*PI()</f>
        <v>7916.8134870462791</v>
      </c>
      <c r="C3" s="1">
        <f t="shared" ref="C3:C34" si="1">1000/deltaT</f>
        <v>0.12631344689832963</v>
      </c>
      <c r="D3" s="2">
        <f t="shared" ref="D3:D34" si="2">sensorDiameter/(pulseFreq*2*PI()*radiusSensor)*1000</f>
        <v>61.71428571428573</v>
      </c>
      <c r="E3" s="2">
        <f t="shared" ref="E3:E34" si="3">k_*B3^2</f>
        <v>760014.09475644282</v>
      </c>
      <c r="F3">
        <f>2/B50</f>
        <v>1.2126090902239645E-2</v>
      </c>
      <c r="G3" s="2">
        <f>IF(B3&gt;B$66,IF(B3&gt;B$12,B3,B$12-(B$12-B3)*k__),B$26)</f>
        <v>7916.8134870462791</v>
      </c>
      <c r="H3" s="2"/>
      <c r="I3" s="2">
        <f t="shared" ref="I3:I51" si="4">3.6/E3*PI()*wheelDiameter</f>
        <v>1.0416666666666666E-2</v>
      </c>
      <c r="J3" s="2"/>
      <c r="K3" s="2">
        <f t="shared" ref="K3:K51" si="5">3.6/G3*PI()*wheelDiameter</f>
        <v>1</v>
      </c>
      <c r="R3" s="2">
        <f t="shared" ref="R3:R34" si="6">tPulse/1000/3600*iPulse*1000*3600*1000/deltaTau</f>
        <v>1.0526120574860805E-2</v>
      </c>
      <c r="S3" s="2"/>
      <c r="T3" s="2">
        <f t="shared" ref="T3:T34" si="7">tPulse/1000/3600*iPulse*1000*3600*1000/deltaTau_</f>
        <v>1.0105075751866373</v>
      </c>
    </row>
    <row r="4" spans="1:20" x14ac:dyDescent="0.2">
      <c r="A4">
        <v>2</v>
      </c>
      <c r="B4" s="2">
        <f t="shared" si="0"/>
        <v>3958.4067435231395</v>
      </c>
      <c r="C4" s="1">
        <f t="shared" si="1"/>
        <v>0.25262689379665926</v>
      </c>
      <c r="D4" s="2">
        <f t="shared" si="2"/>
        <v>30.857142857142865</v>
      </c>
      <c r="E4" s="2">
        <f t="shared" si="3"/>
        <v>190003.52368911071</v>
      </c>
      <c r="G4" s="2">
        <f>IF(B4&gt;B$66,IF(B4&gt;B$12,B4,B$12-(B$12-B4)*k__),B$26)</f>
        <v>3958.4067435231395</v>
      </c>
      <c r="H4" s="2"/>
      <c r="I4" s="2">
        <f t="shared" si="4"/>
        <v>4.1666666666666664E-2</v>
      </c>
      <c r="J4" s="2"/>
      <c r="K4" s="2">
        <f t="shared" si="5"/>
        <v>2</v>
      </c>
      <c r="R4" s="2">
        <f t="shared" si="6"/>
        <v>4.2104482299443219E-2</v>
      </c>
      <c r="S4" s="2"/>
      <c r="T4" s="2">
        <f t="shared" si="7"/>
        <v>2.0210151503732745</v>
      </c>
    </row>
    <row r="5" spans="1:20" x14ac:dyDescent="0.2">
      <c r="A5">
        <v>3</v>
      </c>
      <c r="B5" s="2">
        <f t="shared" si="0"/>
        <v>2638.9378290154264</v>
      </c>
      <c r="C5" s="1">
        <f t="shared" si="1"/>
        <v>0.37894034069498889</v>
      </c>
      <c r="D5" s="2">
        <f t="shared" si="2"/>
        <v>20.571428571428573</v>
      </c>
      <c r="E5" s="2">
        <f t="shared" si="3"/>
        <v>84446.010528493644</v>
      </c>
      <c r="G5" s="2">
        <f>IF(B5&gt;B$66,IF(B5&gt;B$12,B5,B$12-(B$12-B5)*k__),B$26)</f>
        <v>2638.9378290154264</v>
      </c>
      <c r="H5" s="2"/>
      <c r="I5" s="2">
        <f t="shared" si="4"/>
        <v>9.3749999999999986E-2</v>
      </c>
      <c r="J5" s="2"/>
      <c r="K5" s="2">
        <f t="shared" si="5"/>
        <v>2.9999999999999996</v>
      </c>
      <c r="R5" s="2">
        <f t="shared" si="6"/>
        <v>9.4735085173747249E-2</v>
      </c>
      <c r="S5" s="2"/>
      <c r="T5" s="2">
        <f t="shared" si="7"/>
        <v>3.031522725559912</v>
      </c>
    </row>
    <row r="6" spans="1:20" x14ac:dyDescent="0.2">
      <c r="A6">
        <v>4</v>
      </c>
      <c r="B6" s="2">
        <f t="shared" si="0"/>
        <v>1979.2033717615698</v>
      </c>
      <c r="C6" s="1">
        <f t="shared" si="1"/>
        <v>0.50525378759331852</v>
      </c>
      <c r="D6" s="2">
        <f t="shared" si="2"/>
        <v>15.428571428571432</v>
      </c>
      <c r="E6" s="2">
        <f t="shared" si="3"/>
        <v>47500.880922277676</v>
      </c>
      <c r="G6" s="2">
        <f>IF(B6&gt;B$66,IF(B6&gt;B$12,B6,B$12-(B$12-B6)*k__),B$26)</f>
        <v>1979.2033717615698</v>
      </c>
      <c r="H6" s="2"/>
      <c r="I6" s="2">
        <f t="shared" si="4"/>
        <v>0.16666666666666666</v>
      </c>
      <c r="J6" s="2"/>
      <c r="K6" s="2">
        <f t="shared" si="5"/>
        <v>4</v>
      </c>
      <c r="R6" s="2">
        <f t="shared" si="6"/>
        <v>0.16841792919777288</v>
      </c>
      <c r="S6" s="2"/>
      <c r="T6" s="2">
        <f t="shared" si="7"/>
        <v>4.042030300746549</v>
      </c>
    </row>
    <row r="7" spans="1:20" x14ac:dyDescent="0.2">
      <c r="A7">
        <v>5</v>
      </c>
      <c r="B7" s="2">
        <f t="shared" si="0"/>
        <v>1583.3626974092558</v>
      </c>
      <c r="C7" s="1">
        <f t="shared" si="1"/>
        <v>0.6315672344916482</v>
      </c>
      <c r="D7" s="2">
        <f t="shared" si="2"/>
        <v>12.342857142857143</v>
      </c>
      <c r="E7" s="2">
        <f t="shared" si="3"/>
        <v>30400.563790257715</v>
      </c>
      <c r="G7" s="2">
        <f>IF(B7&gt;B$66,IF(B7&gt;B$12,B7,B$12-(B$12-B7)*k__),B$26)</f>
        <v>1583.3626974092558</v>
      </c>
      <c r="H7" s="2"/>
      <c r="I7" s="2">
        <f t="shared" si="4"/>
        <v>0.26041666666666663</v>
      </c>
      <c r="J7" s="2"/>
      <c r="K7" s="2">
        <f t="shared" si="5"/>
        <v>5.0000000000000009</v>
      </c>
      <c r="R7" s="2">
        <f t="shared" si="6"/>
        <v>0.26315301437152011</v>
      </c>
      <c r="S7" s="2"/>
      <c r="T7" s="2">
        <f t="shared" si="7"/>
        <v>5.0525378759331865</v>
      </c>
    </row>
    <row r="8" spans="1:20" x14ac:dyDescent="0.2">
      <c r="A8">
        <v>6</v>
      </c>
      <c r="B8" s="2">
        <f t="shared" si="0"/>
        <v>1319.4689145077132</v>
      </c>
      <c r="C8" s="1">
        <f t="shared" si="1"/>
        <v>0.75788068138997777</v>
      </c>
      <c r="D8" s="2">
        <f t="shared" si="2"/>
        <v>10.285714285714286</v>
      </c>
      <c r="E8" s="2">
        <f t="shared" si="3"/>
        <v>21111.502632123411</v>
      </c>
      <c r="G8" s="2">
        <f>IF(B8&gt;B$66,IF(B8&gt;B$12,B8,B$12-(B$12-B8)*k__),B$26)</f>
        <v>1319.4689145077132</v>
      </c>
      <c r="H8" s="2"/>
      <c r="I8" s="2">
        <f t="shared" si="4"/>
        <v>0.37499999999999994</v>
      </c>
      <c r="J8" s="2"/>
      <c r="K8" s="2">
        <f t="shared" si="5"/>
        <v>5.9999999999999991</v>
      </c>
      <c r="R8" s="2">
        <f t="shared" si="6"/>
        <v>0.378940340694989</v>
      </c>
      <c r="S8" s="2"/>
      <c r="T8" s="2">
        <f t="shared" si="7"/>
        <v>6.063045451119824</v>
      </c>
    </row>
    <row r="9" spans="1:20" x14ac:dyDescent="0.2">
      <c r="A9">
        <v>7</v>
      </c>
      <c r="B9" s="2">
        <f t="shared" si="0"/>
        <v>1130.9733552923258</v>
      </c>
      <c r="C9" s="1">
        <f t="shared" si="1"/>
        <v>0.88419412828830724</v>
      </c>
      <c r="D9" s="2">
        <f t="shared" si="2"/>
        <v>8.8163265306122476</v>
      </c>
      <c r="E9" s="2">
        <f t="shared" si="3"/>
        <v>15510.49172972333</v>
      </c>
      <c r="G9" s="2">
        <f>IF(B9&gt;B$66,IF(B9&gt;B$12,B9,B$12-(B$12-B9)*k__),B$26)</f>
        <v>1130.9733552923258</v>
      </c>
      <c r="H9" s="2"/>
      <c r="I9" s="2">
        <f t="shared" si="4"/>
        <v>0.51041666666666641</v>
      </c>
      <c r="J9" s="2"/>
      <c r="K9" s="2">
        <f t="shared" si="5"/>
        <v>6.9999999999999991</v>
      </c>
      <c r="R9" s="2">
        <f t="shared" si="6"/>
        <v>0.5157799081681792</v>
      </c>
      <c r="S9" s="2"/>
      <c r="T9" s="2">
        <f t="shared" si="7"/>
        <v>7.0735530263064597</v>
      </c>
    </row>
    <row r="10" spans="1:20" x14ac:dyDescent="0.2">
      <c r="A10">
        <v>8</v>
      </c>
      <c r="B10" s="2">
        <f t="shared" si="0"/>
        <v>989.60168588078488</v>
      </c>
      <c r="C10" s="1">
        <f t="shared" si="1"/>
        <v>1.010507575186637</v>
      </c>
      <c r="D10" s="2">
        <f t="shared" si="2"/>
        <v>7.7142857142857162</v>
      </c>
      <c r="E10" s="2">
        <f t="shared" si="3"/>
        <v>11875.220230569419</v>
      </c>
      <c r="G10" s="2">
        <f>IF(B10&gt;B$66,IF(B10&gt;B$12,B10,B$12-(B$12-B10)*k__),B$26)</f>
        <v>989.60168588078488</v>
      </c>
      <c r="H10" s="2"/>
      <c r="I10" s="2">
        <f t="shared" si="4"/>
        <v>0.66666666666666663</v>
      </c>
      <c r="J10" s="2"/>
      <c r="K10" s="2">
        <f t="shared" si="5"/>
        <v>8</v>
      </c>
      <c r="R10" s="2">
        <f t="shared" si="6"/>
        <v>0.6736717167910915</v>
      </c>
      <c r="S10" s="2"/>
      <c r="T10" s="2">
        <f t="shared" si="7"/>
        <v>8.084060601493098</v>
      </c>
    </row>
    <row r="11" spans="1:20" x14ac:dyDescent="0.2">
      <c r="A11">
        <v>9</v>
      </c>
      <c r="B11" s="2">
        <f t="shared" si="0"/>
        <v>879.64594300514204</v>
      </c>
      <c r="C11" s="1">
        <f t="shared" si="1"/>
        <v>1.1368210220849668</v>
      </c>
      <c r="D11" s="2">
        <f t="shared" si="2"/>
        <v>6.8571428571428568</v>
      </c>
      <c r="E11" s="2">
        <f t="shared" si="3"/>
        <v>9382.8900587215139</v>
      </c>
      <c r="G11" s="2">
        <f>IF(B11&gt;B$66,IF(B11&gt;B$12,B11,B$12-(B$12-B11)*k__),B$26)</f>
        <v>879.64594300514204</v>
      </c>
      <c r="H11" s="2"/>
      <c r="I11" s="2">
        <f t="shared" si="4"/>
        <v>0.84375000000000011</v>
      </c>
      <c r="J11" s="2"/>
      <c r="K11" s="2">
        <f t="shared" si="5"/>
        <v>9.0000000000000018</v>
      </c>
      <c r="R11" s="2">
        <f t="shared" si="6"/>
        <v>0.8526157665637254</v>
      </c>
      <c r="S11" s="2"/>
      <c r="T11" s="2">
        <f t="shared" si="7"/>
        <v>9.0945681766797364</v>
      </c>
    </row>
    <row r="12" spans="1:20" x14ac:dyDescent="0.2">
      <c r="A12">
        <v>10</v>
      </c>
      <c r="B12" s="2">
        <f t="shared" si="0"/>
        <v>791.68134870462791</v>
      </c>
      <c r="C12" s="1">
        <f t="shared" si="1"/>
        <v>1.2631344689832964</v>
      </c>
      <c r="D12" s="2">
        <f t="shared" si="2"/>
        <v>6.1714285714285717</v>
      </c>
      <c r="E12" s="2">
        <f t="shared" si="3"/>
        <v>7600.1409475644286</v>
      </c>
      <c r="G12" s="2">
        <f>IF(B12&gt;B$66,IF(B12&gt;B$12,B12,B$12-(B$12-B12)*k__),B$26)</f>
        <v>791.68134870462791</v>
      </c>
      <c r="H12" s="2"/>
      <c r="I12" s="2">
        <f t="shared" si="4"/>
        <v>1.0416666666666665</v>
      </c>
      <c r="J12" s="2"/>
      <c r="K12" s="2">
        <f t="shared" si="5"/>
        <v>10.000000000000002</v>
      </c>
      <c r="R12" s="2">
        <f t="shared" si="6"/>
        <v>1.0526120574860804</v>
      </c>
      <c r="S12" s="2"/>
      <c r="T12" s="2">
        <f t="shared" si="7"/>
        <v>10.105075751866373</v>
      </c>
    </row>
    <row r="13" spans="1:20" x14ac:dyDescent="0.2">
      <c r="A13">
        <v>11</v>
      </c>
      <c r="B13" s="2">
        <f t="shared" si="0"/>
        <v>719.71031700420713</v>
      </c>
      <c r="C13" s="1">
        <f t="shared" si="1"/>
        <v>1.389447915881626</v>
      </c>
      <c r="D13" s="2">
        <f t="shared" si="2"/>
        <v>5.6103896103896123</v>
      </c>
      <c r="E13" s="2">
        <f t="shared" si="3"/>
        <v>6281.1082211276253</v>
      </c>
      <c r="G13" s="2">
        <f>IF(B13&gt;B$66,IF(B13&gt;B$12,B13,B$12-(B$12-B13)*k__),B$26)</f>
        <v>741.92359839322592</v>
      </c>
      <c r="H13" s="2"/>
      <c r="I13" s="2">
        <f t="shared" si="4"/>
        <v>1.2604166666666667</v>
      </c>
      <c r="J13" s="2"/>
      <c r="K13" s="2">
        <f t="shared" si="5"/>
        <v>10.670658682634732</v>
      </c>
      <c r="R13" s="2">
        <f t="shared" si="6"/>
        <v>1.2736605895581576</v>
      </c>
      <c r="S13" s="2"/>
      <c r="T13" s="2">
        <f t="shared" si="7"/>
        <v>10.78278143103346</v>
      </c>
    </row>
    <row r="14" spans="1:20" x14ac:dyDescent="0.2">
      <c r="A14">
        <v>12</v>
      </c>
      <c r="B14" s="2">
        <f t="shared" si="0"/>
        <v>659.73445725385659</v>
      </c>
      <c r="C14" s="1">
        <f t="shared" si="1"/>
        <v>1.5157613627799555</v>
      </c>
      <c r="D14" s="2">
        <f t="shared" si="2"/>
        <v>5.1428571428571432</v>
      </c>
      <c r="E14" s="2">
        <f t="shared" si="3"/>
        <v>5277.8756580308527</v>
      </c>
      <c r="G14" s="2">
        <f>IF(B14&gt;B$66,IF(B14&gt;B$12,B14,B$12-(B$12-B14)*k__),B$26)</f>
        <v>700.45880646705757</v>
      </c>
      <c r="H14" s="2"/>
      <c r="I14" s="2">
        <f t="shared" si="4"/>
        <v>1.4999999999999998</v>
      </c>
      <c r="J14" s="2"/>
      <c r="K14" s="2">
        <f t="shared" si="5"/>
        <v>11.302325581395349</v>
      </c>
      <c r="R14" s="2">
        <f t="shared" si="6"/>
        <v>1.515761362779956</v>
      </c>
      <c r="S14" s="2"/>
      <c r="T14" s="2">
        <f t="shared" si="7"/>
        <v>11.421085617225716</v>
      </c>
    </row>
    <row r="15" spans="1:20" x14ac:dyDescent="0.2">
      <c r="A15">
        <v>13</v>
      </c>
      <c r="B15" s="2">
        <f t="shared" si="0"/>
        <v>608.9856528497138</v>
      </c>
      <c r="C15" s="1">
        <f t="shared" si="1"/>
        <v>1.6420748096782851</v>
      </c>
      <c r="D15" s="2">
        <f t="shared" si="2"/>
        <v>4.7472527472527482</v>
      </c>
      <c r="E15" s="2">
        <f t="shared" si="3"/>
        <v>4497.1248210440408</v>
      </c>
      <c r="G15" s="2">
        <f>IF(B15&gt;B$66,IF(B15&gt;B$12,B15,B$12-(B$12-B15)*k__),B$26)</f>
        <v>665.37321329876136</v>
      </c>
      <c r="H15" s="2"/>
      <c r="I15" s="2">
        <f t="shared" si="4"/>
        <v>1.7604166666666665</v>
      </c>
      <c r="J15" s="2"/>
      <c r="K15" s="2">
        <f t="shared" si="5"/>
        <v>11.898305084745763</v>
      </c>
      <c r="R15" s="2">
        <f t="shared" si="6"/>
        <v>1.7789143771514757</v>
      </c>
      <c r="S15" s="2"/>
      <c r="T15" s="2">
        <f t="shared" si="7"/>
        <v>12.023327420017278</v>
      </c>
    </row>
    <row r="16" spans="1:20" x14ac:dyDescent="0.2">
      <c r="A16">
        <v>14</v>
      </c>
      <c r="B16" s="2">
        <f t="shared" si="0"/>
        <v>565.48667764616289</v>
      </c>
      <c r="C16" s="1">
        <f t="shared" si="1"/>
        <v>1.7683882565766145</v>
      </c>
      <c r="D16" s="2">
        <f t="shared" si="2"/>
        <v>4.4081632653061238</v>
      </c>
      <c r="E16" s="2">
        <f t="shared" si="3"/>
        <v>3877.6229324308324</v>
      </c>
      <c r="G16" s="2">
        <f>IF(B16&gt;B$66,IF(B16&gt;B$12,B16,B$12-(B$12-B16)*k__),B$26)</f>
        <v>635.29984772593605</v>
      </c>
      <c r="H16" s="2"/>
      <c r="I16" s="2">
        <f t="shared" si="4"/>
        <v>2.0416666666666656</v>
      </c>
      <c r="J16" s="2"/>
      <c r="K16" s="2">
        <f t="shared" si="5"/>
        <v>12.46153846153846</v>
      </c>
      <c r="R16" s="2">
        <f t="shared" si="6"/>
        <v>2.0631196326727168</v>
      </c>
      <c r="S16" s="2"/>
      <c r="T16" s="2">
        <f t="shared" si="7"/>
        <v>12.592479013864248</v>
      </c>
    </row>
    <row r="17" spans="1:20" x14ac:dyDescent="0.2">
      <c r="A17">
        <v>15</v>
      </c>
      <c r="B17" s="2">
        <f t="shared" si="0"/>
        <v>527.78756580308527</v>
      </c>
      <c r="C17" s="1">
        <f t="shared" si="1"/>
        <v>1.8947017034749445</v>
      </c>
      <c r="D17" s="2">
        <f t="shared" si="2"/>
        <v>4.1142857142857148</v>
      </c>
      <c r="E17" s="2">
        <f t="shared" si="3"/>
        <v>3377.8404211397456</v>
      </c>
      <c r="G17" s="2">
        <f>IF(B17&gt;B$66,IF(B17&gt;B$12,B17,B$12-(B$12-B17)*k__),B$26)</f>
        <v>609.23626422948723</v>
      </c>
      <c r="H17" s="2"/>
      <c r="I17" s="2">
        <f t="shared" si="4"/>
        <v>2.34375</v>
      </c>
      <c r="J17" s="2"/>
      <c r="K17" s="2">
        <f t="shared" si="5"/>
        <v>12.994652406417114</v>
      </c>
      <c r="R17" s="2">
        <f t="shared" si="6"/>
        <v>2.3683771293436813</v>
      </c>
      <c r="S17" s="2"/>
      <c r="T17" s="2">
        <f t="shared" si="7"/>
        <v>13.131194693601758</v>
      </c>
    </row>
    <row r="18" spans="1:20" x14ac:dyDescent="0.2">
      <c r="A18">
        <v>16</v>
      </c>
      <c r="B18" s="2">
        <f t="shared" si="0"/>
        <v>494.80084294039244</v>
      </c>
      <c r="C18" s="1">
        <f t="shared" si="1"/>
        <v>2.0210151503732741</v>
      </c>
      <c r="D18" s="2">
        <f t="shared" si="2"/>
        <v>3.8571428571428581</v>
      </c>
      <c r="E18" s="2">
        <f t="shared" si="3"/>
        <v>2968.8050576423548</v>
      </c>
      <c r="G18" s="2">
        <f>IF(B18&gt;B$66,IF(B18&gt;B$12,B18,B$12-(B$12-B18)*k__),B$26)</f>
        <v>586.43062867009473</v>
      </c>
      <c r="H18" s="2"/>
      <c r="I18" s="2">
        <f t="shared" si="4"/>
        <v>2.6666666666666665</v>
      </c>
      <c r="J18" s="2"/>
      <c r="K18" s="2">
        <f t="shared" si="5"/>
        <v>13.500000000000002</v>
      </c>
      <c r="R18" s="2">
        <f t="shared" si="6"/>
        <v>2.694686867164366</v>
      </c>
      <c r="S18" s="2"/>
      <c r="T18" s="2">
        <f t="shared" si="7"/>
        <v>13.641852265019603</v>
      </c>
    </row>
    <row r="19" spans="1:20" x14ac:dyDescent="0.2">
      <c r="A19">
        <v>17</v>
      </c>
      <c r="B19" s="2">
        <f t="shared" si="0"/>
        <v>465.69491100272222</v>
      </c>
      <c r="C19" s="1">
        <f t="shared" si="1"/>
        <v>2.1473285972716041</v>
      </c>
      <c r="D19" s="2">
        <f t="shared" si="2"/>
        <v>3.6302521008403361</v>
      </c>
      <c r="E19" s="2">
        <f t="shared" si="3"/>
        <v>2629.8065562506663</v>
      </c>
      <c r="G19" s="2">
        <f>IF(B19&gt;B$66,IF(B19&gt;B$12,B19,B$12-(B$12-B19)*k__),B$26)</f>
        <v>566.30800905886599</v>
      </c>
      <c r="H19" s="2"/>
      <c r="I19" s="2">
        <f t="shared" si="4"/>
        <v>3.010416666666667</v>
      </c>
      <c r="J19" s="2"/>
      <c r="K19" s="2">
        <f t="shared" si="5"/>
        <v>13.979695431472081</v>
      </c>
      <c r="R19" s="2">
        <f t="shared" si="6"/>
        <v>3.0420488461347737</v>
      </c>
      <c r="S19" s="2"/>
      <c r="T19" s="2">
        <f t="shared" si="7"/>
        <v>14.126588132304564</v>
      </c>
    </row>
    <row r="20" spans="1:20" x14ac:dyDescent="0.2">
      <c r="A20">
        <v>18</v>
      </c>
      <c r="B20" s="2">
        <f t="shared" si="0"/>
        <v>439.82297150257102</v>
      </c>
      <c r="C20" s="1">
        <f t="shared" si="1"/>
        <v>2.2736420441699337</v>
      </c>
      <c r="D20" s="2">
        <f t="shared" si="2"/>
        <v>3.4285714285714284</v>
      </c>
      <c r="E20" s="2">
        <f t="shared" si="3"/>
        <v>2345.7225146803785</v>
      </c>
      <c r="G20" s="2">
        <f>IF(B20&gt;B$66,IF(B20&gt;B$12,B20,B$12-(B$12-B20)*k__),B$26)</f>
        <v>548.42123607110705</v>
      </c>
      <c r="H20" s="2"/>
      <c r="I20" s="2">
        <f t="shared" si="4"/>
        <v>3.3750000000000004</v>
      </c>
      <c r="J20" s="2"/>
      <c r="K20" s="2">
        <f t="shared" si="5"/>
        <v>14.435643564356438</v>
      </c>
      <c r="R20" s="2">
        <f t="shared" si="6"/>
        <v>3.4104630662549016</v>
      </c>
      <c r="S20" s="2"/>
      <c r="T20" s="2">
        <f t="shared" si="7"/>
        <v>14.587327174476409</v>
      </c>
    </row>
    <row r="21" spans="1:20" x14ac:dyDescent="0.2">
      <c r="A21">
        <v>19</v>
      </c>
      <c r="B21" s="2">
        <f t="shared" si="0"/>
        <v>416.67439405506735</v>
      </c>
      <c r="C21" s="1">
        <f t="shared" si="1"/>
        <v>2.3999554910682628</v>
      </c>
      <c r="D21" s="2">
        <f t="shared" si="2"/>
        <v>3.2481203007518804</v>
      </c>
      <c r="E21" s="2">
        <f t="shared" si="3"/>
        <v>2105.3022015413931</v>
      </c>
      <c r="G21" s="2">
        <f>IF(B21&gt;B$66,IF(B21&gt;B$12,B21,B$12-(B$12-B21)*k__),B$26)</f>
        <v>532.41728129258604</v>
      </c>
      <c r="H21" s="2"/>
      <c r="I21" s="2">
        <f t="shared" si="4"/>
        <v>3.7604166666666656</v>
      </c>
      <c r="J21" s="2"/>
      <c r="K21" s="2">
        <f t="shared" si="5"/>
        <v>14.869565217391305</v>
      </c>
      <c r="R21" s="2">
        <f t="shared" si="6"/>
        <v>3.7999295275247502</v>
      </c>
      <c r="S21" s="2"/>
      <c r="T21" s="2">
        <f t="shared" si="7"/>
        <v>15.025808291905649</v>
      </c>
    </row>
    <row r="22" spans="1:20" x14ac:dyDescent="0.2">
      <c r="A22">
        <v>20</v>
      </c>
      <c r="B22" s="2">
        <f t="shared" si="0"/>
        <v>395.84067435231395</v>
      </c>
      <c r="C22" s="1">
        <f t="shared" si="1"/>
        <v>2.5262689379665928</v>
      </c>
      <c r="D22" s="2">
        <f t="shared" si="2"/>
        <v>3.0857142857142859</v>
      </c>
      <c r="E22" s="2">
        <f t="shared" si="3"/>
        <v>1900.0352368911072</v>
      </c>
      <c r="G22" s="2">
        <f>IF(B22&gt;B$66,IF(B22&gt;B$12,B22,B$12-(B$12-B22)*k__),B$26)</f>
        <v>518.01372199191701</v>
      </c>
      <c r="H22" s="2"/>
      <c r="I22" s="2">
        <f t="shared" si="4"/>
        <v>4.1666666666666661</v>
      </c>
      <c r="J22" s="2"/>
      <c r="K22" s="2">
        <f t="shared" si="5"/>
        <v>15.283018867924529</v>
      </c>
      <c r="R22" s="2">
        <f t="shared" si="6"/>
        <v>4.2104482299443218</v>
      </c>
      <c r="S22" s="2"/>
      <c r="T22" s="2">
        <f t="shared" si="7"/>
        <v>15.443606337758041</v>
      </c>
    </row>
    <row r="23" spans="1:20" x14ac:dyDescent="0.2">
      <c r="A23">
        <v>21</v>
      </c>
      <c r="B23" s="2">
        <f t="shared" si="0"/>
        <v>376.99111843077515</v>
      </c>
      <c r="C23" s="1">
        <f t="shared" si="1"/>
        <v>2.6525823848649224</v>
      </c>
      <c r="D23" s="2">
        <f t="shared" si="2"/>
        <v>2.9387755102040818</v>
      </c>
      <c r="E23" s="2">
        <f t="shared" si="3"/>
        <v>1723.3879699692575</v>
      </c>
      <c r="G23" s="2">
        <f>IF(B23&gt;B$66,IF(B23&gt;B$12,B23,B$12-(B$12-B23)*k__),B$26)</f>
        <v>504.98193024369266</v>
      </c>
      <c r="H23" s="2"/>
      <c r="I23" s="2">
        <f t="shared" si="4"/>
        <v>4.5937500000000018</v>
      </c>
      <c r="J23" s="2"/>
      <c r="K23" s="2">
        <f t="shared" si="5"/>
        <v>15.67741935483871</v>
      </c>
      <c r="R23" s="2">
        <f t="shared" si="6"/>
        <v>4.6420191735136163</v>
      </c>
      <c r="S23" s="2"/>
      <c r="T23" s="2">
        <f t="shared" si="7"/>
        <v>15.842151017442122</v>
      </c>
    </row>
    <row r="24" spans="1:20" x14ac:dyDescent="0.2">
      <c r="A24">
        <v>22</v>
      </c>
      <c r="B24" s="2">
        <f t="shared" si="0"/>
        <v>359.85515850210356</v>
      </c>
      <c r="C24" s="1">
        <f t="shared" si="1"/>
        <v>2.7788958317632519</v>
      </c>
      <c r="D24" s="2">
        <f t="shared" si="2"/>
        <v>2.8051948051948061</v>
      </c>
      <c r="E24" s="2">
        <f t="shared" si="3"/>
        <v>1570.2770552819063</v>
      </c>
      <c r="G24" s="2">
        <f>IF(B24&gt;B$66,IF(B24&gt;B$12,B24,B$12-(B$12-B24)*k__),B$26)</f>
        <v>493.13484683621596</v>
      </c>
      <c r="H24" s="2"/>
      <c r="I24" s="2">
        <f t="shared" si="4"/>
        <v>5.041666666666667</v>
      </c>
      <c r="J24" s="2"/>
      <c r="K24" s="2">
        <f t="shared" si="5"/>
        <v>16.054054054054056</v>
      </c>
      <c r="R24" s="2">
        <f t="shared" si="6"/>
        <v>5.0946423582326306</v>
      </c>
      <c r="S24" s="2"/>
      <c r="T24" s="2">
        <f t="shared" si="7"/>
        <v>16.222743234077367</v>
      </c>
    </row>
    <row r="25" spans="1:20" x14ac:dyDescent="0.2">
      <c r="A25">
        <v>23</v>
      </c>
      <c r="B25" s="2">
        <f t="shared" si="0"/>
        <v>344.2092820454904</v>
      </c>
      <c r="C25" s="1">
        <f t="shared" si="1"/>
        <v>2.9052092786615815</v>
      </c>
      <c r="D25" s="2">
        <f t="shared" si="2"/>
        <v>2.6832298136645969</v>
      </c>
      <c r="E25" s="2">
        <f t="shared" si="3"/>
        <v>1436.6996120159599</v>
      </c>
      <c r="G25" s="2">
        <f>IF(B25&gt;B$66,IF(B25&gt;B$12,B25,B$12-(B$12-B25)*k__),B$26)</f>
        <v>482.3179445946069</v>
      </c>
      <c r="H25" s="2"/>
      <c r="I25" s="2">
        <f t="shared" si="4"/>
        <v>5.5104166666666652</v>
      </c>
      <c r="J25" s="2"/>
      <c r="K25" s="2">
        <f t="shared" si="5"/>
        <v>16.41409691629956</v>
      </c>
      <c r="R25" s="2">
        <f t="shared" si="6"/>
        <v>5.5683177841013656</v>
      </c>
      <c r="S25" s="2"/>
      <c r="T25" s="2">
        <f t="shared" si="7"/>
        <v>16.58656927376833</v>
      </c>
    </row>
    <row r="26" spans="1:20" x14ac:dyDescent="0.2">
      <c r="A26">
        <v>24</v>
      </c>
      <c r="B26" s="2">
        <f t="shared" si="0"/>
        <v>329.86722862692829</v>
      </c>
      <c r="C26" s="1">
        <f t="shared" si="1"/>
        <v>3.0315227255599111</v>
      </c>
      <c r="D26" s="2">
        <f t="shared" si="2"/>
        <v>2.5714285714285716</v>
      </c>
      <c r="E26" s="2">
        <f t="shared" si="3"/>
        <v>1319.4689145077132</v>
      </c>
      <c r="G26" s="2">
        <f>IF(B26&gt;B$66,IF(B26&gt;B$12,B26,B$12-(B$12-B26)*k__),B$26)</f>
        <v>472.40245087313184</v>
      </c>
      <c r="H26" s="2"/>
      <c r="I26" s="2">
        <f t="shared" si="4"/>
        <v>5.9999999999999991</v>
      </c>
      <c r="J26" s="2"/>
      <c r="K26" s="2">
        <f t="shared" si="5"/>
        <v>16.758620689655174</v>
      </c>
      <c r="R26" s="2">
        <f t="shared" si="6"/>
        <v>6.063045451119824</v>
      </c>
      <c r="S26" s="2"/>
      <c r="T26" s="2">
        <f t="shared" si="7"/>
        <v>16.934713156576059</v>
      </c>
    </row>
    <row r="27" spans="1:20" x14ac:dyDescent="0.2">
      <c r="A27">
        <v>25</v>
      </c>
      <c r="B27" s="2">
        <f t="shared" si="0"/>
        <v>316.67253948185117</v>
      </c>
      <c r="C27" s="1">
        <f t="shared" si="1"/>
        <v>3.1578361724582407</v>
      </c>
      <c r="D27" s="2">
        <f t="shared" si="2"/>
        <v>2.4685714285714293</v>
      </c>
      <c r="E27" s="2">
        <f t="shared" si="3"/>
        <v>1216.0225516103087</v>
      </c>
      <c r="G27" s="2">
        <f>IF(B27&gt;B$66,IF(B27&gt;B$12,B27,B$12-(B$12-B27)*k__),B$26)</f>
        <v>463.28019664937483</v>
      </c>
      <c r="H27" s="2"/>
      <c r="I27" s="2">
        <f t="shared" si="4"/>
        <v>6.5104166666666652</v>
      </c>
      <c r="J27" s="2"/>
      <c r="K27" s="2">
        <f t="shared" si="5"/>
        <v>17.088607594936708</v>
      </c>
      <c r="R27" s="2">
        <f t="shared" si="6"/>
        <v>6.5788253592880022</v>
      </c>
      <c r="S27" s="2"/>
      <c r="T27" s="2">
        <f t="shared" si="7"/>
        <v>17.268167424075447</v>
      </c>
    </row>
    <row r="28" spans="1:20" x14ac:dyDescent="0.2">
      <c r="A28">
        <v>26</v>
      </c>
      <c r="B28" s="2">
        <f t="shared" si="0"/>
        <v>304.4928264248569</v>
      </c>
      <c r="C28" s="1">
        <f t="shared" si="1"/>
        <v>3.2841496193565702</v>
      </c>
      <c r="D28" s="2">
        <f t="shared" si="2"/>
        <v>2.3736263736263741</v>
      </c>
      <c r="E28" s="2">
        <f t="shared" si="3"/>
        <v>1124.2812052610102</v>
      </c>
      <c r="G28" s="2">
        <f>IF(B28&gt;B$66,IF(B28&gt;B$12,B28,B$12-(B$12-B28)*k__),B$26)</f>
        <v>454.85965428898373</v>
      </c>
      <c r="H28" s="2"/>
      <c r="I28" s="2">
        <f t="shared" si="4"/>
        <v>7.0416666666666661</v>
      </c>
      <c r="J28" s="2"/>
      <c r="K28" s="2">
        <f t="shared" si="5"/>
        <v>17.404958677685951</v>
      </c>
      <c r="R28" s="2">
        <f t="shared" si="6"/>
        <v>7.1156575086059028</v>
      </c>
      <c r="S28" s="2"/>
      <c r="T28" s="2">
        <f t="shared" si="7"/>
        <v>17.587842589612052</v>
      </c>
    </row>
    <row r="29" spans="1:20" x14ac:dyDescent="0.2">
      <c r="A29">
        <v>27</v>
      </c>
      <c r="B29" s="2">
        <f t="shared" si="0"/>
        <v>293.21531433504737</v>
      </c>
      <c r="C29" s="1">
        <f t="shared" si="1"/>
        <v>3.4104630662549003</v>
      </c>
      <c r="D29" s="2">
        <f t="shared" si="2"/>
        <v>2.285714285714286</v>
      </c>
      <c r="E29" s="2">
        <f t="shared" si="3"/>
        <v>1042.5433398579462</v>
      </c>
      <c r="G29" s="2">
        <f>IF(B29&gt;B$66,IF(B29&gt;B$12,B29,B$12-(B$12-B29)*k__),B$26)</f>
        <v>447.06285580714007</v>
      </c>
      <c r="H29" s="2"/>
      <c r="I29" s="2">
        <f t="shared" si="4"/>
        <v>7.59375</v>
      </c>
      <c r="J29" s="2"/>
      <c r="K29" s="2">
        <f t="shared" si="5"/>
        <v>17.708502024291498</v>
      </c>
      <c r="R29" s="2">
        <f t="shared" si="6"/>
        <v>7.6735418990735269</v>
      </c>
      <c r="S29" s="2"/>
      <c r="T29" s="2">
        <f t="shared" si="7"/>
        <v>17.894575440754462</v>
      </c>
    </row>
    <row r="30" spans="1:20" x14ac:dyDescent="0.2">
      <c r="A30">
        <v>28</v>
      </c>
      <c r="B30" s="2">
        <f t="shared" si="0"/>
        <v>282.74333882308144</v>
      </c>
      <c r="C30" s="1">
        <f t="shared" si="1"/>
        <v>3.5367765131532289</v>
      </c>
      <c r="D30" s="2">
        <f t="shared" si="2"/>
        <v>2.2040816326530619</v>
      </c>
      <c r="E30" s="2">
        <f t="shared" si="3"/>
        <v>969.4057331077081</v>
      </c>
      <c r="G30" s="2">
        <f>IF(B30&gt;B$66,IF(B30&gt;B$12,B30,B$12-(B$12-B30)*k__),B$26)</f>
        <v>439.82297150257108</v>
      </c>
      <c r="H30" s="2"/>
      <c r="I30" s="2">
        <f t="shared" si="4"/>
        <v>8.1666666666666625</v>
      </c>
      <c r="J30" s="2"/>
      <c r="K30" s="2">
        <f t="shared" si="5"/>
        <v>17.999999999999996</v>
      </c>
      <c r="R30" s="2">
        <f t="shared" si="6"/>
        <v>8.2524785306908672</v>
      </c>
      <c r="S30" s="2"/>
      <c r="T30" s="2">
        <f t="shared" si="7"/>
        <v>18.189136353359469</v>
      </c>
    </row>
    <row r="31" spans="1:20" x14ac:dyDescent="0.2">
      <c r="A31">
        <v>29</v>
      </c>
      <c r="B31" s="2">
        <f t="shared" si="0"/>
        <v>272.99356851883721</v>
      </c>
      <c r="C31" s="1">
        <f t="shared" si="1"/>
        <v>3.6630899600515594</v>
      </c>
      <c r="D31" s="2">
        <f t="shared" si="2"/>
        <v>2.1280788177339907</v>
      </c>
      <c r="E31" s="2">
        <f t="shared" si="3"/>
        <v>903.70284751063355</v>
      </c>
      <c r="G31" s="2">
        <f>IF(B31&gt;B$66,IF(B31&gt;B$12,B31,B$12-(B$12-B31)*k__),B$26)</f>
        <v>433.08238956383434</v>
      </c>
      <c r="H31" s="2"/>
      <c r="I31" s="2">
        <f t="shared" si="4"/>
        <v>8.7604166666666661</v>
      </c>
      <c r="J31" s="2"/>
      <c r="K31" s="2">
        <f t="shared" si="5"/>
        <v>18.280155642023345</v>
      </c>
      <c r="R31" s="2">
        <f t="shared" si="6"/>
        <v>8.8524674034579363</v>
      </c>
      <c r="S31" s="2"/>
      <c r="T31" s="2">
        <f t="shared" si="7"/>
        <v>18.472235751855337</v>
      </c>
    </row>
    <row r="32" spans="1:20" x14ac:dyDescent="0.2">
      <c r="A32">
        <v>30</v>
      </c>
      <c r="B32" s="2">
        <f t="shared" si="0"/>
        <v>263.89378290154264</v>
      </c>
      <c r="C32" s="1">
        <f t="shared" si="1"/>
        <v>3.789403406949889</v>
      </c>
      <c r="D32" s="2">
        <f t="shared" si="2"/>
        <v>2.0571428571428574</v>
      </c>
      <c r="E32" s="2">
        <f t="shared" si="3"/>
        <v>844.46010528493639</v>
      </c>
      <c r="G32" s="2">
        <f>IF(B32&gt;B$66,IF(B32&gt;B$12,B32,B$12-(B$12-B32)*k__),B$26)</f>
        <v>426.79117975434667</v>
      </c>
      <c r="H32" s="2"/>
      <c r="I32" s="2">
        <f t="shared" si="4"/>
        <v>9.375</v>
      </c>
      <c r="J32" s="2"/>
      <c r="K32" s="2">
        <f t="shared" si="5"/>
        <v>18.549618320610691</v>
      </c>
      <c r="R32" s="2">
        <f t="shared" si="6"/>
        <v>9.4735085173747251</v>
      </c>
      <c r="S32" s="2"/>
      <c r="T32" s="2">
        <f t="shared" si="7"/>
        <v>18.74452982979793</v>
      </c>
    </row>
    <row r="33" spans="1:20" x14ac:dyDescent="0.2">
      <c r="A33">
        <v>31</v>
      </c>
      <c r="B33" s="2">
        <f t="shared" si="0"/>
        <v>255.38108022729932</v>
      </c>
      <c r="C33" s="1">
        <f t="shared" si="1"/>
        <v>3.9157168538482185</v>
      </c>
      <c r="D33" s="2">
        <f t="shared" si="2"/>
        <v>1.9907834101382491</v>
      </c>
      <c r="E33" s="2">
        <f t="shared" si="3"/>
        <v>790.85753876841079</v>
      </c>
      <c r="G33" s="2">
        <f>IF(B33&gt;B$66,IF(B33&gt;B$12,B33,B$12-(B$12-B33)*k__),B$26)</f>
        <v>420.90585444869697</v>
      </c>
      <c r="H33" s="2"/>
      <c r="I33" s="2">
        <f t="shared" si="4"/>
        <v>10.010416666666668</v>
      </c>
      <c r="J33" s="2"/>
      <c r="K33" s="2">
        <f t="shared" si="5"/>
        <v>18.808988764044948</v>
      </c>
      <c r="R33" s="2">
        <f t="shared" si="6"/>
        <v>10.115601872441234</v>
      </c>
      <c r="S33" s="2"/>
      <c r="T33" s="2">
        <f t="shared" si="7"/>
        <v>19.006625627667766</v>
      </c>
    </row>
    <row r="34" spans="1:20" x14ac:dyDescent="0.2">
      <c r="A34">
        <v>32</v>
      </c>
      <c r="B34" s="2">
        <f t="shared" si="0"/>
        <v>247.40042147019622</v>
      </c>
      <c r="C34" s="1">
        <f t="shared" si="1"/>
        <v>4.0420303007465481</v>
      </c>
      <c r="D34" s="2">
        <f t="shared" si="2"/>
        <v>1.928571428571429</v>
      </c>
      <c r="E34" s="2">
        <f t="shared" si="3"/>
        <v>742.20126441058869</v>
      </c>
      <c r="G34" s="2">
        <f>IF(B34&gt;B$66,IF(B34&gt;B$12,B34,B$12-(B$12-B34)*k__),B$26)</f>
        <v>415.38836197465037</v>
      </c>
      <c r="H34" s="2"/>
      <c r="I34" s="2">
        <f t="shared" si="4"/>
        <v>10.666666666666666</v>
      </c>
      <c r="J34" s="2"/>
      <c r="K34" s="2">
        <f t="shared" si="5"/>
        <v>19.058823529411768</v>
      </c>
      <c r="R34" s="2">
        <f t="shared" si="6"/>
        <v>10.778747468657464</v>
      </c>
      <c r="S34" s="2"/>
      <c r="T34" s="2">
        <f t="shared" si="7"/>
        <v>19.259085550615914</v>
      </c>
    </row>
    <row r="35" spans="1:20" x14ac:dyDescent="0.2">
      <c r="A35">
        <v>33</v>
      </c>
      <c r="B35" s="2">
        <f t="shared" si="0"/>
        <v>239.9034390014024</v>
      </c>
      <c r="C35" s="1">
        <f t="shared" ref="C35:C83" si="8">1000/deltaT</f>
        <v>4.1683437476448777</v>
      </c>
      <c r="D35" s="2">
        <f t="shared" ref="D35:D83" si="9">sensorDiameter/(pulseFreq*2*PI()*radiusSensor)*1000</f>
        <v>1.8701298701298703</v>
      </c>
      <c r="E35" s="2">
        <f t="shared" ref="E35:E51" si="10">k_*B35^2</f>
        <v>697.90091345862515</v>
      </c>
      <c r="G35" s="2">
        <f>IF(B35&gt;B$66,IF(B35&gt;B$12,B35,B$12-(B$12-B35)*k__),B$26)</f>
        <v>410.20526298387938</v>
      </c>
      <c r="H35" s="2"/>
      <c r="I35" s="2">
        <f t="shared" si="4"/>
        <v>11.34375</v>
      </c>
      <c r="J35" s="2"/>
      <c r="K35" s="2">
        <f t="shared" si="5"/>
        <v>19.299638989169676</v>
      </c>
      <c r="R35" s="2">
        <f t="shared" ref="R35:R51" si="11">tPulse/1000/3600*iPulse*1000*3600*1000/deltaTau</f>
        <v>11.462945306023416</v>
      </c>
      <c r="S35" s="2"/>
      <c r="T35" s="2">
        <f t="shared" ref="T35:T51" si="12">tPulse/1000/3600*iPulse*1000*3600*1000/deltaTau_</f>
        <v>19.502431396923331</v>
      </c>
    </row>
    <row r="36" spans="1:20" x14ac:dyDescent="0.2">
      <c r="A36">
        <v>34</v>
      </c>
      <c r="B36" s="2">
        <f t="shared" si="0"/>
        <v>232.84745550136111</v>
      </c>
      <c r="C36" s="1">
        <f t="shared" si="8"/>
        <v>4.2946571945432082</v>
      </c>
      <c r="D36" s="2">
        <f t="shared" si="9"/>
        <v>1.8151260504201681</v>
      </c>
      <c r="E36" s="2">
        <f t="shared" si="10"/>
        <v>657.45163906266657</v>
      </c>
      <c r="G36" s="2">
        <f>IF(B36&gt;B$66,IF(B36&gt;B$12,B36,B$12-(B$12-B36)*k__),B$26)</f>
        <v>405.32705216903599</v>
      </c>
      <c r="H36" s="2"/>
      <c r="I36" s="2">
        <f t="shared" si="4"/>
        <v>12.041666666666668</v>
      </c>
      <c r="J36" s="2"/>
      <c r="K36" s="2">
        <f t="shared" si="5"/>
        <v>19.531914893617024</v>
      </c>
      <c r="R36" s="2">
        <f t="shared" si="11"/>
        <v>12.168195384539095</v>
      </c>
      <c r="S36" s="2"/>
      <c r="T36" s="2">
        <f t="shared" si="12"/>
        <v>19.737147957900707</v>
      </c>
    </row>
    <row r="37" spans="1:20" x14ac:dyDescent="0.2">
      <c r="A37">
        <v>35</v>
      </c>
      <c r="B37" s="2">
        <f t="shared" si="0"/>
        <v>226.1946710584651</v>
      </c>
      <c r="C37" s="1">
        <f t="shared" si="8"/>
        <v>4.4209706414415368</v>
      </c>
      <c r="D37" s="2">
        <f t="shared" si="9"/>
        <v>1.7632653061224495</v>
      </c>
      <c r="E37" s="2">
        <f t="shared" si="10"/>
        <v>620.41966918893286</v>
      </c>
      <c r="G37" s="2">
        <f>IF(B37&gt;B$66,IF(B37&gt;B$12,B37,B$12-(B$12-B37)*k__),B$26)</f>
        <v>400.72759625789803</v>
      </c>
      <c r="H37" s="2"/>
      <c r="I37" s="2">
        <f t="shared" si="4"/>
        <v>12.760416666666668</v>
      </c>
      <c r="J37" s="2"/>
      <c r="K37" s="2">
        <f t="shared" si="5"/>
        <v>19.756097560975611</v>
      </c>
      <c r="R37" s="2">
        <f t="shared" si="11"/>
        <v>12.894497704204486</v>
      </c>
      <c r="S37" s="2"/>
      <c r="T37" s="2">
        <f t="shared" si="12"/>
        <v>19.963686241492105</v>
      </c>
    </row>
    <row r="38" spans="1:20" x14ac:dyDescent="0.2">
      <c r="A38">
        <v>36</v>
      </c>
      <c r="B38" s="2">
        <f t="shared" si="0"/>
        <v>219.91148575128551</v>
      </c>
      <c r="C38" s="1">
        <f t="shared" si="8"/>
        <v>4.5472840883398673</v>
      </c>
      <c r="D38" s="2">
        <f t="shared" si="9"/>
        <v>1.7142857142857142</v>
      </c>
      <c r="E38" s="2">
        <f t="shared" si="10"/>
        <v>586.43062867009462</v>
      </c>
      <c r="G38" s="2">
        <f>IF(B38&gt;B$66,IF(B38&gt;B$12,B38,B$12-(B$12-B38)*k__),B$26)</f>
        <v>396.38366567515652</v>
      </c>
      <c r="H38" s="2"/>
      <c r="I38" s="2">
        <f t="shared" si="4"/>
        <v>13.500000000000002</v>
      </c>
      <c r="J38" s="2"/>
      <c r="K38" s="2">
        <f t="shared" si="5"/>
        <v>19.972602739726032</v>
      </c>
      <c r="R38" s="2">
        <f t="shared" si="11"/>
        <v>13.641852265019606</v>
      </c>
      <c r="S38" s="2"/>
      <c r="T38" s="2">
        <f t="shared" si="12"/>
        <v>20.18246636468654</v>
      </c>
    </row>
    <row r="39" spans="1:20" x14ac:dyDescent="0.2">
      <c r="A39">
        <v>37</v>
      </c>
      <c r="B39" s="2">
        <f t="shared" si="0"/>
        <v>213.96793208233186</v>
      </c>
      <c r="C39" s="1">
        <f t="shared" si="8"/>
        <v>4.6735975352381969</v>
      </c>
      <c r="D39" s="2">
        <f t="shared" si="9"/>
        <v>1.6679536679536682</v>
      </c>
      <c r="E39" s="2">
        <f t="shared" si="10"/>
        <v>555.16003999740155</v>
      </c>
      <c r="G39" s="2">
        <f>IF(B39&gt;B$66,IF(B39&gt;B$12,B39,B$12-(B$12-B39)*k__),B$26)</f>
        <v>392.27454215094167</v>
      </c>
      <c r="H39" s="2"/>
      <c r="I39" s="2">
        <f t="shared" si="4"/>
        <v>14.260416666666668</v>
      </c>
      <c r="J39" s="2"/>
      <c r="K39" s="2">
        <f t="shared" si="5"/>
        <v>20.181818181818183</v>
      </c>
      <c r="R39" s="2">
        <f t="shared" si="11"/>
        <v>14.410259066984443</v>
      </c>
      <c r="S39" s="2"/>
      <c r="T39" s="2">
        <f t="shared" si="12"/>
        <v>20.393880153766684</v>
      </c>
    </row>
    <row r="40" spans="1:20" x14ac:dyDescent="0.2">
      <c r="A40">
        <v>38</v>
      </c>
      <c r="B40" s="2">
        <f t="shared" si="0"/>
        <v>208.33719702753368</v>
      </c>
      <c r="C40" s="1">
        <f t="shared" si="8"/>
        <v>4.7999109821365256</v>
      </c>
      <c r="D40" s="2">
        <f t="shared" si="9"/>
        <v>1.6240601503759402</v>
      </c>
      <c r="E40" s="2">
        <f t="shared" si="10"/>
        <v>526.32555038534827</v>
      </c>
      <c r="G40" s="2">
        <f>IF(B40&gt;B$66,IF(B40&gt;B$12,B40,B$12-(B$12-B40)*k__),B$26)</f>
        <v>388.38168828589602</v>
      </c>
      <c r="H40" s="2"/>
      <c r="I40" s="2">
        <f t="shared" si="4"/>
        <v>15.041666666666663</v>
      </c>
      <c r="J40" s="2"/>
      <c r="K40" s="2">
        <f t="shared" si="5"/>
        <v>20.384105960264904</v>
      </c>
      <c r="R40" s="2">
        <f t="shared" si="11"/>
        <v>15.199718110099001</v>
      </c>
      <c r="S40" s="2"/>
      <c r="T40" s="2">
        <f t="shared" si="12"/>
        <v>20.598293486254768</v>
      </c>
    </row>
    <row r="41" spans="1:20" x14ac:dyDescent="0.2">
      <c r="A41">
        <v>39</v>
      </c>
      <c r="B41" s="2">
        <f t="shared" si="0"/>
        <v>202.99521761657124</v>
      </c>
      <c r="C41" s="1">
        <f t="shared" si="8"/>
        <v>4.926224429034856</v>
      </c>
      <c r="D41" s="2">
        <f t="shared" si="9"/>
        <v>1.5824175824175828</v>
      </c>
      <c r="E41" s="2">
        <f t="shared" si="10"/>
        <v>499.68053567155994</v>
      </c>
      <c r="G41" s="2">
        <f>IF(B41&gt;B$66,IF(B41&gt;B$12,B41,B$12-(B$12-B41)*k__),B$26)</f>
        <v>384.68846795239119</v>
      </c>
      <c r="H41" s="2"/>
      <c r="I41" s="2">
        <f t="shared" si="4"/>
        <v>15.84375</v>
      </c>
      <c r="J41" s="2"/>
      <c r="K41" s="2">
        <f t="shared" si="5"/>
        <v>20.579804560260587</v>
      </c>
      <c r="R41" s="2">
        <f t="shared" si="11"/>
        <v>16.010229394363286</v>
      </c>
      <c r="S41" s="2"/>
      <c r="T41" s="2">
        <f t="shared" si="12"/>
        <v>20.796048404003827</v>
      </c>
    </row>
    <row r="42" spans="1:20" x14ac:dyDescent="0.2">
      <c r="A42">
        <v>40</v>
      </c>
      <c r="B42" s="2">
        <f t="shared" si="0"/>
        <v>197.92033717615698</v>
      </c>
      <c r="C42" s="1">
        <f t="shared" si="8"/>
        <v>5.0525378759331856</v>
      </c>
      <c r="D42" s="2">
        <f t="shared" si="9"/>
        <v>1.5428571428571429</v>
      </c>
      <c r="E42" s="2">
        <f t="shared" si="10"/>
        <v>475.00880922277679</v>
      </c>
      <c r="G42" s="2">
        <f>IF(B42&gt;B$66,IF(B42&gt;B$12,B42,B$12-(B$12-B42)*k__),B$26)</f>
        <v>381.17990863556156</v>
      </c>
      <c r="H42" s="2"/>
      <c r="I42" s="2">
        <f t="shared" si="4"/>
        <v>16.666666666666664</v>
      </c>
      <c r="J42" s="2"/>
      <c r="K42" s="2">
        <f t="shared" si="5"/>
        <v>20.76923076923077</v>
      </c>
      <c r="R42" s="2">
        <f t="shared" si="11"/>
        <v>16.841792919777287</v>
      </c>
      <c r="S42" s="2"/>
      <c r="T42" s="2">
        <f t="shared" si="12"/>
        <v>20.987465023107085</v>
      </c>
    </row>
    <row r="43" spans="1:20" x14ac:dyDescent="0.2">
      <c r="A43">
        <v>41</v>
      </c>
      <c r="B43" s="2">
        <f t="shared" si="0"/>
        <v>193.09301187917754</v>
      </c>
      <c r="C43" s="1">
        <f t="shared" si="8"/>
        <v>5.1788513228315152</v>
      </c>
      <c r="D43" s="2">
        <f t="shared" si="9"/>
        <v>1.5052264808362372</v>
      </c>
      <c r="E43" s="2">
        <f t="shared" si="10"/>
        <v>452.12022293661079</v>
      </c>
      <c r="G43" s="2">
        <f>IF(B43&gt;B$66,IF(B43&gt;B$12,B43,B$12-(B$12-B43)*k__),B$26)</f>
        <v>377.84249855369922</v>
      </c>
      <c r="H43" s="2"/>
      <c r="I43" s="2">
        <f t="shared" si="4"/>
        <v>17.510416666666668</v>
      </c>
      <c r="J43" s="2"/>
      <c r="K43" s="2">
        <f t="shared" si="5"/>
        <v>20.952681388012621</v>
      </c>
      <c r="R43" s="2">
        <f t="shared" si="11"/>
        <v>17.694408686341013</v>
      </c>
      <c r="S43" s="2"/>
      <c r="T43" s="2">
        <f t="shared" si="12"/>
        <v>21.172843263058819</v>
      </c>
    </row>
    <row r="44" spans="1:20" x14ac:dyDescent="0.2">
      <c r="A44">
        <v>42</v>
      </c>
      <c r="B44" s="2">
        <f t="shared" si="0"/>
        <v>188.49555921538757</v>
      </c>
      <c r="C44" s="1">
        <f t="shared" si="8"/>
        <v>5.3051647697298447</v>
      </c>
      <c r="D44" s="2">
        <f t="shared" si="9"/>
        <v>1.4693877551020409</v>
      </c>
      <c r="E44" s="2">
        <f t="shared" si="10"/>
        <v>430.84699249231437</v>
      </c>
      <c r="G44" s="2">
        <f>IF(B44&gt;B$66,IF(B44&gt;B$12,B44,B$12-(B$12-B44)*k__),B$26)</f>
        <v>374.66401276144938</v>
      </c>
      <c r="H44" s="2"/>
      <c r="I44" s="2">
        <f t="shared" si="4"/>
        <v>18.375000000000007</v>
      </c>
      <c r="J44" s="2"/>
      <c r="K44" s="2">
        <f t="shared" si="5"/>
        <v>21.130434782608699</v>
      </c>
      <c r="R44" s="2">
        <f t="shared" si="11"/>
        <v>18.568076694054465</v>
      </c>
      <c r="S44" s="2"/>
      <c r="T44" s="2">
        <f t="shared" si="12"/>
        <v>21.352464414813294</v>
      </c>
    </row>
    <row r="45" spans="1:20" x14ac:dyDescent="0.2">
      <c r="A45">
        <v>43</v>
      </c>
      <c r="B45" s="2">
        <f t="shared" si="0"/>
        <v>184.11194155921578</v>
      </c>
      <c r="C45" s="1">
        <f t="shared" si="8"/>
        <v>5.4314782166281743</v>
      </c>
      <c r="D45" s="2">
        <f t="shared" si="9"/>
        <v>1.4352159468438541</v>
      </c>
      <c r="E45" s="2">
        <f t="shared" si="10"/>
        <v>411.04061371359796</v>
      </c>
      <c r="G45" s="2">
        <f>IF(B45&gt;B$66,IF(B45&gt;B$12,B45,B$12-(B$12-B45)*k__),B$26)</f>
        <v>371.63336351767629</v>
      </c>
      <c r="H45" s="2"/>
      <c r="I45" s="2">
        <f t="shared" si="4"/>
        <v>19.260416666666671</v>
      </c>
      <c r="J45" s="2"/>
      <c r="K45" s="2">
        <f t="shared" si="5"/>
        <v>21.302752293577985</v>
      </c>
      <c r="R45" s="2">
        <f t="shared" si="11"/>
        <v>19.462796942917631</v>
      </c>
      <c r="S45" s="2"/>
      <c r="T45" s="2">
        <f t="shared" si="12"/>
        <v>21.526592564985062</v>
      </c>
    </row>
    <row r="46" spans="1:20" x14ac:dyDescent="0.2">
      <c r="A46">
        <v>44</v>
      </c>
      <c r="B46" s="2">
        <f t="shared" si="0"/>
        <v>179.92757925105178</v>
      </c>
      <c r="C46" s="1">
        <f t="shared" si="8"/>
        <v>5.5577916635265039</v>
      </c>
      <c r="D46" s="2">
        <f t="shared" si="9"/>
        <v>1.4025974025974031</v>
      </c>
      <c r="E46" s="2">
        <f t="shared" si="10"/>
        <v>392.56926382047658</v>
      </c>
      <c r="G46" s="2">
        <f>IF(B46&gt;B$66,IF(B46&gt;B$12,B46,B$12-(B$12-B46)*k__),B$26)</f>
        <v>368.74047105771109</v>
      </c>
      <c r="H46" s="2"/>
      <c r="I46" s="2">
        <f t="shared" si="4"/>
        <v>20.166666666666668</v>
      </c>
      <c r="J46" s="2"/>
      <c r="K46" s="2">
        <f t="shared" si="5"/>
        <v>21.46987951807229</v>
      </c>
      <c r="R46" s="2">
        <f t="shared" si="11"/>
        <v>20.378569432930522</v>
      </c>
      <c r="S46" s="2"/>
      <c r="T46" s="2">
        <f t="shared" si="12"/>
        <v>21.695475891356477</v>
      </c>
    </row>
    <row r="47" spans="1:20" x14ac:dyDescent="0.2">
      <c r="A47">
        <v>45</v>
      </c>
      <c r="B47" s="2">
        <f t="shared" si="0"/>
        <v>175.92918860102841</v>
      </c>
      <c r="C47" s="1">
        <f t="shared" si="8"/>
        <v>5.6841051104248335</v>
      </c>
      <c r="D47" s="2">
        <f t="shared" si="9"/>
        <v>1.3714285714285714</v>
      </c>
      <c r="E47" s="2">
        <f t="shared" si="10"/>
        <v>375.31560234886064</v>
      </c>
      <c r="G47" s="2">
        <f>IF(B47&gt;B$66,IF(B47&gt;B$12,B47,B$12-(B$12-B47)*k__),B$26)</f>
        <v>365.97615159596648</v>
      </c>
      <c r="H47" s="2"/>
      <c r="I47" s="2">
        <f t="shared" si="4"/>
        <v>21.09375</v>
      </c>
      <c r="J47" s="2"/>
      <c r="K47" s="2">
        <f t="shared" si="5"/>
        <v>21.632047477744813</v>
      </c>
      <c r="R47" s="2">
        <f t="shared" si="11"/>
        <v>21.315394164093131</v>
      </c>
      <c r="S47" s="2"/>
      <c r="T47" s="2">
        <f t="shared" si="12"/>
        <v>21.859347843058121</v>
      </c>
    </row>
    <row r="48" spans="1:20" x14ac:dyDescent="0.2">
      <c r="A48">
        <v>46</v>
      </c>
      <c r="B48" s="2">
        <f t="shared" si="0"/>
        <v>172.1046410227452</v>
      </c>
      <c r="C48" s="1">
        <f t="shared" si="8"/>
        <v>5.810418557323163</v>
      </c>
      <c r="D48" s="2">
        <f t="shared" si="9"/>
        <v>1.3416149068322984</v>
      </c>
      <c r="E48" s="2">
        <f t="shared" si="10"/>
        <v>359.17490300398998</v>
      </c>
      <c r="G48" s="2">
        <f>IF(B48&gt;B$66,IF(B48&gt;B$12,B48,B$12-(B$12-B48)*k__),B$26)</f>
        <v>363.33201993690648</v>
      </c>
      <c r="H48" s="2"/>
      <c r="I48" s="2">
        <f t="shared" si="4"/>
        <v>22.041666666666661</v>
      </c>
      <c r="J48" s="2"/>
      <c r="K48" s="2">
        <f t="shared" si="5"/>
        <v>21.789473684210531</v>
      </c>
      <c r="R48" s="2">
        <f t="shared" si="11"/>
        <v>22.273271136405462</v>
      </c>
      <c r="S48" s="2"/>
      <c r="T48" s="2">
        <f t="shared" si="12"/>
        <v>22.018428217224624</v>
      </c>
    </row>
    <row r="49" spans="1:20" x14ac:dyDescent="0.2">
      <c r="A49">
        <v>47</v>
      </c>
      <c r="B49" s="2">
        <f t="shared" si="0"/>
        <v>168.44284014992081</v>
      </c>
      <c r="C49" s="1">
        <f t="shared" si="8"/>
        <v>5.9367320042214935</v>
      </c>
      <c r="D49" s="2">
        <f t="shared" si="9"/>
        <v>1.3130699088145896</v>
      </c>
      <c r="E49" s="2">
        <f t="shared" si="10"/>
        <v>344.05346073175309</v>
      </c>
      <c r="G49" s="2">
        <f>IF(B49&gt;B$66,IF(B49&gt;B$12,B49,B$12-(B$12-B49)*k__),B$26)</f>
        <v>360.8004045186575</v>
      </c>
      <c r="H49" s="2"/>
      <c r="I49" s="2">
        <f t="shared" si="4"/>
        <v>23.010416666666671</v>
      </c>
      <c r="J49" s="2"/>
      <c r="K49" s="2">
        <f t="shared" si="5"/>
        <v>21.942363112391934</v>
      </c>
      <c r="R49" s="2">
        <f t="shared" si="11"/>
        <v>23.252200349867525</v>
      </c>
      <c r="S49" s="2"/>
      <c r="T49" s="2">
        <f t="shared" si="12"/>
        <v>22.17292414256789</v>
      </c>
    </row>
    <row r="50" spans="1:20" x14ac:dyDescent="0.2">
      <c r="A50">
        <v>48</v>
      </c>
      <c r="B50" s="2">
        <f t="shared" si="0"/>
        <v>164.93361431346415</v>
      </c>
      <c r="C50" s="1">
        <f t="shared" si="8"/>
        <v>6.0630454511198222</v>
      </c>
      <c r="D50" s="2">
        <f t="shared" si="9"/>
        <v>1.2857142857142858</v>
      </c>
      <c r="E50" s="2">
        <f t="shared" si="10"/>
        <v>329.86722862692829</v>
      </c>
      <c r="G50" s="2">
        <f>IF(B50&gt;B$66,IF(B50&gt;B$12,B50,B$12-(B$12-B50)*k__),B$26)</f>
        <v>358.374273076169</v>
      </c>
      <c r="H50" s="2"/>
      <c r="I50" s="2">
        <f t="shared" si="4"/>
        <v>23.999999999999996</v>
      </c>
      <c r="J50" s="2"/>
      <c r="K50" s="2">
        <f t="shared" si="5"/>
        <v>22.09090909090909</v>
      </c>
      <c r="R50" s="2">
        <f t="shared" si="11"/>
        <v>24.252181804479296</v>
      </c>
      <c r="S50" s="2"/>
      <c r="T50" s="2">
        <f t="shared" si="12"/>
        <v>22.323030979122986</v>
      </c>
    </row>
    <row r="51" spans="1:20" x14ac:dyDescent="0.2">
      <c r="A51">
        <v>49</v>
      </c>
      <c r="B51" s="2">
        <f t="shared" si="0"/>
        <v>161.56762218461793</v>
      </c>
      <c r="C51" s="1">
        <f t="shared" si="8"/>
        <v>6.1893588980181518</v>
      </c>
      <c r="D51" s="2">
        <f t="shared" si="9"/>
        <v>1.2594752186588924</v>
      </c>
      <c r="E51" s="2">
        <f t="shared" si="10"/>
        <v>316.54064754537393</v>
      </c>
      <c r="G51" s="2">
        <f>IF(B51&gt;B$66,IF(B51&gt;B$12,B51,B$12-(B$12-B51)*k__),B$26)</f>
        <v>356.04716740684319</v>
      </c>
      <c r="H51" s="2"/>
      <c r="I51" s="2">
        <f t="shared" si="4"/>
        <v>25.010416666666668</v>
      </c>
      <c r="J51" s="2"/>
      <c r="K51" s="2">
        <f t="shared" si="5"/>
        <v>22.235294117647062</v>
      </c>
      <c r="R51" s="2">
        <f t="shared" si="11"/>
        <v>25.273215500240791</v>
      </c>
      <c r="S51" s="2"/>
      <c r="T51" s="2">
        <f t="shared" si="12"/>
        <v>22.468933142385232</v>
      </c>
    </row>
    <row r="52" spans="1:20" x14ac:dyDescent="0.2">
      <c r="A52">
        <v>50</v>
      </c>
      <c r="B52" s="2">
        <f t="shared" ref="B52:B60" si="13">3.6/A52*wheelDiameter*PI()</f>
        <v>158.33626974092559</v>
      </c>
      <c r="C52" s="1">
        <f t="shared" si="8"/>
        <v>6.3156723449164813</v>
      </c>
      <c r="D52" s="2">
        <f t="shared" si="9"/>
        <v>1.2342857142857147</v>
      </c>
      <c r="E52" s="2">
        <f t="shared" ref="E52:E60" si="14">k_*B52^2</f>
        <v>304.00563790257718</v>
      </c>
      <c r="G52" s="2">
        <f>IF(B52&gt;B$66,IF(B52&gt;B$12,B52,B$12-(B$12-B52)*k__),B$26)</f>
        <v>353.81314596429041</v>
      </c>
      <c r="H52" s="2"/>
      <c r="I52" s="2">
        <f t="shared" ref="I52:I60" si="15">3.6/E52*PI()*wheelDiameter</f>
        <v>26.041666666666661</v>
      </c>
      <c r="J52" s="2"/>
      <c r="K52" s="2">
        <f t="shared" ref="K52:K60" si="16">3.6/G52*PI()*wheelDiameter</f>
        <v>22.375690607734807</v>
      </c>
    </row>
    <row r="53" spans="1:20" x14ac:dyDescent="0.2">
      <c r="A53">
        <v>51</v>
      </c>
      <c r="B53" s="2">
        <f t="shared" si="13"/>
        <v>155.23163700090743</v>
      </c>
      <c r="C53" s="1">
        <f t="shared" si="8"/>
        <v>6.4419857918148118</v>
      </c>
      <c r="D53" s="2">
        <f t="shared" si="9"/>
        <v>1.2100840336134455</v>
      </c>
      <c r="E53" s="2">
        <f t="shared" si="14"/>
        <v>292.2007284722963</v>
      </c>
      <c r="G53" s="2">
        <f>IF(B53&gt;B$66,IF(B53&gt;B$12,B53,B$12-(B$12-B53)*k__),B$26)</f>
        <v>351.66673320575939</v>
      </c>
      <c r="H53" s="2"/>
      <c r="I53" s="2">
        <f t="shared" si="15"/>
        <v>27.093750000000004</v>
      </c>
      <c r="J53" s="2"/>
      <c r="K53" s="2">
        <f t="shared" si="16"/>
        <v>22.512261580381473</v>
      </c>
    </row>
    <row r="54" spans="1:20" x14ac:dyDescent="0.2">
      <c r="A54">
        <v>52</v>
      </c>
      <c r="B54" s="2">
        <f t="shared" si="13"/>
        <v>152.24641321242845</v>
      </c>
      <c r="C54" s="1">
        <f t="shared" si="8"/>
        <v>6.5682992387131405</v>
      </c>
      <c r="D54" s="2">
        <f t="shared" si="9"/>
        <v>1.186813186813187</v>
      </c>
      <c r="E54" s="2">
        <f t="shared" si="14"/>
        <v>281.07030131525255</v>
      </c>
      <c r="G54" s="2">
        <f>IF(B54&gt;B$66,IF(B54&gt;B$12,B54,B$12-(B$12-B54)*k__),B$26)</f>
        <v>349.60287478409492</v>
      </c>
      <c r="H54" s="2"/>
      <c r="I54" s="2">
        <f t="shared" si="15"/>
        <v>28.166666666666664</v>
      </c>
      <c r="J54" s="2"/>
      <c r="K54" s="2">
        <f t="shared" si="16"/>
        <v>22.64516129032258</v>
      </c>
    </row>
    <row r="55" spans="1:20" x14ac:dyDescent="0.2">
      <c r="A55">
        <v>53</v>
      </c>
      <c r="B55" s="2">
        <f t="shared" si="13"/>
        <v>149.37383937823168</v>
      </c>
      <c r="C55" s="1">
        <f t="shared" si="8"/>
        <v>6.69461268561147</v>
      </c>
      <c r="D55" s="2">
        <f t="shared" si="9"/>
        <v>1.1644204851752025</v>
      </c>
      <c r="E55" s="2">
        <f t="shared" si="14"/>
        <v>270.56393547755169</v>
      </c>
      <c r="G55" s="2">
        <f>IF(B55&gt;B$66,IF(B55&gt;B$12,B55,B$12-(B$12-B55)*k__),B$26)</f>
        <v>347.6168978123045</v>
      </c>
      <c r="H55" s="2"/>
      <c r="I55" s="2">
        <f t="shared" si="15"/>
        <v>29.260416666666668</v>
      </c>
      <c r="J55" s="2"/>
      <c r="K55" s="2">
        <f t="shared" si="16"/>
        <v>22.774535809018573</v>
      </c>
    </row>
    <row r="56" spans="1:20" x14ac:dyDescent="0.2">
      <c r="A56">
        <v>54</v>
      </c>
      <c r="B56" s="2">
        <f t="shared" si="13"/>
        <v>146.60765716752368</v>
      </c>
      <c r="C56" s="1">
        <f t="shared" si="8"/>
        <v>6.8209261325098005</v>
      </c>
      <c r="D56" s="2">
        <f t="shared" si="9"/>
        <v>1.142857142857143</v>
      </c>
      <c r="E56" s="2">
        <f t="shared" si="14"/>
        <v>260.63583496448655</v>
      </c>
      <c r="G56" s="2">
        <f>IF(B56&gt;B$66,IF(B56&gt;B$12,B56,B$12-(B$12-B56)*k__),B$26)</f>
        <v>345.70447554317309</v>
      </c>
      <c r="H56" s="2"/>
      <c r="I56" s="2">
        <f t="shared" si="15"/>
        <v>30.375</v>
      </c>
      <c r="J56" s="2"/>
      <c r="K56" s="2">
        <f t="shared" si="16"/>
        <v>22.900523560209425</v>
      </c>
    </row>
    <row r="57" spans="1:20" x14ac:dyDescent="0.2">
      <c r="A57">
        <v>55</v>
      </c>
      <c r="B57" s="2">
        <f t="shared" si="13"/>
        <v>143.94206340084145</v>
      </c>
      <c r="C57" s="1">
        <f t="shared" si="8"/>
        <v>6.9472395794081292</v>
      </c>
      <c r="D57" s="2">
        <f t="shared" si="9"/>
        <v>1.1220779220779225</v>
      </c>
      <c r="E57" s="2">
        <f t="shared" si="14"/>
        <v>251.24432884510512</v>
      </c>
      <c r="G57" s="2">
        <f>IF(B57&gt;B$66,IF(B57&gt;B$12,B57,B$12-(B$12-B57)*k__),B$26)</f>
        <v>343.86159590201004</v>
      </c>
      <c r="H57" s="2"/>
      <c r="I57" s="2">
        <f t="shared" si="15"/>
        <v>31.510416666666657</v>
      </c>
      <c r="J57" s="2"/>
      <c r="K57" s="2">
        <f t="shared" si="16"/>
        <v>23.02325581395349</v>
      </c>
    </row>
    <row r="58" spans="1:20" x14ac:dyDescent="0.2">
      <c r="A58">
        <v>56</v>
      </c>
      <c r="B58" s="2">
        <f t="shared" si="13"/>
        <v>141.37166941154072</v>
      </c>
      <c r="C58" s="1">
        <f t="shared" si="8"/>
        <v>7.0735530263064579</v>
      </c>
      <c r="D58" s="2">
        <f t="shared" si="9"/>
        <v>1.1020408163265309</v>
      </c>
      <c r="E58" s="2">
        <f t="shared" si="14"/>
        <v>242.35143327692703</v>
      </c>
      <c r="G58" s="2">
        <f>IF(B58&gt;B$66,IF(B58&gt;B$12,B58,B$12-(B$12-B58)*k__),B$26)</f>
        <v>342.08453339088862</v>
      </c>
      <c r="H58" s="2"/>
      <c r="I58" s="2">
        <f t="shared" si="15"/>
        <v>32.66666666666665</v>
      </c>
      <c r="J58" s="2"/>
      <c r="K58" s="2">
        <f t="shared" si="16"/>
        <v>23.142857142857142</v>
      </c>
    </row>
    <row r="59" spans="1:20" x14ac:dyDescent="0.2">
      <c r="A59">
        <v>57</v>
      </c>
      <c r="B59" s="2">
        <f t="shared" si="13"/>
        <v>138.89146468502244</v>
      </c>
      <c r="C59" s="1">
        <f t="shared" si="8"/>
        <v>7.1998664732047892</v>
      </c>
      <c r="D59" s="2">
        <f t="shared" si="9"/>
        <v>1.0827067669172932</v>
      </c>
      <c r="E59" s="2">
        <f t="shared" si="14"/>
        <v>233.92246683793257</v>
      </c>
      <c r="G59" s="2">
        <f>IF(B59&gt;B$66,IF(B59&gt;B$12,B59,B$12-(B$12-B59)*k__),B$26)</f>
        <v>340.36982395033272</v>
      </c>
      <c r="H59" s="2"/>
      <c r="I59" s="2">
        <f t="shared" si="15"/>
        <v>33.843749999999993</v>
      </c>
      <c r="J59" s="2"/>
      <c r="K59" s="2">
        <f t="shared" si="16"/>
        <v>23.259445843828718</v>
      </c>
    </row>
    <row r="60" spans="1:20" x14ac:dyDescent="0.2">
      <c r="A60">
        <v>58</v>
      </c>
      <c r="B60" s="2">
        <f t="shared" si="13"/>
        <v>136.4967842594186</v>
      </c>
      <c r="C60" s="1">
        <f t="shared" si="8"/>
        <v>7.3261799201031188</v>
      </c>
      <c r="D60" s="2">
        <f t="shared" si="9"/>
        <v>1.0640394088669953</v>
      </c>
      <c r="E60" s="2">
        <f t="shared" si="14"/>
        <v>225.92571187765839</v>
      </c>
      <c r="G60" s="2">
        <f>IF(B60&gt;B$66,IF(B60&gt;B$12,B60,B$12-(B$12-B60)*k__),B$26)</f>
        <v>338.71424242152023</v>
      </c>
      <c r="H60" s="2"/>
      <c r="I60" s="2">
        <f t="shared" si="15"/>
        <v>35.041666666666664</v>
      </c>
      <c r="J60" s="2"/>
      <c r="K60" s="2">
        <f t="shared" si="16"/>
        <v>23.373134328358212</v>
      </c>
    </row>
    <row r="61" spans="1:20" x14ac:dyDescent="0.2">
      <c r="A61">
        <v>59</v>
      </c>
      <c r="B61" s="2">
        <f t="shared" ref="B61:B65" si="17">3.6/A61*wheelDiameter*PI()</f>
        <v>134.18327944146236</v>
      </c>
      <c r="C61" s="1">
        <f t="shared" si="8"/>
        <v>7.4524933670014484</v>
      </c>
      <c r="D61" s="2">
        <f t="shared" si="9"/>
        <v>1.0460048426150121</v>
      </c>
      <c r="E61" s="2">
        <f t="shared" ref="E61:E65" si="18">k_*B61^2</f>
        <v>218.33211570136251</v>
      </c>
      <c r="G61" s="2">
        <f>IF(B61&gt;B$66,IF(B61&gt;B$12,B61,B$12-(B$12-B61)*k__),B$26)</f>
        <v>337.11478230046401</v>
      </c>
      <c r="H61" s="2"/>
      <c r="I61" s="2">
        <f t="shared" ref="I61:I65" si="19">3.6/E61*PI()*wheelDiameter</f>
        <v>36.260416666666664</v>
      </c>
      <c r="J61" s="2"/>
      <c r="K61" s="2">
        <f t="shared" ref="K61:K65" si="20">3.6/G61*PI()*wheelDiameter</f>
        <v>23.484029484029488</v>
      </c>
    </row>
    <row r="62" spans="1:20" x14ac:dyDescent="0.2">
      <c r="A62">
        <v>60</v>
      </c>
      <c r="B62" s="2">
        <f t="shared" si="17"/>
        <v>131.94689145077132</v>
      </c>
      <c r="C62" s="1">
        <f t="shared" si="8"/>
        <v>7.5788068138997779</v>
      </c>
      <c r="D62" s="2">
        <f t="shared" si="9"/>
        <v>1.0285714285714287</v>
      </c>
      <c r="E62" s="2">
        <f t="shared" si="18"/>
        <v>211.1150263212341</v>
      </c>
      <c r="G62" s="2">
        <f>IF(B62&gt;B$66,IF(B62&gt;B$12,B62,B$12-(B$12-B62)*k__),B$26)</f>
        <v>335.56863751677639</v>
      </c>
      <c r="H62" s="2"/>
      <c r="I62" s="2">
        <f t="shared" si="19"/>
        <v>37.5</v>
      </c>
      <c r="J62" s="2"/>
      <c r="K62" s="2">
        <f t="shared" si="20"/>
        <v>23.592233009708739</v>
      </c>
    </row>
    <row r="63" spans="1:20" x14ac:dyDescent="0.2">
      <c r="A63">
        <v>61</v>
      </c>
      <c r="B63" s="2">
        <f t="shared" si="17"/>
        <v>129.78382765649636</v>
      </c>
      <c r="C63" s="1">
        <f t="shared" si="8"/>
        <v>7.7051202607981084</v>
      </c>
      <c r="D63" s="2">
        <f t="shared" si="9"/>
        <v>1.0117096018735363</v>
      </c>
      <c r="E63" s="2">
        <f t="shared" si="18"/>
        <v>204.2499582790762</v>
      </c>
      <c r="G63" s="2">
        <f>IF(B63&gt;B$66,IF(B63&gt;B$12,B63,B$12-(B$12-B63)*k__),B$26)</f>
        <v>334.07318600468506</v>
      </c>
      <c r="H63" s="2"/>
      <c r="I63" s="2">
        <f t="shared" si="19"/>
        <v>38.760416666666679</v>
      </c>
      <c r="J63" s="2"/>
      <c r="K63" s="2">
        <f t="shared" si="20"/>
        <v>23.697841726618709</v>
      </c>
    </row>
    <row r="64" spans="1:20" x14ac:dyDescent="0.2">
      <c r="A64">
        <v>62</v>
      </c>
      <c r="B64" s="2">
        <f t="shared" si="17"/>
        <v>127.69054011364966</v>
      </c>
      <c r="C64" s="1">
        <f t="shared" si="8"/>
        <v>7.8314337076964371</v>
      </c>
      <c r="D64" s="2">
        <f t="shared" si="9"/>
        <v>0.99539170506912455</v>
      </c>
      <c r="E64" s="2">
        <f t="shared" si="18"/>
        <v>197.7143846921027</v>
      </c>
      <c r="G64" s="2">
        <f>IF(B64&gt;B$66,IF(B64&gt;B$12,B64,B$12-(B$12-B64)*k__),B$26)</f>
        <v>332.62597486395151</v>
      </c>
      <c r="H64" s="2"/>
      <c r="I64" s="2">
        <f t="shared" si="19"/>
        <v>40.041666666666671</v>
      </c>
      <c r="J64" s="2"/>
      <c r="K64" s="2">
        <f t="shared" si="20"/>
        <v>23.800947867298586</v>
      </c>
    </row>
    <row r="65" spans="1:11" x14ac:dyDescent="0.2">
      <c r="A65">
        <v>63</v>
      </c>
      <c r="B65" s="2">
        <f t="shared" si="17"/>
        <v>125.66370614359172</v>
      </c>
      <c r="C65" s="1">
        <f t="shared" si="8"/>
        <v>7.9577471545947667</v>
      </c>
      <c r="D65" s="2">
        <f t="shared" si="9"/>
        <v>0.97959183673469408</v>
      </c>
      <c r="E65" s="2">
        <f t="shared" si="18"/>
        <v>191.48755221880643</v>
      </c>
      <c r="G65" s="2">
        <f>IF(B65&gt;B$66,IF(B65&gt;B$12,B65,B$12-(B$12-B65)*k__),B$26)</f>
        <v>331.22470693403494</v>
      </c>
      <c r="H65" s="2"/>
      <c r="I65" s="2">
        <f t="shared" si="19"/>
        <v>41.34375</v>
      </c>
      <c r="J65" s="2"/>
      <c r="K65" s="2">
        <f t="shared" si="20"/>
        <v>23.901639344262296</v>
      </c>
    </row>
    <row r="66" spans="1:11" x14ac:dyDescent="0.2">
      <c r="A66">
        <v>64</v>
      </c>
      <c r="B66" s="2">
        <f t="shared" ref="B66:B75" si="21">3.6/A66*wheelDiameter*PI()</f>
        <v>123.70021073509811</v>
      </c>
      <c r="C66" s="1">
        <f t="shared" si="8"/>
        <v>8.0840606014930962</v>
      </c>
      <c r="D66" s="2">
        <f t="shared" si="9"/>
        <v>0.96428571428571452</v>
      </c>
      <c r="E66" s="2">
        <f t="shared" ref="E66:E75" si="22">k_*B66^2</f>
        <v>185.55031610264717</v>
      </c>
      <c r="G66" s="2">
        <f>IF(B66&gt;B$66,IF(B66&gt;B$12,B66,B$12-(B$12-B66)*k__),B$26)</f>
        <v>329.86722862692829</v>
      </c>
      <c r="H66" s="2"/>
      <c r="I66" s="2">
        <f t="shared" ref="I66:I75" si="23">3.6/E66*PI()*wheelDiameter</f>
        <v>42.666666666666664</v>
      </c>
      <c r="J66" s="2"/>
      <c r="K66" s="2">
        <f t="shared" ref="K66:K75" si="24">3.6/G66*PI()*wheelDiameter</f>
        <v>23.999999999999996</v>
      </c>
    </row>
    <row r="67" spans="1:11" x14ac:dyDescent="0.2">
      <c r="A67">
        <v>65</v>
      </c>
      <c r="B67" s="2">
        <f t="shared" si="21"/>
        <v>121.79713056994277</v>
      </c>
      <c r="C67" s="1">
        <f t="shared" si="8"/>
        <v>8.2103740483914258</v>
      </c>
      <c r="D67" s="2">
        <f t="shared" si="9"/>
        <v>0.94945054945054963</v>
      </c>
      <c r="E67" s="2">
        <f t="shared" si="22"/>
        <v>179.88499284176166</v>
      </c>
      <c r="G67" s="2">
        <f>IF(B67&gt;B$66,IF(B67&gt;B$12,B67,B$12-(B$12-B67)*k__),B$26)</f>
        <v>329.86722862692829</v>
      </c>
      <c r="H67" s="2"/>
      <c r="I67" s="2">
        <f t="shared" si="23"/>
        <v>44.010416666666657</v>
      </c>
      <c r="J67" s="2"/>
      <c r="K67" s="2">
        <f t="shared" si="24"/>
        <v>23.999999999999996</v>
      </c>
    </row>
    <row r="68" spans="1:11" x14ac:dyDescent="0.2">
      <c r="A68">
        <v>66</v>
      </c>
      <c r="B68" s="2">
        <f t="shared" si="21"/>
        <v>119.9517195007012</v>
      </c>
      <c r="C68" s="1">
        <f t="shared" si="8"/>
        <v>8.3366874952897554</v>
      </c>
      <c r="D68" s="2">
        <f t="shared" si="9"/>
        <v>0.93506493506493515</v>
      </c>
      <c r="E68" s="2">
        <f t="shared" si="22"/>
        <v>174.47522836465629</v>
      </c>
      <c r="G68" s="2">
        <f>IF(B68&gt;B$66,IF(B68&gt;B$12,B68,B$12-(B$12-B68)*k__),B$26)</f>
        <v>329.86722862692829</v>
      </c>
      <c r="H68" s="2"/>
      <c r="I68" s="2">
        <f t="shared" si="23"/>
        <v>45.375</v>
      </c>
      <c r="J68" s="2"/>
      <c r="K68" s="2">
        <f t="shared" si="24"/>
        <v>23.999999999999996</v>
      </c>
    </row>
    <row r="69" spans="1:11" x14ac:dyDescent="0.2">
      <c r="A69">
        <v>67</v>
      </c>
      <c r="B69" s="2">
        <f t="shared" si="21"/>
        <v>118.16139532904893</v>
      </c>
      <c r="C69" s="1">
        <f t="shared" si="8"/>
        <v>8.4630009421880867</v>
      </c>
      <c r="D69" s="2">
        <f t="shared" si="9"/>
        <v>0.92110874200426429</v>
      </c>
      <c r="E69" s="2">
        <f t="shared" si="22"/>
        <v>169.30587987445816</v>
      </c>
      <c r="G69" s="2">
        <f>IF(B69&gt;B$66,IF(B69&gt;B$12,B69,B$12-(B$12-B69)*k__),B$26)</f>
        <v>329.86722862692829</v>
      </c>
      <c r="H69" s="2"/>
      <c r="I69" s="2">
        <f t="shared" si="23"/>
        <v>46.760416666666671</v>
      </c>
      <c r="J69" s="2"/>
      <c r="K69" s="2">
        <f t="shared" si="24"/>
        <v>23.999999999999996</v>
      </c>
    </row>
    <row r="70" spans="1:11" x14ac:dyDescent="0.2">
      <c r="A70">
        <v>68</v>
      </c>
      <c r="B70" s="2">
        <f t="shared" si="21"/>
        <v>116.42372775068056</v>
      </c>
      <c r="C70" s="1">
        <f t="shared" si="8"/>
        <v>8.5893143890864163</v>
      </c>
      <c r="D70" s="2">
        <f t="shared" si="9"/>
        <v>0.90756302521008403</v>
      </c>
      <c r="E70" s="2">
        <f t="shared" si="22"/>
        <v>164.36290976566664</v>
      </c>
      <c r="G70" s="2">
        <f>IF(B70&gt;B$66,IF(B70&gt;B$12,B70,B$12-(B$12-B70)*k__),B$26)</f>
        <v>329.86722862692829</v>
      </c>
      <c r="H70" s="2"/>
      <c r="I70" s="2">
        <f t="shared" si="23"/>
        <v>48.166666666666671</v>
      </c>
      <c r="J70" s="2"/>
      <c r="K70" s="2">
        <f t="shared" si="24"/>
        <v>23.999999999999996</v>
      </c>
    </row>
    <row r="71" spans="1:11" x14ac:dyDescent="0.2">
      <c r="A71">
        <v>69</v>
      </c>
      <c r="B71" s="2">
        <f t="shared" si="21"/>
        <v>114.7364273484968</v>
      </c>
      <c r="C71" s="1">
        <f t="shared" si="8"/>
        <v>8.7156278359847441</v>
      </c>
      <c r="D71" s="2">
        <f t="shared" si="9"/>
        <v>0.89440993788819889</v>
      </c>
      <c r="E71" s="2">
        <f t="shared" si="22"/>
        <v>159.63329022399557</v>
      </c>
      <c r="G71" s="2">
        <f>IF(B71&gt;B$66,IF(B71&gt;B$12,B71,B$12-(B$12-B71)*k__),B$26)</f>
        <v>329.86722862692829</v>
      </c>
      <c r="H71" s="2"/>
      <c r="I71" s="2">
        <f t="shared" si="23"/>
        <v>49.593749999999986</v>
      </c>
      <c r="J71" s="2"/>
      <c r="K71" s="2">
        <f t="shared" si="24"/>
        <v>23.999999999999996</v>
      </c>
    </row>
    <row r="72" spans="1:11" x14ac:dyDescent="0.2">
      <c r="A72">
        <v>70</v>
      </c>
      <c r="B72" s="2">
        <f t="shared" si="21"/>
        <v>113.09733552923255</v>
      </c>
      <c r="C72" s="1">
        <f t="shared" si="8"/>
        <v>8.8419412828830737</v>
      </c>
      <c r="D72" s="2">
        <f t="shared" si="9"/>
        <v>0.88163265306122474</v>
      </c>
      <c r="E72" s="2">
        <f t="shared" si="22"/>
        <v>155.10491729723321</v>
      </c>
      <c r="G72" s="2">
        <f>IF(B72&gt;B$66,IF(B72&gt;B$12,B72,B$12-(B$12-B72)*k__),B$26)</f>
        <v>329.86722862692829</v>
      </c>
      <c r="H72" s="2"/>
      <c r="I72" s="2">
        <f t="shared" si="23"/>
        <v>51.041666666666671</v>
      </c>
      <c r="J72" s="2"/>
      <c r="K72" s="2">
        <f t="shared" si="24"/>
        <v>23.999999999999996</v>
      </c>
    </row>
    <row r="73" spans="1:11" x14ac:dyDescent="0.2">
      <c r="A73">
        <v>71</v>
      </c>
      <c r="B73" s="2">
        <f t="shared" si="21"/>
        <v>111.50441531051096</v>
      </c>
      <c r="C73" s="1">
        <f t="shared" si="8"/>
        <v>8.968254729781405</v>
      </c>
      <c r="D73" s="2">
        <f t="shared" si="9"/>
        <v>0.86921529175050305</v>
      </c>
      <c r="E73" s="2">
        <f t="shared" si="22"/>
        <v>150.76653337759228</v>
      </c>
      <c r="G73" s="2">
        <f>IF(B73&gt;B$66,IF(B73&gt;B$12,B73,B$12-(B$12-B73)*k__),B$26)</f>
        <v>329.86722862692829</v>
      </c>
      <c r="H73" s="2"/>
      <c r="I73" s="2">
        <f t="shared" si="23"/>
        <v>52.510416666666671</v>
      </c>
      <c r="J73" s="2"/>
      <c r="K73" s="2">
        <f t="shared" si="24"/>
        <v>23.999999999999996</v>
      </c>
    </row>
    <row r="74" spans="1:11" x14ac:dyDescent="0.2">
      <c r="A74">
        <v>72</v>
      </c>
      <c r="B74" s="2">
        <f t="shared" si="21"/>
        <v>109.95574287564276</v>
      </c>
      <c r="C74" s="1">
        <f t="shared" si="8"/>
        <v>9.0945681766797346</v>
      </c>
      <c r="D74" s="2">
        <f t="shared" si="9"/>
        <v>0.8571428571428571</v>
      </c>
      <c r="E74" s="2">
        <f t="shared" si="22"/>
        <v>146.60765716752366</v>
      </c>
      <c r="G74" s="2">
        <f>IF(B74&gt;B$66,IF(B74&gt;B$12,B74,B$12-(B$12-B74)*k__),B$26)</f>
        <v>329.86722862692829</v>
      </c>
      <c r="H74" s="2"/>
      <c r="I74" s="2">
        <f t="shared" si="23"/>
        <v>54.000000000000007</v>
      </c>
      <c r="J74" s="2"/>
      <c r="K74" s="2">
        <f t="shared" si="24"/>
        <v>23.999999999999996</v>
      </c>
    </row>
    <row r="75" spans="1:11" x14ac:dyDescent="0.2">
      <c r="A75">
        <v>73</v>
      </c>
      <c r="B75" s="2">
        <f t="shared" si="21"/>
        <v>108.44949982255176</v>
      </c>
      <c r="C75" s="1">
        <f t="shared" si="8"/>
        <v>9.2208816235780642</v>
      </c>
      <c r="D75" s="2">
        <f t="shared" si="9"/>
        <v>0.84540117416829741</v>
      </c>
      <c r="E75" s="2">
        <f t="shared" si="22"/>
        <v>142.61852031458861</v>
      </c>
      <c r="G75" s="2">
        <f>IF(B75&gt;B$66,IF(B75&gt;B$12,B75,B$12-(B$12-B75)*k__),B$26)</f>
        <v>329.86722862692829</v>
      </c>
      <c r="H75" s="2"/>
      <c r="I75" s="2">
        <f t="shared" si="23"/>
        <v>55.510416666666664</v>
      </c>
      <c r="J75" s="2"/>
      <c r="K75" s="2">
        <f t="shared" si="24"/>
        <v>23.999999999999996</v>
      </c>
    </row>
    <row r="76" spans="1:11" x14ac:dyDescent="0.2">
      <c r="A76">
        <v>74</v>
      </c>
      <c r="B76" s="2">
        <f t="shared" ref="B76:B82" si="25">3.6/A76*wheelDiameter*PI()</f>
        <v>106.98396604116593</v>
      </c>
      <c r="C76" s="1">
        <f t="shared" si="8"/>
        <v>9.3471950704763938</v>
      </c>
      <c r="D76" s="2">
        <f t="shared" si="9"/>
        <v>0.83397683397683409</v>
      </c>
      <c r="E76" s="2">
        <f t="shared" ref="E76:E82" si="26">k_*B76^2</f>
        <v>138.79000999935039</v>
      </c>
      <c r="G76" s="2">
        <f>IF(B76&gt;B$66,IF(B76&gt;B$12,B76,B$12-(B$12-B76)*k__),B$26)</f>
        <v>329.86722862692829</v>
      </c>
      <c r="H76" s="2"/>
      <c r="I76" s="2">
        <f t="shared" ref="I76:I82" si="27">3.6/E76*PI()*wheelDiameter</f>
        <v>57.041666666666671</v>
      </c>
      <c r="J76" s="2"/>
      <c r="K76" s="2">
        <f t="shared" ref="K76:K82" si="28">3.6/G76*PI()*wheelDiameter</f>
        <v>23.999999999999996</v>
      </c>
    </row>
    <row r="77" spans="1:11" x14ac:dyDescent="0.2">
      <c r="A77">
        <v>75</v>
      </c>
      <c r="B77" s="2">
        <f t="shared" si="25"/>
        <v>105.55751316061705</v>
      </c>
      <c r="C77" s="1">
        <f t="shared" si="8"/>
        <v>9.4735085173747233</v>
      </c>
      <c r="D77" s="2">
        <f t="shared" si="9"/>
        <v>0.82285714285714295</v>
      </c>
      <c r="E77" s="2">
        <f t="shared" si="26"/>
        <v>135.11361684558983</v>
      </c>
      <c r="G77" s="2">
        <f>IF(B77&gt;B$66,IF(B77&gt;B$12,B77,B$12-(B$12-B77)*k__),B$26)</f>
        <v>329.86722862692829</v>
      </c>
      <c r="H77" s="2"/>
      <c r="I77" s="2">
        <f t="shared" si="27"/>
        <v>58.593750000000007</v>
      </c>
      <c r="J77" s="2"/>
      <c r="K77" s="2">
        <f t="shared" si="28"/>
        <v>23.999999999999996</v>
      </c>
    </row>
    <row r="78" spans="1:11" x14ac:dyDescent="0.2">
      <c r="A78">
        <v>76</v>
      </c>
      <c r="B78" s="2">
        <f t="shared" si="25"/>
        <v>104.16859851376684</v>
      </c>
      <c r="C78" s="1">
        <f t="shared" si="8"/>
        <v>9.5998219642730511</v>
      </c>
      <c r="D78" s="2">
        <f t="shared" si="9"/>
        <v>0.8120300751879701</v>
      </c>
      <c r="E78" s="2">
        <f t="shared" si="26"/>
        <v>131.58138759633707</v>
      </c>
      <c r="G78" s="2">
        <f>IF(B78&gt;B$66,IF(B78&gt;B$12,B78,B$12-(B$12-B78)*k__),B$26)</f>
        <v>329.86722862692829</v>
      </c>
      <c r="H78" s="2"/>
      <c r="I78" s="2">
        <f t="shared" si="27"/>
        <v>60.16666666666665</v>
      </c>
      <c r="J78" s="2"/>
      <c r="K78" s="2">
        <f t="shared" si="28"/>
        <v>23.999999999999996</v>
      </c>
    </row>
    <row r="79" spans="1:11" x14ac:dyDescent="0.2">
      <c r="A79">
        <v>77</v>
      </c>
      <c r="B79" s="2">
        <f t="shared" si="25"/>
        <v>102.81575957202959</v>
      </c>
      <c r="C79" s="1">
        <f t="shared" si="8"/>
        <v>9.7261354111713825</v>
      </c>
      <c r="D79" s="2">
        <f t="shared" si="9"/>
        <v>0.80148423005565872</v>
      </c>
      <c r="E79" s="2">
        <f t="shared" si="26"/>
        <v>128.1858820638291</v>
      </c>
      <c r="G79" s="2">
        <f>IF(B79&gt;B$66,IF(B79&gt;B$12,B79,B$12-(B$12-B79)*k__),B$26)</f>
        <v>329.86722862692829</v>
      </c>
      <c r="H79" s="2"/>
      <c r="I79" s="2">
        <f t="shared" si="27"/>
        <v>61.760416666666664</v>
      </c>
      <c r="J79" s="2"/>
      <c r="K79" s="2">
        <f t="shared" si="28"/>
        <v>23.999999999999996</v>
      </c>
    </row>
    <row r="80" spans="1:11" x14ac:dyDescent="0.2">
      <c r="A80">
        <v>78</v>
      </c>
      <c r="B80" s="2">
        <f t="shared" si="25"/>
        <v>101.49760880828562</v>
      </c>
      <c r="C80" s="1">
        <f t="shared" si="8"/>
        <v>9.852448858069712</v>
      </c>
      <c r="D80" s="2">
        <f t="shared" si="9"/>
        <v>0.7912087912087914</v>
      </c>
      <c r="E80" s="2">
        <f t="shared" si="26"/>
        <v>124.92013391788998</v>
      </c>
      <c r="G80" s="2">
        <f>IF(B80&gt;B$66,IF(B80&gt;B$12,B80,B$12-(B$12-B80)*k__),B$26)</f>
        <v>329.86722862692829</v>
      </c>
      <c r="H80" s="2"/>
      <c r="I80" s="2">
        <f t="shared" si="27"/>
        <v>63.375</v>
      </c>
      <c r="J80" s="2"/>
      <c r="K80" s="2">
        <f t="shared" si="28"/>
        <v>23.999999999999996</v>
      </c>
    </row>
    <row r="81" spans="1:11" x14ac:dyDescent="0.2">
      <c r="A81">
        <v>79</v>
      </c>
      <c r="B81" s="2">
        <f t="shared" si="25"/>
        <v>100.21282894995289</v>
      </c>
      <c r="C81" s="1">
        <f t="shared" si="8"/>
        <v>9.9787623049680416</v>
      </c>
      <c r="D81" s="2">
        <f t="shared" si="9"/>
        <v>0.78119349005424954</v>
      </c>
      <c r="E81" s="2">
        <f t="shared" si="26"/>
        <v>121.77761492652505</v>
      </c>
      <c r="G81" s="2">
        <f>IF(B81&gt;B$66,IF(B81&gt;B$12,B81,B$12-(B$12-B81)*k__),B$26)</f>
        <v>329.86722862692829</v>
      </c>
      <c r="H81" s="2"/>
      <c r="I81" s="2">
        <f t="shared" si="27"/>
        <v>65.010416666666671</v>
      </c>
      <c r="J81" s="2"/>
      <c r="K81" s="2">
        <f t="shared" si="28"/>
        <v>23.999999999999996</v>
      </c>
    </row>
    <row r="82" spans="1:11" x14ac:dyDescent="0.2">
      <c r="A82">
        <v>80</v>
      </c>
      <c r="B82" s="2">
        <f t="shared" si="25"/>
        <v>98.960168588078488</v>
      </c>
      <c r="C82" s="1">
        <f t="shared" si="8"/>
        <v>10.105075751866371</v>
      </c>
      <c r="D82" s="2">
        <f t="shared" si="9"/>
        <v>0.77142857142857146</v>
      </c>
      <c r="E82" s="2">
        <f t="shared" si="26"/>
        <v>118.7522023056942</v>
      </c>
      <c r="G82" s="2">
        <f>IF(B82&gt;B$66,IF(B82&gt;B$12,B82,B$12-(B$12-B82)*k__),B$26)</f>
        <v>329.86722862692829</v>
      </c>
      <c r="H82" s="2"/>
      <c r="I82" s="2">
        <f t="shared" si="27"/>
        <v>66.666666666666657</v>
      </c>
      <c r="J82" s="2"/>
      <c r="K82" s="2">
        <f t="shared" si="28"/>
        <v>23.999999999999996</v>
      </c>
    </row>
    <row r="83" spans="1:11" x14ac:dyDescent="0.2">
      <c r="A83">
        <v>1000</v>
      </c>
      <c r="B83" s="2">
        <f t="shared" ref="B83" si="29">3.6/A83*wheelDiameter*PI()</f>
        <v>7.9168134870462783</v>
      </c>
      <c r="C83" s="1">
        <f t="shared" si="8"/>
        <v>126.31344689832964</v>
      </c>
      <c r="D83" s="2">
        <f t="shared" si="9"/>
        <v>6.1714285714285715E-2</v>
      </c>
      <c r="E83" s="2">
        <f t="shared" ref="E83" si="30">k_*B83^2</f>
        <v>0.76001409475644266</v>
      </c>
      <c r="G83" s="2">
        <f>IF(B83&gt;B$66,IF(B83&gt;B$12,B83,B$12-(B$12-B83)*k__),B$26)</f>
        <v>329.86722862692829</v>
      </c>
      <c r="H83" s="2"/>
      <c r="I83" s="2">
        <f t="shared" ref="I83" si="31">3.6/E83*PI()*wheelDiameter</f>
        <v>10416.666666666666</v>
      </c>
      <c r="J83" s="2"/>
      <c r="K83" s="2">
        <f t="shared" ref="K83" si="32">3.6/G83*PI()*wheelDiameter</f>
        <v>23.999999999999996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3C64-5BD1-4C1F-9B97-544B1F67BE95}">
  <dimension ref="A1:C11"/>
  <sheetViews>
    <sheetView workbookViewId="0">
      <selection activeCell="B11" sqref="B11"/>
    </sheetView>
  </sheetViews>
  <sheetFormatPr defaultRowHeight="15" x14ac:dyDescent="0.2"/>
  <cols>
    <col min="2" max="2" width="11.21875" bestFit="1" customWidth="1"/>
  </cols>
  <sheetData>
    <row r="1" spans="1:3" x14ac:dyDescent="0.2">
      <c r="A1" t="s">
        <v>28</v>
      </c>
      <c r="B1">
        <f>4*PI()*0.0000001</f>
        <v>1.2566370614359173E-6</v>
      </c>
    </row>
    <row r="2" spans="1:3" x14ac:dyDescent="0.2">
      <c r="A2" t="s">
        <v>29</v>
      </c>
      <c r="B2">
        <v>1000</v>
      </c>
    </row>
    <row r="3" spans="1:3" x14ac:dyDescent="0.2">
      <c r="A3" t="s">
        <v>30</v>
      </c>
      <c r="B3">
        <v>300</v>
      </c>
    </row>
    <row r="4" spans="1:3" x14ac:dyDescent="0.2">
      <c r="A4" t="s">
        <v>31</v>
      </c>
      <c r="B4">
        <v>7</v>
      </c>
      <c r="C4" t="s">
        <v>3</v>
      </c>
    </row>
    <row r="5" spans="1:3" x14ac:dyDescent="0.2">
      <c r="A5" t="s">
        <v>32</v>
      </c>
      <c r="B5">
        <v>25</v>
      </c>
      <c r="C5" t="s">
        <v>3</v>
      </c>
    </row>
    <row r="6" spans="1:3" x14ac:dyDescent="0.2">
      <c r="A6" t="s">
        <v>33</v>
      </c>
      <c r="B6">
        <v>0.55000000000000004</v>
      </c>
      <c r="C6" t="s">
        <v>34</v>
      </c>
    </row>
    <row r="9" spans="1:3" x14ac:dyDescent="0.2">
      <c r="A9" t="s">
        <v>35</v>
      </c>
      <c r="B9">
        <f>mu0*ur*nTurns*Imax/coilLength*1000</f>
        <v>8.2938046054770549</v>
      </c>
    </row>
    <row r="11" spans="1:3" x14ac:dyDescent="0.2">
      <c r="A11" t="s">
        <v>36</v>
      </c>
      <c r="B11">
        <f>nTurns^2*ur*mu0*(PI()*coilDiameter)^2/4/1000000/coilLength*1000</f>
        <v>0.54695072064048889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EEA4-2E0D-4F27-A3F1-64AC9F07D45A}">
  <dimension ref="A1:C5"/>
  <sheetViews>
    <sheetView tabSelected="1" workbookViewId="0">
      <selection activeCell="D12" sqref="D12"/>
    </sheetView>
  </sheetViews>
  <sheetFormatPr defaultRowHeight="15" x14ac:dyDescent="0.2"/>
  <cols>
    <col min="1" max="1" width="17.77734375" customWidth="1"/>
  </cols>
  <sheetData>
    <row r="1" spans="1:3" x14ac:dyDescent="0.2">
      <c r="A1" t="s">
        <v>37</v>
      </c>
      <c r="B1">
        <v>35</v>
      </c>
      <c r="C1" t="s">
        <v>43</v>
      </c>
    </row>
    <row r="2" spans="1:3" x14ac:dyDescent="0.2">
      <c r="A2" t="s">
        <v>38</v>
      </c>
      <c r="B2">
        <v>60</v>
      </c>
      <c r="C2" t="s">
        <v>41</v>
      </c>
    </row>
    <row r="3" spans="1:3" x14ac:dyDescent="0.2">
      <c r="A3" t="s">
        <v>40</v>
      </c>
      <c r="B3">
        <v>620</v>
      </c>
      <c r="C3" t="s">
        <v>42</v>
      </c>
    </row>
    <row r="4" spans="1:3" x14ac:dyDescent="0.2">
      <c r="A4" t="s">
        <v>44</v>
      </c>
      <c r="B4">
        <v>250</v>
      </c>
      <c r="C4" t="s">
        <v>45</v>
      </c>
    </row>
    <row r="5" spans="1:3" x14ac:dyDescent="0.2">
      <c r="A5" t="s">
        <v>39</v>
      </c>
      <c r="B5">
        <f>battery_capacity/motor_power*average_speed</f>
        <v>86.8</v>
      </c>
      <c r="C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Parameters</vt:lpstr>
      <vt:lpstr>velocityMap</vt:lpstr>
      <vt:lpstr>velocityMap (2)</vt:lpstr>
      <vt:lpstr>coil</vt:lpstr>
      <vt:lpstr>test</vt:lpstr>
      <vt:lpstr>average_speed</vt:lpstr>
      <vt:lpstr>battery_capacity</vt:lpstr>
      <vt:lpstr>Bmax</vt:lpstr>
      <vt:lpstr>coilDiameter</vt:lpstr>
      <vt:lpstr>coilLength</vt:lpstr>
      <vt:lpstr>'velocityMap (2)'!deltaT</vt:lpstr>
      <vt:lpstr>deltaT</vt:lpstr>
      <vt:lpstr>'velocityMap (2)'!deltaTau</vt:lpstr>
      <vt:lpstr>deltaTau</vt:lpstr>
      <vt:lpstr>'velocityMap (2)'!deltaTau_</vt:lpstr>
      <vt:lpstr>deltaTau_</vt:lpstr>
      <vt:lpstr>estimated_range</vt:lpstr>
      <vt:lpstr>Imax</vt:lpstr>
      <vt:lpstr>iPulse</vt:lpstr>
      <vt:lpstr>'velocityMap (2)'!k_</vt:lpstr>
      <vt:lpstr>k_</vt:lpstr>
      <vt:lpstr>'velocityMap (2)'!k__</vt:lpstr>
      <vt:lpstr>k__</vt:lpstr>
      <vt:lpstr>measured_range</vt:lpstr>
      <vt:lpstr>motor_power</vt:lpstr>
      <vt:lpstr>mu0</vt:lpstr>
      <vt:lpstr>nTurns</vt:lpstr>
      <vt:lpstr>'velocityMap (2)'!pulseFreq</vt:lpstr>
      <vt:lpstr>pulseFreq</vt:lpstr>
      <vt:lpstr>pulseFrequency</vt:lpstr>
      <vt:lpstr>radiusSensor</vt:lpstr>
      <vt:lpstr>roadSpeed</vt:lpstr>
      <vt:lpstr>sensorDiameter</vt:lpstr>
      <vt:lpstr>tPulse</vt:lpstr>
      <vt:lpstr>transitTime</vt:lpstr>
      <vt:lpstr>ur</vt:lpstr>
      <vt:lpstr>'velocityMap (2)'!velocity</vt:lpstr>
      <vt:lpstr>velocity</vt:lpstr>
      <vt:lpstr>wheelDiameter</vt:lpstr>
    </vt:vector>
  </TitlesOfParts>
  <Company>Innovia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Wilkinson</dc:creator>
  <cp:lastModifiedBy>Rob Wilkinson</cp:lastModifiedBy>
  <dcterms:created xsi:type="dcterms:W3CDTF">2017-07-26T07:12:18Z</dcterms:created>
  <dcterms:modified xsi:type="dcterms:W3CDTF">2019-11-20T08:55:21Z</dcterms:modified>
</cp:coreProperties>
</file>