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uantwerpen-my.sharepoint.com/personal/s0220625_ad_ua_ac_be/Documents/"/>
    </mc:Choice>
  </mc:AlternateContent>
  <xr:revisionPtr revIDLastSave="0" documentId="8_{CC464F7A-B46E-45F6-8E8F-953DDA02AD8D}" xr6:coauthVersionLast="47" xr6:coauthVersionMax="47" xr10:uidLastSave="{00000000-0000-0000-0000-000000000000}"/>
  <bookViews>
    <workbookView xWindow="19200" yWindow="0" windowWidth="19200" windowHeight="10800" firstSheet="4" activeTab="4" xr2:uid="{00000000-000D-0000-FFFF-FFFF00000000}"/>
  </bookViews>
  <sheets>
    <sheet name="Sheet1" sheetId="1" r:id="rId1"/>
    <sheet name="ELECTRICITY" sheetId="2" r:id="rId2"/>
    <sheet name="ENGINES" sheetId="3" r:id="rId3"/>
    <sheet name="PartsList" sheetId="5" r:id="rId4"/>
    <sheet name="COST" sheetId="4" r:id="rId5"/>
  </sheets>
  <definedNames>
    <definedName name="ExternalData_1" localSheetId="3" hidden="1">PartsList!$A$1:$B$35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B13" i="4"/>
  <c r="L38" i="4"/>
  <c r="L9" i="4"/>
  <c r="D28" i="4"/>
  <c r="D29" i="4"/>
  <c r="D30" i="4"/>
  <c r="D27" i="4"/>
  <c r="D31" i="4" s="1"/>
  <c r="L25" i="4"/>
  <c r="L26" i="4"/>
  <c r="L10" i="4"/>
  <c r="L27" i="4"/>
  <c r="L28" i="4"/>
  <c r="L29" i="4"/>
  <c r="L16" i="4"/>
  <c r="L17" i="4"/>
  <c r="L11" i="4"/>
  <c r="L12" i="4"/>
  <c r="L39" i="4"/>
  <c r="L30" i="4"/>
  <c r="L31" i="4"/>
  <c r="L13" i="4"/>
  <c r="L32" i="4"/>
  <c r="L33" i="4"/>
  <c r="L18" i="4"/>
  <c r="L34" i="4"/>
  <c r="L40" i="4"/>
  <c r="L19" i="4"/>
  <c r="L20" i="4"/>
  <c r="L21" i="4"/>
  <c r="L14" i="4"/>
  <c r="L22" i="4"/>
  <c r="L35" i="4"/>
  <c r="L36" i="4"/>
  <c r="L41" i="4"/>
  <c r="L23" i="4"/>
  <c r="L24" i="4"/>
  <c r="L37" i="4"/>
  <c r="L15" i="4"/>
  <c r="E11" i="2"/>
  <c r="B11" i="2"/>
  <c r="C14" i="4"/>
  <c r="D11" i="2"/>
  <c r="D12" i="2"/>
  <c r="O9" i="3"/>
  <c r="O5" i="3"/>
  <c r="B10" i="3"/>
  <c r="B13" i="3"/>
  <c r="B12" i="2"/>
  <c r="E12" i="2" s="1"/>
  <c r="E21" i="2"/>
  <c r="B3" i="2"/>
  <c r="D31" i="2" s="1"/>
  <c r="E31" i="2" s="1"/>
  <c r="E50" i="1"/>
  <c r="E43" i="1"/>
  <c r="D35" i="1"/>
  <c r="E35" i="1" s="1"/>
  <c r="G35" i="1" s="1"/>
  <c r="E12" i="1"/>
  <c r="D8" i="1"/>
  <c r="B8" i="1"/>
  <c r="E8" i="1" s="1"/>
  <c r="D7" i="1"/>
  <c r="E7" i="1" s="1"/>
  <c r="H6" i="1"/>
  <c r="M3" i="1"/>
  <c r="B23" i="4" l="1"/>
  <c r="B22" i="4"/>
  <c r="B21" i="4"/>
  <c r="B20" i="4"/>
  <c r="C21" i="4"/>
  <c r="D39" i="2"/>
  <c r="D30" i="2"/>
  <c r="E30" i="2" s="1"/>
  <c r="B15" i="2"/>
  <c r="C23" i="4"/>
  <c r="C22" i="4"/>
  <c r="D32" i="2"/>
  <c r="E32" i="2" s="1"/>
  <c r="D40" i="2"/>
  <c r="E40" i="2" s="1"/>
  <c r="E39" i="2"/>
  <c r="D29" i="2"/>
  <c r="E29" i="2" s="1"/>
  <c r="B23" i="2"/>
  <c r="B25" i="2" s="1"/>
  <c r="G31" i="2" s="1"/>
  <c r="B16" i="2"/>
  <c r="D22" i="1"/>
  <c r="E22" i="1" s="1"/>
  <c r="H23" i="1" s="1"/>
  <c r="D21" i="1"/>
  <c r="E21" i="1" s="1"/>
  <c r="D20" i="1"/>
  <c r="E20" i="1" s="1"/>
  <c r="B14" i="1"/>
  <c r="I23" i="1" s="1"/>
  <c r="B45" i="1"/>
  <c r="C20" i="4" l="1"/>
  <c r="B24" i="4"/>
  <c r="G32" i="2"/>
  <c r="G30" i="2"/>
  <c r="G39" i="2"/>
  <c r="G29" i="2"/>
  <c r="G40" i="2"/>
  <c r="G35" i="2"/>
  <c r="L42" i="4"/>
  <c r="B34" i="4" s="1"/>
  <c r="B36" i="4" l="1"/>
  <c r="B3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tc={4C2E2063-76D9-68D3-11B3-B9F7B45DDA6C}</author>
    <author>tc={83325D88-4E9E-0495-3C2B-69C6E5B8886C}</author>
  </authors>
  <commentList>
    <comment ref="C22" authorId="0" shapeId="0" xr:uid="{4C2E2063-76D9-68D3-11B3-B9F7B45DDA6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Rendundancy
</t>
      </text>
    </comment>
    <comment ref="C52" authorId="1" shapeId="0" xr:uid="{83325D88-4E9E-0495-3C2B-69C6E5B8886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Rendundancy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Robbe Elsermans</author>
  </authors>
  <commentList>
    <comment ref="B2" authorId="0" shapeId="0" xr:uid="{7FA33755-C364-429C-A920-FA6BCDA2A715}">
      <text>
        <r>
          <rPr>
            <sz val="11"/>
            <color theme="1"/>
            <rFont val="Calibri"/>
            <scheme val="minor"/>
          </rPr>
          <t>Robbe Elsermans:
Mun day in seconds</t>
        </r>
      </text>
    </comment>
    <comment ref="B5" authorId="0" shapeId="0" xr:uid="{24EDB269-ECCE-47DB-BE37-66ED4A0F38EF}">
      <text>
        <r>
          <rPr>
            <sz val="11"/>
            <color theme="1"/>
            <rFont val="Calibri"/>
            <scheme val="minor"/>
          </rPr>
          <t>Robbe Elsermans:
Requirement from argicultural scientist
He proposed 24,720 EC/day but these are in earth hours (24*60*60). Mun hours/day are 38.6067
Converted to EC/sec -&gt; 0.28
Converted to Ec/day Mun -&gt; 39765</t>
        </r>
      </text>
    </comment>
    <comment ref="D11" authorId="0" shapeId="0" xr:uid="{EF99BA78-4036-4A22-A647-12D768626455}">
      <text>
        <r>
          <rPr>
            <sz val="11"/>
            <color theme="1"/>
            <rFont val="Calibri"/>
            <scheme val="minor"/>
          </rPr>
          <t>Robbe Elsermans:
10 minutes at max (*6)</t>
        </r>
      </text>
    </comment>
    <comment ref="E12" authorId="0" shapeId="0" xr:uid="{2EB90B14-52E9-4688-AB9F-DD2112CFFB46}">
      <text>
        <r>
          <rPr>
            <sz val="11"/>
            <color theme="1"/>
            <rFont val="Calibri"/>
            <scheme val="minor"/>
          </rPr>
          <t>Robbe Elsermans:
Should match the requirement</t>
        </r>
      </text>
    </comment>
    <comment ref="E13" authorId="0" shapeId="0" xr:uid="{CE03158C-73DB-4D87-BE12-59D01A79669E}">
      <text>
        <r>
          <rPr>
            <sz val="11"/>
            <color theme="1"/>
            <rFont val="Calibri"/>
            <scheme val="minor"/>
          </rPr>
          <t>Robbe Elsermans:
Should match the requirement</t>
        </r>
      </text>
    </comment>
    <comment ref="B23" authorId="0" shapeId="0" xr:uid="{45D30E3E-09E0-43A5-84AA-05EFB5F19C42}">
      <text>
        <r>
          <rPr>
            <sz val="11"/>
            <color theme="1"/>
            <rFont val="Calibri"/>
            <scheme val="minor"/>
          </rPr>
          <t>Robbe Elsermans:
Determines if the capacity can last for a full night without extra chargers. Should be 1 or below 1.</t>
        </r>
      </text>
    </comment>
    <comment ref="G28" authorId="0" shapeId="0" xr:uid="{7EA51EB3-D3E7-43EA-ACC4-3BC93726E9FD}">
      <text>
        <r>
          <rPr>
            <sz val="11"/>
            <color theme="1"/>
            <rFont val="Calibri"/>
            <scheme val="minor"/>
          </rPr>
          <t>Robbe Elsermans:
How much the harvester charges a battery</t>
        </r>
      </text>
    </comment>
    <comment ref="G34" authorId="0" shapeId="0" xr:uid="{39B0739A-907C-4DB8-9D42-F3562218585D}">
      <text>
        <r>
          <rPr>
            <sz val="11"/>
            <color theme="1"/>
            <rFont val="Calibri"/>
            <scheme val="minor"/>
          </rPr>
          <t>Robbe Elsermans:
How much the batteries are charged in 1 day cycle.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Robbe Elsermans</author>
  </authors>
  <commentList>
    <comment ref="A18" authorId="0" shapeId="0" xr:uid="{93A11805-F029-4D47-A4A4-4058C9D69C06}">
      <text>
        <r>
          <rPr>
            <sz val="11"/>
            <color theme="1"/>
            <rFont val="Calibri"/>
            <scheme val="minor"/>
          </rPr>
          <t>Robbe Elsermans:
This includes the farm and satelites.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BC977A-7761-4EC5-88B3-45E05E7A30E4}" keepAlive="1" name="Query - PartsList" description="Connection to the 'PartsList' query in the workbook." type="5" refreshedVersion="8" background="1" saveData="1">
    <dbPr connection="Provider=Microsoft.Mashup.OleDb.1;Data Source=$Workbook$;Location=PartsList;Extended Properties=&quot;&quot;" command="SELECT * FROM [PartsList]"/>
  </connection>
</connections>
</file>

<file path=xl/sharedStrings.xml><?xml version="1.0" encoding="utf-8"?>
<sst xmlns="http://schemas.openxmlformats.org/spreadsheetml/2006/main" count="283" uniqueCount="152">
  <si>
    <t>KOS Calculation</t>
  </si>
  <si>
    <t>Constants</t>
  </si>
  <si>
    <t>30min normal</t>
  </si>
  <si>
    <t>Mun rotation/day (sec)</t>
  </si>
  <si>
    <t>5min emergency</t>
  </si>
  <si>
    <t>Mun darc period (sec)</t>
  </si>
  <si>
    <t>Module Energy Consumption</t>
  </si>
  <si>
    <t>Farm module energy EC/day</t>
  </si>
  <si>
    <t>Item</t>
  </si>
  <si>
    <t>Energy/Sec</t>
  </si>
  <si>
    <t>Number</t>
  </si>
  <si>
    <t>duration/day</t>
  </si>
  <si>
    <t>Total (Energy) / day</t>
  </si>
  <si>
    <t>Total EC needed:</t>
  </si>
  <si>
    <t>Antenna</t>
  </si>
  <si>
    <t>Farm Module</t>
  </si>
  <si>
    <t>Module Energy Storage</t>
  </si>
  <si>
    <t>Total (Energy)</t>
  </si>
  <si>
    <t>Big round battery</t>
  </si>
  <si>
    <t>Total charge needed:</t>
  </si>
  <si>
    <t>Module Energy Harvesting</t>
  </si>
  <si>
    <t>duration/day (/sec)</t>
  </si>
  <si>
    <t>Large solar panel</t>
  </si>
  <si>
    <t>medium solar manel</t>
  </si>
  <si>
    <t>small solar panel</t>
  </si>
  <si>
    <t>we use 2 because of reduncancy</t>
  </si>
  <si>
    <t>check the math:</t>
  </si>
  <si>
    <t>OK</t>
  </si>
  <si>
    <t>Satelites</t>
  </si>
  <si>
    <t>Orbital rotation (sec)</t>
  </si>
  <si>
    <t>Total:</t>
  </si>
  <si>
    <t>med solar panel</t>
  </si>
  <si>
    <t>Farm</t>
  </si>
  <si>
    <t>Mun dark period (sec)</t>
  </si>
  <si>
    <t>EC/Sec</t>
  </si>
  <si>
    <t>duration/s</t>
  </si>
  <si>
    <t>Total EC consumption</t>
  </si>
  <si>
    <t>EC/day</t>
  </si>
  <si>
    <t>EC/s</t>
  </si>
  <si>
    <t>Energy storage</t>
  </si>
  <si>
    <t>Total capacity</t>
  </si>
  <si>
    <t>Battery Load (%)</t>
  </si>
  <si>
    <t>Total charge needed in daytime:</t>
  </si>
  <si>
    <t>EC/sec</t>
  </si>
  <si>
    <t>Total harvested energy</t>
  </si>
  <si>
    <t>Charge of battery (%)</t>
  </si>
  <si>
    <t>Gigantor XL Solar Array</t>
  </si>
  <si>
    <t>OX-STAT-XL Photovoltaic Panels</t>
  </si>
  <si>
    <t>OX-STAT Photovoltaic Panels</t>
  </si>
  <si>
    <t>SP-L 1x6 Photovoltaic Panels</t>
  </si>
  <si>
    <t>Total charge of battery (%)</t>
  </si>
  <si>
    <t>OX-10C Photovoltaic Panels</t>
  </si>
  <si>
    <t>SP-10L 1x5 Photovoltaic Panels</t>
  </si>
  <si>
    <t>Delta V calculation</t>
  </si>
  <si>
    <t>playground equations</t>
  </si>
  <si>
    <t>source</t>
  </si>
  <si>
    <t>destination</t>
  </si>
  <si>
    <t>Delta-V(m/s)</t>
  </si>
  <si>
    <t>impulse (s)</t>
  </si>
  <si>
    <t>I_sp</t>
  </si>
  <si>
    <t>kerbin</t>
  </si>
  <si>
    <t xml:space="preserve"> kerbin_low_orbit</t>
  </si>
  <si>
    <t>Thrust in (N)</t>
  </si>
  <si>
    <t>F_T</t>
  </si>
  <si>
    <t>kerbin_low_orbit</t>
  </si>
  <si>
    <t>intercept_mun_low_orbit</t>
  </si>
  <si>
    <t>fuel consumption in kg/s</t>
  </si>
  <si>
    <t>dm</t>
  </si>
  <si>
    <t>mun_low_orbit</t>
  </si>
  <si>
    <t>gravity constant (m/s^2)</t>
  </si>
  <si>
    <t>g_0</t>
  </si>
  <si>
    <t>mun</t>
  </si>
  <si>
    <t>delta-velocity (m/s)</t>
  </si>
  <si>
    <t>dv</t>
  </si>
  <si>
    <t>optimal Delta-V (m/s)</t>
  </si>
  <si>
    <t>full weight (kg)</t>
  </si>
  <si>
    <t>m_0</t>
  </si>
  <si>
    <t>safe margin (%)</t>
  </si>
  <si>
    <t>empty weight (kg)</t>
  </si>
  <si>
    <t>m_f</t>
  </si>
  <si>
    <t>Total Delta-V (m/s)</t>
  </si>
  <si>
    <t>Thruster determination</t>
  </si>
  <si>
    <t>payload Weight (t)</t>
  </si>
  <si>
    <t>Name</t>
  </si>
  <si>
    <t>Amount</t>
  </si>
  <si>
    <t>RC-L01 Remote Guidance Unit</t>
  </si>
  <si>
    <t>Z-4K Rechargeable Battery Bank</t>
  </si>
  <si>
    <t>Rockomax X200-8 Fuel Tank</t>
  </si>
  <si>
    <t>24-77 "Twitch" Liquid Fuel Engine</t>
  </si>
  <si>
    <t>TD-25 Decoupler</t>
  </si>
  <si>
    <t>Rockomax X200-32 Fuel Tank</t>
  </si>
  <si>
    <t>TS-25 Stack Separator</t>
  </si>
  <si>
    <t>Rockomax Jumbo-64 Fuel Tank</t>
  </si>
  <si>
    <t>RE-M3 "Mainsail" Liquid Fuel Engine</t>
  </si>
  <si>
    <t>Delta-Deluxe Winglet</t>
  </si>
  <si>
    <t>Mk-55 "Thud" Liquid Fuel Engine</t>
  </si>
  <si>
    <t>TT-70 Radial Decoupler</t>
  </si>
  <si>
    <t>S2-33 "Clydesdale" Solid Fuel Booster</t>
  </si>
  <si>
    <t>Protective Rocket Nose Cone Mk7</t>
  </si>
  <si>
    <t>EAS-4 Strut Connector</t>
  </si>
  <si>
    <t>TT18-A Launch Stability Enhancer</t>
  </si>
  <si>
    <t>LT-2 Landing Strut</t>
  </si>
  <si>
    <t>Mk2 Lander Can</t>
  </si>
  <si>
    <t>Communotron 16</t>
  </si>
  <si>
    <t>Cubic Octagonal Strut</t>
  </si>
  <si>
    <t>Octagonal Strut</t>
  </si>
  <si>
    <t>AE-FF2 Airstream Protective Shell</t>
  </si>
  <si>
    <t>CompoMax Radial Tubeless</t>
  </si>
  <si>
    <t>TD-06 Decoupler</t>
  </si>
  <si>
    <t>48-7S "Spark" Liquid Fuel Engine</t>
  </si>
  <si>
    <t>Oscar-B Fuel Tank</t>
  </si>
  <si>
    <t>Z-200 Rechargeable Battery Bank</t>
  </si>
  <si>
    <t>OX-4W 3x2 Photovoltaic Panels</t>
  </si>
  <si>
    <t>Small Inline Reaction Wheel</t>
  </si>
  <si>
    <t>Communotron 16-S</t>
  </si>
  <si>
    <t>Probodobodyne OKTO2</t>
  </si>
  <si>
    <t>RA-2 Relay Antenna</t>
  </si>
  <si>
    <t>Component</t>
  </si>
  <si>
    <t>Count</t>
  </si>
  <si>
    <t>Given budget by: Chief Financial Officer: Lye G. Batenkaitos</t>
  </si>
  <si>
    <t>Estimation costs</t>
  </si>
  <si>
    <t>Cost per used part (dry)</t>
  </si>
  <si>
    <t>Category</t>
  </si>
  <si>
    <t>Funds (F)</t>
  </si>
  <si>
    <t>approximately usgae of funds</t>
  </si>
  <si>
    <t>Part</t>
  </si>
  <si>
    <t>Cost</t>
  </si>
  <si>
    <t>Sub-total</t>
  </si>
  <si>
    <t>Satellite Network</t>
  </si>
  <si>
    <t>Launch Vehicle</t>
  </si>
  <si>
    <t>Transfer Stage</t>
  </si>
  <si>
    <t>Contingency (15%)</t>
  </si>
  <si>
    <t>Total Estimated Cost</t>
  </si>
  <si>
    <t>actual costs parts</t>
  </si>
  <si>
    <t>difference with estimation</t>
  </si>
  <si>
    <t>total dry parts cost</t>
  </si>
  <si>
    <t>Resources</t>
  </si>
  <si>
    <t>Weight(kg)</t>
  </si>
  <si>
    <t>price per kg (F/kg)</t>
  </si>
  <si>
    <t>price (F)</t>
  </si>
  <si>
    <t>AE-FF2 Airstream Protective Shell (2,5m)</t>
  </si>
  <si>
    <t>MonoPropolent</t>
  </si>
  <si>
    <t>LiquidFuel</t>
  </si>
  <si>
    <t>CompoMax Radial Tubeless (kOS)</t>
  </si>
  <si>
    <t>Oxidizer</t>
  </si>
  <si>
    <t>SolidFuel</t>
  </si>
  <si>
    <t>total</t>
  </si>
  <si>
    <t>what game says</t>
  </si>
  <si>
    <t>diffrance</t>
  </si>
  <si>
    <t>left over</t>
  </si>
  <si>
    <t>Fairing Construction Estemate</t>
  </si>
  <si>
    <t>dry part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</si>
</sst>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1"/>
      <color rgb="FFFF0000"/>
      <name val="Calibri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1"/>
    <xf numFmtId="3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1" xfId="0" applyFont="1" applyBorder="1"/>
    <xf numFmtId="0" fontId="1" fillId="0" borderId="12" xfId="0" applyFont="1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4" xfId="1" applyBorder="1"/>
    <xf numFmtId="0" fontId="2" fillId="0" borderId="6" xfId="1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2" xfId="0" applyBorder="1"/>
    <xf numFmtId="0" fontId="0" fillId="0" borderId="0" xfId="0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4" fillId="0" borderId="0" xfId="0" applyFont="1"/>
    <xf numFmtId="0" fontId="3" fillId="0" borderId="0" xfId="0" applyFont="1"/>
    <xf numFmtId="0" fontId="1" fillId="0" borderId="18" xfId="0" applyFont="1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Standaard" xfId="0" builtinId="0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border outline="0">
        <bottom style="double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theme="1"/>
        </right>
        <top style="double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double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double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double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/>
        <top style="double">
          <color theme="1"/>
        </top>
        <bottom style="thin">
          <color theme="1"/>
        </bottom>
      </border>
    </dxf>
    <dxf>
      <border outline="0">
        <top style="double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be" id="{330ADB96-DA29-8F74-1BE0-95D7858A2EE6}" userId="robbe" providerId="Teamlab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785BA8-902C-42C4-AA39-F97E554219E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m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A70F8-D9AD-4AF0-8B78-4D737E94B91D}" name="PartsList" displayName="PartsList" ref="A1:B35" tableType="queryTable" totalsRowShown="0">
  <autoFilter ref="A1:B35" xr:uid="{8CEA70F8-D9AD-4AF0-8B78-4D737E94B91D}"/>
  <tableColumns count="2">
    <tableColumn id="1" xr3:uid="{B5E39159-FEE8-4949-AC2C-EEBAC04FC5BC}" uniqueName="1" name="Name" queryTableFieldId="1" dataDxfId="17"/>
    <tableColumn id="2" xr3:uid="{26FFC319-9EFB-4FF7-8331-03670194021D}" uniqueName="2" name="Am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C469C-ADBD-4430-AB23-4AB96A2EAE4C}" name="Table3" displayName="Table3" ref="H8:L42" totalsRowCount="1" totalsRowDxfId="16" totalsRowBorderDxfId="15">
  <autoFilter ref="H8:L41" xr:uid="{5AEC469C-ADBD-4430-AB23-4AB96A2EAE4C}"/>
  <sortState xmlns:xlrd2="http://schemas.microsoft.com/office/spreadsheetml/2017/richdata2" ref="H9:L41">
    <sortCondition ref="K8:K41"/>
  </sortState>
  <tableColumns count="5">
    <tableColumn id="1" xr3:uid="{D79ED5F5-BB6C-4345-8A94-A45497493061}" name="Part" totalsRowDxfId="14" dataCellStyle="Hyperlink"/>
    <tableColumn id="2" xr3:uid="{9CBC8A00-8235-48A1-9ADF-8F55CF39CEA2}" name="Amount" totalsRowDxfId="13"/>
    <tableColumn id="3" xr3:uid="{700221D6-552B-4BE0-9363-412742B1DDB8}" name="Cost" totalsRowDxfId="12"/>
    <tableColumn id="4" xr3:uid="{B7A4AE4D-5908-4771-89B0-51900393DAD1}" name="Category" totalsRowLabel="dry part total" totalsRowDxfId="11"/>
    <tableColumn id="5" xr3:uid="{80F77563-CDDC-43CA-9F47-F5F8AD567FE6}" name="Sub-total" totalsRowFunction="custom" totalsRowDxfId="10">
      <totalsRowFormula>SUM(Table3[Sub-total])</totalsRow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91FE3D-BAB3-4997-8FBC-65852819B0E8}" name="Tabel2" displayName="Tabel2" ref="A26:D31" totalsRowCount="1" headerRowDxfId="9" headerRowBorderDxfId="7" tableBorderDxfId="8">
  <autoFilter ref="A26:D30" xr:uid="{7491FE3D-BAB3-4997-8FBC-65852819B0E8}"/>
  <tableColumns count="4">
    <tableColumn id="1" xr3:uid="{E4A69D5C-4C62-4B9C-85EA-8967756702BB}" name="Resources"/>
    <tableColumn id="2" xr3:uid="{6B10A319-0602-4419-BCCB-4A9736034182}" name="Weight(kg)"/>
    <tableColumn id="3" xr3:uid="{D876EC2F-6C41-4F9C-AF40-7F50969A4603}" name="price per kg (F/kg)"/>
    <tableColumn id="4" xr3:uid="{77F69493-680F-456A-A0DA-0EC511602A44}" name="price (F)" totalsRowFunction="custom" dataDxfId="5" totalsRowDxfId="6">
      <calculatedColumnFormula>Tabel2[[#This Row],[price per kg (F/kg)]]*Tabel2[[#This Row],[Weight(kg)]]</calculatedColumnFormula>
      <totalsRowFormula>SUM(D27:D30)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450766-BD90-4D1B-AD53-33B804ECC5BD}" name="Tabel4" displayName="Tabel4" ref="A19:C24" totalsRowShown="0" headerRowDxfId="4" headerRowBorderDxfId="2" tableBorderDxfId="3">
  <autoFilter ref="A19:C24" xr:uid="{E7450766-BD90-4D1B-AD53-33B804ECC5BD}"/>
  <tableColumns count="3">
    <tableColumn id="1" xr3:uid="{95075E94-A2BA-487D-B6D9-9A65C447209B}" name="Category"/>
    <tableColumn id="2" xr3:uid="{E196C337-75D1-4B45-8EB4-99F90FCB527A}" name="Funds (F)" dataDxfId="1"/>
    <tableColumn id="3" xr3:uid="{E960109B-825E-4E7B-A7E9-F62C6DEA9660}" name="difference with estim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2-20T11:16:38.82" personId="{330ADB96-DA29-8F74-1BE0-95D7858A2EE6}" id="{4C2E2063-76D9-68D3-11B3-B9F7B45DDA6C}" done="1">
    <text xml:space="preserve">Rendundancy
</text>
  </threadedComment>
  <threadedComment ref="C52" dT="2024-12-20T11:16:38.82" personId="{330ADB96-DA29-8F74-1BE0-95D7858A2EE6}" id="{83325D88-4E9E-0495-3C2B-69C6E5B8886C}" done="1">
    <text xml:space="preserve">Rendundancy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wiki.kerbalspaceprogram.com/wiki/SP-10L_1x5_Photovoltaic_Panels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iki.kerbalspaceprogram.com/wiki/OX-10C_Photovoltaic_Panels" TargetMode="External"/><Relationship Id="rId1" Type="http://schemas.openxmlformats.org/officeDocument/2006/relationships/hyperlink" Target="https://wiki.kerbalspaceprogram.com/wiki/Gigantor_XL_Solar_Array" TargetMode="External"/><Relationship Id="rId6" Type="http://schemas.openxmlformats.org/officeDocument/2006/relationships/hyperlink" Target="https://wiki.kerbalspaceprogram.com/wiki/OX-STAT_Photovoltaic_Panels" TargetMode="External"/><Relationship Id="rId5" Type="http://schemas.openxmlformats.org/officeDocument/2006/relationships/hyperlink" Target="https://wiki.kerbalspaceprogram.com/wiki/SP-L_1x6_Photovoltaic_Panels" TargetMode="External"/><Relationship Id="rId4" Type="http://schemas.openxmlformats.org/officeDocument/2006/relationships/hyperlink" Target="https://wiki.kerbalspaceprogram.com/wiki/OX-STAT-XL_Photovoltaic_Panel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ksp.loicviennoi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iki.kerbalspaceprogram.com/wiki/RC-L01_Remote_Guidance_Unit" TargetMode="External"/><Relationship Id="rId18" Type="http://schemas.openxmlformats.org/officeDocument/2006/relationships/hyperlink" Target="https://wiki.kerbalspaceprogram.com/wiki/OX-10C_Photovoltaic_Panels" TargetMode="External"/><Relationship Id="rId26" Type="http://schemas.openxmlformats.org/officeDocument/2006/relationships/hyperlink" Target="https://wiki.kerbalspaceprogram.com/wiki/Cubic_Octagonal_Strut" TargetMode="External"/><Relationship Id="rId3" Type="http://schemas.openxmlformats.org/officeDocument/2006/relationships/hyperlink" Target="https://wiki.kerbalspaceprogram.com/wiki/TT-70_Radial_Decoupler" TargetMode="External"/><Relationship Id="rId21" Type="http://schemas.openxmlformats.org/officeDocument/2006/relationships/hyperlink" Target="https://wiki.kerbalspaceprogram.com/wiki/Mk-55_%22Thud%22_Liquid_Fuel_Engine" TargetMode="External"/><Relationship Id="rId34" Type="http://schemas.openxmlformats.org/officeDocument/2006/relationships/table" Target="../tables/table4.xml"/><Relationship Id="rId7" Type="http://schemas.openxmlformats.org/officeDocument/2006/relationships/hyperlink" Target="https://wiki.kerbalspaceprogram.com/wiki/Small_Inline_Reaction_Wheel" TargetMode="External"/><Relationship Id="rId12" Type="http://schemas.openxmlformats.org/officeDocument/2006/relationships/hyperlink" Target="https://wiki.kerbalspaceprogram.com/wiki/RE-M3_%22Mainsail%22_Liquid_Fuel_Engine" TargetMode="External"/><Relationship Id="rId17" Type="http://schemas.openxmlformats.org/officeDocument/2006/relationships/hyperlink" Target="https://wiki.kerbalspaceprogram.com/wiki/OX-4W_3x2_Photovoltaic_Panels" TargetMode="External"/><Relationship Id="rId25" Type="http://schemas.openxmlformats.org/officeDocument/2006/relationships/hyperlink" Target="https://wiki.kerbalspaceprogram.com/wiki/Delta-Deluxe_Winglet" TargetMode="External"/><Relationship Id="rId33" Type="http://schemas.openxmlformats.org/officeDocument/2006/relationships/table" Target="../tables/table3.xml"/><Relationship Id="rId2" Type="http://schemas.openxmlformats.org/officeDocument/2006/relationships/hyperlink" Target="https://wiki.kerbalspaceprogram.com/wiki/Z-200_Rechargeable_Battery_Bank" TargetMode="External"/><Relationship Id="rId16" Type="http://schemas.openxmlformats.org/officeDocument/2006/relationships/hyperlink" Target="https://wiki.kerbalspaceprogram.com/wiki/Probodobodyne_OKTO2" TargetMode="External"/><Relationship Id="rId20" Type="http://schemas.openxmlformats.org/officeDocument/2006/relationships/hyperlink" Target="https://wiki.kerbalspaceprogram.com/wiki/Octagonal_Strut" TargetMode="External"/><Relationship Id="rId29" Type="http://schemas.openxmlformats.org/officeDocument/2006/relationships/hyperlink" Target="https://wiki.kerbalspaceprogram.com/wiki/AE-FF2_Airstream_Protective_Shell_(2.5m)" TargetMode="External"/><Relationship Id="rId1" Type="http://schemas.openxmlformats.org/officeDocument/2006/relationships/hyperlink" Target="https://wiki.kerbalspaceprogram.com/wiki/Z-4K_Rechargeable_Battery_Bank" TargetMode="External"/><Relationship Id="rId6" Type="http://schemas.openxmlformats.org/officeDocument/2006/relationships/hyperlink" Target="https://wiki.kerbalspaceprogram.com/wiki/TD-06_Decoupler" TargetMode="External"/><Relationship Id="rId11" Type="http://schemas.openxmlformats.org/officeDocument/2006/relationships/hyperlink" Target="https://wiki.kerbalspaceprogram.com/wiki/Rockomax_Jumbo-64_Fuel_Tank" TargetMode="External"/><Relationship Id="rId24" Type="http://schemas.openxmlformats.org/officeDocument/2006/relationships/hyperlink" Target="https://wiki.kerbalspaceprogram.com/wiki/EAS-4_Strut_Connector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s://wiki.kerbalspaceprogram.com/wiki/TD-25_Decoupler" TargetMode="External"/><Relationship Id="rId15" Type="http://schemas.openxmlformats.org/officeDocument/2006/relationships/hyperlink" Target="https://wiki.kerbalspaceprogram.com/wiki/Protective_Rocket_Nose_Cone_Mk7" TargetMode="External"/><Relationship Id="rId23" Type="http://schemas.openxmlformats.org/officeDocument/2006/relationships/hyperlink" Target="https://wiki.kerbalspaceprogram.com/wiki/LT-2_Landing_Strut" TargetMode="External"/><Relationship Id="rId28" Type="http://schemas.openxmlformats.org/officeDocument/2006/relationships/hyperlink" Target="https://wiki.kerbalspaceprogram.com/wiki/Communotron_16" TargetMode="External"/><Relationship Id="rId10" Type="http://schemas.openxmlformats.org/officeDocument/2006/relationships/hyperlink" Target="https://wiki.kerbalspaceprogram.com/wiki/Rockomax_X200-32_Fuel_Tank" TargetMode="External"/><Relationship Id="rId19" Type="http://schemas.openxmlformats.org/officeDocument/2006/relationships/hyperlink" Target="https://wiki.kerbalspaceprogram.com/wiki/Oscar-B_Fuel_Tank" TargetMode="External"/><Relationship Id="rId31" Type="http://schemas.openxmlformats.org/officeDocument/2006/relationships/hyperlink" Target="https://wiki.kerbalspaceprogram.com/wiki/24-77_%22Twitch%22_Liquid_Fuel_Engine" TargetMode="External"/><Relationship Id="rId4" Type="http://schemas.openxmlformats.org/officeDocument/2006/relationships/hyperlink" Target="https://wiki.kerbalspaceprogram.com/wiki/TT18-A_Launch_Stability_Enhancer" TargetMode="External"/><Relationship Id="rId9" Type="http://schemas.openxmlformats.org/officeDocument/2006/relationships/hyperlink" Target="https://wiki.kerbalspaceprogram.com/wiki/Rockomax_X200-8_Fuel_Tank" TargetMode="External"/><Relationship Id="rId14" Type="http://schemas.openxmlformats.org/officeDocument/2006/relationships/hyperlink" Target="https://wiki.kerbalspaceprogram.com/wiki/RA-2_Relay_Antenna" TargetMode="External"/><Relationship Id="rId22" Type="http://schemas.openxmlformats.org/officeDocument/2006/relationships/hyperlink" Target="https://wiki.kerbalspaceprogram.com/wiki/Mk2_Lander_Can" TargetMode="External"/><Relationship Id="rId27" Type="http://schemas.openxmlformats.org/officeDocument/2006/relationships/hyperlink" Target="https://wiki.kerbalspaceprogram.com/wiki/Communotron_16-S" TargetMode="External"/><Relationship Id="rId30" Type="http://schemas.openxmlformats.org/officeDocument/2006/relationships/hyperlink" Target="https://wiki.kerbalspaceprogram.com/wiki/48-7S_%22Spark%22_Liquid_Fuel_Engine" TargetMode="External"/><Relationship Id="rId8" Type="http://schemas.openxmlformats.org/officeDocument/2006/relationships/hyperlink" Target="https://wiki.kerbalspaceprogram.com/wiki/S2-33_%22Clydesdale%22_Solid_Fuel_Boo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workbookViewId="0"/>
  </sheetViews>
  <sheetFormatPr defaultRowHeight="15"/>
  <cols>
    <col min="1" max="1" width="30.28515625" customWidth="1"/>
    <col min="2" max="2" width="14" customWidth="1"/>
    <col min="3" max="3" width="14.5703125" customWidth="1"/>
    <col min="4" max="4" width="23.7109375" customWidth="1"/>
    <col min="5" max="5" width="22" customWidth="1"/>
    <col min="7" max="7" width="18.42578125" customWidth="1"/>
    <col min="8" max="8" width="17.7109375" customWidth="1"/>
    <col min="12" max="12" width="25.28515625" customWidth="1"/>
  </cols>
  <sheetData>
    <row r="1" spans="1:13">
      <c r="A1" t="s">
        <v>0</v>
      </c>
      <c r="L1" t="s">
        <v>1</v>
      </c>
    </row>
    <row r="2" spans="1:13">
      <c r="A2" t="s">
        <v>2</v>
      </c>
      <c r="L2" t="s">
        <v>3</v>
      </c>
      <c r="M2">
        <v>138984</v>
      </c>
    </row>
    <row r="3" spans="1:13">
      <c r="A3" t="s">
        <v>4</v>
      </c>
      <c r="L3" t="s">
        <v>5</v>
      </c>
      <c r="M3">
        <f>M2/2</f>
        <v>69492</v>
      </c>
    </row>
    <row r="5" spans="1:13">
      <c r="A5" t="s">
        <v>6</v>
      </c>
      <c r="L5" t="s">
        <v>7</v>
      </c>
      <c r="M5">
        <v>24720</v>
      </c>
    </row>
    <row r="6" spans="1:13">
      <c r="A6" t="s">
        <v>8</v>
      </c>
      <c r="B6" t="s">
        <v>9</v>
      </c>
      <c r="C6" t="s">
        <v>10</v>
      </c>
      <c r="D6" t="s">
        <v>11</v>
      </c>
      <c r="E6" t="s">
        <v>12</v>
      </c>
      <c r="G6" t="s">
        <v>13</v>
      </c>
      <c r="H6">
        <f>SUM(E7:E8)</f>
        <v>79920</v>
      </c>
    </row>
    <row r="7" spans="1:13">
      <c r="A7" t="s">
        <v>14</v>
      </c>
      <c r="B7">
        <v>20</v>
      </c>
      <c r="C7">
        <v>1</v>
      </c>
      <c r="D7" s="1">
        <f>24*6*2</f>
        <v>288</v>
      </c>
      <c r="E7">
        <f>B7*C7*D7</f>
        <v>5760</v>
      </c>
    </row>
    <row r="8" spans="1:13">
      <c r="A8" t="s">
        <v>15</v>
      </c>
      <c r="B8">
        <f>M5/(24*60*60)</f>
        <v>0.28611111111111109</v>
      </c>
      <c r="C8">
        <v>3</v>
      </c>
      <c r="D8" s="1">
        <f>60*60*24</f>
        <v>86400</v>
      </c>
      <c r="E8">
        <f>ROUND(B8*C8*D8,0)</f>
        <v>74160</v>
      </c>
    </row>
    <row r="10" spans="1:13">
      <c r="A10" t="s">
        <v>16</v>
      </c>
    </row>
    <row r="11" spans="1:13">
      <c r="A11" t="s">
        <v>8</v>
      </c>
      <c r="B11" t="s">
        <v>9</v>
      </c>
      <c r="C11" t="s">
        <v>10</v>
      </c>
      <c r="E11" t="s">
        <v>17</v>
      </c>
    </row>
    <row r="12" spans="1:13">
      <c r="A12" t="s">
        <v>18</v>
      </c>
      <c r="B12">
        <v>4000</v>
      </c>
      <c r="C12">
        <v>2</v>
      </c>
      <c r="E12">
        <f>B12*C12</f>
        <v>8000</v>
      </c>
    </row>
    <row r="14" spans="1:13">
      <c r="A14" t="s">
        <v>19</v>
      </c>
      <c r="B14">
        <f>(E12+(H6/2))/M3</f>
        <v>0.6901513843320094</v>
      </c>
    </row>
    <row r="18" spans="1:10">
      <c r="A18" t="s">
        <v>20</v>
      </c>
    </row>
    <row r="19" spans="1:10">
      <c r="A19" t="s">
        <v>8</v>
      </c>
      <c r="B19" t="s">
        <v>9</v>
      </c>
      <c r="C19" t="s">
        <v>10</v>
      </c>
      <c r="D19" t="s">
        <v>21</v>
      </c>
      <c r="E19" t="s">
        <v>17</v>
      </c>
    </row>
    <row r="20" spans="1:10">
      <c r="A20" t="s">
        <v>22</v>
      </c>
      <c r="B20">
        <v>8.3000000000000007</v>
      </c>
      <c r="C20">
        <v>1</v>
      </c>
      <c r="D20">
        <f>M3</f>
        <v>69492</v>
      </c>
      <c r="E20">
        <f t="shared" ref="E20:E35" si="0">B20*C20*D20</f>
        <v>576783.60000000009</v>
      </c>
    </row>
    <row r="21" spans="1:10">
      <c r="A21" t="s">
        <v>23</v>
      </c>
      <c r="B21">
        <v>1.6</v>
      </c>
      <c r="C21">
        <v>1</v>
      </c>
      <c r="D21">
        <f>M3</f>
        <v>69492</v>
      </c>
      <c r="E21">
        <f t="shared" si="0"/>
        <v>111187.20000000001</v>
      </c>
    </row>
    <row r="22" spans="1:10">
      <c r="A22" s="2" t="s">
        <v>24</v>
      </c>
      <c r="B22" s="2">
        <v>0.3</v>
      </c>
      <c r="C22" s="2">
        <v>2</v>
      </c>
      <c r="D22">
        <f>M3</f>
        <v>69492</v>
      </c>
      <c r="E22" s="2">
        <f t="shared" si="0"/>
        <v>41695.199999999997</v>
      </c>
      <c r="G22" t="s">
        <v>25</v>
      </c>
    </row>
    <row r="23" spans="1:10">
      <c r="G23" t="s">
        <v>26</v>
      </c>
      <c r="H23">
        <f>E22/(8000+(H6/2))</f>
        <v>0.8693744787322768</v>
      </c>
      <c r="I23">
        <f>B22/B14*2</f>
        <v>0.86937447873227691</v>
      </c>
      <c r="J23" t="s">
        <v>27</v>
      </c>
    </row>
    <row r="32" spans="1:10">
      <c r="A32" t="s">
        <v>28</v>
      </c>
      <c r="J32" t="s">
        <v>29</v>
      </c>
    </row>
    <row r="33" spans="1:10">
      <c r="A33" t="s">
        <v>6</v>
      </c>
      <c r="J33">
        <v>8188</v>
      </c>
    </row>
    <row r="34" spans="1:10">
      <c r="A34" t="s">
        <v>8</v>
      </c>
      <c r="B34" t="s">
        <v>9</v>
      </c>
      <c r="C34" t="s">
        <v>10</v>
      </c>
      <c r="D34" t="s">
        <v>11</v>
      </c>
      <c r="E34" t="s">
        <v>17</v>
      </c>
      <c r="G34" t="s">
        <v>30</v>
      </c>
    </row>
    <row r="35" spans="1:10">
      <c r="A35" t="s">
        <v>14</v>
      </c>
      <c r="B35">
        <v>68.599999999999994</v>
      </c>
      <c r="C35">
        <v>1</v>
      </c>
      <c r="D35" s="1">
        <f>24*12</f>
        <v>288</v>
      </c>
      <c r="E35">
        <f t="shared" si="0"/>
        <v>19756.8</v>
      </c>
      <c r="G35">
        <f>SUM(E35:E36)</f>
        <v>19756.8</v>
      </c>
    </row>
    <row r="36" spans="1:10">
      <c r="D36" s="1"/>
    </row>
    <row r="41" spans="1:10">
      <c r="A41" t="s">
        <v>16</v>
      </c>
    </row>
    <row r="42" spans="1:10">
      <c r="A42" t="s">
        <v>8</v>
      </c>
      <c r="B42" t="s">
        <v>9</v>
      </c>
      <c r="C42" t="s">
        <v>10</v>
      </c>
      <c r="E42" t="s">
        <v>17</v>
      </c>
    </row>
    <row r="43" spans="1:10">
      <c r="A43" t="s">
        <v>18</v>
      </c>
      <c r="B43">
        <v>200</v>
      </c>
      <c r="C43">
        <v>3</v>
      </c>
      <c r="E43">
        <f>B43*C43</f>
        <v>600</v>
      </c>
    </row>
    <row r="45" spans="1:10">
      <c r="A45" t="s">
        <v>19</v>
      </c>
      <c r="B45">
        <f>(E43+(G35/2))/(8188/2)</f>
        <v>2.5594528578407423</v>
      </c>
    </row>
    <row r="48" spans="1:10">
      <c r="A48" t="s">
        <v>20</v>
      </c>
    </row>
    <row r="49" spans="1:7">
      <c r="A49" t="s">
        <v>8</v>
      </c>
      <c r="B49" t="s">
        <v>9</v>
      </c>
      <c r="C49" t="s">
        <v>10</v>
      </c>
      <c r="D49" t="s">
        <v>21</v>
      </c>
      <c r="E49" t="s">
        <v>17</v>
      </c>
    </row>
    <row r="50" spans="1:7">
      <c r="A50" t="s">
        <v>31</v>
      </c>
      <c r="B50">
        <v>1.6</v>
      </c>
      <c r="C50">
        <v>2</v>
      </c>
      <c r="D50">
        <v>8188</v>
      </c>
      <c r="E50">
        <f>B50*C50*D50</f>
        <v>26201.600000000002</v>
      </c>
    </row>
    <row r="52" spans="1:7"/>
    <row r="58" spans="1:7">
      <c r="A58" s="3" t="s">
        <v>32</v>
      </c>
      <c r="B58" s="3"/>
      <c r="C58" s="3"/>
      <c r="D58" s="3"/>
      <c r="E58" s="3"/>
      <c r="F58" s="3"/>
      <c r="G58" s="3"/>
    </row>
    <row r="59" spans="1:7">
      <c r="A59" s="3" t="s">
        <v>6</v>
      </c>
      <c r="B59" s="3"/>
      <c r="C59" s="3"/>
      <c r="D59" s="3"/>
      <c r="E59" s="3"/>
      <c r="F59" s="3"/>
      <c r="G59" s="3"/>
    </row>
    <row r="60" spans="1:7">
      <c r="A60" s="3" t="s">
        <v>8</v>
      </c>
      <c r="B60" s="3" t="s">
        <v>9</v>
      </c>
      <c r="C60" s="3" t="s">
        <v>10</v>
      </c>
      <c r="D60" s="3" t="s">
        <v>11</v>
      </c>
      <c r="E60" s="3" t="s">
        <v>17</v>
      </c>
      <c r="F60" s="3"/>
      <c r="G60" s="3" t="s">
        <v>30</v>
      </c>
    </row>
    <row r="61" spans="1:7">
      <c r="A61" t="s">
        <v>32</v>
      </c>
    </row>
    <row r="62" spans="1:7">
      <c r="A62" t="s">
        <v>14</v>
      </c>
    </row>
  </sheetData>
  <pageMargins left="0.7" right="0.7" top="0.75" bottom="0.7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topLeftCell="A16" workbookViewId="0">
      <selection activeCell="J43" sqref="J43"/>
    </sheetView>
  </sheetViews>
  <sheetFormatPr defaultRowHeight="15"/>
  <cols>
    <col min="1" max="1" width="32.85546875" customWidth="1"/>
    <col min="2" max="2" width="24.42578125" customWidth="1"/>
    <col min="4" max="4" width="15.85546875" customWidth="1"/>
    <col min="5" max="5" width="21.85546875" customWidth="1"/>
    <col min="7" max="7" width="24.140625" customWidth="1"/>
  </cols>
  <sheetData>
    <row r="1" spans="1:7">
      <c r="A1" s="3" t="s">
        <v>1</v>
      </c>
    </row>
    <row r="2" spans="1:7">
      <c r="A2" s="3" t="s">
        <v>3</v>
      </c>
      <c r="B2">
        <v>138984</v>
      </c>
    </row>
    <row r="3" spans="1:7">
      <c r="A3" s="3" t="s">
        <v>33</v>
      </c>
      <c r="B3">
        <f>B2/2</f>
        <v>69492</v>
      </c>
    </row>
    <row r="4" spans="1:7">
      <c r="A4" s="3"/>
    </row>
    <row r="5" spans="1:7">
      <c r="A5" s="3" t="s">
        <v>7</v>
      </c>
      <c r="B5" s="5">
        <v>39765</v>
      </c>
    </row>
    <row r="6" spans="1:7">
      <c r="A6" s="3"/>
      <c r="D6" s="5"/>
    </row>
    <row r="9" spans="1:7" ht="14.25" customHeight="1">
      <c r="A9" s="52" t="s">
        <v>6</v>
      </c>
      <c r="B9" s="53"/>
      <c r="C9" s="53"/>
      <c r="D9" s="53"/>
      <c r="E9" s="54"/>
      <c r="F9" s="3"/>
      <c r="G9" s="3"/>
    </row>
    <row r="10" spans="1:7">
      <c r="A10" s="24" t="s">
        <v>8</v>
      </c>
      <c r="B10" s="23" t="s">
        <v>34</v>
      </c>
      <c r="C10" s="23" t="s">
        <v>10</v>
      </c>
      <c r="D10" s="23" t="s">
        <v>35</v>
      </c>
      <c r="E10" s="25" t="s">
        <v>12</v>
      </c>
      <c r="F10" s="3"/>
      <c r="G10" s="3"/>
    </row>
    <row r="11" spans="1:7">
      <c r="A11" s="10" t="s">
        <v>14</v>
      </c>
      <c r="B11">
        <f>6*3</f>
        <v>18</v>
      </c>
      <c r="C11">
        <v>1</v>
      </c>
      <c r="D11" s="1">
        <f>((B2/3600)*6)</f>
        <v>231.64000000000001</v>
      </c>
      <c r="E11" s="11">
        <f>B11*C11*D11</f>
        <v>4169.5200000000004</v>
      </c>
    </row>
    <row r="12" spans="1:7">
      <c r="A12" s="10" t="s">
        <v>15</v>
      </c>
      <c r="B12">
        <f>B5/B2</f>
        <v>0.28611207045415299</v>
      </c>
      <c r="C12">
        <v>1</v>
      </c>
      <c r="D12" s="1">
        <f>B2</f>
        <v>138984</v>
      </c>
      <c r="E12" s="11">
        <f>ROUND(B12*C12*D12,0)</f>
        <v>39765</v>
      </c>
    </row>
    <row r="13" spans="1:7">
      <c r="A13" s="10"/>
      <c r="D13" s="1"/>
      <c r="E13" s="11"/>
    </row>
    <row r="14" spans="1:7">
      <c r="A14" s="10"/>
      <c r="E14" s="11"/>
    </row>
    <row r="15" spans="1:7">
      <c r="A15" s="26" t="s">
        <v>36</v>
      </c>
      <c r="B15">
        <f>SUM(E11:E12)</f>
        <v>43934.520000000004</v>
      </c>
      <c r="C15" t="s">
        <v>37</v>
      </c>
      <c r="E15" s="11"/>
    </row>
    <row r="16" spans="1:7">
      <c r="A16" s="27" t="s">
        <v>36</v>
      </c>
      <c r="B16" s="13">
        <f>B15/B2</f>
        <v>0.31611207045415302</v>
      </c>
      <c r="C16" s="13" t="s">
        <v>38</v>
      </c>
      <c r="D16" s="13"/>
      <c r="E16" s="14"/>
    </row>
    <row r="19" spans="1:7" ht="14.25" customHeight="1">
      <c r="A19" s="49" t="s">
        <v>16</v>
      </c>
      <c r="B19" s="50"/>
      <c r="C19" s="50"/>
      <c r="D19" s="50"/>
      <c r="E19" s="51"/>
    </row>
    <row r="20" spans="1:7">
      <c r="A20" s="15" t="s">
        <v>8</v>
      </c>
      <c r="B20" s="7" t="s">
        <v>39</v>
      </c>
      <c r="C20" s="7" t="s">
        <v>10</v>
      </c>
      <c r="D20" s="7"/>
      <c r="E20" s="16" t="s">
        <v>40</v>
      </c>
    </row>
    <row r="21" spans="1:7">
      <c r="A21" s="12" t="s">
        <v>18</v>
      </c>
      <c r="B21" s="13">
        <v>4000</v>
      </c>
      <c r="C21" s="13">
        <v>6</v>
      </c>
      <c r="D21" s="13"/>
      <c r="E21" s="14">
        <f>B21*C21</f>
        <v>24000</v>
      </c>
    </row>
    <row r="23" spans="1:7">
      <c r="A23" s="3" t="s">
        <v>41</v>
      </c>
      <c r="B23">
        <f>((B15/2)/E21)*100</f>
        <v>91.530250000000009</v>
      </c>
    </row>
    <row r="25" spans="1:7">
      <c r="A25" s="3" t="s">
        <v>42</v>
      </c>
      <c r="B25">
        <f>((B23/100)*E21)+B15/2</f>
        <v>43934.520000000004</v>
      </c>
    </row>
    <row r="26" spans="1:7">
      <c r="A26" s="48"/>
      <c r="B26" s="48"/>
      <c r="C26" s="48"/>
      <c r="D26" s="48"/>
      <c r="E26" s="48"/>
    </row>
    <row r="27" spans="1:7">
      <c r="A27" s="30" t="s">
        <v>20</v>
      </c>
      <c r="B27" s="31"/>
      <c r="C27" s="31"/>
      <c r="D27" s="31"/>
      <c r="E27" s="31"/>
      <c r="F27" s="31"/>
      <c r="G27" s="32"/>
    </row>
    <row r="28" spans="1:7">
      <c r="A28" s="15" t="s">
        <v>8</v>
      </c>
      <c r="B28" s="7" t="s">
        <v>43</v>
      </c>
      <c r="C28" s="7" t="s">
        <v>10</v>
      </c>
      <c r="D28" s="7" t="s">
        <v>11</v>
      </c>
      <c r="E28" s="7" t="s">
        <v>44</v>
      </c>
      <c r="F28" s="33"/>
      <c r="G28" s="34" t="s">
        <v>45</v>
      </c>
    </row>
    <row r="29" spans="1:7">
      <c r="A29" s="28" t="s">
        <v>46</v>
      </c>
      <c r="B29">
        <v>24.4</v>
      </c>
      <c r="C29">
        <v>0</v>
      </c>
      <c r="D29">
        <f>B3</f>
        <v>69492</v>
      </c>
      <c r="E29">
        <f>B29*C29*D29</f>
        <v>0</v>
      </c>
      <c r="G29" s="11">
        <f>E29/B25*100</f>
        <v>0</v>
      </c>
    </row>
    <row r="30" spans="1:7">
      <c r="A30" s="28" t="s">
        <v>47</v>
      </c>
      <c r="B30">
        <v>2.8</v>
      </c>
      <c r="C30">
        <v>0</v>
      </c>
      <c r="D30">
        <f>B3</f>
        <v>69492</v>
      </c>
      <c r="E30">
        <f>B30*C30*D30</f>
        <v>0</v>
      </c>
      <c r="G30" s="11">
        <f>E30/B25*100</f>
        <v>0</v>
      </c>
    </row>
    <row r="31" spans="1:7">
      <c r="A31" s="28" t="s">
        <v>48</v>
      </c>
      <c r="B31">
        <v>0.35</v>
      </c>
      <c r="C31">
        <v>3</v>
      </c>
      <c r="D31">
        <f>B3</f>
        <v>69492</v>
      </c>
      <c r="E31">
        <f>B31*C31*D31</f>
        <v>72966.599999999991</v>
      </c>
      <c r="G31" s="11">
        <f>E31/B25*100</f>
        <v>166.08033955987224</v>
      </c>
    </row>
    <row r="32" spans="1:7">
      <c r="A32" s="29" t="s">
        <v>49</v>
      </c>
      <c r="B32" s="13">
        <v>1.64</v>
      </c>
      <c r="C32" s="13">
        <v>0</v>
      </c>
      <c r="D32" s="13">
        <f>B3</f>
        <v>69492</v>
      </c>
      <c r="E32" s="13">
        <f>B32*C32*D32</f>
        <v>0</v>
      </c>
      <c r="F32" s="13"/>
      <c r="G32" s="14">
        <f>E32/B25*100</f>
        <v>0</v>
      </c>
    </row>
    <row r="34" spans="1:7" ht="14.25" customHeight="1">
      <c r="G34" t="s">
        <v>50</v>
      </c>
    </row>
    <row r="35" spans="1:7" ht="14.25" customHeight="1">
      <c r="G35">
        <f>SUM(G29:G32)</f>
        <v>166.08033955987224</v>
      </c>
    </row>
    <row r="39" spans="1:7">
      <c r="A39" s="28" t="s">
        <v>51</v>
      </c>
      <c r="B39">
        <v>8.25</v>
      </c>
      <c r="C39">
        <v>0</v>
      </c>
      <c r="D39">
        <f>B3</f>
        <v>69492</v>
      </c>
      <c r="E39">
        <f>B39*C39*D39</f>
        <v>0</v>
      </c>
      <c r="G39" s="11">
        <f>E39/B25*100</f>
        <v>0</v>
      </c>
    </row>
    <row r="40" spans="1:7">
      <c r="A40" s="28" t="s">
        <v>52</v>
      </c>
      <c r="B40">
        <v>8.25</v>
      </c>
      <c r="C40">
        <v>1</v>
      </c>
      <c r="D40">
        <f>B3</f>
        <v>69492</v>
      </c>
      <c r="E40">
        <f>B40*C40*D40</f>
        <v>573309</v>
      </c>
      <c r="G40" s="11">
        <f>E40/B25*100</f>
        <v>1304.9169536847107</v>
      </c>
    </row>
  </sheetData>
  <mergeCells count="3">
    <mergeCell ref="A26:E26"/>
    <mergeCell ref="A19:E19"/>
    <mergeCell ref="A9:E9"/>
  </mergeCells>
  <hyperlinks>
    <hyperlink ref="A29" r:id="rId1" xr:uid="{EA49C8D2-807E-4CB2-9781-5DF5BC24F421}"/>
    <hyperlink ref="A39" r:id="rId2" xr:uid="{ED2C6276-40E5-44D7-BB47-28E54C537226}"/>
    <hyperlink ref="A40" r:id="rId3" xr:uid="{879E42AC-AE47-4734-B540-96EEB542CAF2}"/>
    <hyperlink ref="A30" r:id="rId4" xr:uid="{1F9E8D83-3DC4-4EF3-877F-A3438B6FE62B}"/>
    <hyperlink ref="A32" r:id="rId5" xr:uid="{8B832A52-FC2C-42DB-80AA-1B5EEC8C1081}"/>
    <hyperlink ref="A31" r:id="rId6" xr:uid="{A217FC33-F60F-4A2E-BDAB-EAD25B77D5DF}"/>
  </hyperlinks>
  <pageMargins left="0.70078740157480324" right="0.70078740157480324" top="0.75196850393700787" bottom="0.75196850393700787" header="0.3" footer="0.3"/>
  <pageSetup paperSize="9" orientation="portrait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8C7-4230-4E37-BC00-F61BED6E1B53}">
  <dimension ref="A2:T18"/>
  <sheetViews>
    <sheetView workbookViewId="0">
      <selection activeCell="A5" sqref="A5"/>
    </sheetView>
  </sheetViews>
  <sheetFormatPr defaultRowHeight="15"/>
  <cols>
    <col min="1" max="1" width="28" customWidth="1"/>
    <col min="2" max="2" width="25.7109375" customWidth="1"/>
    <col min="13" max="13" width="37.7109375" customWidth="1"/>
  </cols>
  <sheetData>
    <row r="2" spans="1:20">
      <c r="A2" s="55" t="s">
        <v>53</v>
      </c>
      <c r="B2" s="55"/>
      <c r="C2" s="55"/>
      <c r="D2" s="55"/>
      <c r="N2" s="56" t="s">
        <v>54</v>
      </c>
      <c r="O2" s="56"/>
      <c r="P2" s="56"/>
      <c r="Q2" s="56"/>
      <c r="R2" s="56"/>
      <c r="S2" s="56"/>
      <c r="T2" s="56"/>
    </row>
    <row r="3" spans="1:20">
      <c r="A3" s="3" t="s">
        <v>55</v>
      </c>
      <c r="B3" s="3" t="s">
        <v>56</v>
      </c>
      <c r="C3" s="3" t="s">
        <v>57</v>
      </c>
      <c r="M3" t="s">
        <v>58</v>
      </c>
      <c r="N3" t="s">
        <v>59</v>
      </c>
      <c r="O3">
        <v>265</v>
      </c>
    </row>
    <row r="4" spans="1:20">
      <c r="A4" s="6" t="s">
        <v>60</v>
      </c>
      <c r="B4" t="s">
        <v>61</v>
      </c>
      <c r="C4">
        <v>3400</v>
      </c>
      <c r="M4" t="s">
        <v>62</v>
      </c>
      <c r="N4" t="s">
        <v>63</v>
      </c>
      <c r="O4">
        <v>593860</v>
      </c>
    </row>
    <row r="5" spans="1:20">
      <c r="A5" s="6" t="s">
        <v>64</v>
      </c>
      <c r="B5" t="s">
        <v>65</v>
      </c>
      <c r="C5">
        <v>860</v>
      </c>
      <c r="M5" t="s">
        <v>66</v>
      </c>
      <c r="N5" t="s">
        <v>67</v>
      </c>
      <c r="O5">
        <f>(O4)/(O3*O6)</f>
        <v>228.51647933549907</v>
      </c>
    </row>
    <row r="6" spans="1:20">
      <c r="A6" s="6" t="s">
        <v>65</v>
      </c>
      <c r="B6" t="s">
        <v>68</v>
      </c>
      <c r="C6">
        <v>310</v>
      </c>
      <c r="M6" t="s">
        <v>69</v>
      </c>
      <c r="N6" t="s">
        <v>70</v>
      </c>
      <c r="O6">
        <v>9.8066499999999994</v>
      </c>
    </row>
    <row r="7" spans="1:20">
      <c r="A7" s="6" t="s">
        <v>68</v>
      </c>
      <c r="B7" t="s">
        <v>71</v>
      </c>
      <c r="C7">
        <v>580</v>
      </c>
    </row>
    <row r="9" spans="1:20">
      <c r="M9" t="s">
        <v>72</v>
      </c>
      <c r="N9" t="s">
        <v>73</v>
      </c>
      <c r="O9">
        <f>O3*O6*LN(O10/O11)</f>
        <v>3216.8619148558541</v>
      </c>
    </row>
    <row r="10" spans="1:20">
      <c r="A10" s="3" t="s">
        <v>74</v>
      </c>
      <c r="B10">
        <f>SUM(C4:C7)</f>
        <v>5150</v>
      </c>
      <c r="C10" s="4" t="s">
        <v>55</v>
      </c>
      <c r="M10" t="s">
        <v>75</v>
      </c>
      <c r="N10" t="s">
        <v>76</v>
      </c>
      <c r="O10">
        <v>11310</v>
      </c>
    </row>
    <row r="11" spans="1:20">
      <c r="A11" s="3" t="s">
        <v>77</v>
      </c>
      <c r="B11">
        <v>1.1499999999999999</v>
      </c>
      <c r="M11" t="s">
        <v>78</v>
      </c>
      <c r="N11" t="s">
        <v>79</v>
      </c>
      <c r="O11">
        <v>3280</v>
      </c>
    </row>
    <row r="12" spans="1:20">
      <c r="A12" s="3"/>
    </row>
    <row r="13" spans="1:20">
      <c r="A13" s="3" t="s">
        <v>80</v>
      </c>
      <c r="B13">
        <f>B10*B11</f>
        <v>5922.4999999999991</v>
      </c>
    </row>
    <row r="14" spans="1:20">
      <c r="A14" s="3"/>
    </row>
    <row r="17" spans="1:2">
      <c r="A17" t="s">
        <v>81</v>
      </c>
    </row>
    <row r="18" spans="1:2">
      <c r="A18" t="s">
        <v>82</v>
      </c>
      <c r="B18">
        <v>123456</v>
      </c>
    </row>
  </sheetData>
  <mergeCells count="2">
    <mergeCell ref="A2:D2"/>
    <mergeCell ref="N2:T2"/>
  </mergeCells>
  <hyperlinks>
    <hyperlink ref="C10" r:id="rId1" xr:uid="{EACBDCA6-18E5-49B0-A9D8-27E2AB0EEB99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D812-49CB-4C0D-9A4C-7F1567BDA71D}">
  <dimension ref="A1:B35"/>
  <sheetViews>
    <sheetView workbookViewId="0">
      <selection activeCell="A2" sqref="A2:B35"/>
    </sheetView>
  </sheetViews>
  <sheetFormatPr defaultRowHeight="15"/>
  <cols>
    <col min="1" max="1" width="34.85546875" bestFit="1" customWidth="1"/>
    <col min="2" max="2" width="10.42578125" bestFit="1" customWidth="1"/>
  </cols>
  <sheetData>
    <row r="1" spans="1:2">
      <c r="A1" t="s">
        <v>83</v>
      </c>
      <c r="B1" t="s">
        <v>84</v>
      </c>
    </row>
    <row r="2" spans="1:2">
      <c r="A2" t="s">
        <v>85</v>
      </c>
      <c r="B2">
        <v>1</v>
      </c>
    </row>
    <row r="3" spans="1:2">
      <c r="A3" t="s">
        <v>86</v>
      </c>
      <c r="B3">
        <v>6</v>
      </c>
    </row>
    <row r="4" spans="1:2">
      <c r="A4" t="s">
        <v>87</v>
      </c>
      <c r="B4">
        <v>1</v>
      </c>
    </row>
    <row r="5" spans="1:2">
      <c r="A5" t="s">
        <v>88</v>
      </c>
      <c r="B5">
        <v>2</v>
      </c>
    </row>
    <row r="6" spans="1:2">
      <c r="A6" t="s">
        <v>89</v>
      </c>
      <c r="B6">
        <v>1</v>
      </c>
    </row>
    <row r="7" spans="1:2">
      <c r="A7" t="s">
        <v>90</v>
      </c>
      <c r="B7">
        <v>2</v>
      </c>
    </row>
    <row r="8" spans="1:2">
      <c r="A8" t="s">
        <v>91</v>
      </c>
      <c r="B8">
        <v>1</v>
      </c>
    </row>
    <row r="9" spans="1:2">
      <c r="A9" t="s">
        <v>92</v>
      </c>
      <c r="B9">
        <v>1</v>
      </c>
    </row>
    <row r="10" spans="1:2">
      <c r="A10" t="s">
        <v>93</v>
      </c>
      <c r="B10">
        <v>1</v>
      </c>
    </row>
    <row r="11" spans="1:2">
      <c r="A11" t="s">
        <v>94</v>
      </c>
      <c r="B11">
        <v>5</v>
      </c>
    </row>
    <row r="12" spans="1:2">
      <c r="A12" t="s">
        <v>95</v>
      </c>
      <c r="B12">
        <v>2</v>
      </c>
    </row>
    <row r="13" spans="1:2">
      <c r="A13" t="s">
        <v>96</v>
      </c>
      <c r="B13">
        <v>2</v>
      </c>
    </row>
    <row r="14" spans="1:2">
      <c r="A14" t="s">
        <v>97</v>
      </c>
      <c r="B14">
        <v>2</v>
      </c>
    </row>
    <row r="15" spans="1:2">
      <c r="A15" t="s">
        <v>98</v>
      </c>
      <c r="B15">
        <v>2</v>
      </c>
    </row>
    <row r="16" spans="1:2">
      <c r="A16" t="s">
        <v>99</v>
      </c>
      <c r="B16">
        <v>39</v>
      </c>
    </row>
    <row r="17" spans="1:2">
      <c r="A17" t="s">
        <v>100</v>
      </c>
      <c r="B17">
        <v>2</v>
      </c>
    </row>
    <row r="18" spans="1:2">
      <c r="A18" t="s">
        <v>101</v>
      </c>
      <c r="B18">
        <v>3</v>
      </c>
    </row>
    <row r="19" spans="1:2">
      <c r="A19" t="s">
        <v>102</v>
      </c>
      <c r="B19">
        <v>3</v>
      </c>
    </row>
    <row r="20" spans="1:2">
      <c r="A20" t="s">
        <v>103</v>
      </c>
      <c r="B20">
        <v>1</v>
      </c>
    </row>
    <row r="21" spans="1:2">
      <c r="A21" t="s">
        <v>48</v>
      </c>
      <c r="B21">
        <v>2</v>
      </c>
    </row>
    <row r="22" spans="1:2">
      <c r="A22" t="s">
        <v>104</v>
      </c>
      <c r="B22">
        <v>7</v>
      </c>
    </row>
    <row r="23" spans="1:2">
      <c r="A23" t="s">
        <v>105</v>
      </c>
      <c r="B23">
        <v>1</v>
      </c>
    </row>
    <row r="24" spans="1:2">
      <c r="A24" t="s">
        <v>106</v>
      </c>
      <c r="B24">
        <v>1</v>
      </c>
    </row>
    <row r="25" spans="1:2">
      <c r="A25" t="s">
        <v>107</v>
      </c>
      <c r="B25">
        <v>4</v>
      </c>
    </row>
    <row r="26" spans="1:2">
      <c r="A26" t="s">
        <v>108</v>
      </c>
      <c r="B26">
        <v>3</v>
      </c>
    </row>
    <row r="27" spans="1:2">
      <c r="A27" t="s">
        <v>109</v>
      </c>
      <c r="B27">
        <v>3</v>
      </c>
    </row>
    <row r="28" spans="1:2">
      <c r="A28" t="s">
        <v>110</v>
      </c>
      <c r="B28">
        <v>3</v>
      </c>
    </row>
    <row r="29" spans="1:2">
      <c r="A29" t="s">
        <v>111</v>
      </c>
      <c r="B29">
        <v>9</v>
      </c>
    </row>
    <row r="30" spans="1:2">
      <c r="A30" t="s">
        <v>112</v>
      </c>
      <c r="B30">
        <v>6</v>
      </c>
    </row>
    <row r="31" spans="1:2">
      <c r="A31" t="s">
        <v>113</v>
      </c>
      <c r="B31">
        <v>3</v>
      </c>
    </row>
    <row r="32" spans="1:2">
      <c r="A32" t="s">
        <v>114</v>
      </c>
      <c r="B32">
        <v>3</v>
      </c>
    </row>
    <row r="33" spans="1:2">
      <c r="A33" t="s">
        <v>115</v>
      </c>
      <c r="B33">
        <v>3</v>
      </c>
    </row>
    <row r="34" spans="1:2">
      <c r="A34" t="s">
        <v>116</v>
      </c>
      <c r="B34">
        <v>3</v>
      </c>
    </row>
    <row r="35" spans="1:2">
      <c r="A35" t="s">
        <v>51</v>
      </c>
      <c r="B35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B483-7FF1-4686-A0C5-A1F86516AE53}">
  <dimension ref="A1:O42"/>
  <sheetViews>
    <sheetView tabSelected="1" workbookViewId="0">
      <selection activeCell="B15" sqref="B15"/>
    </sheetView>
  </sheetViews>
  <sheetFormatPr defaultRowHeight="15"/>
  <cols>
    <col min="1" max="1" width="33.85546875" customWidth="1"/>
    <col min="2" max="2" width="25.140625" customWidth="1"/>
    <col min="3" max="3" width="31.28515625" customWidth="1"/>
    <col min="4" max="4" width="18.140625" customWidth="1"/>
    <col min="8" max="8" width="35.42578125" customWidth="1"/>
    <col min="9" max="9" width="5.5703125" customWidth="1"/>
    <col min="11" max="11" width="18.28515625" customWidth="1"/>
    <col min="12" max="12" width="15.140625" customWidth="1"/>
    <col min="13" max="13" width="15.7109375" customWidth="1"/>
    <col min="14" max="14" width="16.140625" customWidth="1"/>
    <col min="15" max="15" width="20.85546875" customWidth="1"/>
    <col min="16" max="16" width="11" customWidth="1"/>
    <col min="17" max="17" width="23.140625" customWidth="1"/>
    <col min="18" max="18" width="11.28515625" customWidth="1"/>
    <col min="19" max="19" width="15.140625" bestFit="1" customWidth="1"/>
    <col min="20" max="20" width="14.42578125" customWidth="1"/>
    <col min="21" max="21" width="18.140625" customWidth="1"/>
  </cols>
  <sheetData>
    <row r="1" spans="1:15">
      <c r="N1" s="3" t="s">
        <v>117</v>
      </c>
      <c r="O1" s="3" t="s">
        <v>118</v>
      </c>
    </row>
    <row r="2" spans="1:15">
      <c r="A2" s="59" t="s">
        <v>119</v>
      </c>
      <c r="B2" s="59"/>
      <c r="C2" s="59"/>
      <c r="D2" s="59"/>
      <c r="E2" s="59"/>
    </row>
    <row r="3" spans="1:15">
      <c r="A3">
        <v>160000</v>
      </c>
    </row>
    <row r="7" spans="1:15">
      <c r="A7" s="57" t="s">
        <v>120</v>
      </c>
      <c r="B7" s="58"/>
      <c r="D7" s="59"/>
      <c r="E7" s="59"/>
      <c r="H7" s="17" t="s">
        <v>121</v>
      </c>
      <c r="I7" s="18"/>
      <c r="J7" s="18"/>
      <c r="K7" s="18"/>
      <c r="L7" s="19"/>
    </row>
    <row r="8" spans="1:15">
      <c r="A8" s="8" t="s">
        <v>122</v>
      </c>
      <c r="B8" s="9" t="s">
        <v>123</v>
      </c>
      <c r="C8" s="35" t="s">
        <v>124</v>
      </c>
      <c r="H8" t="s">
        <v>125</v>
      </c>
      <c r="I8" t="s">
        <v>84</v>
      </c>
      <c r="J8" t="s">
        <v>126</v>
      </c>
      <c r="K8" t="s">
        <v>122</v>
      </c>
      <c r="L8" t="s">
        <v>127</v>
      </c>
    </row>
    <row r="9" spans="1:15">
      <c r="A9" s="10" t="s">
        <v>15</v>
      </c>
      <c r="B9" s="20">
        <v>45000</v>
      </c>
      <c r="C9">
        <v>0.3</v>
      </c>
      <c r="H9" s="4" t="s">
        <v>88</v>
      </c>
      <c r="I9">
        <v>2</v>
      </c>
      <c r="J9">
        <v>230</v>
      </c>
      <c r="K9" t="s">
        <v>15</v>
      </c>
      <c r="L9">
        <f>Table3[[#This Row],[Amount]]*Table3[[#This Row],[Cost]]</f>
        <v>460</v>
      </c>
    </row>
    <row r="10" spans="1:15">
      <c r="A10" s="10" t="s">
        <v>128</v>
      </c>
      <c r="B10" s="20">
        <v>12000</v>
      </c>
      <c r="C10">
        <v>0.1</v>
      </c>
      <c r="H10" s="4" t="s">
        <v>103</v>
      </c>
      <c r="I10">
        <v>1</v>
      </c>
      <c r="J10">
        <v>300</v>
      </c>
      <c r="K10" s="40" t="s">
        <v>15</v>
      </c>
      <c r="L10">
        <f>Table3[[#This Row],[Amount]]*Table3[[#This Row],[Cost]]</f>
        <v>300</v>
      </c>
    </row>
    <row r="11" spans="1:15">
      <c r="A11" s="10" t="s">
        <v>129</v>
      </c>
      <c r="B11" s="21">
        <v>60000</v>
      </c>
      <c r="C11">
        <v>0.4</v>
      </c>
      <c r="H11" s="4" t="s">
        <v>101</v>
      </c>
      <c r="I11">
        <v>3</v>
      </c>
      <c r="J11">
        <v>340</v>
      </c>
      <c r="K11" s="40" t="s">
        <v>15</v>
      </c>
      <c r="L11">
        <f>Table3[[#This Row],[Amount]]*Table3[[#This Row],[Cost]]</f>
        <v>1020</v>
      </c>
    </row>
    <row r="12" spans="1:15">
      <c r="A12" s="10" t="s">
        <v>130</v>
      </c>
      <c r="B12" s="21">
        <v>25000</v>
      </c>
      <c r="C12">
        <v>0.1</v>
      </c>
      <c r="H12" s="4" t="s">
        <v>102</v>
      </c>
      <c r="I12">
        <v>3</v>
      </c>
      <c r="J12">
        <v>3202</v>
      </c>
      <c r="K12" s="40" t="s">
        <v>15</v>
      </c>
      <c r="L12">
        <f>Table3[[#This Row],[Amount]]*Table3[[#This Row],[Cost]]</f>
        <v>9606</v>
      </c>
    </row>
    <row r="13" spans="1:15">
      <c r="A13" s="12" t="s">
        <v>131</v>
      </c>
      <c r="B13" s="22">
        <f>A3*0.1</f>
        <v>16000</v>
      </c>
      <c r="C13">
        <v>0.1</v>
      </c>
      <c r="H13" s="4" t="s">
        <v>51</v>
      </c>
      <c r="I13">
        <v>4</v>
      </c>
      <c r="J13">
        <v>1200</v>
      </c>
      <c r="K13" t="s">
        <v>15</v>
      </c>
      <c r="L13">
        <f>Table3[[#This Row],[Amount]]*Table3[[#This Row],[Cost]]</f>
        <v>4800</v>
      </c>
    </row>
    <row r="14" spans="1:15">
      <c r="A14" t="s">
        <v>132</v>
      </c>
      <c r="B14">
        <f>SUM(B9:B13)</f>
        <v>158000</v>
      </c>
      <c r="C14">
        <f>SUM(C9:C13)</f>
        <v>1</v>
      </c>
      <c r="H14" s="4" t="s">
        <v>87</v>
      </c>
      <c r="I14">
        <v>1</v>
      </c>
      <c r="J14">
        <v>432.8</v>
      </c>
      <c r="K14" t="s">
        <v>15</v>
      </c>
      <c r="L14">
        <f>Table3[[#This Row],[Amount]]*Table3[[#This Row],[Cost]]</f>
        <v>432.8</v>
      </c>
    </row>
    <row r="15" spans="1:15">
      <c r="H15" s="4" t="s">
        <v>86</v>
      </c>
      <c r="I15">
        <v>6</v>
      </c>
      <c r="J15">
        <v>4500</v>
      </c>
      <c r="K15" t="s">
        <v>15</v>
      </c>
      <c r="L15">
        <f>Table3[[#This Row],[Amount]]*Table3[[#This Row],[Cost]]</f>
        <v>27000</v>
      </c>
    </row>
    <row r="16" spans="1:15">
      <c r="H16" s="4" t="s">
        <v>94</v>
      </c>
      <c r="I16">
        <v>5</v>
      </c>
      <c r="J16">
        <v>600</v>
      </c>
      <c r="K16" s="40" t="s">
        <v>129</v>
      </c>
      <c r="L16">
        <f>Table3[[#This Row],[Amount]]*Table3[[#This Row],[Cost]]</f>
        <v>3000</v>
      </c>
    </row>
    <row r="17" spans="1:12">
      <c r="H17" s="4" t="s">
        <v>99</v>
      </c>
      <c r="I17">
        <v>39</v>
      </c>
      <c r="J17">
        <v>42</v>
      </c>
      <c r="K17" s="40" t="s">
        <v>129</v>
      </c>
      <c r="L17">
        <f>Table3[[#This Row],[Amount]]*Table3[[#This Row],[Cost]]</f>
        <v>1638</v>
      </c>
    </row>
    <row r="18" spans="1:12">
      <c r="A18" s="36" t="s">
        <v>133</v>
      </c>
      <c r="B18" s="37"/>
      <c r="C18" s="38"/>
      <c r="H18" s="4" t="s">
        <v>98</v>
      </c>
      <c r="I18">
        <v>2</v>
      </c>
      <c r="J18">
        <v>450</v>
      </c>
      <c r="K18" s="40" t="s">
        <v>129</v>
      </c>
      <c r="L18">
        <f>Table3[[#This Row],[Amount]]*Table3[[#This Row],[Cost]]</f>
        <v>900</v>
      </c>
    </row>
    <row r="19" spans="1:12">
      <c r="A19" s="7" t="s">
        <v>122</v>
      </c>
      <c r="B19" s="7" t="s">
        <v>123</v>
      </c>
      <c r="C19" s="7" t="s">
        <v>134</v>
      </c>
      <c r="D19" s="3"/>
      <c r="H19" s="4" t="s">
        <v>93</v>
      </c>
      <c r="I19">
        <v>1</v>
      </c>
      <c r="J19">
        <v>13000</v>
      </c>
      <c r="K19" t="s">
        <v>129</v>
      </c>
      <c r="L19">
        <f>Table3[[#This Row],[Amount]]*Table3[[#This Row],[Cost]]</f>
        <v>13000</v>
      </c>
    </row>
    <row r="20" spans="1:12">
      <c r="A20" t="s">
        <v>15</v>
      </c>
      <c r="B20" s="6">
        <f>SUMIF(
    Table3[Category],
    A20,
    Table3[Sub-total])</f>
        <v>43618.8</v>
      </c>
      <c r="C20" s="6">
        <f>B9-B20</f>
        <v>1381.1999999999971</v>
      </c>
      <c r="H20" s="4" t="s">
        <v>92</v>
      </c>
      <c r="I20">
        <v>1</v>
      </c>
      <c r="J20">
        <v>2812.4</v>
      </c>
      <c r="K20" t="s">
        <v>129</v>
      </c>
      <c r="L20">
        <f>Table3[[#This Row],[Amount]]*Table3[[#This Row],[Cost]]</f>
        <v>2812.4</v>
      </c>
    </row>
    <row r="21" spans="1:12">
      <c r="A21" t="s">
        <v>128</v>
      </c>
      <c r="B21" s="6">
        <f>SUMIF(
    Table3[Category],
    A21,
    Table3[Sub-total])</f>
        <v>28916.92</v>
      </c>
      <c r="C21" s="6">
        <f>B10-B21</f>
        <v>-16916.919999999998</v>
      </c>
      <c r="H21" s="4" t="s">
        <v>90</v>
      </c>
      <c r="I21">
        <v>2</v>
      </c>
      <c r="J21">
        <v>1531.2</v>
      </c>
      <c r="K21" t="s">
        <v>129</v>
      </c>
      <c r="L21">
        <f>Table3[[#This Row],[Amount]]*Table3[[#This Row],[Cost]]</f>
        <v>3062.4</v>
      </c>
    </row>
    <row r="22" spans="1:12">
      <c r="A22" t="s">
        <v>129</v>
      </c>
      <c r="B22" s="6">
        <f>SUMIF(
    Table3[Category],
    A22,
    Table3[Sub-total])</f>
        <v>43532.800000000003</v>
      </c>
      <c r="C22" s="6">
        <f>B11-B22</f>
        <v>16467.199999999997</v>
      </c>
      <c r="H22" s="4" t="s">
        <v>97</v>
      </c>
      <c r="I22">
        <v>2</v>
      </c>
      <c r="J22">
        <v>8660</v>
      </c>
      <c r="K22" t="s">
        <v>129</v>
      </c>
      <c r="L22">
        <f>Table3[[#This Row],[Amount]]*Table3[[#This Row],[Cost]]</f>
        <v>17320</v>
      </c>
    </row>
    <row r="23" spans="1:12">
      <c r="A23" t="s">
        <v>130</v>
      </c>
      <c r="B23" s="6">
        <f>SUMIF(
    Table3[Category],
    A23,
    Table3[Sub-total])</f>
        <v>6170</v>
      </c>
      <c r="C23" s="6">
        <f>B12-B23</f>
        <v>18830</v>
      </c>
      <c r="H23" s="4" t="s">
        <v>100</v>
      </c>
      <c r="I23">
        <v>2</v>
      </c>
      <c r="J23">
        <v>200</v>
      </c>
      <c r="K23" s="40" t="s">
        <v>129</v>
      </c>
      <c r="L23">
        <f>Table3[[#This Row],[Amount]]*Table3[[#This Row],[Cost]]</f>
        <v>400</v>
      </c>
    </row>
    <row r="24" spans="1:12">
      <c r="A24" s="43" t="s">
        <v>135</v>
      </c>
      <c r="B24" s="44">
        <f>SUM(B20:B23)</f>
        <v>122238.52</v>
      </c>
      <c r="C24" s="44"/>
      <c r="H24" s="4" t="s">
        <v>96</v>
      </c>
      <c r="I24">
        <v>2</v>
      </c>
      <c r="J24">
        <v>700</v>
      </c>
      <c r="K24" t="s">
        <v>129</v>
      </c>
      <c r="L24">
        <f>Table3[[#This Row],[Amount]]*Table3[[#This Row],[Cost]]</f>
        <v>1400</v>
      </c>
    </row>
    <row r="25" spans="1:12">
      <c r="H25" s="4" t="s">
        <v>109</v>
      </c>
      <c r="I25">
        <v>3</v>
      </c>
      <c r="J25">
        <v>240</v>
      </c>
      <c r="K25" s="40" t="s">
        <v>128</v>
      </c>
      <c r="L25">
        <f>Table3[[#This Row],[Amount]]*Table3[[#This Row],[Cost]]</f>
        <v>720</v>
      </c>
    </row>
    <row r="26" spans="1:12">
      <c r="A26" s="42" t="s">
        <v>136</v>
      </c>
      <c r="B26" s="42" t="s">
        <v>137</v>
      </c>
      <c r="C26" s="42" t="s">
        <v>138</v>
      </c>
      <c r="D26" s="42" t="s">
        <v>139</v>
      </c>
      <c r="H26" s="4" t="s">
        <v>140</v>
      </c>
      <c r="I26">
        <v>1</v>
      </c>
      <c r="J26">
        <v>600</v>
      </c>
      <c r="K26" t="s">
        <v>128</v>
      </c>
      <c r="L26">
        <f>Table3[[#This Row],[Amount]]*Table3[[#This Row],[Cost]]</f>
        <v>600</v>
      </c>
    </row>
    <row r="27" spans="1:12">
      <c r="A27" t="s">
        <v>141</v>
      </c>
      <c r="B27">
        <v>0</v>
      </c>
      <c r="C27">
        <v>0.3</v>
      </c>
      <c r="D27">
        <f>Tabel2[[#This Row],[price per kg (F/kg)]]*Tabel2[[#This Row],[Weight(kg)]]</f>
        <v>0</v>
      </c>
      <c r="H27" s="4" t="s">
        <v>114</v>
      </c>
      <c r="I27">
        <v>3</v>
      </c>
      <c r="J27">
        <v>300</v>
      </c>
      <c r="K27" t="s">
        <v>128</v>
      </c>
      <c r="L27">
        <f>Table3[[#This Row],[Amount]]*Table3[[#This Row],[Cost]]</f>
        <v>900</v>
      </c>
    </row>
    <row r="28" spans="1:12">
      <c r="A28" t="s">
        <v>142</v>
      </c>
      <c r="B28">
        <v>30870</v>
      </c>
      <c r="C28">
        <v>0.16</v>
      </c>
      <c r="D28">
        <f>Tabel2[[#This Row],[price per kg (F/kg)]]*Tabel2[[#This Row],[Weight(kg)]]</f>
        <v>4939.2</v>
      </c>
      <c r="H28" t="s">
        <v>143</v>
      </c>
      <c r="I28">
        <v>4</v>
      </c>
      <c r="J28">
        <v>2200</v>
      </c>
      <c r="K28" s="40" t="s">
        <v>128</v>
      </c>
      <c r="L28">
        <f>Table3[[#This Row],[Amount]]*Table3[[#This Row],[Cost]]</f>
        <v>8800</v>
      </c>
    </row>
    <row r="29" spans="1:12">
      <c r="A29" t="s">
        <v>144</v>
      </c>
      <c r="B29">
        <v>37730</v>
      </c>
      <c r="C29">
        <v>0.04</v>
      </c>
      <c r="D29">
        <f>Tabel2[[#This Row],[price per kg (F/kg)]]*Tabel2[[#This Row],[Weight(kg)]]</f>
        <v>1509.2</v>
      </c>
      <c r="H29" s="4" t="s">
        <v>104</v>
      </c>
      <c r="I29">
        <v>7</v>
      </c>
      <c r="J29">
        <v>16</v>
      </c>
      <c r="K29" s="40" t="s">
        <v>128</v>
      </c>
      <c r="L29">
        <f>Table3[[#This Row],[Amount]]*Table3[[#This Row],[Cost]]</f>
        <v>112</v>
      </c>
    </row>
    <row r="30" spans="1:12">
      <c r="A30" t="s">
        <v>145</v>
      </c>
      <c r="B30">
        <v>246000</v>
      </c>
      <c r="C30">
        <v>0.08</v>
      </c>
      <c r="D30">
        <f>Tabel2[[#This Row],[price per kg (F/kg)]]*Tabel2[[#This Row],[Weight(kg)]]</f>
        <v>19680</v>
      </c>
      <c r="H30" s="4" t="s">
        <v>105</v>
      </c>
      <c r="I30">
        <v>1</v>
      </c>
      <c r="J30">
        <v>20</v>
      </c>
      <c r="K30" t="s">
        <v>128</v>
      </c>
      <c r="L30">
        <f>Table3[[#This Row],[Amount]]*Table3[[#This Row],[Cost]]</f>
        <v>20</v>
      </c>
    </row>
    <row r="31" spans="1:12">
      <c r="D31">
        <f>SUM(D27:D30)</f>
        <v>26128.400000000001</v>
      </c>
      <c r="H31" s="4" t="s">
        <v>110</v>
      </c>
      <c r="I31">
        <v>3</v>
      </c>
      <c r="J31">
        <v>51.64</v>
      </c>
      <c r="K31" t="s">
        <v>128</v>
      </c>
      <c r="L31">
        <f>Table3[[#This Row],[Amount]]*Table3[[#This Row],[Cost]]</f>
        <v>154.92000000000002</v>
      </c>
    </row>
    <row r="32" spans="1:12">
      <c r="H32" s="4" t="s">
        <v>112</v>
      </c>
      <c r="I32">
        <v>6</v>
      </c>
      <c r="J32">
        <v>380</v>
      </c>
      <c r="K32" t="s">
        <v>128</v>
      </c>
      <c r="L32">
        <f>Table3[[#This Row],[Amount]]*Table3[[#This Row],[Cost]]</f>
        <v>2280</v>
      </c>
    </row>
    <row r="33" spans="1:12">
      <c r="H33" s="4" t="s">
        <v>115</v>
      </c>
      <c r="I33">
        <v>3</v>
      </c>
      <c r="J33">
        <v>1480</v>
      </c>
      <c r="K33" t="s">
        <v>128</v>
      </c>
      <c r="L33">
        <f>Table3[[#This Row],[Amount]]*Table3[[#This Row],[Cost]]</f>
        <v>4440</v>
      </c>
    </row>
    <row r="34" spans="1:12">
      <c r="A34" t="s">
        <v>146</v>
      </c>
      <c r="B34">
        <f>Table3[[#Totals],[Sub-total]]+D31</f>
        <v>148366.92000000001</v>
      </c>
      <c r="H34" s="4" t="s">
        <v>116</v>
      </c>
      <c r="I34">
        <v>3</v>
      </c>
      <c r="J34">
        <v>1800</v>
      </c>
      <c r="K34" t="s">
        <v>128</v>
      </c>
      <c r="L34">
        <f>Table3[[#This Row],[Amount]]*Table3[[#This Row],[Cost]]</f>
        <v>5400</v>
      </c>
    </row>
    <row r="35" spans="1:12">
      <c r="A35" t="s">
        <v>147</v>
      </c>
      <c r="B35">
        <v>148365</v>
      </c>
      <c r="H35" s="4" t="s">
        <v>113</v>
      </c>
      <c r="I35">
        <v>3</v>
      </c>
      <c r="J35">
        <v>600</v>
      </c>
      <c r="K35" t="s">
        <v>128</v>
      </c>
      <c r="L35">
        <f>Table3[[#This Row],[Amount]]*Table3[[#This Row],[Cost]]</f>
        <v>1800</v>
      </c>
    </row>
    <row r="36" spans="1:12">
      <c r="A36" s="41" t="s">
        <v>148</v>
      </c>
      <c r="B36">
        <f>B34-B35</f>
        <v>1.9200000000128057</v>
      </c>
      <c r="H36" s="4" t="s">
        <v>108</v>
      </c>
      <c r="I36">
        <v>3</v>
      </c>
      <c r="J36">
        <v>150</v>
      </c>
      <c r="K36" t="s">
        <v>128</v>
      </c>
      <c r="L36">
        <f>Table3[[#This Row],[Amount]]*Table3[[#This Row],[Cost]]</f>
        <v>450</v>
      </c>
    </row>
    <row r="37" spans="1:12">
      <c r="E37" s="39"/>
      <c r="H37" s="4" t="s">
        <v>111</v>
      </c>
      <c r="I37">
        <v>9</v>
      </c>
      <c r="J37">
        <v>360</v>
      </c>
      <c r="K37" t="s">
        <v>128</v>
      </c>
      <c r="L37">
        <f>Table3[[#This Row],[Amount]]*Table3[[#This Row],[Cost]]</f>
        <v>3240</v>
      </c>
    </row>
    <row r="38" spans="1:12">
      <c r="A38" t="s">
        <v>149</v>
      </c>
      <c r="B38">
        <f>B14-B34</f>
        <v>9633.0799999999872</v>
      </c>
      <c r="H38" t="s">
        <v>150</v>
      </c>
      <c r="I38">
        <v>1</v>
      </c>
      <c r="J38">
        <v>530</v>
      </c>
      <c r="K38" s="40" t="s">
        <v>130</v>
      </c>
      <c r="L38">
        <f>Table3[[#This Row],[Amount]]*Table3[[#This Row],[Cost]]</f>
        <v>530</v>
      </c>
    </row>
    <row r="39" spans="1:12">
      <c r="H39" s="4" t="s">
        <v>95</v>
      </c>
      <c r="I39">
        <v>2</v>
      </c>
      <c r="J39">
        <v>820</v>
      </c>
      <c r="K39" s="40" t="s">
        <v>130</v>
      </c>
      <c r="L39">
        <f>Table3[[#This Row],[Amount]]*Table3[[#This Row],[Cost]]</f>
        <v>1640</v>
      </c>
    </row>
    <row r="40" spans="1:12">
      <c r="H40" s="4" t="s">
        <v>85</v>
      </c>
      <c r="I40">
        <v>1</v>
      </c>
      <c r="J40">
        <v>3400</v>
      </c>
      <c r="K40" s="40" t="s">
        <v>130</v>
      </c>
      <c r="L40">
        <f>Table3[[#This Row],[Amount]]*Table3[[#This Row],[Cost]]</f>
        <v>3400</v>
      </c>
    </row>
    <row r="41" spans="1:12">
      <c r="H41" s="4" t="s">
        <v>89</v>
      </c>
      <c r="I41">
        <v>2</v>
      </c>
      <c r="J41">
        <v>300</v>
      </c>
      <c r="K41" t="s">
        <v>130</v>
      </c>
      <c r="L41">
        <f>Table3[[#This Row],[Amount]]*Table3[[#This Row],[Cost]]</f>
        <v>600</v>
      </c>
    </row>
    <row r="42" spans="1:12">
      <c r="H42" s="45"/>
      <c r="I42" s="46"/>
      <c r="J42" s="46"/>
      <c r="K42" s="46" t="s">
        <v>151</v>
      </c>
      <c r="L42" s="47">
        <f>SUM(Table3[Sub-total])</f>
        <v>122238.52</v>
      </c>
    </row>
  </sheetData>
  <mergeCells count="3">
    <mergeCell ref="A7:B7"/>
    <mergeCell ref="A2:E2"/>
    <mergeCell ref="D7:E7"/>
  </mergeCells>
  <hyperlinks>
    <hyperlink ref="H15" r:id="rId1" xr:uid="{5B12192D-0C11-41F7-98F5-4D626B56A05A}"/>
    <hyperlink ref="H37" r:id="rId2" xr:uid="{2495BE1E-AEA5-4172-AF58-1BE05E6DAED3}"/>
    <hyperlink ref="H24" r:id="rId3" xr:uid="{AA710EF4-08C3-437F-89C4-CC012E360F1F}"/>
    <hyperlink ref="H23" r:id="rId4" xr:uid="{FA8683E5-2168-4D2D-9617-B5BE3677313A}"/>
    <hyperlink ref="H41" r:id="rId5" xr:uid="{07FDC18A-6E28-4225-907F-6AC5794FFC02}"/>
    <hyperlink ref="H36" r:id="rId6" xr:uid="{4BE51A23-A1D6-428D-91B4-15ADD247C561}"/>
    <hyperlink ref="H35" r:id="rId7" xr:uid="{5E9E7584-8E0B-4C07-A666-6FCFCE2820D4}"/>
    <hyperlink ref="H22" r:id="rId8" xr:uid="{3B02F796-4F45-4389-A5AD-C679FB2A8CEE}"/>
    <hyperlink ref="H14" r:id="rId9" xr:uid="{05102AAB-EEAE-4BAB-BBFF-FCFA8B774546}"/>
    <hyperlink ref="H21" r:id="rId10" xr:uid="{DEAEC810-2A4F-4E56-87F2-6FB67EEDB807}"/>
    <hyperlink ref="H20" r:id="rId11" xr:uid="{59769B79-4C82-4012-AE1F-6389EDBED93B}"/>
    <hyperlink ref="H19" r:id="rId12" xr:uid="{680A91B0-D05C-4863-8290-D49346C13ED5}"/>
    <hyperlink ref="H40" r:id="rId13" xr:uid="{74347D53-1C1B-4E9D-A009-35F985056722}"/>
    <hyperlink ref="H34" r:id="rId14" xr:uid="{4A17FDEF-F300-4A9C-B065-B0EB798F51E6}"/>
    <hyperlink ref="H18" r:id="rId15" xr:uid="{38A95141-F343-4472-8DDB-80842C5CB99D}"/>
    <hyperlink ref="H33" r:id="rId16" xr:uid="{0E77EDCD-F0EF-40EE-B028-25C2AAA8D2C0}"/>
    <hyperlink ref="H32" r:id="rId17" xr:uid="{BAA581AB-F2D0-4050-96A3-86183550E2BB}"/>
    <hyperlink ref="H13" r:id="rId18" xr:uid="{35B86F79-C812-49F8-99DE-88049905E82F}"/>
    <hyperlink ref="H31" r:id="rId19" xr:uid="{09F365C3-92F7-49BD-BB0E-D1401F4E5C4D}"/>
    <hyperlink ref="H30" r:id="rId20" xr:uid="{58BCD779-6709-434C-88C5-B5A2A9CE0867}"/>
    <hyperlink ref="H39" r:id="rId21" xr:uid="{CB585EC0-BDAD-4AF8-B34F-D1D1FACCFDD2}"/>
    <hyperlink ref="H12" r:id="rId22" xr:uid="{8B7B7737-CFB8-4697-B22C-5A3E98162C2D}"/>
    <hyperlink ref="H11" r:id="rId23" xr:uid="{E7811A37-7635-4E85-87C8-05F6581B271A}"/>
    <hyperlink ref="H17" r:id="rId24" xr:uid="{157A1AE4-4FDF-40DB-B79B-579603C9FBD2}"/>
    <hyperlink ref="H16" r:id="rId25" xr:uid="{DEFA2427-E0B8-40A7-8A05-D9F3A4B7658D}"/>
    <hyperlink ref="H29" r:id="rId26" xr:uid="{3CA5A058-73FB-4BC5-821B-1B748203325A}"/>
    <hyperlink ref="H27" r:id="rId27" xr:uid="{31DE51EF-1B1C-47C2-B861-8253812199E1}"/>
    <hyperlink ref="H10" r:id="rId28" xr:uid="{4244D169-A722-4AD4-811A-DF1764122AB6}"/>
    <hyperlink ref="H26" r:id="rId29" xr:uid="{11214E08-945B-49A2-B79D-AFA6BB862C19}"/>
    <hyperlink ref="H25" r:id="rId30" xr:uid="{0F864FC8-0D4E-4CC3-B6A8-0BFD22CE23C7}"/>
    <hyperlink ref="H9" r:id="rId31" xr:uid="{3190AA09-876D-43F1-9EB3-153B96960FD2}"/>
  </hyperlinks>
  <pageMargins left="0.7" right="0.7" top="0.75" bottom="0.75" header="0.3" footer="0.3"/>
  <tableParts count="3">
    <tablePart r:id="rId32"/>
    <tablePart r:id="rId33"/>
    <tablePart r:id="rId3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s K A m W k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L C g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o C Z a U t Z 4 l 0 A B A A D o A Q A A E w A c A E Z v c m 1 1 b G F z L 1 N l Y 3 R p b 2 4 x L m 0 g o h g A K K A U A A A A A A A A A A A A A A A A A A A A A A A A A A A A b V D L T s M w E L x H y j 9 Y 4 Z J K V q R W w I E q h 5 A + Q J R S c G 4 N B z d Z U k t + R P a m o q r 6 7 7 i k o h y 6 F 3 t n V r M z 6 6 B C Y T R h / T s c h 0 E Y u C 2 3 U J M V t + g W w i F J i Q Q M A + K L m c 5 W 4 J H c 7 Z K J q T o F G u O Z k J D k R q N v X B x N H 8 p Z x g o y z 1 6 n j M z f y O P H b 5 U O g S v e t q 6 s j F J G l y 9 g N 1 w S 1 n I v u r K m s V y V c 6 5 g w p G X T K h W w s n H w j Q N 2 P L P U l K 5 X T S g 6 w l I o Q S C T S M a U Z I b 2 S n t 0 h E l U 1 2 Z W u g m H Y 7 u f P v e G Q S G e w n p 5 Z s s j Y b P A e 2 j 3 U T e g P J c T Z 6 A 1 2 B d 5 H M W f O M H z 8 w Z j / s r U L I + 4 5 m U r O K S W 5 e i 7 f 5 L 5 l u u G 6 9 Y 7 F u 4 y B W W a / d l r O o N n 0 g X X 9 l P D 4 d o 6 a / h o 6 G f I Q j f e K T k E G X K d B o 9 / K z x / j Y 5 C R y P g z A Q + u r i 8 Q 9 Q S w E C L Q A U A A I A C A C w o C Z a T M 4 D 0 a U A A A D 2 A A A A E g A A A A A A A A A A A A A A A A A A A A A A Q 2 9 u Z m l n L 1 B h Y 2 t h Z 2 U u e G 1 s U E s B A i 0 A F A A C A A g A s K A m W g / K 6 a u k A A A A 6 Q A A A B M A A A A A A A A A A A A A A A A A 8 Q A A A F t D b 2 5 0 Z W 5 0 X 1 R 5 c G V z X S 5 4 b W x Q S w E C L Q A U A A I A C A C w o C Z a U t Z 4 l 0 A B A A D o A Q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Q A A A A A A A P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H N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l Z j l k Y 2 Q t Y T g z Z S 0 0 N G J h L W I 4 O T g t M m U 5 Y j A 2 Y T R l Y j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n R z T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x O T o w N T o z M i 4 0 N z k 0 M T A 1 W i I g L z 4 8 R W 5 0 c n k g V H l w Z T 0 i R m l s b E N v b H V t b l R 5 c G V z I i B W Y W x 1 Z T 0 i c 0 J n T T 0 i I C 8 + P E V u d H J 5 I F R 5 c G U 9 I k Z p b G x D b 2 x 1 b W 5 O Y W 1 l c y I g V m F s d W U 9 I n N b J n F 1 b 3 Q 7 T m F t Z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0 c 0 x p c 3 Q v Q X V 0 b 1 J l b W 9 2 Z W R D b 2 x 1 b W 5 z M S 5 7 T m F t Z S w w f S Z x d W 9 0 O y w m c X V v d D t T Z W N 0 a W 9 u M S 9 Q Y X J 0 c 0 x p c 3 Q v Q X V 0 b 1 J l b W 9 2 Z W R D b 2 x 1 b W 5 z M S 5 7 Q W 1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c n R z T G l z d C 9 B d X R v U m V t b 3 Z l Z E N v b H V t b n M x L n t O Y W 1 l L D B 9 J n F 1 b 3 Q 7 L C Z x d W 9 0 O 1 N l Y 3 R p b 2 4 x L 1 B h c n R z T G l z d C 9 B d X R v U m V t b 3 Z l Z E N v b H V t b n M x L n t B b W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R z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0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H N M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q b L N C e u J F r v y x o C A O p o c A A A A A A g A A A A A A E G Y A A A A B A A A g A A A A a C F N A k o X K n 3 G G 4 R J G 9 l q P 0 / B 6 1 r o U Y X L 1 D M L d r I z h Z c A A A A A D o A A A A A C A A A g A A A A x K 3 i o C 7 6 G M j v G Q P 0 2 W h B 0 k 0 d 1 r F o r v W Z j k a d W c q V e 2 1 Q A A A A n k M W J h P b T t y / 1 0 T u 5 J l 8 C d S E N e g n C W K O 1 R u G Y 5 7 Z j h 6 u Y Y d e v B S I l I W Z 1 i u W f p A J A O p H W y D p f q K 7 l E Y / c U f A h v Q C Q C d n x C Q A P x h o z I 8 K t e d A A A A A h Z b Q B Y 1 W I o I c 2 A w 8 R a t C c h b K 0 2 2 c f r J u N V w V R M R w W w t v 7 7 R x U a A 2 B W 0 p E r 7 1 H m + c G h l w N 2 5 z p 6 A 3 7 F 9 3 O q S b f w = = < / D a t a M a s h u p > 
</file>

<file path=customXml/itemProps1.xml><?xml version="1.0" encoding="utf-8"?>
<ds:datastoreItem xmlns:ds="http://schemas.openxmlformats.org/officeDocument/2006/customXml" ds:itemID="{42C9CDAE-AF57-4D7C-A9E4-70FC397C33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2024-12-27T15:46:54Z</dcterms:created>
  <dcterms:modified xsi:type="dcterms:W3CDTF">2025-01-07T10:36:18Z</dcterms:modified>
  <cp:category/>
  <cp:contentStatus/>
</cp:coreProperties>
</file>