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00459D2-7E1A-46CD-B2ED-4C8FF221C7C2}" xr6:coauthVersionLast="38" xr6:coauthVersionMax="38" xr10:uidLastSave="{00000000-0000-0000-0000-000000000000}"/>
  <bookViews>
    <workbookView xWindow="0" yWindow="0" windowWidth="22260" windowHeight="12645" firstSheet="4" activeTab="4" xr2:uid="{00000000-000D-0000-FFFF-FFFF00000000}"/>
  </bookViews>
  <sheets>
    <sheet name="Costs" sheetId="1" r:id="rId1"/>
    <sheet name="Daily Salary" sheetId="2" r:id="rId2"/>
    <sheet name="Real Estate" sheetId="4" r:id="rId3"/>
    <sheet name="Furniture" sheetId="3" r:id="rId4"/>
    <sheet name="Revenue" sheetId="5" r:id="rId5"/>
    <sheet name="Initial Weighted Sales" sheetId="10" r:id="rId6"/>
    <sheet name="ROI - Low Growth" sheetId="8" r:id="rId7"/>
    <sheet name="ROI - Moderate Growth" sheetId="6" r:id="rId8"/>
    <sheet name="ROI - High Growth" sheetId="9" r:id="rId9"/>
    <sheet name="Revenue Forcast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B13" i="10"/>
  <c r="H1" i="8" s="1"/>
  <c r="H1" i="6" l="1"/>
  <c r="H1" i="9"/>
  <c r="L4" i="8"/>
  <c r="B8" i="2" l="1"/>
  <c r="L4" i="9"/>
  <c r="B2" i="9"/>
  <c r="C1" i="9"/>
  <c r="C1" i="6"/>
  <c r="B2" i="6"/>
  <c r="L4" i="6"/>
  <c r="B2" i="8"/>
  <c r="B3" i="8" s="1"/>
  <c r="B4" i="8" s="1"/>
  <c r="B3" i="6" l="1"/>
  <c r="B3" i="9"/>
  <c r="B5" i="8"/>
  <c r="E3" i="1"/>
  <c r="B4" i="6" l="1"/>
  <c r="B4" i="9"/>
  <c r="B6" i="8"/>
  <c r="C1" i="8"/>
  <c r="B5" i="6" l="1"/>
  <c r="B5" i="9"/>
  <c r="B2" i="5"/>
  <c r="C2" i="8" l="1"/>
  <c r="C2" i="6"/>
  <c r="C3" i="8"/>
  <c r="C2" i="9"/>
  <c r="C4" i="8"/>
  <c r="C5" i="8"/>
  <c r="C3" i="6"/>
  <c r="C3" i="9"/>
  <c r="C6" i="8"/>
  <c r="C4" i="9"/>
  <c r="C4" i="6"/>
  <c r="B6" i="6"/>
  <c r="C6" i="6" s="1"/>
  <c r="C5" i="6"/>
  <c r="C5" i="9"/>
  <c r="B6" i="9"/>
  <c r="C6" i="9" s="1"/>
  <c r="G2" i="3"/>
  <c r="C3" i="3" s="1"/>
  <c r="B4" i="1" s="1"/>
  <c r="E4" i="1"/>
  <c r="B11" i="4"/>
  <c r="B2" i="3"/>
  <c r="B3" i="4" l="1"/>
  <c r="C4" i="3"/>
  <c r="B3" i="1" s="1"/>
  <c r="C2" i="3"/>
  <c r="B2" i="1" s="1"/>
  <c r="B8" i="1" s="1"/>
  <c r="C8" i="2"/>
  <c r="D8" i="2" s="1"/>
  <c r="E8" i="2" s="1"/>
  <c r="E2" i="1" l="1"/>
  <c r="E8" i="1" s="1"/>
  <c r="B12" i="1" l="1"/>
  <c r="E3" i="5" s="1"/>
  <c r="B11" i="1"/>
  <c r="E2" i="5" s="1"/>
  <c r="D2" i="8" l="1"/>
  <c r="E2" i="8" s="1"/>
  <c r="D2" i="9"/>
  <c r="E2" i="9" s="1"/>
  <c r="D2" i="6"/>
  <c r="E2" i="6" s="1"/>
  <c r="D6" i="9"/>
  <c r="E6" i="9" s="1"/>
  <c r="D3" i="9"/>
  <c r="E3" i="9" s="1"/>
  <c r="D5" i="9"/>
  <c r="E5" i="9" s="1"/>
  <c r="D3" i="6"/>
  <c r="E3" i="6" s="1"/>
  <c r="D5" i="6"/>
  <c r="E5" i="6" s="1"/>
  <c r="D6" i="6"/>
  <c r="E6" i="6" s="1"/>
  <c r="D4" i="9"/>
  <c r="E4" i="9" s="1"/>
  <c r="D4" i="6"/>
  <c r="E4" i="6" s="1"/>
  <c r="D3" i="8"/>
  <c r="E3" i="8" s="1"/>
  <c r="D6" i="8"/>
  <c r="D4" i="8"/>
  <c r="E4" i="8" s="1"/>
  <c r="D5" i="8"/>
  <c r="E5" i="8" s="1"/>
  <c r="E6" i="8"/>
  <c r="E7" i="6" l="1"/>
  <c r="H6" i="6" s="1"/>
  <c r="E7" i="9"/>
  <c r="H6" i="9" s="1"/>
  <c r="E7" i="8"/>
  <c r="H6" i="8" s="1"/>
</calcChain>
</file>

<file path=xl/sharedStrings.xml><?xml version="1.0" encoding="utf-8"?>
<sst xmlns="http://schemas.openxmlformats.org/spreadsheetml/2006/main" count="120" uniqueCount="85">
  <si>
    <t>Costs</t>
  </si>
  <si>
    <t>Junior</t>
  </si>
  <si>
    <t>Senior</t>
  </si>
  <si>
    <t>Total Cost Salary</t>
  </si>
  <si>
    <t>Salary/hour in EUR</t>
  </si>
  <si>
    <t>/year in EUR</t>
  </si>
  <si>
    <t>/hour in EUR</t>
  </si>
  <si>
    <t>/day in EUR</t>
  </si>
  <si>
    <t>/month in EUR</t>
  </si>
  <si>
    <t>ROI</t>
  </si>
  <si>
    <t>Salaries</t>
  </si>
  <si>
    <t>Total Costs</t>
  </si>
  <si>
    <t>Laptops</t>
  </si>
  <si>
    <t># of Developers</t>
  </si>
  <si>
    <t># Of Developers</t>
  </si>
  <si>
    <t>Cost per unit</t>
  </si>
  <si>
    <t>Total Cost</t>
  </si>
  <si>
    <t>Electricity</t>
  </si>
  <si>
    <t>Rent Office</t>
  </si>
  <si>
    <t>Average Electricity Usage in kWh</t>
  </si>
  <si>
    <t>Sources</t>
  </si>
  <si>
    <t>The cheapest energyprovider near Bruges is "Eneco - Zon &amp; Wind Flex"</t>
  </si>
  <si>
    <t>Energy cost / year (Eneco - Zon &amp; Wind Flex)</t>
  </si>
  <si>
    <t>Cost/ kWh</t>
  </si>
  <si>
    <t>Office Rent</t>
  </si>
  <si>
    <t>Rent/month</t>
  </si>
  <si>
    <t>Rent/Year</t>
  </si>
  <si>
    <t>Sources:</t>
  </si>
  <si>
    <t>https://www.immoweb.be/nl/zoekertje/kantoor/te-huur/brugge/8000/id7733489</t>
  </si>
  <si>
    <t>Rent/m³ per year</t>
  </si>
  <si>
    <t>The office we chose is found in Bruges and is 45 m³, this is more then enough for a company of 4 developers</t>
  </si>
  <si>
    <t>Desks</t>
  </si>
  <si>
    <t>Chairs</t>
  </si>
  <si>
    <t>Een volle werkdag is 8 uur</t>
  </si>
  <si>
    <t>De gemmiddelde belg werkt 20-23 dagen per maand, dus een gemiddelde van 21,5 dagen</t>
  </si>
  <si>
    <t>https://www.bureaustoel24.nl/MARCO-100-Thuiskantoor-bureaustoel-hjh.html?gclid=Cj0KCQjwuuHdBRCvARIsAELQRQHVUeHGdWadLaFtSNWF_yoWslgvVe_qQWqffhb_p5VMczL3UCTzHzkaAnH0EALw_wcB</t>
  </si>
  <si>
    <t>https://www2.howest.be/laptops/hardware.aspx</t>
  </si>
  <si>
    <t>https://kantoormeubelennv.be/producten/tafels-buro-s-en-onderkasten/tafels/132/t-bureautafel-detail?gclid=Cj0KCQjwuuHdBRCvARIsAELQRQHA3SNIJ-LYQ21ZQ90PV_1PNqfxRFMAELI0OB1NIVDAkg_V5Qb7fxIaAr5YEALw_wcB</t>
  </si>
  <si>
    <t>"MARCO 100 - THUISKANTOOR BUREAUSTOEL ZWART", Cost: 114,90 EUR per unit</t>
  </si>
  <si>
    <t>"Bureautafel T-line", Cost: 195,00 EUR per unit</t>
  </si>
  <si>
    <t>Price/unit</t>
  </si>
  <si>
    <t>Tetris</t>
  </si>
  <si>
    <t>https://www.pricecharting.com/en/game/nes/tetris</t>
  </si>
  <si>
    <t>Year</t>
  </si>
  <si>
    <t xml:space="preserve">Amount </t>
  </si>
  <si>
    <t>Initial Year Units Sold</t>
  </si>
  <si>
    <t>https://www.vreg.be/nl/elektriciteitsverbruik-van-een-gezin</t>
  </si>
  <si>
    <t>https://energievergelijker.tariefchecker.be/overzicht/electricity/232-8000?u=ef531e52-7b8f-4f12-9294-dd0a683ad165&amp;_=8e2fd15b597a7d414a2159341742c598</t>
  </si>
  <si>
    <t>Totals</t>
  </si>
  <si>
    <t>Profit</t>
  </si>
  <si>
    <t>Tetris costs around 1 to 10 EURs today, thats why we chose to take the average of that, namely 5.</t>
  </si>
  <si>
    <t>https://www.equidam.com/average-growth-rate-for-startups/</t>
  </si>
  <si>
    <t>Investment Length</t>
  </si>
  <si>
    <t>Annual Growth</t>
  </si>
  <si>
    <t>Reaccuring Costs</t>
  </si>
  <si>
    <t>Total First Year Costs</t>
  </si>
  <si>
    <t>Total Reaccuring Costs</t>
  </si>
  <si>
    <t>Investment Request</t>
  </si>
  <si>
    <t>Investments</t>
  </si>
  <si>
    <t>Total Costs on Investments</t>
  </si>
  <si>
    <t>Total General Year Costs</t>
  </si>
  <si>
    <t>Average Growth</t>
  </si>
  <si>
    <t>Year 2-3</t>
  </si>
  <si>
    <t>Year 4-5</t>
  </si>
  <si>
    <t>An average family uses 3305 kWh in 2017, so we expect that this also applies to a company of 4 people</t>
  </si>
  <si>
    <t>Year 1</t>
  </si>
  <si>
    <t>Year 2-5</t>
  </si>
  <si>
    <t xml:space="preserve">Assuming we use the HP ProBook 650 G4 presented by Howest, the price of one laptop will be 1049 EUR </t>
  </si>
  <si>
    <t>We kiezen ervoor om elke jaar 3 maanden dit project te werken, dus betalen we elk jaar voor 3 maanden</t>
  </si>
  <si>
    <t>Name</t>
  </si>
  <si>
    <t>User Amount</t>
  </si>
  <si>
    <t>Block Puzzle - Fun Games Free</t>
  </si>
  <si>
    <t>Classic Blocks - Hero Fight Forever</t>
  </si>
  <si>
    <t>Tetra Classic - Blackbox Games</t>
  </si>
  <si>
    <t>Classic Bricks Tetromino Game - Banana App</t>
  </si>
  <si>
    <t>Wood Block Puzzle - Free Puzzle Games</t>
  </si>
  <si>
    <t>Brick Game - Classic Dongzhi Studio</t>
  </si>
  <si>
    <t>Wood Block Puzzle - Classic Puzzle Block Games</t>
  </si>
  <si>
    <t>Block Puzzle 3: Classic Brick</t>
  </si>
  <si>
    <t>Brick Game Puzzle</t>
  </si>
  <si>
    <t>Initial Weighted Sales</t>
  </si>
  <si>
    <t>Block Puzzle Legend Mania 2018</t>
  </si>
  <si>
    <t>Server</t>
  </si>
  <si>
    <t>Average</t>
  </si>
  <si>
    <t>Break-even point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</si>
</sst>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813]_-;\-* #,##0.00\ [$€-813]_-;_-* &quot;-&quot;??\ [$€-813]_-;_-@_-"/>
    <numFmt numFmtId="165" formatCode="#,##0\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4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164" fontId="0" fillId="4" borderId="0" xfId="0" applyNumberFormat="1" applyFill="1"/>
    <xf numFmtId="0" fontId="2" fillId="3" borderId="0" xfId="0" applyFont="1" applyFill="1"/>
    <xf numFmtId="164" fontId="0" fillId="3" borderId="0" xfId="0" applyNumberFormat="1" applyFill="1"/>
    <xf numFmtId="164" fontId="0" fillId="0" borderId="0" xfId="0" applyNumberFormat="1"/>
    <xf numFmtId="0" fontId="3" fillId="0" borderId="0" xfId="2"/>
    <xf numFmtId="0" fontId="2" fillId="0" borderId="0" xfId="0" applyFont="1" applyFill="1"/>
    <xf numFmtId="164" fontId="0" fillId="0" borderId="0" xfId="0" applyNumberFormat="1" applyFill="1"/>
    <xf numFmtId="3" fontId="0" fillId="4" borderId="0" xfId="0" applyNumberFormat="1" applyFill="1"/>
    <xf numFmtId="0" fontId="0" fillId="0" borderId="0" xfId="0" applyFill="1" applyAlignment="1"/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 applyFill="1"/>
    <xf numFmtId="10" fontId="0" fillId="0" borderId="0" xfId="1" applyNumberFormat="1" applyFont="1"/>
    <xf numFmtId="164" fontId="0" fillId="3" borderId="0" xfId="0" applyNumberFormat="1" applyFont="1" applyFill="1"/>
    <xf numFmtId="10" fontId="0" fillId="4" borderId="0" xfId="1" applyNumberFormat="1" applyFont="1" applyFill="1"/>
    <xf numFmtId="165" fontId="0" fillId="4" borderId="0" xfId="1" applyNumberFormat="1" applyFont="1" applyFill="1"/>
    <xf numFmtId="164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0" fontId="0" fillId="3" borderId="0" xfId="1" applyNumberFormat="1" applyFont="1" applyFill="1"/>
    <xf numFmtId="3" fontId="0" fillId="3" borderId="0" xfId="0" applyNumberFormat="1" applyFont="1" applyFill="1"/>
    <xf numFmtId="0" fontId="2" fillId="2" borderId="0" xfId="0" applyFont="1" applyFill="1" applyAlignment="1">
      <alignment horizontal="center"/>
    </xf>
    <xf numFmtId="10" fontId="0" fillId="0" borderId="0" xfId="1" applyNumberFormat="1" applyFont="1" applyFill="1"/>
    <xf numFmtId="164" fontId="0" fillId="0" borderId="0" xfId="0" applyNumberFormat="1" applyFont="1" applyFill="1"/>
    <xf numFmtId="164" fontId="2" fillId="0" borderId="0" xfId="0" applyNumberFormat="1" applyFont="1" applyFill="1"/>
    <xf numFmtId="165" fontId="0" fillId="0" borderId="0" xfId="1" applyNumberFormat="1" applyFont="1" applyFill="1"/>
    <xf numFmtId="0" fontId="3" fillId="0" borderId="0" xfId="2" applyFill="1"/>
    <xf numFmtId="0" fontId="2" fillId="0" borderId="0" xfId="0" applyFont="1" applyFill="1" applyAlignment="1"/>
    <xf numFmtId="3" fontId="0" fillId="4" borderId="0" xfId="0" applyNumberFormat="1" applyFont="1" applyFill="1"/>
    <xf numFmtId="0" fontId="2" fillId="2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3">
    <cellStyle name="Hyperlink" xfId="2" builtinId="8"/>
    <cellStyle name="Procent" xfId="1" builtinId="5"/>
    <cellStyle name="Standa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56442601912369"/>
          <c:y val="9.7599186455696887E-2"/>
          <c:w val="0.7460529118642778"/>
          <c:h val="0.73592091137842719"/>
        </c:manualLayout>
      </c:layout>
      <c:lineChart>
        <c:grouping val="standard"/>
        <c:varyColors val="0"/>
        <c:ser>
          <c:idx val="0"/>
          <c:order val="0"/>
          <c:tx>
            <c:strRef>
              <c:f>Costs!$A$10</c:f>
              <c:strCache>
                <c:ptCount val="1"/>
                <c:pt idx="0">
                  <c:v>Total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'ROI - Low Growth'!$A$2:$A$6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'ROI - Moderate Growth'!$D$2:$D$6</c:f>
              <c:numCache>
                <c:formatCode>_-* #\ ##0.00\ [$€-813]_-;\-* #\ ##0.00\ [$€-813]_-;_-* "-"??\ [$€-813]_-;_-@_-</c:formatCode>
                <c:ptCount val="5"/>
                <c:pt idx="0">
                  <c:v>148422.17000000001</c:v>
                </c:pt>
                <c:pt idx="1">
                  <c:v>142986.57</c:v>
                </c:pt>
                <c:pt idx="2">
                  <c:v>142986.57</c:v>
                </c:pt>
                <c:pt idx="3">
                  <c:v>142986.57</c:v>
                </c:pt>
                <c:pt idx="4">
                  <c:v>142986.57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F-4B81-BB64-9AEBF77B531A}"/>
            </c:ext>
          </c:extLst>
        </c:ser>
        <c:ser>
          <c:idx val="1"/>
          <c:order val="1"/>
          <c:tx>
            <c:v>Low Growth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'ROI - Low Growth'!$C$2:$C$6</c:f>
              <c:numCache>
                <c:formatCode>_-* #\ ##0.00\ [$€-813]_-;\-* #\ ##0.00\ [$€-813]_-;_-* "-"??\ [$€-813]_-;_-@_-</c:formatCode>
                <c:ptCount val="5"/>
                <c:pt idx="0">
                  <c:v>94747.95</c:v>
                </c:pt>
                <c:pt idx="1">
                  <c:v>118433.7</c:v>
                </c:pt>
                <c:pt idx="2">
                  <c:v>148044.6</c:v>
                </c:pt>
                <c:pt idx="3">
                  <c:v>185055.75</c:v>
                </c:pt>
                <c:pt idx="4">
                  <c:v>231318.45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5-435C-BD94-E1D40A4BB26C}"/>
            </c:ext>
          </c:extLst>
        </c:ser>
        <c:ser>
          <c:idx val="2"/>
          <c:order val="2"/>
          <c:tx>
            <c:v>Moderate Growth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'ROI - Moderate Growth'!$C$2:$C$6</c:f>
              <c:numCache>
                <c:formatCode>_-* #\ ##0.00\ [$€-813]_-;\-* #\ ##0.00\ [$€-813]_-;_-* "-"??\ [$€-813]_-;_-@_-</c:formatCode>
                <c:ptCount val="5"/>
                <c:pt idx="0">
                  <c:v>94747.95</c:v>
                </c:pt>
                <c:pt idx="1">
                  <c:v>123170.85</c:v>
                </c:pt>
                <c:pt idx="2">
                  <c:v>160122.6</c:v>
                </c:pt>
                <c:pt idx="3">
                  <c:v>208157.4</c:v>
                </c:pt>
                <c:pt idx="4">
                  <c:v>270606.60000000003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5-435C-BD94-E1D40A4BB26C}"/>
            </c:ext>
          </c:extLst>
        </c:ser>
        <c:ser>
          <c:idx val="3"/>
          <c:order val="3"/>
          <c:tx>
            <c:v>High Growth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'ROI - High Growth'!$C$2:$C$6</c:f>
              <c:numCache>
                <c:formatCode>_-* #\ ##0.00\ [$€-813]_-;\-* #\ ##0.00\ [$€-813]_-;_-* "-"??\ [$€-813]_-;_-@_-</c:formatCode>
                <c:ptCount val="5"/>
                <c:pt idx="0">
                  <c:v>94747.95</c:v>
                </c:pt>
                <c:pt idx="1">
                  <c:v>126017.1</c:v>
                </c:pt>
                <c:pt idx="2">
                  <c:v>167602.05000000002</c:v>
                </c:pt>
                <c:pt idx="3">
                  <c:v>222908.4</c:v>
                </c:pt>
                <c:pt idx="4">
                  <c:v>296470.35000000003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5-435C-BD94-E1D40A4B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15160"/>
        <c:axId val="322115488"/>
      </c:lineChart>
      <c:catAx>
        <c:axId val="32211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 b="1"/>
                  <a:t>Years</a:t>
                </a:r>
                <a:endParaRPr lang="nl-BE" sz="1400" b="1" baseline="0"/>
              </a:p>
            </c:rich>
          </c:tx>
          <c:layout>
            <c:manualLayout>
              <c:xMode val="edge"/>
              <c:yMode val="edge"/>
              <c:x val="0.5235942229354188"/>
              <c:y val="0.8947727923829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2115488"/>
        <c:crosses val="autoZero"/>
        <c:auto val="1"/>
        <c:lblAlgn val="ctr"/>
        <c:lblOffset val="100"/>
        <c:noMultiLvlLbl val="0"/>
      </c:catAx>
      <c:valAx>
        <c:axId val="3221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 b="1"/>
                  <a:t>Revenue</a:t>
                </a:r>
              </a:p>
            </c:rich>
          </c:tx>
          <c:layout>
            <c:manualLayout>
              <c:xMode val="edge"/>
              <c:yMode val="edge"/>
              <c:x val="1.5819301126172015E-2"/>
              <c:y val="0.4055864703790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_-* #\ ##0.00\ [$€-813]_-;\-* #\ ##0.00\ [$€-813]_-;_-* &quot;-&quot;??\ [$€-813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211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473678842489192"/>
          <c:y val="0.95226264734190136"/>
          <c:w val="0.48110384952775342"/>
          <c:h val="3.5270517731781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4336E5-AC5B-4579-86B7-A5D4E57FE26D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AE4411D-E08C-409F-B3AF-73028AB4D3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moweb.be/nl/zoekertje/kantoor/te-huur/brugge/8000/id773348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reaustoel24.nl/MARCO-100-Thuiskantoor-bureaustoel-hjh.html?gclid=Cj0KCQjwuuHdBRCvARIsAELQRQHVUeHGdWadLaFtSNWF_yoWslgvVe_qQWqffhb_p5VMczL3UCTzHzkaAnH0EALw_wcB" TargetMode="External"/><Relationship Id="rId2" Type="http://schemas.openxmlformats.org/officeDocument/2006/relationships/hyperlink" Target="https://kantoormeubelennv.be/producten/tafels-buro-s-en-onderkasten/tafels/132/t-bureautafel-detail?gclid=Cj0KCQjwuuHdBRCvARIsAELQRQHA3SNIJ-LYQ21ZQ90PV_1PNqfxRFMAELI0OB1NIVDAkg_V5Qb7fxIaAr5YEALw_wcB" TargetMode="External"/><Relationship Id="rId1" Type="http://schemas.openxmlformats.org/officeDocument/2006/relationships/hyperlink" Target="https://www2.howest.be/laptops/hardware.asp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ricecharting.com/en/game/nes/tetri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equidam.com/average-growth-rate-for-startup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quidam.com/average-growth-rate-for-startup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quidam.com/average-growth-rate-for-startu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D6" sqref="D6"/>
    </sheetView>
  </sheetViews>
  <sheetFormatPr defaultRowHeight="15" x14ac:dyDescent="0.25"/>
  <cols>
    <col min="1" max="1" width="25.140625" bestFit="1" customWidth="1"/>
    <col min="2" max="2" width="16.85546875" customWidth="1"/>
    <col min="3" max="3" width="12.5703125" customWidth="1"/>
    <col min="4" max="4" width="24.7109375" customWidth="1"/>
    <col min="5" max="5" width="15.85546875" customWidth="1"/>
  </cols>
  <sheetData>
    <row r="1" spans="1:5" x14ac:dyDescent="0.25">
      <c r="A1" s="36" t="s">
        <v>58</v>
      </c>
      <c r="B1" s="36"/>
      <c r="D1" s="36" t="s">
        <v>54</v>
      </c>
      <c r="E1" s="36"/>
    </row>
    <row r="2" spans="1:5" x14ac:dyDescent="0.25">
      <c r="A2" s="6" t="s">
        <v>12</v>
      </c>
      <c r="B2" s="5">
        <f>Furniture!C2</f>
        <v>4196</v>
      </c>
      <c r="D2" s="6" t="s">
        <v>10</v>
      </c>
      <c r="E2" s="5">
        <f>'Daily Salary'!E8</f>
        <v>134160</v>
      </c>
    </row>
    <row r="3" spans="1:5" x14ac:dyDescent="0.25">
      <c r="A3" s="6" t="s">
        <v>31</v>
      </c>
      <c r="B3" s="5">
        <f>Furniture!C4</f>
        <v>780</v>
      </c>
      <c r="D3" s="6" t="s">
        <v>17</v>
      </c>
      <c r="E3" s="5">
        <f>'Real Estate'!C11</f>
        <v>876.57</v>
      </c>
    </row>
    <row r="4" spans="1:5" x14ac:dyDescent="0.25">
      <c r="A4" s="6" t="s">
        <v>32</v>
      </c>
      <c r="B4" s="5">
        <f>Furniture!C3</f>
        <v>459.6</v>
      </c>
      <c r="D4" s="6" t="s">
        <v>18</v>
      </c>
      <c r="E4" s="5">
        <f>'Real Estate'!C3</f>
        <v>7800</v>
      </c>
    </row>
    <row r="5" spans="1:5" x14ac:dyDescent="0.25">
      <c r="A5" s="6"/>
      <c r="B5" s="5"/>
      <c r="D5" s="6" t="s">
        <v>82</v>
      </c>
      <c r="E5" s="5">
        <v>150</v>
      </c>
    </row>
    <row r="6" spans="1:5" x14ac:dyDescent="0.25">
      <c r="A6" s="6"/>
      <c r="B6" s="5"/>
      <c r="D6" s="6"/>
      <c r="E6" s="5"/>
    </row>
    <row r="7" spans="1:5" x14ac:dyDescent="0.25">
      <c r="A7" s="6"/>
      <c r="B7" s="5"/>
      <c r="D7" s="6"/>
      <c r="E7" s="5"/>
    </row>
    <row r="8" spans="1:5" x14ac:dyDescent="0.25">
      <c r="A8" s="6" t="s">
        <v>59</v>
      </c>
      <c r="B8" s="7">
        <f>SUM(B2:B7)</f>
        <v>5435.6</v>
      </c>
      <c r="D8" s="6" t="s">
        <v>56</v>
      </c>
      <c r="E8" s="7">
        <f>SUM(E2:E7)</f>
        <v>142986.57</v>
      </c>
    </row>
    <row r="10" spans="1:5" x14ac:dyDescent="0.25">
      <c r="A10" s="36" t="s">
        <v>11</v>
      </c>
      <c r="B10" s="36"/>
    </row>
    <row r="11" spans="1:5" x14ac:dyDescent="0.25">
      <c r="A11" s="6" t="s">
        <v>55</v>
      </c>
      <c r="B11" s="5">
        <f>E8+B8</f>
        <v>148422.17000000001</v>
      </c>
    </row>
    <row r="12" spans="1:5" x14ac:dyDescent="0.25">
      <c r="A12" s="6" t="s">
        <v>60</v>
      </c>
      <c r="B12" s="5">
        <f>E8</f>
        <v>142986.57</v>
      </c>
    </row>
    <row r="13" spans="1:5" x14ac:dyDescent="0.25">
      <c r="A13" s="6" t="s">
        <v>57</v>
      </c>
      <c r="B13" s="5">
        <v>100000</v>
      </c>
    </row>
    <row r="14" spans="1:5" x14ac:dyDescent="0.25">
      <c r="A14" s="4"/>
      <c r="B14" s="8"/>
    </row>
    <row r="18" spans="1:2" x14ac:dyDescent="0.25">
      <c r="A18" s="4"/>
      <c r="B18" s="17"/>
    </row>
  </sheetData>
  <mergeCells count="3">
    <mergeCell ref="A1:B1"/>
    <mergeCell ref="D1:E1"/>
    <mergeCell ref="A10:B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2C42-75D8-467B-99BD-A0FCCCED1C57}">
  <dimension ref="A1:E13"/>
  <sheetViews>
    <sheetView workbookViewId="0">
      <selection activeCell="D20" sqref="D20"/>
    </sheetView>
  </sheetViews>
  <sheetFormatPr defaultRowHeight="15" x14ac:dyDescent="0.25"/>
  <cols>
    <col min="1" max="1" width="15.5703125" bestFit="1" customWidth="1"/>
    <col min="2" max="2" width="14.5703125" customWidth="1"/>
    <col min="3" max="3" width="19.85546875" bestFit="1" customWidth="1"/>
    <col min="4" max="4" width="14" bestFit="1" customWidth="1"/>
    <col min="5" max="5" width="12.85546875" bestFit="1" customWidth="1"/>
  </cols>
  <sheetData>
    <row r="1" spans="1:5" s="4" customFormat="1" x14ac:dyDescent="0.25">
      <c r="A1" s="2"/>
      <c r="B1" s="3" t="s">
        <v>14</v>
      </c>
      <c r="C1" s="3" t="s">
        <v>4</v>
      </c>
    </row>
    <row r="2" spans="1:5" x14ac:dyDescent="0.25">
      <c r="A2" s="3" t="s">
        <v>1</v>
      </c>
      <c r="B2" s="1">
        <v>2</v>
      </c>
      <c r="C2" s="5">
        <v>50</v>
      </c>
    </row>
    <row r="3" spans="1:5" x14ac:dyDescent="0.25">
      <c r="A3" s="3" t="s">
        <v>2</v>
      </c>
      <c r="B3" s="1">
        <v>2</v>
      </c>
      <c r="C3" s="5">
        <v>80</v>
      </c>
    </row>
    <row r="7" spans="1:5" x14ac:dyDescent="0.25">
      <c r="A7" s="2" t="s">
        <v>3</v>
      </c>
      <c r="B7" s="2" t="s">
        <v>6</v>
      </c>
      <c r="C7" s="2" t="s">
        <v>7</v>
      </c>
      <c r="D7" s="2" t="s">
        <v>8</v>
      </c>
      <c r="E7" s="2" t="s">
        <v>5</v>
      </c>
    </row>
    <row r="8" spans="1:5" x14ac:dyDescent="0.25">
      <c r="A8" s="2"/>
      <c r="B8" s="5">
        <f>(B2*C2)+(B3*C3)</f>
        <v>260</v>
      </c>
      <c r="C8" s="5">
        <f>B8*8</f>
        <v>2080</v>
      </c>
      <c r="D8" s="5">
        <f>C8*21.5</f>
        <v>44720</v>
      </c>
      <c r="E8" s="5">
        <f>D8*3</f>
        <v>134160</v>
      </c>
    </row>
    <row r="11" spans="1:5" x14ac:dyDescent="0.25">
      <c r="A11" t="s">
        <v>33</v>
      </c>
    </row>
    <row r="12" spans="1:5" x14ac:dyDescent="0.25">
      <c r="A12" t="s">
        <v>34</v>
      </c>
    </row>
    <row r="13" spans="1:5" x14ac:dyDescent="0.25">
      <c r="A13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193D-83A7-48AC-A3B2-77D4C3B3EB97}">
  <dimension ref="A1:E17"/>
  <sheetViews>
    <sheetView workbookViewId="0">
      <selection activeCell="F3" sqref="F3"/>
    </sheetView>
  </sheetViews>
  <sheetFormatPr defaultRowHeight="15" x14ac:dyDescent="0.25"/>
  <cols>
    <col min="1" max="1" width="23" customWidth="1"/>
    <col min="2" max="2" width="16.7109375" bestFit="1" customWidth="1"/>
    <col min="3" max="3" width="41" bestFit="1" customWidth="1"/>
    <col min="4" max="4" width="10.28515625" bestFit="1" customWidth="1"/>
  </cols>
  <sheetData>
    <row r="1" spans="1:5" ht="23.25" x14ac:dyDescent="0.35">
      <c r="A1" s="37" t="s">
        <v>24</v>
      </c>
      <c r="B1" s="37"/>
      <c r="C1" s="37"/>
    </row>
    <row r="2" spans="1:5" x14ac:dyDescent="0.25">
      <c r="A2" s="2" t="s">
        <v>25</v>
      </c>
      <c r="B2" s="2" t="s">
        <v>29</v>
      </c>
      <c r="C2" s="2" t="s">
        <v>26</v>
      </c>
      <c r="E2" s="10"/>
    </row>
    <row r="3" spans="1:5" x14ac:dyDescent="0.25">
      <c r="A3" s="5">
        <v>650</v>
      </c>
      <c r="B3" s="5">
        <f>C3/45</f>
        <v>173.33333333333334</v>
      </c>
      <c r="C3" s="5">
        <f>A3*12</f>
        <v>7800</v>
      </c>
      <c r="E3" s="11"/>
    </row>
    <row r="5" spans="1:5" x14ac:dyDescent="0.25">
      <c r="A5" s="4" t="s">
        <v>27</v>
      </c>
    </row>
    <row r="6" spans="1:5" x14ac:dyDescent="0.25">
      <c r="A6" t="s">
        <v>30</v>
      </c>
    </row>
    <row r="7" spans="1:5" x14ac:dyDescent="0.25">
      <c r="A7" s="9" t="s">
        <v>28</v>
      </c>
    </row>
    <row r="9" spans="1:5" ht="23.25" x14ac:dyDescent="0.35">
      <c r="A9" s="37" t="s">
        <v>17</v>
      </c>
      <c r="B9" s="37"/>
      <c r="C9" s="37"/>
      <c r="D9" s="13"/>
    </row>
    <row r="10" spans="1:5" x14ac:dyDescent="0.25">
      <c r="A10" s="2" t="s">
        <v>19</v>
      </c>
      <c r="B10" s="2" t="s">
        <v>23</v>
      </c>
      <c r="C10" s="2" t="s">
        <v>22</v>
      </c>
    </row>
    <row r="11" spans="1:5" x14ac:dyDescent="0.25">
      <c r="A11" s="12">
        <v>3305</v>
      </c>
      <c r="B11" s="5">
        <f>C11/A11</f>
        <v>0.26522541603630861</v>
      </c>
      <c r="C11" s="5">
        <v>876.57</v>
      </c>
    </row>
    <row r="13" spans="1:5" x14ac:dyDescent="0.25">
      <c r="A13" s="4" t="s">
        <v>20</v>
      </c>
    </row>
    <row r="14" spans="1:5" x14ac:dyDescent="0.25">
      <c r="A14" t="s">
        <v>64</v>
      </c>
    </row>
    <row r="15" spans="1:5" x14ac:dyDescent="0.25">
      <c r="A15" s="9" t="s">
        <v>46</v>
      </c>
    </row>
    <row r="16" spans="1:5" x14ac:dyDescent="0.25">
      <c r="A16" t="s">
        <v>21</v>
      </c>
    </row>
    <row r="17" spans="1:1" x14ac:dyDescent="0.25">
      <c r="A17" s="9" t="s">
        <v>47</v>
      </c>
    </row>
  </sheetData>
  <mergeCells count="2">
    <mergeCell ref="A9:C9"/>
    <mergeCell ref="A1:C1"/>
  </mergeCells>
  <hyperlinks>
    <hyperlink ref="A7" r:id="rId1" xr:uid="{9893721B-115F-4214-9A86-BB9A235BF0E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91BF-FAC8-43E9-96BB-9FC7D42EB573}">
  <dimension ref="A1:G12"/>
  <sheetViews>
    <sheetView workbookViewId="0">
      <selection activeCell="G9" sqref="G9"/>
    </sheetView>
  </sheetViews>
  <sheetFormatPr defaultRowHeight="15" x14ac:dyDescent="0.25"/>
  <cols>
    <col min="2" max="2" width="15" bestFit="1" customWidth="1"/>
    <col min="3" max="3" width="12.28515625" bestFit="1" customWidth="1"/>
    <col min="4" max="4" width="12.85546875" bestFit="1" customWidth="1"/>
    <col min="7" max="7" width="15" bestFit="1" customWidth="1"/>
  </cols>
  <sheetData>
    <row r="1" spans="1:7" x14ac:dyDescent="0.25">
      <c r="A1" s="2"/>
      <c r="B1" s="3" t="s">
        <v>15</v>
      </c>
      <c r="C1" s="3" t="s">
        <v>16</v>
      </c>
      <c r="G1" s="3" t="s">
        <v>13</v>
      </c>
    </row>
    <row r="2" spans="1:7" x14ac:dyDescent="0.25">
      <c r="A2" s="3" t="s">
        <v>12</v>
      </c>
      <c r="B2" s="5">
        <f>1049</f>
        <v>1049</v>
      </c>
      <c r="C2" s="5">
        <f>$G$2*B2</f>
        <v>4196</v>
      </c>
      <c r="G2" s="1">
        <f>SUM('Daily Salary'!B2:B3)</f>
        <v>4</v>
      </c>
    </row>
    <row r="3" spans="1:7" x14ac:dyDescent="0.25">
      <c r="A3" s="3" t="s">
        <v>32</v>
      </c>
      <c r="B3" s="5">
        <v>114.9</v>
      </c>
      <c r="C3" s="5">
        <f>$G$2*B3</f>
        <v>459.6</v>
      </c>
      <c r="G3" s="15"/>
    </row>
    <row r="4" spans="1:7" x14ac:dyDescent="0.25">
      <c r="A4" s="3" t="s">
        <v>31</v>
      </c>
      <c r="B4" s="5">
        <v>195</v>
      </c>
      <c r="C4" s="5">
        <f>$G$2*B4</f>
        <v>780</v>
      </c>
      <c r="G4" s="15"/>
    </row>
    <row r="6" spans="1:7" x14ac:dyDescent="0.25">
      <c r="A6" s="4" t="s">
        <v>27</v>
      </c>
    </row>
    <row r="7" spans="1:7" x14ac:dyDescent="0.25">
      <c r="A7" t="s">
        <v>67</v>
      </c>
    </row>
    <row r="8" spans="1:7" x14ac:dyDescent="0.25">
      <c r="A8" s="9" t="s">
        <v>36</v>
      </c>
    </row>
    <row r="9" spans="1:7" x14ac:dyDescent="0.25">
      <c r="A9" s="16" t="s">
        <v>38</v>
      </c>
      <c r="B9" s="14"/>
      <c r="C9" s="14"/>
      <c r="D9" s="14"/>
    </row>
    <row r="10" spans="1:7" x14ac:dyDescent="0.25">
      <c r="A10" s="9" t="s">
        <v>35</v>
      </c>
      <c r="B10" s="15"/>
      <c r="C10" s="11"/>
      <c r="D10" s="11"/>
    </row>
    <row r="11" spans="1:7" x14ac:dyDescent="0.25">
      <c r="A11" s="16" t="s">
        <v>39</v>
      </c>
    </row>
    <row r="12" spans="1:7" x14ac:dyDescent="0.25">
      <c r="A12" s="9" t="s">
        <v>37</v>
      </c>
    </row>
  </sheetData>
  <hyperlinks>
    <hyperlink ref="A8" r:id="rId1" xr:uid="{FB066688-F27B-437C-8412-F25A3D4C78C7}"/>
    <hyperlink ref="A12" r:id="rId2" xr:uid="{1A884462-988D-49A7-BB8B-A82841DDE449}"/>
    <hyperlink ref="A10" r:id="rId3" xr:uid="{3F30B3FC-9E83-4695-B9CE-92403C8ACC8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C21D-56A2-43EA-AB9A-67FB5B109DB0}">
  <dimension ref="A1:E8"/>
  <sheetViews>
    <sheetView tabSelected="1" workbookViewId="0">
      <selection activeCell="E2" sqref="E2"/>
    </sheetView>
  </sheetViews>
  <sheetFormatPr defaultRowHeight="15" x14ac:dyDescent="0.25"/>
  <cols>
    <col min="2" max="2" width="10.85546875" bestFit="1" customWidth="1"/>
    <col min="3" max="3" width="14.42578125" bestFit="1" customWidth="1"/>
    <col min="4" max="4" width="9.140625" customWidth="1"/>
    <col min="5" max="5" width="23.7109375" customWidth="1"/>
    <col min="6" max="6" width="17" bestFit="1" customWidth="1"/>
    <col min="7" max="7" width="23.7109375" bestFit="1" customWidth="1"/>
  </cols>
  <sheetData>
    <row r="1" spans="1:5" x14ac:dyDescent="0.25">
      <c r="A1" s="2"/>
      <c r="B1" s="3" t="s">
        <v>40</v>
      </c>
      <c r="D1" s="2"/>
      <c r="E1" s="3" t="s">
        <v>84</v>
      </c>
    </row>
    <row r="2" spans="1:5" x14ac:dyDescent="0.25">
      <c r="A2" s="3" t="s">
        <v>41</v>
      </c>
      <c r="B2" s="5">
        <f>4.95</f>
        <v>4.95</v>
      </c>
      <c r="D2" s="26" t="s">
        <v>65</v>
      </c>
      <c r="E2" s="33">
        <f>ROUNDUP(Costs!B11/Revenue!B2,0)</f>
        <v>29985</v>
      </c>
    </row>
    <row r="3" spans="1:5" x14ac:dyDescent="0.25">
      <c r="D3" s="26" t="s">
        <v>66</v>
      </c>
      <c r="E3" s="33">
        <f>ROUNDUP(Costs!B12/Revenue!B2,0)</f>
        <v>28887</v>
      </c>
    </row>
    <row r="4" spans="1:5" x14ac:dyDescent="0.25">
      <c r="A4" s="4" t="s">
        <v>27</v>
      </c>
    </row>
    <row r="5" spans="1:5" x14ac:dyDescent="0.25">
      <c r="A5" t="s">
        <v>50</v>
      </c>
    </row>
    <row r="6" spans="1:5" x14ac:dyDescent="0.25">
      <c r="A6" s="9" t="s">
        <v>42</v>
      </c>
    </row>
    <row r="8" spans="1:5" x14ac:dyDescent="0.25">
      <c r="A8" s="9"/>
    </row>
  </sheetData>
  <hyperlinks>
    <hyperlink ref="A6" r:id="rId1" xr:uid="{EAEF4F34-A057-47CF-98A6-D1D306F3304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C85B-12FA-4AB8-B8F5-B1498DD71EB3}">
  <dimension ref="A1:B13"/>
  <sheetViews>
    <sheetView workbookViewId="0">
      <selection sqref="A1:B13"/>
    </sheetView>
  </sheetViews>
  <sheetFormatPr defaultRowHeight="15" x14ac:dyDescent="0.25"/>
  <cols>
    <col min="1" max="1" width="40.7109375" bestFit="1" customWidth="1"/>
    <col min="2" max="2" width="14.28515625" customWidth="1"/>
  </cols>
  <sheetData>
    <row r="1" spans="1:2" ht="23.25" x14ac:dyDescent="0.35">
      <c r="A1" s="37" t="s">
        <v>80</v>
      </c>
      <c r="B1" s="37"/>
    </row>
    <row r="2" spans="1:2" x14ac:dyDescent="0.25">
      <c r="A2" s="34" t="s">
        <v>69</v>
      </c>
      <c r="B2" s="34" t="s">
        <v>70</v>
      </c>
    </row>
    <row r="3" spans="1:2" x14ac:dyDescent="0.25">
      <c r="A3" s="25" t="s">
        <v>81</v>
      </c>
      <c r="B3" s="12">
        <v>63353</v>
      </c>
    </row>
    <row r="4" spans="1:2" x14ac:dyDescent="0.25">
      <c r="A4" s="25" t="s">
        <v>71</v>
      </c>
      <c r="B4" s="12">
        <v>98838</v>
      </c>
    </row>
    <row r="5" spans="1:2" x14ac:dyDescent="0.25">
      <c r="A5" s="25" t="s">
        <v>72</v>
      </c>
      <c r="B5" s="12">
        <v>7755</v>
      </c>
    </row>
    <row r="6" spans="1:2" x14ac:dyDescent="0.25">
      <c r="A6" s="25" t="s">
        <v>74</v>
      </c>
      <c r="B6" s="12">
        <v>203</v>
      </c>
    </row>
    <row r="7" spans="1:2" x14ac:dyDescent="0.25">
      <c r="A7" s="25" t="s">
        <v>73</v>
      </c>
      <c r="B7" s="12">
        <v>227</v>
      </c>
    </row>
    <row r="8" spans="1:2" x14ac:dyDescent="0.25">
      <c r="A8" s="25" t="s">
        <v>75</v>
      </c>
      <c r="B8" s="12">
        <v>735</v>
      </c>
    </row>
    <row r="9" spans="1:2" x14ac:dyDescent="0.25">
      <c r="A9" s="25" t="s">
        <v>76</v>
      </c>
      <c r="B9" s="12">
        <v>1108</v>
      </c>
    </row>
    <row r="10" spans="1:2" x14ac:dyDescent="0.25">
      <c r="A10" s="25" t="s">
        <v>77</v>
      </c>
      <c r="B10" s="12">
        <v>6637</v>
      </c>
    </row>
    <row r="11" spans="1:2" x14ac:dyDescent="0.25">
      <c r="A11" s="25" t="s">
        <v>78</v>
      </c>
      <c r="B11" s="12">
        <v>12444</v>
      </c>
    </row>
    <row r="12" spans="1:2" x14ac:dyDescent="0.25">
      <c r="A12" s="25" t="s">
        <v>79</v>
      </c>
      <c r="B12" s="12">
        <v>110</v>
      </c>
    </row>
    <row r="13" spans="1:2" x14ac:dyDescent="0.25">
      <c r="A13" s="34" t="s">
        <v>83</v>
      </c>
      <c r="B13" s="35">
        <f>AVERAGE(B3:B12)</f>
        <v>19141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88FC-CB7B-4BB4-93F2-0D78C62D9DA8}">
  <dimension ref="A1:L11"/>
  <sheetViews>
    <sheetView zoomScaleNormal="100" workbookViewId="0">
      <selection sqref="A1:L7"/>
    </sheetView>
  </sheetViews>
  <sheetFormatPr defaultRowHeight="15" x14ac:dyDescent="0.25"/>
  <cols>
    <col min="1" max="1" width="9.140625" customWidth="1"/>
    <col min="2" max="2" width="13" customWidth="1"/>
    <col min="3" max="3" width="16.42578125" bestFit="1" customWidth="1"/>
    <col min="4" max="5" width="17.85546875" customWidth="1"/>
    <col min="6" max="6" width="12.85546875" bestFit="1" customWidth="1"/>
    <col min="7" max="7" width="20.28515625" bestFit="1" customWidth="1"/>
    <col min="8" max="8" width="9.85546875" bestFit="1" customWidth="1"/>
    <col min="11" max="11" width="15.5703125" bestFit="1" customWidth="1"/>
  </cols>
  <sheetData>
    <row r="1" spans="1:12" x14ac:dyDescent="0.25">
      <c r="A1" s="3" t="s">
        <v>43</v>
      </c>
      <c r="B1" s="3" t="s">
        <v>44</v>
      </c>
      <c r="C1" s="3" t="str">
        <f>"Revenue"</f>
        <v>Revenue</v>
      </c>
      <c r="D1" s="3" t="s">
        <v>0</v>
      </c>
      <c r="E1" s="3" t="s">
        <v>49</v>
      </c>
      <c r="G1" s="3" t="s">
        <v>45</v>
      </c>
      <c r="H1" s="12">
        <f>'Initial Weighted Sales'!B13</f>
        <v>19141</v>
      </c>
      <c r="K1" s="39" t="s">
        <v>53</v>
      </c>
      <c r="L1" s="39"/>
    </row>
    <row r="2" spans="1:12" x14ac:dyDescent="0.25">
      <c r="A2" s="22">
        <v>1</v>
      </c>
      <c r="B2" s="25">
        <f>ROUND('ROI - Low Growth'!$H$1,0)</f>
        <v>19141</v>
      </c>
      <c r="C2" s="5">
        <f>Revenue!$B$2*B2</f>
        <v>94747.95</v>
      </c>
      <c r="D2" s="5">
        <f>Costs!B11</f>
        <v>148422.17000000001</v>
      </c>
      <c r="E2" s="5">
        <f>C2-D2</f>
        <v>-53674.220000000016</v>
      </c>
      <c r="K2" s="3" t="s">
        <v>62</v>
      </c>
      <c r="L2" s="19">
        <v>0.25</v>
      </c>
    </row>
    <row r="3" spans="1:12" x14ac:dyDescent="0.25">
      <c r="A3" s="22">
        <v>2</v>
      </c>
      <c r="B3" s="25">
        <f>ROUND(B2+B2*$L$2,0)</f>
        <v>23926</v>
      </c>
      <c r="C3" s="5">
        <f>Revenue!$B$2*B3</f>
        <v>118433.7</v>
      </c>
      <c r="D3" s="5">
        <f>Costs!$B$12</f>
        <v>142986.57</v>
      </c>
      <c r="E3" s="5">
        <f t="shared" ref="E3:E6" si="0">C3-D3</f>
        <v>-24552.87000000001</v>
      </c>
      <c r="K3" s="3" t="s">
        <v>63</v>
      </c>
      <c r="L3" s="19">
        <v>0.25</v>
      </c>
    </row>
    <row r="4" spans="1:12" x14ac:dyDescent="0.25">
      <c r="A4" s="22">
        <v>3</v>
      </c>
      <c r="B4" s="25">
        <f t="shared" ref="B4" si="1">ROUND(B3+B3*$L$2,0)</f>
        <v>29908</v>
      </c>
      <c r="C4" s="5">
        <f>Revenue!$B$2*B4</f>
        <v>148044.6</v>
      </c>
      <c r="D4" s="5">
        <f>Costs!$B$12</f>
        <v>142986.57</v>
      </c>
      <c r="E4" s="5">
        <f t="shared" si="0"/>
        <v>5058.0299999999988</v>
      </c>
      <c r="K4" s="3" t="s">
        <v>61</v>
      </c>
      <c r="L4" s="24">
        <f>AVERAGE(L2:L3)</f>
        <v>0.25</v>
      </c>
    </row>
    <row r="5" spans="1:12" x14ac:dyDescent="0.25">
      <c r="A5" s="22">
        <v>4</v>
      </c>
      <c r="B5" s="25">
        <f>ROUND(B4+B4*$L$3,0)</f>
        <v>37385</v>
      </c>
      <c r="C5" s="5">
        <f>Revenue!$B$2*B5</f>
        <v>185055.75</v>
      </c>
      <c r="D5" s="5">
        <f>Costs!$B$12</f>
        <v>142986.57</v>
      </c>
      <c r="E5" s="5">
        <f t="shared" si="0"/>
        <v>42069.179999999993</v>
      </c>
    </row>
    <row r="6" spans="1:12" x14ac:dyDescent="0.25">
      <c r="A6" s="22">
        <v>5</v>
      </c>
      <c r="B6" s="25">
        <f>ROUND(B5+B5*$L$3,0)</f>
        <v>46731</v>
      </c>
      <c r="C6" s="5">
        <f>Revenue!$B$2*B6</f>
        <v>231318.45</v>
      </c>
      <c r="D6" s="5">
        <f>Costs!$B$12</f>
        <v>142986.57</v>
      </c>
      <c r="E6" s="5">
        <f t="shared" si="0"/>
        <v>88331.88</v>
      </c>
      <c r="F6" s="8"/>
      <c r="G6" s="3" t="s">
        <v>9</v>
      </c>
      <c r="H6" s="19">
        <f>('ROI - Low Growth'!E7/H7)/Costs!B13</f>
        <v>0.11446399999999994</v>
      </c>
    </row>
    <row r="7" spans="1:12" x14ac:dyDescent="0.25">
      <c r="A7" s="38" t="s">
        <v>48</v>
      </c>
      <c r="B7" s="38"/>
      <c r="C7" s="18"/>
      <c r="D7" s="18"/>
      <c r="E7" s="21">
        <f>SUM(E2:E6)</f>
        <v>57231.999999999971</v>
      </c>
      <c r="G7" s="3" t="s">
        <v>52</v>
      </c>
      <c r="H7" s="20">
        <v>5</v>
      </c>
    </row>
    <row r="8" spans="1:12" x14ac:dyDescent="0.25">
      <c r="E8" s="8"/>
    </row>
    <row r="10" spans="1:12" x14ac:dyDescent="0.25">
      <c r="A10" s="4" t="s">
        <v>27</v>
      </c>
    </row>
    <row r="11" spans="1:12" x14ac:dyDescent="0.25">
      <c r="A11" s="9" t="s">
        <v>51</v>
      </c>
    </row>
  </sheetData>
  <mergeCells count="2">
    <mergeCell ref="A7:B7"/>
    <mergeCell ref="K1:L1"/>
  </mergeCells>
  <conditionalFormatting sqref="E2:E6">
    <cfRule type="cellIs" dxfId="7" priority="1" operator="lessThan">
      <formula>0</formula>
    </cfRule>
    <cfRule type="cellIs" dxfId="6" priority="2" operator="greaterThan">
      <formula>0</formula>
    </cfRule>
  </conditionalFormatting>
  <hyperlinks>
    <hyperlink ref="A11" r:id="rId1" xr:uid="{9D1A498C-FA4E-4146-8C39-EBBD6FE4044F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EFBB-3F8C-4C78-BA3E-FB445A48229A}">
  <dimension ref="A1:L17"/>
  <sheetViews>
    <sheetView workbookViewId="0">
      <selection activeCell="J14" sqref="J14"/>
    </sheetView>
  </sheetViews>
  <sheetFormatPr defaultRowHeight="15" x14ac:dyDescent="0.25"/>
  <cols>
    <col min="1" max="1" width="9.140625" style="15" customWidth="1"/>
    <col min="2" max="2" width="13" style="15" customWidth="1"/>
    <col min="3" max="3" width="16.42578125" style="15" bestFit="1" customWidth="1"/>
    <col min="4" max="5" width="17.85546875" style="15" customWidth="1"/>
    <col min="6" max="6" width="9.140625" style="15"/>
    <col min="7" max="7" width="20.28515625" style="15" bestFit="1" customWidth="1"/>
    <col min="8" max="8" width="9.85546875" style="15" bestFit="1" customWidth="1"/>
    <col min="9" max="10" width="9.140625" style="15"/>
    <col min="11" max="11" width="15.5703125" style="15" bestFit="1" customWidth="1"/>
    <col min="12" max="16384" width="9.140625" style="15"/>
  </cols>
  <sheetData>
    <row r="1" spans="1:12" x14ac:dyDescent="0.25">
      <c r="A1" s="3" t="s">
        <v>43</v>
      </c>
      <c r="B1" s="3" t="s">
        <v>44</v>
      </c>
      <c r="C1" s="3" t="str">
        <f>"Revenue"</f>
        <v>Revenue</v>
      </c>
      <c r="D1" s="3" t="s">
        <v>0</v>
      </c>
      <c r="E1" s="3" t="s">
        <v>49</v>
      </c>
      <c r="F1"/>
      <c r="G1" s="3" t="s">
        <v>45</v>
      </c>
      <c r="H1" s="12">
        <f>'Initial Weighted Sales'!B13</f>
        <v>19141</v>
      </c>
      <c r="I1"/>
      <c r="J1"/>
      <c r="K1" s="39" t="s">
        <v>53</v>
      </c>
      <c r="L1" s="39"/>
    </row>
    <row r="2" spans="1:12" x14ac:dyDescent="0.25">
      <c r="A2" s="23">
        <v>1</v>
      </c>
      <c r="B2" s="25">
        <f>ROUND($H$1,0)</f>
        <v>19141</v>
      </c>
      <c r="C2" s="5">
        <f>Revenue!$B$2*B2</f>
        <v>94747.95</v>
      </c>
      <c r="D2" s="5">
        <f>Costs!B11</f>
        <v>148422.17000000001</v>
      </c>
      <c r="E2" s="5">
        <f>C2-D2</f>
        <v>-53674.220000000016</v>
      </c>
      <c r="F2"/>
      <c r="G2"/>
      <c r="H2"/>
      <c r="I2"/>
      <c r="J2"/>
      <c r="K2" s="3" t="s">
        <v>62</v>
      </c>
      <c r="L2" s="19">
        <v>0.3</v>
      </c>
    </row>
    <row r="3" spans="1:12" x14ac:dyDescent="0.25">
      <c r="A3" s="23">
        <v>2</v>
      </c>
      <c r="B3" s="25">
        <f>ROUND(B2+B2*$L$2,0)</f>
        <v>24883</v>
      </c>
      <c r="C3" s="5">
        <f>Revenue!$B$2*B3</f>
        <v>123170.85</v>
      </c>
      <c r="D3" s="5">
        <f>Costs!$B$12</f>
        <v>142986.57</v>
      </c>
      <c r="E3" s="5">
        <f t="shared" ref="E3:E6" si="0">C3-D3</f>
        <v>-19815.72</v>
      </c>
      <c r="F3"/>
      <c r="G3"/>
      <c r="H3"/>
      <c r="I3"/>
      <c r="J3"/>
      <c r="K3" s="3" t="s">
        <v>63</v>
      </c>
      <c r="L3" s="19">
        <v>0.3</v>
      </c>
    </row>
    <row r="4" spans="1:12" x14ac:dyDescent="0.25">
      <c r="A4" s="23">
        <v>3</v>
      </c>
      <c r="B4" s="25">
        <f t="shared" ref="B4" si="1">ROUND(B3+B3*$L$2,0)</f>
        <v>32348</v>
      </c>
      <c r="C4" s="5">
        <f>Revenue!$B$2*B4</f>
        <v>160122.6</v>
      </c>
      <c r="D4" s="5">
        <f>Costs!$B$12</f>
        <v>142986.57</v>
      </c>
      <c r="E4" s="5">
        <f t="shared" si="0"/>
        <v>17136.03</v>
      </c>
      <c r="F4"/>
      <c r="G4"/>
      <c r="H4"/>
      <c r="I4"/>
      <c r="J4"/>
      <c r="K4" s="3" t="s">
        <v>61</v>
      </c>
      <c r="L4" s="24">
        <f>AVERAGE(L2:L3)</f>
        <v>0.3</v>
      </c>
    </row>
    <row r="5" spans="1:12" x14ac:dyDescent="0.25">
      <c r="A5" s="23">
        <v>4</v>
      </c>
      <c r="B5" s="25">
        <f>ROUND(B4+B4*$L$3,0)</f>
        <v>42052</v>
      </c>
      <c r="C5" s="5">
        <f>Revenue!$B$2*B5</f>
        <v>208157.4</v>
      </c>
      <c r="D5" s="5">
        <f>Costs!$B$12</f>
        <v>142986.57</v>
      </c>
      <c r="E5" s="5">
        <f t="shared" si="0"/>
        <v>65170.829999999987</v>
      </c>
      <c r="F5"/>
      <c r="G5"/>
      <c r="H5"/>
      <c r="I5"/>
      <c r="J5"/>
      <c r="K5"/>
      <c r="L5"/>
    </row>
    <row r="6" spans="1:12" x14ac:dyDescent="0.25">
      <c r="A6" s="23">
        <v>5</v>
      </c>
      <c r="B6" s="25">
        <f>ROUND(B5+B5*$L$3,0)</f>
        <v>54668</v>
      </c>
      <c r="C6" s="5">
        <f>Revenue!$B$2*B6</f>
        <v>270606.60000000003</v>
      </c>
      <c r="D6" s="5">
        <f>Costs!$B$12</f>
        <v>142986.57</v>
      </c>
      <c r="E6" s="5">
        <f t="shared" si="0"/>
        <v>127620.03000000003</v>
      </c>
      <c r="F6"/>
      <c r="G6" s="3" t="s">
        <v>9</v>
      </c>
      <c r="H6" s="19">
        <f>(E7/H7)/Costs!B13</f>
        <v>0.27287390000000006</v>
      </c>
      <c r="I6"/>
      <c r="J6"/>
      <c r="K6"/>
      <c r="L6"/>
    </row>
    <row r="7" spans="1:12" x14ac:dyDescent="0.25">
      <c r="A7" s="38" t="s">
        <v>48</v>
      </c>
      <c r="B7" s="38"/>
      <c r="C7" s="18"/>
      <c r="D7" s="18"/>
      <c r="E7" s="21">
        <f>SUM(E2:E6)</f>
        <v>136436.95000000001</v>
      </c>
      <c r="F7"/>
      <c r="G7" s="3" t="s">
        <v>52</v>
      </c>
      <c r="H7" s="20">
        <v>5</v>
      </c>
      <c r="I7"/>
      <c r="J7"/>
      <c r="K7"/>
      <c r="L7"/>
    </row>
    <row r="8" spans="1:12" x14ac:dyDescent="0.25">
      <c r="A8"/>
      <c r="B8"/>
      <c r="C8"/>
      <c r="D8"/>
      <c r="E8"/>
      <c r="F8"/>
      <c r="G8"/>
      <c r="H8"/>
      <c r="I8"/>
      <c r="J8"/>
      <c r="K8"/>
      <c r="L8"/>
    </row>
    <row r="9" spans="1:12" x14ac:dyDescent="0.25">
      <c r="A9"/>
      <c r="B9"/>
      <c r="C9"/>
      <c r="D9"/>
      <c r="E9"/>
      <c r="F9"/>
      <c r="G9"/>
      <c r="H9"/>
      <c r="I9"/>
      <c r="J9"/>
      <c r="K9"/>
      <c r="L9"/>
    </row>
    <row r="10" spans="1:12" x14ac:dyDescent="0.25">
      <c r="A10" s="4" t="s">
        <v>27</v>
      </c>
      <c r="B10"/>
      <c r="C10"/>
      <c r="D10"/>
      <c r="E10"/>
      <c r="F10"/>
      <c r="G10"/>
      <c r="H10"/>
      <c r="I10"/>
      <c r="J10"/>
      <c r="K10"/>
      <c r="L10"/>
    </row>
    <row r="11" spans="1:12" x14ac:dyDescent="0.25">
      <c r="A11" s="9" t="s">
        <v>51</v>
      </c>
      <c r="B11"/>
      <c r="C11"/>
      <c r="D11"/>
      <c r="E11"/>
      <c r="F11"/>
      <c r="G11"/>
      <c r="H11"/>
      <c r="I11"/>
      <c r="J11"/>
      <c r="K11"/>
      <c r="L11"/>
    </row>
    <row r="12" spans="1:12" x14ac:dyDescent="0.25">
      <c r="A12" s="40"/>
      <c r="B12" s="40"/>
      <c r="C12" s="28"/>
      <c r="D12" s="28"/>
      <c r="E12" s="29"/>
      <c r="G12" s="14"/>
      <c r="H12" s="30"/>
    </row>
    <row r="15" spans="1:12" x14ac:dyDescent="0.25">
      <c r="A15" s="10"/>
    </row>
    <row r="17" spans="1:1" x14ac:dyDescent="0.25">
      <c r="A17" s="31"/>
    </row>
  </sheetData>
  <mergeCells count="3">
    <mergeCell ref="A12:B12"/>
    <mergeCell ref="K1:L1"/>
    <mergeCell ref="A7:B7"/>
  </mergeCells>
  <conditionalFormatting sqref="E2:E6">
    <cfRule type="cellIs" dxfId="5" priority="1" operator="lessThan">
      <formula>0</formula>
    </cfRule>
    <cfRule type="cellIs" dxfId="4" priority="2" operator="greaterThan">
      <formula>0</formula>
    </cfRule>
  </conditionalFormatting>
  <hyperlinks>
    <hyperlink ref="A11" r:id="rId1" xr:uid="{83ECA301-C4E8-4758-AEFC-7578C7E22518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088B-C58D-4F88-B73C-996CB68D65B4}">
  <dimension ref="A1:L20"/>
  <sheetViews>
    <sheetView workbookViewId="0">
      <selection sqref="A1:L7"/>
    </sheetView>
  </sheetViews>
  <sheetFormatPr defaultRowHeight="15" x14ac:dyDescent="0.25"/>
  <cols>
    <col min="1" max="1" width="9.140625" customWidth="1"/>
    <col min="2" max="2" width="13" customWidth="1"/>
    <col min="3" max="3" width="16.42578125" bestFit="1" customWidth="1"/>
    <col min="4" max="5" width="17.85546875" customWidth="1"/>
    <col min="7" max="7" width="20.28515625" bestFit="1" customWidth="1"/>
    <col min="8" max="8" width="9.85546875" bestFit="1" customWidth="1"/>
    <col min="11" max="11" width="15.5703125" bestFit="1" customWidth="1"/>
  </cols>
  <sheetData>
    <row r="1" spans="1:12" x14ac:dyDescent="0.25">
      <c r="A1" s="3" t="s">
        <v>43</v>
      </c>
      <c r="B1" s="3" t="s">
        <v>44</v>
      </c>
      <c r="C1" s="3" t="str">
        <f>"Revenue"</f>
        <v>Revenue</v>
      </c>
      <c r="D1" s="3" t="s">
        <v>0</v>
      </c>
      <c r="E1" s="3" t="s">
        <v>49</v>
      </c>
      <c r="G1" s="3" t="s">
        <v>45</v>
      </c>
      <c r="H1" s="12">
        <f>'Initial Weighted Sales'!B13</f>
        <v>19141</v>
      </c>
      <c r="K1" s="39" t="s">
        <v>53</v>
      </c>
      <c r="L1" s="39"/>
    </row>
    <row r="2" spans="1:12" x14ac:dyDescent="0.25">
      <c r="A2" s="23">
        <v>1</v>
      </c>
      <c r="B2" s="25">
        <f>ROUND($H$1,0)</f>
        <v>19141</v>
      </c>
      <c r="C2" s="5">
        <f>Revenue!$B$2*B2</f>
        <v>94747.95</v>
      </c>
      <c r="D2" s="5">
        <f>Costs!B11</f>
        <v>148422.17000000001</v>
      </c>
      <c r="E2" s="5">
        <f>C2-D2</f>
        <v>-53674.220000000016</v>
      </c>
      <c r="K2" s="3" t="s">
        <v>62</v>
      </c>
      <c r="L2" s="19">
        <v>0.33</v>
      </c>
    </row>
    <row r="3" spans="1:12" x14ac:dyDescent="0.25">
      <c r="A3" s="23">
        <v>2</v>
      </c>
      <c r="B3" s="25">
        <f>ROUND(B2+B2*$L$2,0)</f>
        <v>25458</v>
      </c>
      <c r="C3" s="5">
        <f>Revenue!$B$2*B3</f>
        <v>126017.1</v>
      </c>
      <c r="D3" s="5">
        <f>Costs!$B$12</f>
        <v>142986.57</v>
      </c>
      <c r="E3" s="5">
        <f t="shared" ref="E3:E6" si="0">C3-D3</f>
        <v>-16969.47</v>
      </c>
      <c r="K3" s="3" t="s">
        <v>63</v>
      </c>
      <c r="L3" s="19">
        <v>0.33</v>
      </c>
    </row>
    <row r="4" spans="1:12" x14ac:dyDescent="0.25">
      <c r="A4" s="23">
        <v>3</v>
      </c>
      <c r="B4" s="25">
        <f t="shared" ref="B4" si="1">ROUND(B3+B3*$L$2,0)</f>
        <v>33859</v>
      </c>
      <c r="C4" s="5">
        <f>Revenue!$B$2*B4</f>
        <v>167602.05000000002</v>
      </c>
      <c r="D4" s="5">
        <f>Costs!$B$12</f>
        <v>142986.57</v>
      </c>
      <c r="E4" s="5">
        <f t="shared" si="0"/>
        <v>24615.48000000001</v>
      </c>
      <c r="K4" s="3" t="s">
        <v>61</v>
      </c>
      <c r="L4" s="24">
        <f>AVERAGE(L2:L3)</f>
        <v>0.33</v>
      </c>
    </row>
    <row r="5" spans="1:12" x14ac:dyDescent="0.25">
      <c r="A5" s="23">
        <v>4</v>
      </c>
      <c r="B5" s="25">
        <f>ROUND(B4+B4*$L$3,0)</f>
        <v>45032</v>
      </c>
      <c r="C5" s="5">
        <f>Revenue!$B$2*B5</f>
        <v>222908.4</v>
      </c>
      <c r="D5" s="5">
        <f>Costs!$B$12</f>
        <v>142986.57</v>
      </c>
      <c r="E5" s="5">
        <f t="shared" si="0"/>
        <v>79921.829999999987</v>
      </c>
    </row>
    <row r="6" spans="1:12" x14ac:dyDescent="0.25">
      <c r="A6" s="23">
        <v>5</v>
      </c>
      <c r="B6" s="25">
        <f>ROUND(B5+B5*$L$3,0)</f>
        <v>59893</v>
      </c>
      <c r="C6" s="5">
        <f>Revenue!$B$2*B6</f>
        <v>296470.35000000003</v>
      </c>
      <c r="D6" s="5">
        <f>Costs!$B$12</f>
        <v>142986.57</v>
      </c>
      <c r="E6" s="5">
        <f t="shared" si="0"/>
        <v>153483.78000000003</v>
      </c>
      <c r="G6" s="3" t="s">
        <v>9</v>
      </c>
      <c r="H6" s="19">
        <f>(E7/H7)/Costs!B13</f>
        <v>0.37475480000000005</v>
      </c>
    </row>
    <row r="7" spans="1:12" x14ac:dyDescent="0.25">
      <c r="A7" s="38" t="s">
        <v>48</v>
      </c>
      <c r="B7" s="38"/>
      <c r="C7" s="18"/>
      <c r="D7" s="18"/>
      <c r="E7" s="21">
        <f>SUM(E2:E6)</f>
        <v>187377.40000000002</v>
      </c>
      <c r="G7" s="3" t="s">
        <v>52</v>
      </c>
      <c r="H7" s="20">
        <v>5</v>
      </c>
    </row>
    <row r="8" spans="1:12" x14ac:dyDescent="0.25">
      <c r="A8" s="14"/>
      <c r="B8" s="16"/>
      <c r="C8" s="11"/>
      <c r="D8" s="11"/>
      <c r="E8" s="11"/>
      <c r="F8" s="15"/>
      <c r="G8" s="15"/>
      <c r="H8" s="15"/>
      <c r="I8" s="15"/>
      <c r="J8" s="15"/>
    </row>
    <row r="9" spans="1:12" x14ac:dyDescent="0.25">
      <c r="A9" s="14"/>
      <c r="B9" s="16"/>
      <c r="C9" s="11"/>
      <c r="D9" s="11"/>
      <c r="E9" s="11"/>
      <c r="F9" s="15"/>
      <c r="G9" s="15"/>
      <c r="H9" s="15"/>
      <c r="I9" s="15"/>
      <c r="J9" s="15"/>
    </row>
    <row r="10" spans="1:12" x14ac:dyDescent="0.25">
      <c r="A10" s="4" t="s">
        <v>27</v>
      </c>
      <c r="B10" s="16"/>
      <c r="C10" s="11"/>
      <c r="D10" s="11"/>
      <c r="E10" s="11"/>
      <c r="F10" s="15"/>
      <c r="G10" s="15"/>
      <c r="H10" s="15"/>
      <c r="I10" s="15"/>
      <c r="J10" s="15"/>
    </row>
    <row r="11" spans="1:12" x14ac:dyDescent="0.25">
      <c r="A11" s="9" t="s">
        <v>51</v>
      </c>
      <c r="B11" s="16"/>
      <c r="C11" s="11"/>
      <c r="D11" s="11"/>
      <c r="E11" s="11"/>
      <c r="F11" s="15"/>
      <c r="G11" s="14"/>
      <c r="H11" s="27"/>
      <c r="I11" s="15"/>
      <c r="J11" s="15"/>
    </row>
    <row r="12" spans="1:12" x14ac:dyDescent="0.25">
      <c r="A12" s="32"/>
      <c r="B12" s="32"/>
      <c r="C12" s="28"/>
      <c r="D12" s="28"/>
      <c r="E12" s="29"/>
      <c r="F12" s="15"/>
      <c r="G12" s="14"/>
      <c r="H12" s="30"/>
      <c r="I12" s="15"/>
      <c r="J12" s="15"/>
    </row>
    <row r="13" spans="1:12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2" x14ac:dyDescent="0.25">
      <c r="A15" s="10"/>
      <c r="B15" s="15"/>
      <c r="C15" s="15"/>
      <c r="D15" s="15"/>
      <c r="E15" s="15"/>
      <c r="F15" s="15"/>
      <c r="G15" s="15"/>
      <c r="H15" s="15"/>
      <c r="I15" s="15"/>
      <c r="J15" s="15"/>
    </row>
    <row r="16" spans="1:12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x14ac:dyDescent="0.25">
      <c r="A17" s="31"/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</row>
  </sheetData>
  <mergeCells count="2">
    <mergeCell ref="K1:L1"/>
    <mergeCell ref="A7:B7"/>
  </mergeCells>
  <conditionalFormatting sqref="E8:E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2:E6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A11" r:id="rId1" xr:uid="{72762193-A571-4AB1-904B-36F4F3CF73D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Grafieken</vt:lpstr>
      </vt:variant>
      <vt:variant>
        <vt:i4>1</vt:i4>
      </vt:variant>
    </vt:vector>
  </HeadingPairs>
  <TitlesOfParts>
    <vt:vector size="10" baseType="lpstr">
      <vt:lpstr>Costs</vt:lpstr>
      <vt:lpstr>Daily Salary</vt:lpstr>
      <vt:lpstr>Real Estate</vt:lpstr>
      <vt:lpstr>Furniture</vt:lpstr>
      <vt:lpstr>Revenue</vt:lpstr>
      <vt:lpstr>Initial Weighted Sales</vt:lpstr>
      <vt:lpstr>ROI - Low Growth</vt:lpstr>
      <vt:lpstr>ROI - Moderate Growth</vt:lpstr>
      <vt:lpstr>ROI - High Growth</vt:lpstr>
      <vt:lpstr>Revenue Forcast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2018-11-30T14:05:19Z</dcterms:modified>
</cp:coreProperties>
</file>