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9. GRAND CEMPAKA\FOR SUBKON\"/>
    </mc:Choice>
  </mc:AlternateContent>
  <xr:revisionPtr revIDLastSave="0" documentId="13_ncr:1_{0F7B90D3-FF67-4990-94C0-44E85976F6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Q" sheetId="1" r:id="rId1"/>
    <sheet name="Sheet13" sheetId="2" state="hidden" r:id="rId2"/>
    <sheet name="Rekapitulasi" sheetId="3" r:id="rId3"/>
  </sheets>
  <definedNames>
    <definedName name="Z_208A1D9E_697E_475D_9D1B_19D32ED0833D_.wvu.FilterData" localSheetId="0" hidden="1">BQ!$A$8:$P$372</definedName>
    <definedName name="Z_208A1D9E_697E_475D_9D1B_19D32ED0833D_.wvu.FilterData" localSheetId="1" hidden="1">Sheet13!$A$8:$AC$278</definedName>
  </definedNames>
  <calcPr calcId="181029"/>
  <customWorkbookViews>
    <customWorkbookView name="Filter 1" guid="{208A1D9E-697E-475D-9D1B-19D32ED0833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BOv8X/fnKazcgCIVOvSl1S6NrKg=="/>
    </ext>
  </extLst>
</workbook>
</file>

<file path=xl/calcChain.xml><?xml version="1.0" encoding="utf-8"?>
<calcChain xmlns="http://schemas.openxmlformats.org/spreadsheetml/2006/main">
  <c r="D62" i="3" l="1"/>
  <c r="D406" i="2"/>
  <c r="O278" i="2"/>
  <c r="F278" i="2"/>
  <c r="V277" i="2"/>
  <c r="W277" i="2" s="1"/>
  <c r="W278" i="2" s="1"/>
  <c r="S277" i="2"/>
  <c r="S278" i="2" s="1"/>
  <c r="K277" i="2"/>
  <c r="K278" i="2" s="1"/>
  <c r="F276" i="2"/>
  <c r="T275" i="2"/>
  <c r="S275" i="2"/>
  <c r="S276" i="2" s="1"/>
  <c r="R275" i="2"/>
  <c r="O275" i="2"/>
  <c r="O276" i="2" s="1"/>
  <c r="D405" i="2" s="1"/>
  <c r="N275" i="2"/>
  <c r="K275" i="2"/>
  <c r="K276" i="2" s="1"/>
  <c r="J275" i="2"/>
  <c r="V275" i="2" s="1"/>
  <c r="W275" i="2" s="1"/>
  <c r="W276" i="2" s="1"/>
  <c r="F274" i="2"/>
  <c r="T273" i="2"/>
  <c r="W273" i="2" s="1"/>
  <c r="T272" i="2"/>
  <c r="W272" i="2" s="1"/>
  <c r="R272" i="2"/>
  <c r="S272" i="2" s="1"/>
  <c r="T271" i="2"/>
  <c r="W271" i="2" s="1"/>
  <c r="R271" i="2"/>
  <c r="S271" i="2" s="1"/>
  <c r="T270" i="2"/>
  <c r="W270" i="2" s="1"/>
  <c r="R270" i="2"/>
  <c r="S270" i="2" s="1"/>
  <c r="T269" i="2"/>
  <c r="R269" i="2"/>
  <c r="S269" i="2" s="1"/>
  <c r="S274" i="2" s="1"/>
  <c r="F268" i="2"/>
  <c r="F262" i="2"/>
  <c r="F261" i="2"/>
  <c r="F260" i="2"/>
  <c r="F259" i="2"/>
  <c r="O258" i="2"/>
  <c r="K258" i="2"/>
  <c r="F258" i="2"/>
  <c r="V257" i="2"/>
  <c r="T257" i="2"/>
  <c r="S257" i="2"/>
  <c r="F257" i="2"/>
  <c r="V256" i="2"/>
  <c r="W256" i="2" s="1"/>
  <c r="T256" i="2"/>
  <c r="S256" i="2"/>
  <c r="F256" i="2"/>
  <c r="V255" i="2"/>
  <c r="T255" i="2"/>
  <c r="S255" i="2"/>
  <c r="F255" i="2"/>
  <c r="V254" i="2"/>
  <c r="T254" i="2"/>
  <c r="W254" i="2" s="1"/>
  <c r="S254" i="2"/>
  <c r="F254" i="2"/>
  <c r="V253" i="2"/>
  <c r="T253" i="2"/>
  <c r="S253" i="2"/>
  <c r="S258" i="2" s="1"/>
  <c r="F253" i="2"/>
  <c r="F252" i="2"/>
  <c r="O251" i="2"/>
  <c r="K251" i="2"/>
  <c r="F251" i="2"/>
  <c r="U250" i="2"/>
  <c r="T250" i="2"/>
  <c r="W250" i="2" s="1"/>
  <c r="S250" i="2"/>
  <c r="U249" i="2"/>
  <c r="T249" i="2"/>
  <c r="W249" i="2" s="1"/>
  <c r="S249" i="2"/>
  <c r="U248" i="2"/>
  <c r="T248" i="2"/>
  <c r="W248" i="2" s="1"/>
  <c r="S248" i="2"/>
  <c r="V247" i="2"/>
  <c r="U247" i="2"/>
  <c r="T247" i="2"/>
  <c r="W247" i="2" s="1"/>
  <c r="S247" i="2"/>
  <c r="U246" i="2"/>
  <c r="T246" i="2"/>
  <c r="W246" i="2" s="1"/>
  <c r="S246" i="2"/>
  <c r="F245" i="2"/>
  <c r="O244" i="2"/>
  <c r="K244" i="2"/>
  <c r="F244" i="2"/>
  <c r="V243" i="2"/>
  <c r="W243" i="2" s="1"/>
  <c r="W244" i="2" s="1"/>
  <c r="T243" i="2"/>
  <c r="S243" i="2"/>
  <c r="S244" i="2" s="1"/>
  <c r="O242" i="2"/>
  <c r="K242" i="2"/>
  <c r="F242" i="2"/>
  <c r="V241" i="2"/>
  <c r="T241" i="2"/>
  <c r="W241" i="2" s="1"/>
  <c r="W242" i="2" s="1"/>
  <c r="S241" i="2"/>
  <c r="S242" i="2" s="1"/>
  <c r="O240" i="2"/>
  <c r="K240" i="2"/>
  <c r="F240" i="2"/>
  <c r="V239" i="2"/>
  <c r="W239" i="2" s="1"/>
  <c r="T239" i="2"/>
  <c r="S239" i="2"/>
  <c r="V238" i="2"/>
  <c r="T238" i="2"/>
  <c r="R238" i="2"/>
  <c r="S238" i="2" s="1"/>
  <c r="O237" i="2"/>
  <c r="X237" i="2" s="1"/>
  <c r="K237" i="2"/>
  <c r="F237" i="2"/>
  <c r="R236" i="2"/>
  <c r="S236" i="2" s="1"/>
  <c r="S237" i="2" s="1"/>
  <c r="O235" i="2"/>
  <c r="K235" i="2"/>
  <c r="F235" i="2"/>
  <c r="W234" i="2"/>
  <c r="W235" i="2" s="1"/>
  <c r="V234" i="2"/>
  <c r="U234" i="2"/>
  <c r="T234" i="2"/>
  <c r="S234" i="2"/>
  <c r="S235" i="2" s="1"/>
  <c r="F233" i="2"/>
  <c r="S232" i="2"/>
  <c r="F232" i="2"/>
  <c r="U231" i="2"/>
  <c r="L231" i="2"/>
  <c r="J231" i="2"/>
  <c r="K231" i="2" s="1"/>
  <c r="K232" i="2" s="1"/>
  <c r="F230" i="2"/>
  <c r="F229" i="2"/>
  <c r="U228" i="2"/>
  <c r="T228" i="2"/>
  <c r="R228" i="2"/>
  <c r="P228" i="2"/>
  <c r="J228" i="2"/>
  <c r="K228" i="2" s="1"/>
  <c r="F228" i="2"/>
  <c r="U227" i="2"/>
  <c r="T227" i="2"/>
  <c r="N227" i="2"/>
  <c r="O227" i="2" s="1"/>
  <c r="J227" i="2"/>
  <c r="K227" i="2" s="1"/>
  <c r="F227" i="2"/>
  <c r="U226" i="2"/>
  <c r="N226" i="2"/>
  <c r="L226" i="2"/>
  <c r="J226" i="2"/>
  <c r="V226" i="2" s="1"/>
  <c r="H226" i="2"/>
  <c r="F226" i="2"/>
  <c r="U225" i="2"/>
  <c r="T225" i="2"/>
  <c r="N225" i="2"/>
  <c r="O225" i="2" s="1"/>
  <c r="J225" i="2"/>
  <c r="K225" i="2" s="1"/>
  <c r="F225" i="2"/>
  <c r="T224" i="2"/>
  <c r="R224" i="2"/>
  <c r="F224" i="2"/>
  <c r="V223" i="2"/>
  <c r="T223" i="2"/>
  <c r="W223" i="2" s="1"/>
  <c r="K223" i="2"/>
  <c r="F223" i="2"/>
  <c r="V222" i="2"/>
  <c r="T222" i="2"/>
  <c r="K222" i="2"/>
  <c r="F222" i="2"/>
  <c r="V221" i="2"/>
  <c r="H221" i="2"/>
  <c r="F221" i="2"/>
  <c r="V220" i="2"/>
  <c r="T220" i="2"/>
  <c r="K220" i="2"/>
  <c r="F220" i="2"/>
  <c r="F219" i="2"/>
  <c r="S218" i="2"/>
  <c r="F218" i="2"/>
  <c r="V217" i="2"/>
  <c r="U217" i="2"/>
  <c r="L217" i="2"/>
  <c r="K217" i="2"/>
  <c r="F217" i="2"/>
  <c r="U216" i="2"/>
  <c r="N216" i="2"/>
  <c r="L216" i="2"/>
  <c r="T216" i="2" s="1"/>
  <c r="J216" i="2"/>
  <c r="K216" i="2" s="1"/>
  <c r="F216" i="2"/>
  <c r="U215" i="2"/>
  <c r="N215" i="2"/>
  <c r="L215" i="2"/>
  <c r="K215" i="2"/>
  <c r="K218" i="2" s="1"/>
  <c r="J215" i="2"/>
  <c r="V215" i="2" s="1"/>
  <c r="F215" i="2"/>
  <c r="F214" i="2"/>
  <c r="V213" i="2"/>
  <c r="T213" i="2"/>
  <c r="S213" i="2"/>
  <c r="F213" i="2"/>
  <c r="V212" i="2"/>
  <c r="T212" i="2"/>
  <c r="S212" i="2"/>
  <c r="F212" i="2"/>
  <c r="V211" i="2"/>
  <c r="T211" i="2"/>
  <c r="S211" i="2"/>
  <c r="F211" i="2"/>
  <c r="W210" i="2"/>
  <c r="V210" i="2"/>
  <c r="T210" i="2"/>
  <c r="S210" i="2"/>
  <c r="F210" i="2"/>
  <c r="V209" i="2"/>
  <c r="W209" i="2" s="1"/>
  <c r="T209" i="2"/>
  <c r="S209" i="2"/>
  <c r="S214" i="2" s="1"/>
  <c r="F209" i="2"/>
  <c r="U208" i="2"/>
  <c r="T208" i="2"/>
  <c r="K208" i="2"/>
  <c r="J208" i="2"/>
  <c r="V208" i="2" s="1"/>
  <c r="F208" i="2"/>
  <c r="T207" i="2"/>
  <c r="J207" i="2"/>
  <c r="F207" i="2"/>
  <c r="V206" i="2"/>
  <c r="U206" i="2"/>
  <c r="T206" i="2"/>
  <c r="W206" i="2" s="1"/>
  <c r="K206" i="2"/>
  <c r="F206" i="2"/>
  <c r="V205" i="2"/>
  <c r="W205" i="2" s="1"/>
  <c r="U205" i="2"/>
  <c r="T205" i="2"/>
  <c r="N205" i="2"/>
  <c r="O205" i="2" s="1"/>
  <c r="K205" i="2"/>
  <c r="J205" i="2"/>
  <c r="F205" i="2"/>
  <c r="U204" i="2"/>
  <c r="T204" i="2"/>
  <c r="J204" i="2"/>
  <c r="F204" i="2"/>
  <c r="V203" i="2"/>
  <c r="U203" i="2"/>
  <c r="N203" i="2"/>
  <c r="O203" i="2" s="1"/>
  <c r="O214" i="2" s="1"/>
  <c r="L203" i="2"/>
  <c r="J203" i="2"/>
  <c r="H203" i="2"/>
  <c r="F203" i="2"/>
  <c r="U202" i="2"/>
  <c r="T202" i="2"/>
  <c r="J202" i="2"/>
  <c r="F202" i="2"/>
  <c r="U201" i="2"/>
  <c r="T201" i="2"/>
  <c r="J201" i="2"/>
  <c r="V201" i="2" s="1"/>
  <c r="F201" i="2"/>
  <c r="U200" i="2"/>
  <c r="T200" i="2"/>
  <c r="J200" i="2"/>
  <c r="V200" i="2" s="1"/>
  <c r="W200" i="2" s="1"/>
  <c r="F200" i="2"/>
  <c r="U199" i="2"/>
  <c r="T199" i="2"/>
  <c r="K199" i="2"/>
  <c r="J199" i="2"/>
  <c r="V199" i="2" s="1"/>
  <c r="F199" i="2"/>
  <c r="F198" i="2"/>
  <c r="W197" i="2"/>
  <c r="V197" i="2"/>
  <c r="U197" i="2"/>
  <c r="T197" i="2"/>
  <c r="S197" i="2"/>
  <c r="F197" i="2"/>
  <c r="V196" i="2"/>
  <c r="U196" i="2"/>
  <c r="P196" i="2"/>
  <c r="F196" i="2"/>
  <c r="V195" i="2"/>
  <c r="U195" i="2"/>
  <c r="T195" i="2"/>
  <c r="W195" i="2" s="1"/>
  <c r="P195" i="2"/>
  <c r="S195" i="2" s="1"/>
  <c r="F195" i="2"/>
  <c r="U194" i="2"/>
  <c r="S194" i="2"/>
  <c r="R194" i="2"/>
  <c r="V194" i="2" s="1"/>
  <c r="P194" i="2"/>
  <c r="T194" i="2" s="1"/>
  <c r="F194" i="2"/>
  <c r="V193" i="2"/>
  <c r="U193" i="2"/>
  <c r="P193" i="2"/>
  <c r="S193" i="2" s="1"/>
  <c r="F193" i="2"/>
  <c r="V192" i="2"/>
  <c r="U192" i="2"/>
  <c r="T192" i="2"/>
  <c r="W192" i="2" s="1"/>
  <c r="S192" i="2"/>
  <c r="F192" i="2"/>
  <c r="V191" i="2"/>
  <c r="U191" i="2"/>
  <c r="P191" i="2"/>
  <c r="S191" i="2" s="1"/>
  <c r="F191" i="2"/>
  <c r="U190" i="2"/>
  <c r="T190" i="2"/>
  <c r="J190" i="2"/>
  <c r="V190" i="2" s="1"/>
  <c r="F190" i="2"/>
  <c r="V189" i="2"/>
  <c r="U189" i="2"/>
  <c r="T189" i="2"/>
  <c r="K189" i="2"/>
  <c r="F189" i="2"/>
  <c r="V188" i="2"/>
  <c r="U188" i="2"/>
  <c r="T188" i="2"/>
  <c r="W188" i="2" s="1"/>
  <c r="K188" i="2"/>
  <c r="F188" i="2"/>
  <c r="V187" i="2"/>
  <c r="W187" i="2" s="1"/>
  <c r="U187" i="2"/>
  <c r="T187" i="2"/>
  <c r="K187" i="2"/>
  <c r="F187" i="2"/>
  <c r="V186" i="2"/>
  <c r="U186" i="2"/>
  <c r="T186" i="2"/>
  <c r="K186" i="2"/>
  <c r="F186" i="2"/>
  <c r="V185" i="2"/>
  <c r="U185" i="2"/>
  <c r="L185" i="2"/>
  <c r="O185" i="2" s="1"/>
  <c r="H185" i="2"/>
  <c r="F185" i="2"/>
  <c r="V184" i="2"/>
  <c r="U184" i="2"/>
  <c r="T184" i="2"/>
  <c r="K184" i="2"/>
  <c r="F184" i="2"/>
  <c r="U183" i="2"/>
  <c r="N183" i="2"/>
  <c r="L183" i="2"/>
  <c r="T183" i="2" s="1"/>
  <c r="J183" i="2"/>
  <c r="F183" i="2"/>
  <c r="V182" i="2"/>
  <c r="U182" i="2"/>
  <c r="T182" i="2"/>
  <c r="W182" i="2" s="1"/>
  <c r="K182" i="2"/>
  <c r="H182" i="2"/>
  <c r="F182" i="2"/>
  <c r="F181" i="2"/>
  <c r="O180" i="2"/>
  <c r="K180" i="2"/>
  <c r="F180" i="2"/>
  <c r="U179" i="2"/>
  <c r="T179" i="2"/>
  <c r="R179" i="2"/>
  <c r="S179" i="2" s="1"/>
  <c r="F179" i="2"/>
  <c r="U178" i="2"/>
  <c r="T178" i="2"/>
  <c r="S178" i="2"/>
  <c r="R178" i="2"/>
  <c r="V178" i="2" s="1"/>
  <c r="U177" i="2"/>
  <c r="T177" i="2"/>
  <c r="S177" i="2"/>
  <c r="S180" i="2" s="1"/>
  <c r="R177" i="2"/>
  <c r="V177" i="2" s="1"/>
  <c r="F176" i="2"/>
  <c r="U175" i="2"/>
  <c r="T175" i="2"/>
  <c r="R175" i="2"/>
  <c r="F175" i="2"/>
  <c r="V174" i="2"/>
  <c r="W174" i="2" s="1"/>
  <c r="U174" i="2"/>
  <c r="T174" i="2"/>
  <c r="R174" i="2"/>
  <c r="S174" i="2" s="1"/>
  <c r="F174" i="2"/>
  <c r="U173" i="2"/>
  <c r="T173" i="2"/>
  <c r="R173" i="2"/>
  <c r="V173" i="2" s="1"/>
  <c r="W173" i="2" s="1"/>
  <c r="F173" i="2"/>
  <c r="U172" i="2"/>
  <c r="T172" i="2"/>
  <c r="K172" i="2"/>
  <c r="J172" i="2"/>
  <c r="V172" i="2" s="1"/>
  <c r="F172" i="2"/>
  <c r="V171" i="2"/>
  <c r="W171" i="2" s="1"/>
  <c r="U171" i="2"/>
  <c r="T171" i="2"/>
  <c r="K171" i="2"/>
  <c r="V170" i="2"/>
  <c r="U170" i="2"/>
  <c r="T170" i="2"/>
  <c r="K170" i="2"/>
  <c r="U169" i="2"/>
  <c r="T169" i="2"/>
  <c r="N169" i="2"/>
  <c r="O169" i="2" s="1"/>
  <c r="K169" i="2"/>
  <c r="J169" i="2"/>
  <c r="V169" i="2" s="1"/>
  <c r="W169" i="2" s="1"/>
  <c r="F169" i="2"/>
  <c r="V168" i="2"/>
  <c r="U168" i="2"/>
  <c r="H168" i="2"/>
  <c r="V167" i="2"/>
  <c r="W167" i="2" s="1"/>
  <c r="U167" i="2"/>
  <c r="T167" i="2"/>
  <c r="K167" i="2"/>
  <c r="U166" i="2"/>
  <c r="T166" i="2"/>
  <c r="J166" i="2"/>
  <c r="U165" i="2"/>
  <c r="T165" i="2"/>
  <c r="N165" i="2"/>
  <c r="J165" i="2"/>
  <c r="K165" i="2" s="1"/>
  <c r="F165" i="2"/>
  <c r="U164" i="2"/>
  <c r="N164" i="2"/>
  <c r="L164" i="2"/>
  <c r="O164" i="2" s="1"/>
  <c r="J164" i="2"/>
  <c r="V164" i="2" s="1"/>
  <c r="H164" i="2"/>
  <c r="T164" i="2" s="1"/>
  <c r="F164" i="2"/>
  <c r="U163" i="2"/>
  <c r="T163" i="2"/>
  <c r="N163" i="2"/>
  <c r="O163" i="2" s="1"/>
  <c r="K163" i="2"/>
  <c r="F163" i="2"/>
  <c r="F162" i="2"/>
  <c r="S161" i="2"/>
  <c r="O161" i="2"/>
  <c r="F161" i="2"/>
  <c r="V160" i="2"/>
  <c r="U160" i="2"/>
  <c r="T160" i="2"/>
  <c r="K160" i="2"/>
  <c r="K161" i="2" s="1"/>
  <c r="X161" i="2" s="1"/>
  <c r="S159" i="2"/>
  <c r="O159" i="2"/>
  <c r="F159" i="2"/>
  <c r="U158" i="2"/>
  <c r="T158" i="2"/>
  <c r="J158" i="2"/>
  <c r="V158" i="2" s="1"/>
  <c r="S157" i="2"/>
  <c r="O157" i="2"/>
  <c r="F157" i="2"/>
  <c r="V156" i="2"/>
  <c r="U156" i="2"/>
  <c r="T156" i="2"/>
  <c r="W156" i="2" s="1"/>
  <c r="W157" i="2" s="1"/>
  <c r="K156" i="2"/>
  <c r="K157" i="2" s="1"/>
  <c r="X157" i="2" s="1"/>
  <c r="O155" i="2"/>
  <c r="F155" i="2"/>
  <c r="V154" i="2"/>
  <c r="U154" i="2"/>
  <c r="T154" i="2"/>
  <c r="S154" i="2"/>
  <c r="S155" i="2" s="1"/>
  <c r="K154" i="2"/>
  <c r="V148" i="2"/>
  <c r="U148" i="2"/>
  <c r="T148" i="2"/>
  <c r="J148" i="2"/>
  <c r="K148" i="2" s="1"/>
  <c r="K155" i="2" s="1"/>
  <c r="F147" i="2"/>
  <c r="F146" i="2"/>
  <c r="V145" i="2"/>
  <c r="W145" i="2" s="1"/>
  <c r="T145" i="2"/>
  <c r="S145" i="2"/>
  <c r="F145" i="2"/>
  <c r="V144" i="2"/>
  <c r="T144" i="2"/>
  <c r="W144" i="2" s="1"/>
  <c r="S144" i="2"/>
  <c r="S146" i="2" s="1"/>
  <c r="U143" i="2"/>
  <c r="T143" i="2"/>
  <c r="O143" i="2"/>
  <c r="O146" i="2" s="1"/>
  <c r="J143" i="2"/>
  <c r="F142" i="2"/>
  <c r="S141" i="2"/>
  <c r="O141" i="2"/>
  <c r="D398" i="2" s="1"/>
  <c r="F141" i="2"/>
  <c r="V140" i="2"/>
  <c r="U140" i="2"/>
  <c r="T140" i="2"/>
  <c r="W140" i="2" s="1"/>
  <c r="K140" i="2"/>
  <c r="U139" i="2"/>
  <c r="T139" i="2"/>
  <c r="K139" i="2"/>
  <c r="K141" i="2" s="1"/>
  <c r="J139" i="2"/>
  <c r="V139" i="2" s="1"/>
  <c r="S138" i="2"/>
  <c r="O138" i="2"/>
  <c r="F138" i="2"/>
  <c r="W137" i="2"/>
  <c r="U137" i="2"/>
  <c r="J137" i="2"/>
  <c r="K137" i="2" s="1"/>
  <c r="F137" i="2"/>
  <c r="W136" i="2"/>
  <c r="U136" i="2"/>
  <c r="J136" i="2"/>
  <c r="K136" i="2" s="1"/>
  <c r="F136" i="2"/>
  <c r="U135" i="2"/>
  <c r="J135" i="2"/>
  <c r="F135" i="2"/>
  <c r="F134" i="2"/>
  <c r="F133" i="2"/>
  <c r="F132" i="2"/>
  <c r="T131" i="2"/>
  <c r="S131" i="2"/>
  <c r="P131" i="2"/>
  <c r="H131" i="2"/>
  <c r="H134" i="2" s="1"/>
  <c r="F131" i="2"/>
  <c r="V130" i="2"/>
  <c r="U130" i="2"/>
  <c r="H130" i="2"/>
  <c r="F129" i="2"/>
  <c r="Y128" i="2"/>
  <c r="U128" i="2"/>
  <c r="T128" i="2"/>
  <c r="N128" i="2"/>
  <c r="O128" i="2" s="1"/>
  <c r="J128" i="2"/>
  <c r="V128" i="2" s="1"/>
  <c r="W128" i="2" s="1"/>
  <c r="Y127" i="2"/>
  <c r="U127" i="2"/>
  <c r="T127" i="2"/>
  <c r="Y126" i="2"/>
  <c r="U126" i="2"/>
  <c r="T126" i="2"/>
  <c r="Y125" i="2"/>
  <c r="U125" i="2"/>
  <c r="N125" i="2"/>
  <c r="N126" i="2" s="1"/>
  <c r="O126" i="2" s="1"/>
  <c r="L125" i="2"/>
  <c r="T125" i="2" s="1"/>
  <c r="J125" i="2"/>
  <c r="F124" i="2"/>
  <c r="H122" i="2"/>
  <c r="H121" i="2"/>
  <c r="H120" i="2"/>
  <c r="H119" i="2"/>
  <c r="H118" i="2"/>
  <c r="H117" i="2"/>
  <c r="H109" i="2" s="1"/>
  <c r="H116" i="2"/>
  <c r="F114" i="2"/>
  <c r="S113" i="2"/>
  <c r="O113" i="2"/>
  <c r="F113" i="2"/>
  <c r="V112" i="2"/>
  <c r="U112" i="2"/>
  <c r="T112" i="2"/>
  <c r="J112" i="2"/>
  <c r="K112" i="2" s="1"/>
  <c r="F112" i="2"/>
  <c r="V111" i="2"/>
  <c r="U111" i="2"/>
  <c r="U110" i="2"/>
  <c r="V109" i="2"/>
  <c r="U109" i="2"/>
  <c r="W108" i="2"/>
  <c r="U108" i="2"/>
  <c r="K108" i="2"/>
  <c r="H108" i="2"/>
  <c r="T108" i="2" s="1"/>
  <c r="F107" i="2"/>
  <c r="U106" i="2"/>
  <c r="T106" i="2"/>
  <c r="N106" i="2"/>
  <c r="J106" i="2"/>
  <c r="K106" i="2" s="1"/>
  <c r="F106" i="2"/>
  <c r="U105" i="2"/>
  <c r="T105" i="2"/>
  <c r="K105" i="2"/>
  <c r="J105" i="2"/>
  <c r="V105" i="2" s="1"/>
  <c r="F105" i="2"/>
  <c r="U104" i="2"/>
  <c r="K104" i="2"/>
  <c r="V103" i="2"/>
  <c r="U103" i="2"/>
  <c r="V102" i="2"/>
  <c r="U102" i="2"/>
  <c r="K102" i="2"/>
  <c r="H102" i="2"/>
  <c r="U101" i="2"/>
  <c r="J101" i="2"/>
  <c r="H101" i="2"/>
  <c r="T101" i="2" s="1"/>
  <c r="W101" i="2" s="1"/>
  <c r="U100" i="2"/>
  <c r="T100" i="2"/>
  <c r="W100" i="2" s="1"/>
  <c r="J100" i="2"/>
  <c r="K100" i="2" s="1"/>
  <c r="F99" i="2"/>
  <c r="F98" i="2"/>
  <c r="V97" i="2"/>
  <c r="T97" i="2"/>
  <c r="S97" i="2"/>
  <c r="S98" i="2" s="1"/>
  <c r="F97" i="2"/>
  <c r="U96" i="2"/>
  <c r="T96" i="2"/>
  <c r="N96" i="2"/>
  <c r="V96" i="2" s="1"/>
  <c r="K96" i="2"/>
  <c r="F96" i="2"/>
  <c r="V95" i="2"/>
  <c r="W95" i="2" s="1"/>
  <c r="U95" i="2"/>
  <c r="T95" i="2"/>
  <c r="K95" i="2"/>
  <c r="F95" i="2"/>
  <c r="U94" i="2"/>
  <c r="T94" i="2"/>
  <c r="W94" i="2" s="1"/>
  <c r="K94" i="2"/>
  <c r="F94" i="2"/>
  <c r="V93" i="2"/>
  <c r="W93" i="2" s="1"/>
  <c r="U93" i="2"/>
  <c r="K93" i="2"/>
  <c r="F93" i="2"/>
  <c r="V92" i="2"/>
  <c r="W92" i="2" s="1"/>
  <c r="U92" i="2"/>
  <c r="T92" i="2"/>
  <c r="K92" i="2"/>
  <c r="F92" i="2"/>
  <c r="V91" i="2"/>
  <c r="U91" i="2"/>
  <c r="T91" i="2"/>
  <c r="K91" i="2"/>
  <c r="F91" i="2"/>
  <c r="W90" i="2"/>
  <c r="S90" i="2"/>
  <c r="O90" i="2"/>
  <c r="X90" i="2" s="1"/>
  <c r="F90" i="2"/>
  <c r="S89" i="2"/>
  <c r="O89" i="2"/>
  <c r="F89" i="2"/>
  <c r="W88" i="2"/>
  <c r="V88" i="2"/>
  <c r="U88" i="2"/>
  <c r="T88" i="2"/>
  <c r="K88" i="2"/>
  <c r="V87" i="2"/>
  <c r="U87" i="2"/>
  <c r="T87" i="2"/>
  <c r="W87" i="2" s="1"/>
  <c r="K87" i="2"/>
  <c r="K89" i="2" s="1"/>
  <c r="X89" i="2" s="1"/>
  <c r="S86" i="2"/>
  <c r="O86" i="2"/>
  <c r="K86" i="2"/>
  <c r="X86" i="2" s="1"/>
  <c r="V85" i="2"/>
  <c r="T85" i="2"/>
  <c r="R85" i="2"/>
  <c r="S85" i="2" s="1"/>
  <c r="V84" i="2"/>
  <c r="W84" i="2" s="1"/>
  <c r="U84" i="2"/>
  <c r="T84" i="2"/>
  <c r="K84" i="2"/>
  <c r="S83" i="2"/>
  <c r="O83" i="2"/>
  <c r="U82" i="2"/>
  <c r="T82" i="2"/>
  <c r="J82" i="2"/>
  <c r="S81" i="2"/>
  <c r="U80" i="2"/>
  <c r="T80" i="2"/>
  <c r="K80" i="2"/>
  <c r="J80" i="2"/>
  <c r="V80" i="2" s="1"/>
  <c r="W80" i="2" s="1"/>
  <c r="U79" i="2"/>
  <c r="T79" i="2"/>
  <c r="K79" i="2"/>
  <c r="J79" i="2"/>
  <c r="N79" i="2" s="1"/>
  <c r="O79" i="2" s="1"/>
  <c r="O81" i="2" s="1"/>
  <c r="V78" i="2"/>
  <c r="U78" i="2"/>
  <c r="T78" i="2"/>
  <c r="K78" i="2"/>
  <c r="V77" i="2"/>
  <c r="U77" i="2"/>
  <c r="V76" i="2"/>
  <c r="U76" i="2"/>
  <c r="T76" i="2"/>
  <c r="K76" i="2"/>
  <c r="U75" i="2"/>
  <c r="K75" i="2"/>
  <c r="H75" i="2"/>
  <c r="T75" i="2" s="1"/>
  <c r="W75" i="2" s="1"/>
  <c r="V74" i="2"/>
  <c r="U74" i="2"/>
  <c r="H74" i="2"/>
  <c r="U73" i="2"/>
  <c r="T73" i="2"/>
  <c r="J73" i="2"/>
  <c r="U72" i="2"/>
  <c r="T72" i="2"/>
  <c r="W72" i="2" s="1"/>
  <c r="K72" i="2"/>
  <c r="U71" i="2"/>
  <c r="T71" i="2"/>
  <c r="W71" i="2" s="1"/>
  <c r="J71" i="2"/>
  <c r="K71" i="2" s="1"/>
  <c r="O69" i="2"/>
  <c r="K69" i="2"/>
  <c r="V68" i="2"/>
  <c r="R68" i="2"/>
  <c r="P68" i="2"/>
  <c r="S68" i="2" s="1"/>
  <c r="S69" i="2" s="1"/>
  <c r="O67" i="2"/>
  <c r="K67" i="2"/>
  <c r="V66" i="2"/>
  <c r="W66" i="2" s="1"/>
  <c r="W67" i="2" s="1"/>
  <c r="U66" i="2"/>
  <c r="T66" i="2"/>
  <c r="S66" i="2"/>
  <c r="S67" i="2" s="1"/>
  <c r="O64" i="2"/>
  <c r="K64" i="2"/>
  <c r="V63" i="2"/>
  <c r="T63" i="2"/>
  <c r="S63" i="2"/>
  <c r="V62" i="2"/>
  <c r="T62" i="2"/>
  <c r="S62" i="2"/>
  <c r="V61" i="2"/>
  <c r="T61" i="2"/>
  <c r="S61" i="2"/>
  <c r="K61" i="2"/>
  <c r="O59" i="2"/>
  <c r="W58" i="2"/>
  <c r="V58" i="2"/>
  <c r="U58" i="2"/>
  <c r="T58" i="2"/>
  <c r="S58" i="2"/>
  <c r="U57" i="2"/>
  <c r="T57" i="2"/>
  <c r="R57" i="2"/>
  <c r="V57" i="2" s="1"/>
  <c r="W57" i="2" s="1"/>
  <c r="V56" i="2"/>
  <c r="U56" i="2"/>
  <c r="T56" i="2"/>
  <c r="S56" i="2"/>
  <c r="S51" i="2"/>
  <c r="J51" i="2"/>
  <c r="S50" i="2"/>
  <c r="V49" i="2"/>
  <c r="W49" i="2" s="1"/>
  <c r="W50" i="2" s="1"/>
  <c r="N49" i="2"/>
  <c r="O49" i="2" s="1"/>
  <c r="O50" i="2" s="1"/>
  <c r="J49" i="2"/>
  <c r="K49" i="2" s="1"/>
  <c r="K50" i="2" s="1"/>
  <c r="T47" i="2"/>
  <c r="R47" i="2"/>
  <c r="V45" i="2"/>
  <c r="T45" i="2"/>
  <c r="S45" i="2"/>
  <c r="V44" i="2"/>
  <c r="T44" i="2"/>
  <c r="S44" i="2"/>
  <c r="V42" i="2"/>
  <c r="T42" i="2"/>
  <c r="S42" i="2"/>
  <c r="V41" i="2"/>
  <c r="T41" i="2"/>
  <c r="S41" i="2"/>
  <c r="V40" i="2"/>
  <c r="T40" i="2"/>
  <c r="S40" i="2"/>
  <c r="V38" i="2"/>
  <c r="T38" i="2"/>
  <c r="S38" i="2"/>
  <c r="V37" i="2"/>
  <c r="T37" i="2"/>
  <c r="S37" i="2"/>
  <c r="V36" i="2"/>
  <c r="T36" i="2"/>
  <c r="S36" i="2"/>
  <c r="V35" i="2"/>
  <c r="T35" i="2"/>
  <c r="S35" i="2"/>
  <c r="R35" i="2"/>
  <c r="V34" i="2"/>
  <c r="T34" i="2"/>
  <c r="W34" i="2" s="1"/>
  <c r="S34" i="2"/>
  <c r="V33" i="2"/>
  <c r="T33" i="2"/>
  <c r="W33" i="2" s="1"/>
  <c r="S33" i="2"/>
  <c r="V32" i="2"/>
  <c r="T32" i="2"/>
  <c r="W32" i="2" s="1"/>
  <c r="S32" i="2"/>
  <c r="V31" i="2"/>
  <c r="T31" i="2"/>
  <c r="W31" i="2" s="1"/>
  <c r="S31" i="2"/>
  <c r="V30" i="2"/>
  <c r="W30" i="2" s="1"/>
  <c r="S30" i="2"/>
  <c r="R30" i="2"/>
  <c r="T29" i="2"/>
  <c r="W29" i="2" s="1"/>
  <c r="S29" i="2"/>
  <c r="T28" i="2"/>
  <c r="S28" i="2"/>
  <c r="N28" i="2"/>
  <c r="V28" i="2" s="1"/>
  <c r="L28" i="2"/>
  <c r="K28" i="2"/>
  <c r="H28" i="2"/>
  <c r="V27" i="2"/>
  <c r="S27" i="2"/>
  <c r="O27" i="2"/>
  <c r="L27" i="2"/>
  <c r="T27" i="2" s="1"/>
  <c r="W27" i="2" s="1"/>
  <c r="K27" i="2"/>
  <c r="H27" i="2"/>
  <c r="W26" i="2"/>
  <c r="V26" i="2"/>
  <c r="T26" i="2"/>
  <c r="K26" i="2"/>
  <c r="T25" i="2"/>
  <c r="S25" i="2"/>
  <c r="K25" i="2"/>
  <c r="J25" i="2"/>
  <c r="V25" i="2" s="1"/>
  <c r="R24" i="2"/>
  <c r="S24" i="2" s="1"/>
  <c r="J24" i="2"/>
  <c r="K24" i="2" s="1"/>
  <c r="T23" i="2"/>
  <c r="N23" i="2"/>
  <c r="K23" i="2"/>
  <c r="V22" i="2"/>
  <c r="T22" i="2"/>
  <c r="K22" i="2"/>
  <c r="V21" i="2"/>
  <c r="T21" i="2"/>
  <c r="W21" i="2" s="1"/>
  <c r="K21" i="2"/>
  <c r="V20" i="2"/>
  <c r="T20" i="2"/>
  <c r="K20" i="2"/>
  <c r="V19" i="2"/>
  <c r="W19" i="2" s="1"/>
  <c r="S19" i="2"/>
  <c r="K19" i="2"/>
  <c r="T18" i="2"/>
  <c r="J18" i="2"/>
  <c r="V18" i="2" s="1"/>
  <c r="V17" i="2"/>
  <c r="W17" i="2" s="1"/>
  <c r="S17" i="2"/>
  <c r="K17" i="2"/>
  <c r="V16" i="2"/>
  <c r="S16" i="2"/>
  <c r="H16" i="2"/>
  <c r="V15" i="2"/>
  <c r="T15" i="2"/>
  <c r="K15" i="2"/>
  <c r="V14" i="2"/>
  <c r="T14" i="2"/>
  <c r="K14" i="2"/>
  <c r="T13" i="2"/>
  <c r="S13" i="2"/>
  <c r="N13" i="2"/>
  <c r="O13" i="2" s="1"/>
  <c r="J13" i="2"/>
  <c r="K13" i="2" s="1"/>
  <c r="V12" i="2"/>
  <c r="T12" i="2"/>
  <c r="W12" i="2" s="1"/>
  <c r="K12" i="2"/>
  <c r="T11" i="2"/>
  <c r="W11" i="2" s="1"/>
  <c r="R11" i="2"/>
  <c r="V11" i="2" s="1"/>
  <c r="V10" i="2"/>
  <c r="T10" i="2"/>
  <c r="W10" i="2" s="1"/>
  <c r="L10" i="2"/>
  <c r="O10" i="2" s="1"/>
  <c r="H10" i="2"/>
  <c r="K10" i="2" s="1"/>
  <c r="W9" i="2"/>
  <c r="V9" i="2"/>
  <c r="T9" i="2"/>
  <c r="K9" i="2"/>
  <c r="D482" i="1"/>
  <c r="D481" i="1"/>
  <c r="D480" i="1"/>
  <c r="J350" i="1"/>
  <c r="J347" i="1"/>
  <c r="J344" i="1"/>
  <c r="J343" i="1"/>
  <c r="J342" i="1"/>
  <c r="J340" i="1"/>
  <c r="J328" i="1"/>
  <c r="J329" i="1" s="1"/>
  <c r="J317" i="1"/>
  <c r="J314" i="1"/>
  <c r="J307" i="1"/>
  <c r="J306" i="1"/>
  <c r="J303" i="1"/>
  <c r="J291" i="1"/>
  <c r="J289" i="1"/>
  <c r="J287" i="1"/>
  <c r="J286" i="1"/>
  <c r="J285" i="1"/>
  <c r="J283" i="1"/>
  <c r="J262" i="1"/>
  <c r="J261" i="1"/>
  <c r="J248" i="1"/>
  <c r="J245" i="1"/>
  <c r="J244" i="1"/>
  <c r="J241" i="1"/>
  <c r="J238" i="1"/>
  <c r="J237" i="1"/>
  <c r="D473" i="1"/>
  <c r="J217" i="1"/>
  <c r="J216" i="1"/>
  <c r="J215" i="1"/>
  <c r="J218" i="1" s="1"/>
  <c r="J209" i="1"/>
  <c r="J208" i="1"/>
  <c r="J205" i="1"/>
  <c r="J204" i="1"/>
  <c r="J202" i="1"/>
  <c r="J182" i="1"/>
  <c r="J174" i="1"/>
  <c r="J168" i="1"/>
  <c r="J167" i="1"/>
  <c r="J166" i="1"/>
  <c r="J163" i="1"/>
  <c r="J162" i="1"/>
  <c r="J161" i="1"/>
  <c r="J160" i="1"/>
  <c r="J158" i="1"/>
  <c r="J157" i="1"/>
  <c r="J156" i="1"/>
  <c r="J154" i="1"/>
  <c r="J153" i="1"/>
  <c r="J152" i="1"/>
  <c r="J149" i="1"/>
  <c r="J148" i="1"/>
  <c r="J147" i="1"/>
  <c r="J145" i="1"/>
  <c r="J144" i="1"/>
  <c r="J142" i="1"/>
  <c r="J141" i="1"/>
  <c r="J140" i="1"/>
  <c r="J139" i="1"/>
  <c r="J137" i="1"/>
  <c r="J136" i="1"/>
  <c r="J134" i="1"/>
  <c r="J133" i="1"/>
  <c r="J129" i="1"/>
  <c r="J126" i="1"/>
  <c r="J124" i="1"/>
  <c r="J123" i="1"/>
  <c r="J121" i="1"/>
  <c r="J114" i="1"/>
  <c r="J101" i="1"/>
  <c r="J94" i="1"/>
  <c r="J89" i="1"/>
  <c r="J84" i="1"/>
  <c r="J78" i="1"/>
  <c r="J68" i="1"/>
  <c r="J63" i="1"/>
  <c r="J62" i="1"/>
  <c r="J61" i="1"/>
  <c r="J42" i="1"/>
  <c r="J37" i="1"/>
  <c r="J33" i="1"/>
  <c r="J32" i="1"/>
  <c r="J31" i="1"/>
  <c r="J29" i="1"/>
  <c r="J26" i="1"/>
  <c r="J22" i="1"/>
  <c r="J19" i="1"/>
  <c r="J17" i="1"/>
  <c r="J15" i="1"/>
  <c r="J14" i="1"/>
  <c r="J12" i="1"/>
  <c r="J11" i="1"/>
  <c r="J9" i="1"/>
  <c r="J81" i="1" l="1"/>
  <c r="D474" i="1"/>
  <c r="J165" i="1"/>
  <c r="J333" i="1"/>
  <c r="J58" i="1"/>
  <c r="J115" i="1"/>
  <c r="J206" i="1"/>
  <c r="J225" i="1"/>
  <c r="J234" i="1"/>
  <c r="J263" i="1"/>
  <c r="J265" i="1"/>
  <c r="J282" i="1"/>
  <c r="J348" i="1"/>
  <c r="J10" i="1"/>
  <c r="J23" i="1"/>
  <c r="J34" i="1"/>
  <c r="J51" i="1"/>
  <c r="J56" i="1"/>
  <c r="J66" i="1"/>
  <c r="J70" i="1"/>
  <c r="J77" i="1"/>
  <c r="J107" i="1"/>
  <c r="J220" i="1"/>
  <c r="J224" i="1"/>
  <c r="J252" i="1"/>
  <c r="J253" i="1" s="1"/>
  <c r="J335" i="1"/>
  <c r="J336" i="1" s="1"/>
  <c r="J351" i="1"/>
  <c r="D63" i="3"/>
  <c r="D64" i="3" s="1"/>
  <c r="D66" i="3" s="1"/>
  <c r="J155" i="1"/>
  <c r="J159" i="1" s="1"/>
  <c r="J169" i="1"/>
  <c r="J171" i="1"/>
  <c r="J210" i="1"/>
  <c r="J223" i="1"/>
  <c r="J239" i="1"/>
  <c r="J246" i="1"/>
  <c r="J298" i="1"/>
  <c r="J304" i="1"/>
  <c r="J341" i="1"/>
  <c r="J345" i="1" s="1"/>
  <c r="S11" i="2"/>
  <c r="W20" i="2"/>
  <c r="W40" i="2"/>
  <c r="W45" i="2"/>
  <c r="T68" i="2"/>
  <c r="W68" i="2" s="1"/>
  <c r="W69" i="2" s="1"/>
  <c r="W76" i="2"/>
  <c r="V82" i="2"/>
  <c r="W82" i="2" s="1"/>
  <c r="W83" i="2" s="1"/>
  <c r="K82" i="2"/>
  <c r="K83" i="2" s="1"/>
  <c r="X83" i="2" s="1"/>
  <c r="W85" i="2"/>
  <c r="O96" i="2"/>
  <c r="O98" i="2" s="1"/>
  <c r="W112" i="2"/>
  <c r="O125" i="2"/>
  <c r="O131" i="2" s="1"/>
  <c r="D397" i="2" s="1"/>
  <c r="N127" i="2"/>
  <c r="O127" i="2" s="1"/>
  <c r="W139" i="2"/>
  <c r="W141" i="2" s="1"/>
  <c r="K158" i="2"/>
  <c r="K159" i="2" s="1"/>
  <c r="X159" i="2" s="1"/>
  <c r="W164" i="2"/>
  <c r="V166" i="2"/>
  <c r="W166" i="2" s="1"/>
  <c r="K166" i="2"/>
  <c r="X180" i="2"/>
  <c r="O183" i="2"/>
  <c r="W184" i="2"/>
  <c r="T185" i="2"/>
  <c r="W185" i="2" s="1"/>
  <c r="K185" i="2"/>
  <c r="T191" i="2"/>
  <c r="W191" i="2" s="1"/>
  <c r="W194" i="2"/>
  <c r="W212" i="2"/>
  <c r="W213" i="2"/>
  <c r="T217" i="2"/>
  <c r="W217" i="2" s="1"/>
  <c r="O217" i="2"/>
  <c r="D402" i="2"/>
  <c r="J36" i="1"/>
  <c r="J41" i="1"/>
  <c r="P104" i="2"/>
  <c r="V165" i="2"/>
  <c r="W165" i="2" s="1"/>
  <c r="O165" i="2"/>
  <c r="K207" i="2"/>
  <c r="V207" i="2"/>
  <c r="W207" i="2" s="1"/>
  <c r="V231" i="2"/>
  <c r="J16" i="1"/>
  <c r="J25" i="1"/>
  <c r="J45" i="1"/>
  <c r="J57" i="1"/>
  <c r="J82" i="1"/>
  <c r="J98" i="1"/>
  <c r="J130" i="1"/>
  <c r="J302" i="1"/>
  <c r="W15" i="2"/>
  <c r="K18" i="2"/>
  <c r="S57" i="2"/>
  <c r="V73" i="2"/>
  <c r="W73" i="2" s="1"/>
  <c r="K73" i="2"/>
  <c r="W86" i="2"/>
  <c r="V106" i="2"/>
  <c r="W106" i="2" s="1"/>
  <c r="K128" i="2"/>
  <c r="L131" i="2"/>
  <c r="S173" i="2"/>
  <c r="V183" i="2"/>
  <c r="W183" i="2" s="1"/>
  <c r="K183" i="2"/>
  <c r="K198" i="2" s="1"/>
  <c r="K200" i="2"/>
  <c r="V225" i="2"/>
  <c r="W225" i="2" s="1"/>
  <c r="V236" i="2"/>
  <c r="W236" i="2" s="1"/>
  <c r="W237" i="2" s="1"/>
  <c r="W238" i="2"/>
  <c r="W240" i="2" s="1"/>
  <c r="S251" i="2"/>
  <c r="X251" i="2" s="1"/>
  <c r="J35" i="1"/>
  <c r="J40" i="1"/>
  <c r="J49" i="1"/>
  <c r="J50" i="1" s="1"/>
  <c r="J85" i="1"/>
  <c r="J108" i="1"/>
  <c r="J18" i="1"/>
  <c r="J21" i="1"/>
  <c r="J38" i="1"/>
  <c r="J44" i="1"/>
  <c r="J67" i="1"/>
  <c r="J71" i="1"/>
  <c r="J86" i="1"/>
  <c r="J92" i="1"/>
  <c r="J102" i="1"/>
  <c r="J104" i="1"/>
  <c r="J106" i="1"/>
  <c r="J117" i="1"/>
  <c r="J200" i="1"/>
  <c r="J207" i="1"/>
  <c r="J219" i="1"/>
  <c r="J221" i="1" s="1"/>
  <c r="J240" i="1"/>
  <c r="J247" i="1"/>
  <c r="J264" i="1"/>
  <c r="J272" i="1"/>
  <c r="J278" i="1"/>
  <c r="J281" i="1"/>
  <c r="J284" i="1"/>
  <c r="J288" i="1"/>
  <c r="J293" i="1"/>
  <c r="J301" i="1"/>
  <c r="J310" i="1"/>
  <c r="J315" i="1"/>
  <c r="J316" i="1"/>
  <c r="J318" i="1"/>
  <c r="W14" i="2"/>
  <c r="W18" i="2"/>
  <c r="V24" i="2"/>
  <c r="W24" i="2" s="1"/>
  <c r="W41" i="2"/>
  <c r="X50" i="2"/>
  <c r="X67" i="2"/>
  <c r="H77" i="2"/>
  <c r="D399" i="2"/>
  <c r="W96" i="2"/>
  <c r="O106" i="2"/>
  <c r="O107" i="2" s="1"/>
  <c r="W148" i="2"/>
  <c r="O176" i="2"/>
  <c r="D400" i="2" s="1"/>
  <c r="W170" i="2"/>
  <c r="V175" i="2"/>
  <c r="W175" i="2" s="1"/>
  <c r="S175" i="2"/>
  <c r="S176" i="2" s="1"/>
  <c r="W186" i="2"/>
  <c r="K190" i="2"/>
  <c r="T193" i="2"/>
  <c r="W193" i="2" s="1"/>
  <c r="K201" i="2"/>
  <c r="T203" i="2"/>
  <c r="W203" i="2" s="1"/>
  <c r="V204" i="2"/>
  <c r="W204" i="2" s="1"/>
  <c r="K204" i="2"/>
  <c r="K226" i="2"/>
  <c r="T231" i="2"/>
  <c r="O231" i="2"/>
  <c r="O232" i="2" s="1"/>
  <c r="W257" i="2"/>
  <c r="X276" i="2"/>
  <c r="J250" i="1"/>
  <c r="J251" i="1" s="1"/>
  <c r="J254" i="1"/>
  <c r="J255" i="1" s="1"/>
  <c r="J268" i="1"/>
  <c r="J280" i="1"/>
  <c r="J294" i="1"/>
  <c r="W22" i="2"/>
  <c r="W25" i="2"/>
  <c r="W37" i="2"/>
  <c r="W44" i="2"/>
  <c r="W56" i="2"/>
  <c r="W97" i="2"/>
  <c r="K101" i="2"/>
  <c r="W154" i="2"/>
  <c r="W160" i="2"/>
  <c r="W161" i="2" s="1"/>
  <c r="W172" i="2"/>
  <c r="W177" i="2"/>
  <c r="W189" i="2"/>
  <c r="W199" i="2"/>
  <c r="W201" i="2"/>
  <c r="W208" i="2"/>
  <c r="V216" i="2"/>
  <c r="W216" i="2" s="1"/>
  <c r="W220" i="2"/>
  <c r="W222" i="2"/>
  <c r="S228" i="2"/>
  <c r="W253" i="2"/>
  <c r="J96" i="1"/>
  <c r="J110" i="1"/>
  <c r="J295" i="1"/>
  <c r="J309" i="1"/>
  <c r="T130" i="2"/>
  <c r="W130" i="2" s="1"/>
  <c r="K130" i="2"/>
  <c r="J30" i="1"/>
  <c r="J88" i="1"/>
  <c r="J164" i="1"/>
  <c r="W102" i="2"/>
  <c r="J64" i="1"/>
  <c r="J74" i="1"/>
  <c r="J75" i="1" s="1"/>
  <c r="J127" i="1"/>
  <c r="J179" i="1"/>
  <c r="J180" i="1"/>
  <c r="J186" i="1"/>
  <c r="J257" i="1"/>
  <c r="J267" i="1"/>
  <c r="J290" i="1"/>
  <c r="J297" i="1"/>
  <c r="J320" i="1"/>
  <c r="J330" i="1"/>
  <c r="J331" i="1" s="1"/>
  <c r="J332" i="1"/>
  <c r="W89" i="2"/>
  <c r="J13" i="1"/>
  <c r="J95" i="1"/>
  <c r="J111" i="1"/>
  <c r="J260" i="1"/>
  <c r="J27" i="1"/>
  <c r="J47" i="1"/>
  <c r="J321" i="1"/>
  <c r="J20" i="1"/>
  <c r="J24" i="1"/>
  <c r="J69" i="1"/>
  <c r="J72" i="1"/>
  <c r="J100" i="1"/>
  <c r="J103" i="1"/>
  <c r="J150" i="1"/>
  <c r="J259" i="1"/>
  <c r="J269" i="1"/>
  <c r="J273" i="1"/>
  <c r="J276" i="1"/>
  <c r="J296" i="1"/>
  <c r="J305" i="1"/>
  <c r="J319" i="1"/>
  <c r="J127" i="2"/>
  <c r="J126" i="2"/>
  <c r="V125" i="2"/>
  <c r="W125" i="2" s="1"/>
  <c r="K125" i="2"/>
  <c r="V143" i="2"/>
  <c r="W143" i="2" s="1"/>
  <c r="W146" i="2" s="1"/>
  <c r="K143" i="2"/>
  <c r="K146" i="2" s="1"/>
  <c r="X146" i="2" s="1"/>
  <c r="V163" i="2"/>
  <c r="W163" i="2" s="1"/>
  <c r="J79" i="1"/>
  <c r="J116" i="1"/>
  <c r="J122" i="1"/>
  <c r="J125" i="1" s="1"/>
  <c r="J170" i="1"/>
  <c r="J228" i="1"/>
  <c r="J235" i="1" s="1"/>
  <c r="J266" i="1"/>
  <c r="J271" i="1"/>
  <c r="J311" i="1"/>
  <c r="J322" i="1"/>
  <c r="K16" i="2"/>
  <c r="K48" i="2" s="1"/>
  <c r="T16" i="2"/>
  <c r="W16" i="2" s="1"/>
  <c r="O23" i="2"/>
  <c r="V23" i="2"/>
  <c r="V47" i="2"/>
  <c r="W47" i="2" s="1"/>
  <c r="S47" i="2"/>
  <c r="S48" i="2" s="1"/>
  <c r="S59" i="2"/>
  <c r="V79" i="2"/>
  <c r="W79" i="2" s="1"/>
  <c r="K135" i="2"/>
  <c r="K138" i="2" s="1"/>
  <c r="X138" i="2" s="1"/>
  <c r="V135" i="2"/>
  <c r="W135" i="2" s="1"/>
  <c r="W138" i="2" s="1"/>
  <c r="K164" i="2"/>
  <c r="J258" i="1"/>
  <c r="J277" i="1"/>
  <c r="J279" i="1"/>
  <c r="J299" i="1"/>
  <c r="J300" i="1"/>
  <c r="J349" i="1"/>
  <c r="O28" i="2"/>
  <c r="K51" i="2"/>
  <c r="K59" i="2" s="1"/>
  <c r="X59" i="2" s="1"/>
  <c r="V51" i="2"/>
  <c r="W51" i="2" s="1"/>
  <c r="W59" i="2" s="1"/>
  <c r="T74" i="2"/>
  <c r="W74" i="2" s="1"/>
  <c r="K74" i="2"/>
  <c r="J325" i="1"/>
  <c r="J326" i="1" s="1"/>
  <c r="D477" i="1"/>
  <c r="J337" i="1"/>
  <c r="J338" i="1" s="1"/>
  <c r="O48" i="2"/>
  <c r="W28" i="2"/>
  <c r="W38" i="2"/>
  <c r="W61" i="2"/>
  <c r="X69" i="2"/>
  <c r="K98" i="2"/>
  <c r="X98" i="2" s="1"/>
  <c r="W190" i="2"/>
  <c r="W198" i="2" s="1"/>
  <c r="T196" i="2"/>
  <c r="S196" i="2"/>
  <c r="S198" i="2" s="1"/>
  <c r="K202" i="2"/>
  <c r="K214" i="2" s="1"/>
  <c r="X214" i="2" s="1"/>
  <c r="V202" i="2"/>
  <c r="W202" i="2" s="1"/>
  <c r="X232" i="2"/>
  <c r="D472" i="1"/>
  <c r="V13" i="2"/>
  <c r="W13" i="2" s="1"/>
  <c r="W23" i="2"/>
  <c r="S64" i="2"/>
  <c r="X64" i="2" s="1"/>
  <c r="S104" i="2"/>
  <c r="S107" i="2" s="1"/>
  <c r="T104" i="2"/>
  <c r="W104" i="2" s="1"/>
  <c r="W105" i="2"/>
  <c r="W109" i="2"/>
  <c r="K109" i="2"/>
  <c r="T109" i="2"/>
  <c r="W155" i="2"/>
  <c r="O226" i="2"/>
  <c r="O229" i="2" s="1"/>
  <c r="T226" i="2"/>
  <c r="W226" i="2" s="1"/>
  <c r="W36" i="2"/>
  <c r="W42" i="2"/>
  <c r="W63" i="2"/>
  <c r="H103" i="2"/>
  <c r="T102" i="2"/>
  <c r="H110" i="2"/>
  <c r="X155" i="2"/>
  <c r="W158" i="2"/>
  <c r="W159" i="2" s="1"/>
  <c r="T168" i="2"/>
  <c r="W168" i="2" s="1"/>
  <c r="K168" i="2"/>
  <c r="W178" i="2"/>
  <c r="V179" i="2"/>
  <c r="W179" i="2" s="1"/>
  <c r="K203" i="2"/>
  <c r="O216" i="2"/>
  <c r="T221" i="2"/>
  <c r="W221" i="2" s="1"/>
  <c r="K221" i="2"/>
  <c r="V224" i="2"/>
  <c r="W224" i="2" s="1"/>
  <c r="S224" i="2"/>
  <c r="S229" i="2" s="1"/>
  <c r="V227" i="2"/>
  <c r="W227" i="2" s="1"/>
  <c r="W251" i="2"/>
  <c r="W35" i="2"/>
  <c r="W62" i="2"/>
  <c r="W78" i="2"/>
  <c r="W91" i="2"/>
  <c r="W98" i="2" s="1"/>
  <c r="X141" i="2"/>
  <c r="K176" i="2"/>
  <c r="O198" i="2"/>
  <c r="W196" i="2"/>
  <c r="W211" i="2"/>
  <c r="T215" i="2"/>
  <c r="W215" i="2" s="1"/>
  <c r="O215" i="2"/>
  <c r="X235" i="2"/>
  <c r="X242" i="2"/>
  <c r="V228" i="2"/>
  <c r="W228" i="2" s="1"/>
  <c r="S240" i="2"/>
  <c r="X240" i="2" s="1"/>
  <c r="X244" i="2"/>
  <c r="W255" i="2"/>
  <c r="X258" i="2"/>
  <c r="X278" i="2"/>
  <c r="J59" i="1" l="1"/>
  <c r="J226" i="1"/>
  <c r="J352" i="1"/>
  <c r="J334" i="1"/>
  <c r="J199" i="1"/>
  <c r="J211" i="1" s="1"/>
  <c r="J28" i="1"/>
  <c r="J48" i="1" s="1"/>
  <c r="J243" i="1"/>
  <c r="J249" i="1" s="1"/>
  <c r="W214" i="2"/>
  <c r="D475" i="1"/>
  <c r="J131" i="1"/>
  <c r="J175" i="1"/>
  <c r="X176" i="2"/>
  <c r="J73" i="1"/>
  <c r="D476" i="1"/>
  <c r="D478" i="1" s="1"/>
  <c r="W48" i="2"/>
  <c r="J132" i="1"/>
  <c r="J308" i="1"/>
  <c r="J109" i="1"/>
  <c r="J183" i="1"/>
  <c r="W229" i="2"/>
  <c r="D403" i="2"/>
  <c r="W218" i="2"/>
  <c r="W180" i="2"/>
  <c r="J323" i="1"/>
  <c r="T77" i="2"/>
  <c r="W77" i="2" s="1"/>
  <c r="W81" i="2" s="1"/>
  <c r="K77" i="2"/>
  <c r="W258" i="2"/>
  <c r="K229" i="2"/>
  <c r="W64" i="2"/>
  <c r="K81" i="2"/>
  <c r="X81" i="2" s="1"/>
  <c r="J274" i="1"/>
  <c r="J172" i="1"/>
  <c r="W231" i="2"/>
  <c r="W232" i="2" s="1"/>
  <c r="X48" i="2"/>
  <c r="Y260" i="2" s="1"/>
  <c r="K103" i="2"/>
  <c r="K107" i="2" s="1"/>
  <c r="X107" i="2" s="1"/>
  <c r="T103" i="2"/>
  <c r="W103" i="2" s="1"/>
  <c r="W107" i="2" s="1"/>
  <c r="J201" i="1"/>
  <c r="J177" i="1"/>
  <c r="H111" i="2"/>
  <c r="K110" i="2"/>
  <c r="T110" i="2"/>
  <c r="W110" i="2" s="1"/>
  <c r="J236" i="1"/>
  <c r="J242" i="1" s="1"/>
  <c r="V126" i="2"/>
  <c r="W126" i="2" s="1"/>
  <c r="K126" i="2"/>
  <c r="K131" i="2" s="1"/>
  <c r="X131" i="2" s="1"/>
  <c r="J184" i="1"/>
  <c r="J270" i="1"/>
  <c r="J112" i="1"/>
  <c r="J138" i="1"/>
  <c r="J143" i="1" s="1"/>
  <c r="J83" i="1"/>
  <c r="J118" i="1"/>
  <c r="W176" i="2"/>
  <c r="J80" i="1"/>
  <c r="J90" i="1"/>
  <c r="J99" i="1"/>
  <c r="O218" i="2"/>
  <c r="X229" i="2"/>
  <c r="X198" i="2"/>
  <c r="S260" i="2"/>
  <c r="K127" i="2"/>
  <c r="V127" i="2"/>
  <c r="W127" i="2" s="1"/>
  <c r="J292" i="1"/>
  <c r="J97" i="1"/>
  <c r="J105" i="1" s="1"/>
  <c r="J113" i="1"/>
  <c r="J312" i="1"/>
  <c r="J87" i="1" l="1"/>
  <c r="J176" i="1"/>
  <c r="D404" i="2"/>
  <c r="D408" i="2"/>
  <c r="W131" i="2"/>
  <c r="AA136" i="2" s="1"/>
  <c r="J178" i="1"/>
  <c r="S261" i="2"/>
  <c r="S262" i="2" s="1"/>
  <c r="S282" i="2" s="1"/>
  <c r="S4" i="2" s="1"/>
  <c r="J119" i="1"/>
  <c r="J120" i="1" s="1"/>
  <c r="J185" i="1"/>
  <c r="J187" i="1" s="1"/>
  <c r="N216" i="1"/>
  <c r="X218" i="2"/>
  <c r="D401" i="2"/>
  <c r="T111" i="2"/>
  <c r="W111" i="2" s="1"/>
  <c r="W113" i="2" s="1"/>
  <c r="W260" i="2" s="1"/>
  <c r="K111" i="2"/>
  <c r="K113" i="2" s="1"/>
  <c r="J146" i="1"/>
  <c r="J151" i="1" s="1"/>
  <c r="J91" i="1"/>
  <c r="J93" i="1" s="1"/>
  <c r="O260" i="2"/>
  <c r="D479" i="1"/>
  <c r="D483" i="1" s="1"/>
  <c r="J181" i="1" l="1"/>
  <c r="W261" i="2"/>
  <c r="W262" i="2" s="1"/>
  <c r="V269" i="2"/>
  <c r="W269" i="2" s="1"/>
  <c r="W274" i="2" s="1"/>
  <c r="Z260" i="2"/>
  <c r="R273" i="2"/>
  <c r="X113" i="2"/>
  <c r="K260" i="2"/>
  <c r="J128" i="1"/>
  <c r="J135" i="1" s="1"/>
  <c r="O262" i="2"/>
  <c r="O261" i="2"/>
  <c r="J354" i="1" l="1"/>
  <c r="W282" i="2"/>
  <c r="K267" i="2"/>
  <c r="K263" i="2"/>
  <c r="K265" i="2"/>
  <c r="X260" i="2"/>
  <c r="K261" i="2"/>
  <c r="X261" i="2" s="1"/>
  <c r="K266" i="2"/>
  <c r="S273" i="2"/>
  <c r="Y274" i="2"/>
  <c r="K262" i="2" l="1"/>
  <c r="X262" i="2" s="1"/>
  <c r="K274" i="2"/>
  <c r="K264" i="2"/>
  <c r="O263" i="2"/>
  <c r="O274" i="2" s="1"/>
  <c r="J355" i="1"/>
  <c r="J356" i="1" s="1"/>
  <c r="J360" i="1" s="1"/>
  <c r="O267" i="2"/>
  <c r="X267" i="2" s="1"/>
  <c r="W284" i="2"/>
  <c r="W4" i="2"/>
  <c r="O266" i="2"/>
  <c r="X266" i="2"/>
  <c r="O265" i="2"/>
  <c r="X265" i="2" s="1"/>
  <c r="O264" i="2" l="1"/>
  <c r="X264" i="2" s="1"/>
  <c r="O282" i="2"/>
  <c r="D407" i="2"/>
  <c r="X263" i="2"/>
  <c r="Y285" i="2"/>
  <c r="S284" i="2"/>
  <c r="X143" i="2"/>
  <c r="X2" i="2"/>
  <c r="Y278" i="2" s="1"/>
  <c r="J362" i="1"/>
  <c r="J4" i="1"/>
  <c r="K282" i="2"/>
  <c r="X274" i="2"/>
  <c r="O4" i="2" l="1"/>
  <c r="Y6" i="2"/>
  <c r="Y3" i="2" s="1"/>
  <c r="K284" i="2"/>
  <c r="X282" i="2"/>
  <c r="Y282" i="2"/>
  <c r="Y284" i="2" s="1"/>
  <c r="K4" i="2"/>
  <c r="D4" i="2"/>
</calcChain>
</file>

<file path=xl/sharedStrings.xml><?xml version="1.0" encoding="utf-8"?>
<sst xmlns="http://schemas.openxmlformats.org/spreadsheetml/2006/main" count="2675" uniqueCount="432">
  <si>
    <t>RENCANA BIAYA RENOVASI ALAT PRODUKSI</t>
  </si>
  <si>
    <t>GRAND CEMPAKA BUSINESS</t>
  </si>
  <si>
    <t>PMD Tahun 2020</t>
  </si>
  <si>
    <t>Bobot</t>
  </si>
  <si>
    <t>PENGAJUAN AWAL</t>
  </si>
  <si>
    <t>PENGAJUAN KURANG</t>
  </si>
  <si>
    <t>PENGAJUAN TAMBAH</t>
  </si>
  <si>
    <t>PELAKSANAAN</t>
  </si>
  <si>
    <t>RENCANA KERJA</t>
  </si>
  <si>
    <t>Category</t>
  </si>
  <si>
    <t>Termin</t>
  </si>
  <si>
    <t>Jenis Pekerjaan</t>
  </si>
  <si>
    <t>VOLUME</t>
  </si>
  <si>
    <t>HARGA SATUAN</t>
  </si>
  <si>
    <t>JUMLAH</t>
  </si>
  <si>
    <t>VOL</t>
  </si>
  <si>
    <t>I</t>
  </si>
  <si>
    <t>MEP dan HVAC</t>
  </si>
  <si>
    <t xml:space="preserve">Perbaikan ME + plumbing </t>
  </si>
  <si>
    <t>- Penggantian Pipa Air Bersih</t>
  </si>
  <si>
    <t>MEP</t>
  </si>
  <si>
    <t>T1</t>
  </si>
  <si>
    <t>KONTRAKTOR</t>
  </si>
  <si>
    <t>ls</t>
  </si>
  <si>
    <t>- Penggantian Chiller Carier 30GT</t>
  </si>
  <si>
    <t>T2</t>
  </si>
  <si>
    <t>unit</t>
  </si>
  <si>
    <t>- Penggantian Chiller Carier ( 30K0750A )+ Rubah instalasi</t>
  </si>
  <si>
    <t>BARANG</t>
  </si>
  <si>
    <t xml:space="preserve"> </t>
  </si>
  <si>
    <t>- Lighting area Public</t>
  </si>
  <si>
    <t>COM</t>
  </si>
  <si>
    <t>T4</t>
  </si>
  <si>
    <t>- Sound system Meeting Rooms (Cempaka ) / Profesional</t>
  </si>
  <si>
    <t>MICE</t>
  </si>
  <si>
    <t>- Sound system Meeting Rooms (Semanggi) / Profesional</t>
  </si>
  <si>
    <t>- Sound system Meeting Rooms</t>
  </si>
  <si>
    <t>- LED Screen Signed Meeting Rooms (TV monitor 65" lobby)</t>
  </si>
  <si>
    <t>- Up Grade AHU gantung di Ballroom, Back office ITU ( AHU dan FCU )</t>
  </si>
  <si>
    <t>- Overhole Genset</t>
  </si>
  <si>
    <t>- Perbaikan Panel LPMDP ( LVMDP + Cubikel )</t>
  </si>
  <si>
    <t>- Pompa Water Chiller</t>
  </si>
  <si>
    <t>- Perbaikan WTP ( water treatment plan)</t>
  </si>
  <si>
    <t>T3</t>
  </si>
  <si>
    <t xml:space="preserve">- Penggantian Roof Fan </t>
  </si>
  <si>
    <t>bh</t>
  </si>
  <si>
    <t>- Perbaikan STP  ( Sewege treatment plant )</t>
  </si>
  <si>
    <t>set</t>
  </si>
  <si>
    <t xml:space="preserve">- LOGO huruf Hotel </t>
  </si>
  <si>
    <t>- Pengecatan Dinding P1 dan P2 (Cat minyak)</t>
  </si>
  <si>
    <t>OTH</t>
  </si>
  <si>
    <t>m2</t>
  </si>
  <si>
    <t>- Lampu Sorot</t>
  </si>
  <si>
    <t>- Tulisan Huruf Grand Cempaka besar dan Kecil stainless</t>
  </si>
  <si>
    <t xml:space="preserve">- Perbaikan chiller no. 2 </t>
  </si>
  <si>
    <t>- Perbaikan Panel Genset</t>
  </si>
  <si>
    <t>- Treatment trafo cap 1250 kva</t>
  </si>
  <si>
    <t>- Perbaikan Panel SDB dan DB diarea public</t>
  </si>
  <si>
    <t>- Penggantian Pipa Air kotor di semua area hotel</t>
  </si>
  <si>
    <t>- Perbaikan carcall</t>
  </si>
  <si>
    <t>- Perbaikan Air Press dan Exhaus fan P.2</t>
  </si>
  <si>
    <t>- Pompa submersible  P2</t>
  </si>
  <si>
    <t>- Pompa Deep well</t>
  </si>
  <si>
    <t>WTP (water treatment plant )</t>
  </si>
  <si>
    <t>- Ganti Presure tank WTP</t>
  </si>
  <si>
    <t>- Ganti pompa WTP</t>
  </si>
  <si>
    <t>- Instalasi pipa WTP</t>
  </si>
  <si>
    <t>Enginering equipment</t>
  </si>
  <si>
    <t>- Pembelian alat kerja</t>
  </si>
  <si>
    <t>EQT</t>
  </si>
  <si>
    <t>- Personal lift</t>
  </si>
  <si>
    <t>Eskalator</t>
  </si>
  <si>
    <t>- Perbaikan eskalator</t>
  </si>
  <si>
    <t>Sub total 1</t>
  </si>
  <si>
    <t>Penggantian Lift</t>
  </si>
  <si>
    <t>Ganti lift Tamu Dan Lift Barang</t>
  </si>
  <si>
    <t>Sub total 2</t>
  </si>
  <si>
    <t>Safety ( Hydran &amp; Pengindraan )</t>
  </si>
  <si>
    <t>Perbaikan Hydrant dan Fire Alarm</t>
  </si>
  <si>
    <t>- Perbaikan peralatan Damkar di area</t>
  </si>
  <si>
    <t xml:space="preserve">- Perbaikan sistem Penginderaan  </t>
  </si>
  <si>
    <t>- Perbaikan Pipa-Pipa damkar</t>
  </si>
  <si>
    <t>- kelengkapan alat-alat damkar</t>
  </si>
  <si>
    <t>Service Diesel Pump</t>
  </si>
  <si>
    <t>Ganti Jockey Pump</t>
  </si>
  <si>
    <t>Tool Equipment Fire Brigade</t>
  </si>
  <si>
    <t>Sub total 3</t>
  </si>
  <si>
    <t>Panel LED 3 m x 6 m ( Vidiotron )</t>
  </si>
  <si>
    <t>Panel LED + Instalasi</t>
  </si>
  <si>
    <t>Panel Controller</t>
  </si>
  <si>
    <t>Backdroop LED untuk R. Meeting</t>
  </si>
  <si>
    <t>untuk keperluan R. Meeting</t>
  </si>
  <si>
    <t>Sub total 4</t>
  </si>
  <si>
    <t>Perbaikan dak beton</t>
  </si>
  <si>
    <t>- Beton lantai Basement</t>
  </si>
  <si>
    <t>- Dak beton P1</t>
  </si>
  <si>
    <t>- Dak Beton Lantai 2 (Kantor Pusat)+ Dak R. Semanggi dan perbaikan talang atapsemanggi</t>
  </si>
  <si>
    <t>- Perbaikan dak atap di Ballroom Cempaka</t>
  </si>
  <si>
    <t>- Dak beton Parapet  ( Lisplank beton depan )</t>
  </si>
  <si>
    <t>- Perbaikan Dak Area Pompa (Roof top)</t>
  </si>
  <si>
    <t>- Perbaikan Dak Chiller (Roof top)</t>
  </si>
  <si>
    <t>Sub total 5</t>
  </si>
  <si>
    <t xml:space="preserve">Lampu sorot gedung </t>
  </si>
  <si>
    <t>Sub total 6</t>
  </si>
  <si>
    <t>II</t>
  </si>
  <si>
    <t>MEETING ROOM</t>
  </si>
  <si>
    <t>Perbaikan Ballroom Cempaka</t>
  </si>
  <si>
    <t>Perbaikan Plafond</t>
  </si>
  <si>
    <t>Perbaikan dinding ornamen</t>
  </si>
  <si>
    <t>Perbaikan Tracwall (ganti rel dan roda, ganti karet peredam, finishing)</t>
  </si>
  <si>
    <t>Sound Proof (dinding)</t>
  </si>
  <si>
    <t>Penggantian Karpet lantai</t>
  </si>
  <si>
    <t>TV monitor (20")+ Instalasi System</t>
  </si>
  <si>
    <t>Lighting</t>
  </si>
  <si>
    <t>Riging</t>
  </si>
  <si>
    <t>Perbaikan Toilet ( pria &amp; wanita)</t>
  </si>
  <si>
    <t>Penggantian Pintu Utama + finish</t>
  </si>
  <si>
    <t>pas</t>
  </si>
  <si>
    <t>Sub total 7</t>
  </si>
  <si>
    <t>Perbaikan Foyer Ballroom Cempaka</t>
  </si>
  <si>
    <t>Perbaikan Lantai</t>
  </si>
  <si>
    <t>AHU Gantung 10 PK (YORK type YIDW 30)</t>
  </si>
  <si>
    <t>uniit</t>
  </si>
  <si>
    <t>Sub total 8</t>
  </si>
  <si>
    <t>Perbaikan Meeting Room Semanggi</t>
  </si>
  <si>
    <t>lighting</t>
  </si>
  <si>
    <t xml:space="preserve">Ruang VIP </t>
  </si>
  <si>
    <t>Pembuatan Toilet VIP Semanggi</t>
  </si>
  <si>
    <t>AC Caset foyer ruang vip  2PK ( daikin )</t>
  </si>
  <si>
    <t>Sofa</t>
  </si>
  <si>
    <t>Sub total 9</t>
  </si>
  <si>
    <t>Sub total 10</t>
  </si>
  <si>
    <t>Perbaikan foyer Semanggi</t>
  </si>
  <si>
    <t>A/C cassette (4 PK)</t>
  </si>
  <si>
    <t>Interior</t>
  </si>
  <si>
    <t>Lighting (LED)</t>
  </si>
  <si>
    <t>pc</t>
  </si>
  <si>
    <t>Sub total 11</t>
  </si>
  <si>
    <t>Perbaikan Meeting Room Gambir</t>
  </si>
  <si>
    <t>A/C cassette (2 PK)</t>
  </si>
  <si>
    <t>Sub total 12</t>
  </si>
  <si>
    <t>Perbaikan Foyer Ballroom Gambir</t>
  </si>
  <si>
    <t>Sub total 13</t>
  </si>
  <si>
    <t>Perbaikan Meeting Menteng</t>
  </si>
  <si>
    <t>electric screen</t>
  </si>
  <si>
    <t>Sound system (BOSE)</t>
  </si>
  <si>
    <t>Sub total 14</t>
  </si>
  <si>
    <t>Perbaikan Meeting Room Marunda 1</t>
  </si>
  <si>
    <t>Electric Screen</t>
  </si>
  <si>
    <t>Sub total 15</t>
  </si>
  <si>
    <t>Perbaikan Meeting Room Marunda 2</t>
  </si>
  <si>
    <t>Electric Screen (spek)</t>
  </si>
  <si>
    <t>Sub total 16</t>
  </si>
  <si>
    <t>Perbaikan Meeting Room Pejambon</t>
  </si>
  <si>
    <t>Sub total 18</t>
  </si>
  <si>
    <t>Perbaikan Meeting Room Cikini</t>
  </si>
  <si>
    <t>Sub total 17</t>
  </si>
  <si>
    <t>Sub total 19</t>
  </si>
  <si>
    <t>Meeting room equipment</t>
  </si>
  <si>
    <t>LCD projector (3500 lumen)</t>
  </si>
  <si>
    <t>Screen 100"</t>
  </si>
  <si>
    <t>Sound professional</t>
  </si>
  <si>
    <t>Konstruksi backdrop</t>
  </si>
  <si>
    <t>Mic wireless</t>
  </si>
  <si>
    <t xml:space="preserve">Mixer digital (16 track) </t>
  </si>
  <si>
    <t>Carcall + Perbaikan instalasi</t>
  </si>
  <si>
    <t>Sub total 21</t>
  </si>
  <si>
    <t>III</t>
  </si>
  <si>
    <t>RESTAURANT DAN AREA LOBBY</t>
  </si>
  <si>
    <t>Perbaikan Area Restaurant  Harmoni dan J'Lo</t>
  </si>
  <si>
    <t>Perubahan  interior</t>
  </si>
  <si>
    <t>lighting (LED)</t>
  </si>
  <si>
    <t>Pekerjaan Interior (High Spek)</t>
  </si>
  <si>
    <t>Electric screen</t>
  </si>
  <si>
    <t>Sound Profesional</t>
  </si>
  <si>
    <t>Perbaikan Area Lobby dan Front Office</t>
  </si>
  <si>
    <t>Perbaikan interior</t>
  </si>
  <si>
    <t>Save deposit  box 1 m krisbow ES 200</t>
  </si>
  <si>
    <t>Sub total 20</t>
  </si>
  <si>
    <t>IV</t>
  </si>
  <si>
    <t>RENOVASI KAMAR &amp; CORIDOR</t>
  </si>
  <si>
    <t>ROM</t>
  </si>
  <si>
    <t>Perbaikan Kamar (Renovasi)</t>
  </si>
  <si>
    <t>Up Grand Kamar Fisik</t>
  </si>
  <si>
    <t>- Perbaikan Fisik kamar</t>
  </si>
  <si>
    <t>- Perbaikan Kamar mandi</t>
  </si>
  <si>
    <t>- Pengadaan motorize, DND, saklar hotel</t>
  </si>
  <si>
    <t>- Perbaikan furniture</t>
  </si>
  <si>
    <t>- Penggantian karpet menjadi vinil</t>
  </si>
  <si>
    <t>- Penggantian TV dan Telp</t>
  </si>
  <si>
    <t xml:space="preserve">- Penggantian intalasi + Service FCU </t>
  </si>
  <si>
    <t>- Penggantian Sealend jendela luar dalam</t>
  </si>
  <si>
    <t>Sisa Kamar Yang akan direnovasi</t>
  </si>
  <si>
    <t>Kamar Standar</t>
  </si>
  <si>
    <t>kmr</t>
  </si>
  <si>
    <t>Junior Suite (lt 16)</t>
  </si>
  <si>
    <t>Kamar executive</t>
  </si>
  <si>
    <t>Kamar Disabiltas (lt 3)</t>
  </si>
  <si>
    <t>#REF!</t>
  </si>
  <si>
    <t>Art Décor</t>
  </si>
  <si>
    <t>kamar yang akan direnovasi</t>
  </si>
  <si>
    <t>Sub total 22</t>
  </si>
  <si>
    <t>sdh renovasi thn 19 (lt 9,11,12,15,16)</t>
  </si>
  <si>
    <t>sdh renovasi thn 16 (lt10 dan 14)</t>
  </si>
  <si>
    <t>jumlah kamar seluruhnya</t>
  </si>
  <si>
    <t>Perbaikan kamar-accessories ( Akses masuk kamar )</t>
  </si>
  <si>
    <t>Wireless key</t>
  </si>
  <si>
    <t>Room panel display</t>
  </si>
  <si>
    <t>Control unit</t>
  </si>
  <si>
    <t>Sub total 23</t>
  </si>
  <si>
    <t>Coridor (Renovasi)</t>
  </si>
  <si>
    <t>Penggantian Karpet (per lantai 120 M2) + Pengecatan</t>
  </si>
  <si>
    <t>lantai</t>
  </si>
  <si>
    <t>Sub total 24</t>
  </si>
  <si>
    <t>V</t>
  </si>
  <si>
    <t>DAPUR</t>
  </si>
  <si>
    <t>Pembuatan Dapur dan equipment</t>
  </si>
  <si>
    <t>- Renovaasi dan Peralatan Dapur</t>
  </si>
  <si>
    <t>- Renovasi Fisik Interior</t>
  </si>
  <si>
    <t>- Penambahan Peralatan Catering</t>
  </si>
  <si>
    <t>Sub total 25</t>
  </si>
  <si>
    <t>VI</t>
  </si>
  <si>
    <t>TOILLET</t>
  </si>
  <si>
    <t>Perbaikan Toilet Umum lt Dasar  ( lobby)</t>
  </si>
  <si>
    <t>Desain  toilet</t>
  </si>
  <si>
    <t>- Perbaikan Interior</t>
  </si>
  <si>
    <t>- Perbaikan instalasi air kotor dan bersih</t>
  </si>
  <si>
    <t>- Pernggantian Sanitair (closed dan urionir)</t>
  </si>
  <si>
    <t>- Perbaikan wastafel (body, kran dan afur)</t>
  </si>
  <si>
    <t>- Fasilitas untuk  Disabilitas</t>
  </si>
  <si>
    <t>A/C</t>
  </si>
  <si>
    <t>Sub total 26</t>
  </si>
  <si>
    <t>Perbaikan Toilet Umum lt 1 ( Ball Room)</t>
  </si>
  <si>
    <t>Sub total 27</t>
  </si>
  <si>
    <t>Perbaikan Toilet Umum lt 2 ( Gambir Room)</t>
  </si>
  <si>
    <t>Sub total 28</t>
  </si>
  <si>
    <t>renovasi Toilet Karyawan</t>
  </si>
  <si>
    <t>Ganti sanitary, lantai dan dinding</t>
  </si>
  <si>
    <t>Sub total 29</t>
  </si>
  <si>
    <t xml:space="preserve">Perbaikan Toilet Umum P1 </t>
  </si>
  <si>
    <t>Sub total 30</t>
  </si>
  <si>
    <t>Perbaikan Toilet Umum P2</t>
  </si>
  <si>
    <t>Sub total 31</t>
  </si>
  <si>
    <t>VII</t>
  </si>
  <si>
    <t>RECREATION</t>
  </si>
  <si>
    <t>Fitness &amp; Recreation</t>
  </si>
  <si>
    <t>-</t>
  </si>
  <si>
    <t>Peralatan fitness (treadmil) setara "life fitnees"</t>
  </si>
  <si>
    <t xml:space="preserve">Treadmill </t>
  </si>
  <si>
    <t>Cycling setara "life fitnees"</t>
  </si>
  <si>
    <t>Vinyl floor</t>
  </si>
  <si>
    <t>Interior (pergantian kaca, tebal 5 mm)</t>
  </si>
  <si>
    <t>panel</t>
  </si>
  <si>
    <t>Panel LED 3 x 5</t>
  </si>
  <si>
    <t>Lampu LED</t>
  </si>
  <si>
    <t>Perbaikan Toilet  R fitness (WC pria dan wanita)</t>
  </si>
  <si>
    <t>Sauna Pria &amp; wanita ( ganti tunggku, heater, gayung kayu, ember kayu, dinding+lantai kayu yg lapuk</t>
  </si>
  <si>
    <t>Locker Tamu Fiber</t>
  </si>
  <si>
    <t>pcs</t>
  </si>
  <si>
    <t>Bangku Banpres</t>
  </si>
  <si>
    <t>Bangku Situp</t>
  </si>
  <si>
    <t>Kolam Renang</t>
  </si>
  <si>
    <t>Perbaikan kolam renang</t>
  </si>
  <si>
    <t>Pompa sirkulasi</t>
  </si>
  <si>
    <t>Vacum air</t>
  </si>
  <si>
    <t>Sub total 32</t>
  </si>
  <si>
    <t>VIII</t>
  </si>
  <si>
    <t>EQUIPMENT</t>
  </si>
  <si>
    <t>Banquet equipment</t>
  </si>
  <si>
    <t>Electric serving dish - roll top model</t>
  </si>
  <si>
    <t>Moveable banquet partition ( Partisi R. Meeting )</t>
  </si>
  <si>
    <t>Banquet stage (240 x 180; tinggi 40 / 60) dengan roda</t>
  </si>
  <si>
    <t>Meja VIP</t>
  </si>
  <si>
    <t>Round table (diameter 120, tinggi 72)</t>
  </si>
  <si>
    <t>Kursi VIP - arm chair</t>
  </si>
  <si>
    <t>Robstand</t>
  </si>
  <si>
    <t>Clearup trolley - stainlesstel</t>
  </si>
  <si>
    <t>HT Motorola CP1660 VHF</t>
  </si>
  <si>
    <t>Skerting</t>
  </si>
  <si>
    <t>Table Clothe</t>
  </si>
  <si>
    <t>Long Table</t>
  </si>
  <si>
    <t>Black feel</t>
  </si>
  <si>
    <t>psc</t>
  </si>
  <si>
    <t>Cover Chair</t>
  </si>
  <si>
    <t>Kursi Putura</t>
  </si>
  <si>
    <t xml:space="preserve">Clear up trolley </t>
  </si>
  <si>
    <t>Sub total 33</t>
  </si>
  <si>
    <t>Sub total 34</t>
  </si>
  <si>
    <t>Housekeeping equipment</t>
  </si>
  <si>
    <t>Mesin cuci (capacity +/- 10 kg)( speedQuin happy duty)</t>
  </si>
  <si>
    <t>Mesin pengering (  Speed Quin)</t>
  </si>
  <si>
    <t>Trolley Room Boy</t>
  </si>
  <si>
    <t>PC</t>
  </si>
  <si>
    <t>Linen set</t>
  </si>
  <si>
    <t>Wet Vacum ( Bosch GAS 15 Vacuum Cleaner Wet/Dry )</t>
  </si>
  <si>
    <t>Mesin Brushing (Karcher Polisher BDS 43-150 C Classic 17inch 150Rpm)</t>
  </si>
  <si>
    <t>HT</t>
  </si>
  <si>
    <t>Radio rig (REAPITER MOTOROLA CDR 500 FULL SET ORIGINAL)</t>
  </si>
  <si>
    <t>Linen  (Sheet, Pillow case, towel, Duvet)</t>
  </si>
  <si>
    <t>- Dry vacum</t>
  </si>
  <si>
    <t>- Mesin Brushing (Florentino)</t>
  </si>
  <si>
    <t>- Mesin Buffing (Florentino)</t>
  </si>
  <si>
    <t>- Extra Bad</t>
  </si>
  <si>
    <t>- TV LED 42 " Untuk Kamar</t>
  </si>
  <si>
    <t>Sub total 35</t>
  </si>
  <si>
    <t>Front office equipment</t>
  </si>
  <si>
    <t xml:space="preserve">PC </t>
  </si>
  <si>
    <t>Tablet android</t>
  </si>
  <si>
    <t>Sub total 36</t>
  </si>
  <si>
    <t>HRD &amp; Security department</t>
  </si>
  <si>
    <t>TV (40")</t>
  </si>
  <si>
    <t>CCTV</t>
  </si>
  <si>
    <t xml:space="preserve">Radio 2 m </t>
  </si>
  <si>
    <t>Luggage scanner xray</t>
  </si>
  <si>
    <t>Logam detektor garrett</t>
  </si>
  <si>
    <t>Auning pos 1</t>
  </si>
  <si>
    <t>Loker Karyawan  isi 6 unit</t>
  </si>
  <si>
    <t>Sub total 37</t>
  </si>
  <si>
    <t>IX</t>
  </si>
  <si>
    <t>BANGUNAN BARU</t>
  </si>
  <si>
    <t xml:space="preserve">Mesjid </t>
  </si>
  <si>
    <t>ukuran 24 m x 15 m</t>
  </si>
  <si>
    <t>Sub total 38</t>
  </si>
  <si>
    <t>X</t>
  </si>
  <si>
    <t>RENOVASI BANGUNAN</t>
  </si>
  <si>
    <t>Renovasi Mesjid</t>
  </si>
  <si>
    <t>Renovasi &amp; Pelebaran mesjid lama</t>
  </si>
  <si>
    <t>Ruang EDR dan Loker</t>
  </si>
  <si>
    <t>Renovasi ruangan buat EDR &amp; Locker</t>
  </si>
  <si>
    <t>Sub total 39</t>
  </si>
  <si>
    <t>Renovasi  R. Engineering, Housekeeping, Gudang &amp; Tempat sampah</t>
  </si>
  <si>
    <t>Renovasi  R. Engineering, Housekeeping, dan Gudang</t>
  </si>
  <si>
    <t>Ruangan sampah</t>
  </si>
  <si>
    <t>Sub total 40</t>
  </si>
  <si>
    <t>Perbaikan Executive Office</t>
  </si>
  <si>
    <t>Renovasi Interior Kantor</t>
  </si>
  <si>
    <t>Sub total 41</t>
  </si>
  <si>
    <t>Perbaikan Ex. Kantor PT. Jakarta Tourisindo</t>
  </si>
  <si>
    <t>Renovasi Interior kantor</t>
  </si>
  <si>
    <t>Sub total 42</t>
  </si>
  <si>
    <t>XI</t>
  </si>
  <si>
    <t>RENOVASI LANDSCAPE DAN FASAD</t>
  </si>
  <si>
    <t>Perbaikan Fasad Tower</t>
  </si>
  <si>
    <t>Penggantian Sealent Jendela dan pembersihan Kaca</t>
  </si>
  <si>
    <t>EXT</t>
  </si>
  <si>
    <t>Perbaikan Lansekap Hotel</t>
  </si>
  <si>
    <t>Area Parkiran (Depan + Belakang)</t>
  </si>
  <si>
    <t>Area Taman/ Vegetasi</t>
  </si>
  <si>
    <t>Perbaikan Enterance Hotel</t>
  </si>
  <si>
    <t>Area Fasad Drop Off</t>
  </si>
  <si>
    <t>Area Fasad Lantai 1 dan 2</t>
  </si>
  <si>
    <t>Sub total 43</t>
  </si>
  <si>
    <t>XII</t>
  </si>
  <si>
    <t>PROTOCOL EQUIPMENT (COVID-19)</t>
  </si>
  <si>
    <t>Pengadaan Barang PROKES</t>
  </si>
  <si>
    <t>Thermal Sensor Artificial Intelligence</t>
  </si>
  <si>
    <t>Disinfectan Nano Spray with UV</t>
  </si>
  <si>
    <t>m3</t>
  </si>
  <si>
    <t>Automatic Hand Sanitizer + Stand</t>
  </si>
  <si>
    <t>m4</t>
  </si>
  <si>
    <t>Automatic Hand Sanitizer (wall mount)</t>
  </si>
  <si>
    <t>m5</t>
  </si>
  <si>
    <t>Automatic Hand Sanitizer (on table)</t>
  </si>
  <si>
    <t>m6</t>
  </si>
  <si>
    <t>Sub total 44</t>
  </si>
  <si>
    <t>Total 1 s/d 41</t>
  </si>
  <si>
    <t>Total 1 s/d 32</t>
  </si>
  <si>
    <t>PPN 10%</t>
  </si>
  <si>
    <t>Total</t>
  </si>
  <si>
    <t>Total I</t>
  </si>
  <si>
    <t>total PMD</t>
  </si>
  <si>
    <t>Pengurangan</t>
  </si>
  <si>
    <t>sisa</t>
  </si>
  <si>
    <t>RESUME</t>
  </si>
  <si>
    <t>Renovasi Ruangan</t>
  </si>
  <si>
    <t>Renovasi Koridor</t>
  </si>
  <si>
    <t>Renovasi MICE</t>
  </si>
  <si>
    <t>Renovasi Fasilitas Penunjang</t>
  </si>
  <si>
    <t>Perlengkapan</t>
  </si>
  <si>
    <t>Bangunan Baru</t>
  </si>
  <si>
    <t>Total Renovasi</t>
  </si>
  <si>
    <t>Lainnya</t>
  </si>
  <si>
    <t>Operating System</t>
  </si>
  <si>
    <t>Managemen Proyek</t>
  </si>
  <si>
    <t>D'ARCICI PLUMPANG</t>
  </si>
  <si>
    <t>PMD Tahun 2022</t>
  </si>
  <si>
    <t>- Penggantian Instalasi Chiller</t>
  </si>
  <si>
    <t>- Signage Hotel D'Arcici Plumpang</t>
  </si>
  <si>
    <t>Perluasan Ballroom</t>
  </si>
  <si>
    <t xml:space="preserve">Perbaikan Area Restaurant  </t>
  </si>
  <si>
    <t>- Rejuvenasi furniture</t>
  </si>
  <si>
    <t>- Penggantian karpet menjadi parket</t>
  </si>
  <si>
    <t>barang</t>
  </si>
  <si>
    <t>furniture</t>
  </si>
  <si>
    <t>Renovasi toilet</t>
  </si>
  <si>
    <t>XIII</t>
  </si>
  <si>
    <t>KONSULTAN</t>
  </si>
  <si>
    <t>Biaya Konsultan Perencana 1.8%</t>
  </si>
  <si>
    <t>FEE</t>
  </si>
  <si>
    <t>T0</t>
  </si>
  <si>
    <t>Biaya Konsultan Pengawas 1.8%</t>
  </si>
  <si>
    <t>Biaya Konsultan Managemen 1%</t>
  </si>
  <si>
    <t>Ijin 1%</t>
  </si>
  <si>
    <t>Overhead 1%</t>
  </si>
  <si>
    <t>Biaya Konsultan Perencana (IAI 3%)</t>
  </si>
  <si>
    <t>Biaya Konsultan Manajemen Kontruksi</t>
  </si>
  <si>
    <t>Biaya Konsultan Pengawas (Permen 22 Th.2018)</t>
  </si>
  <si>
    <t>Ijin + Pelaksanaan kegiatan (Permen 22 Th.2018)</t>
  </si>
  <si>
    <t>Overhead (Permen 22 Th.2018)</t>
  </si>
  <si>
    <t>XIV</t>
  </si>
  <si>
    <t>PENGADAAN MOBIL</t>
  </si>
  <si>
    <t>Toyota HiAce (16 seat)</t>
  </si>
  <si>
    <t>XV</t>
  </si>
  <si>
    <t>INTEGRATED HOTEL AND TOURISM MARKETING OPERATING SISTEM</t>
  </si>
  <si>
    <t>SYSTEM</t>
  </si>
  <si>
    <t>Set</t>
  </si>
  <si>
    <t>Menyetujui,</t>
  </si>
  <si>
    <t>General Manager</t>
  </si>
  <si>
    <t>Senior Manager</t>
  </si>
  <si>
    <t>Grand Cempaka Business Hotel</t>
  </si>
  <si>
    <t>Perencanaan &amp; Pengembangan</t>
  </si>
  <si>
    <t>PERUBAHAN REFOCUSING PELAKSANAAN REDISAIN</t>
  </si>
  <si>
    <t>No</t>
  </si>
  <si>
    <t>TOILET</t>
  </si>
  <si>
    <t>RECREATION (FITNESS &amp; POOL)</t>
  </si>
  <si>
    <t>BANGUNAN BARU - Masjid</t>
  </si>
  <si>
    <t>RENOVASI KANTOR DAN MASJID EKSISTING</t>
  </si>
  <si>
    <t>EDR dan Loker</t>
  </si>
  <si>
    <t>Renovasi  R. Engineering &amp; Tempat sampah</t>
  </si>
  <si>
    <t>Pengecata, landscape &amp; Fasad</t>
  </si>
  <si>
    <t>Pengadaan barang PROKES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</si>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</sst>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-&quot;_);_(@_)"/>
  </numFmts>
  <fonts count="16">
    <font>
      <sz val="10"/>
      <color rgb="FF000000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name val="Calibri"/>
    </font>
    <font>
      <sz val="12"/>
      <color theme="8"/>
      <name val="Arial"/>
    </font>
    <font>
      <sz val="12"/>
      <color rgb="FF4472C4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1"/>
      <color theme="1"/>
      <name val="Helvetica Neue"/>
    </font>
    <font>
      <b/>
      <sz val="10"/>
      <color theme="1"/>
      <name val="Helvetica Neue"/>
    </font>
    <font>
      <sz val="11"/>
      <color theme="1"/>
      <name val="Helvetica Neue"/>
    </font>
    <font>
      <sz val="10"/>
      <color theme="1"/>
      <name val="Helvetica Neue"/>
    </font>
    <font>
      <sz val="11"/>
      <color rgb="FF0070C0"/>
      <name val="Helvetica Neue"/>
    </font>
    <font>
      <sz val="11"/>
      <color rgb="FFFF0000"/>
      <name val="Helvetica Neue"/>
    </font>
    <font>
      <sz val="10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CCC0D9"/>
        <bgColor rgb="FFCCC0D9"/>
      </patternFill>
    </fill>
    <fill>
      <patternFill patternType="solid">
        <fgColor rgb="FFFFF2CC"/>
        <bgColor rgb="FFFFF2CC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66" fontId="1" fillId="2" borderId="1" xfId="0" applyNumberFormat="1" applyFont="1" applyFill="1" applyBorder="1" applyAlignment="1">
      <alignment wrapText="1"/>
    </xf>
    <xf numFmtId="166" fontId="2" fillId="2" borderId="1" xfId="0" applyNumberFormat="1" applyFont="1" applyFill="1" applyBorder="1"/>
    <xf numFmtId="17" fontId="1" fillId="2" borderId="1" xfId="0" quotePrefix="1" applyNumberFormat="1" applyFont="1" applyFill="1" applyBorder="1" applyAlignment="1">
      <alignment horizontal="left"/>
    </xf>
    <xf numFmtId="17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17" fontId="1" fillId="2" borderId="1" xfId="0" applyNumberFormat="1" applyFont="1" applyFill="1" applyBorder="1"/>
    <xf numFmtId="166" fontId="1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67" fontId="1" fillId="2" borderId="2" xfId="0" applyNumberFormat="1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 wrapText="1"/>
    </xf>
    <xf numFmtId="166" fontId="1" fillId="3" borderId="2" xfId="0" applyNumberFormat="1" applyFont="1" applyFill="1" applyBorder="1" applyAlignment="1">
      <alignment horizontal="center" wrapText="1"/>
    </xf>
    <xf numFmtId="166" fontId="1" fillId="3" borderId="2" xfId="0" applyNumberFormat="1" applyFont="1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 wrapText="1"/>
    </xf>
    <xf numFmtId="166" fontId="1" fillId="4" borderId="2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7" fontId="1" fillId="2" borderId="8" xfId="0" applyNumberFormat="1" applyFont="1" applyFill="1" applyBorder="1" applyAlignment="1">
      <alignment horizontal="center"/>
    </xf>
    <xf numFmtId="167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6" fontId="1" fillId="2" borderId="6" xfId="0" applyNumberFormat="1" applyFont="1" applyFill="1" applyBorder="1" applyAlignment="1">
      <alignment horizontal="center" wrapText="1"/>
    </xf>
    <xf numFmtId="166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/>
    </xf>
    <xf numFmtId="167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6" fontId="1" fillId="2" borderId="9" xfId="0" applyNumberFormat="1" applyFont="1" applyFill="1" applyBorder="1" applyAlignment="1">
      <alignment horizontal="center" wrapText="1"/>
    </xf>
    <xf numFmtId="166" fontId="1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quotePrefix="1" applyFont="1" applyFill="1" applyBorder="1" applyAlignment="1">
      <alignment wrapText="1"/>
    </xf>
    <xf numFmtId="167" fontId="2" fillId="2" borderId="11" xfId="0" applyNumberFormat="1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167" fontId="2" fillId="2" borderId="9" xfId="0" applyNumberFormat="1" applyFont="1" applyFill="1" applyBorder="1" applyAlignment="1">
      <alignment horizontal="center" wrapText="1"/>
    </xf>
    <xf numFmtId="0" fontId="2" fillId="2" borderId="9" xfId="0" quotePrefix="1" applyFont="1" applyFill="1" applyBorder="1" applyAlignment="1">
      <alignment horizontal="center" wrapText="1"/>
    </xf>
    <xf numFmtId="166" fontId="2" fillId="2" borderId="9" xfId="0" applyNumberFormat="1" applyFont="1" applyFill="1" applyBorder="1"/>
    <xf numFmtId="0" fontId="2" fillId="2" borderId="9" xfId="0" applyFont="1" applyFill="1" applyBorder="1" applyAlignment="1">
      <alignment horizontal="center" wrapText="1"/>
    </xf>
    <xf numFmtId="0" fontId="2" fillId="2" borderId="9" xfId="0" applyFont="1" applyFill="1" applyBorder="1"/>
    <xf numFmtId="167" fontId="2" fillId="2" borderId="9" xfId="0" applyNumberFormat="1" applyFont="1" applyFill="1" applyBorder="1" applyAlignment="1">
      <alignment wrapText="1"/>
    </xf>
    <xf numFmtId="0" fontId="2" fillId="2" borderId="9" xfId="0" quotePrefix="1" applyFont="1" applyFill="1" applyBorder="1" applyAlignment="1">
      <alignment wrapText="1"/>
    </xf>
    <xf numFmtId="166" fontId="1" fillId="5" borderId="1" xfId="0" applyNumberFormat="1" applyFont="1" applyFill="1" applyBorder="1"/>
    <xf numFmtId="0" fontId="2" fillId="5" borderId="1" xfId="0" applyFont="1" applyFill="1" applyBorder="1"/>
    <xf numFmtId="167" fontId="2" fillId="2" borderId="9" xfId="0" applyNumberFormat="1" applyFont="1" applyFill="1" applyBorder="1" applyAlignment="1">
      <alignment horizontal="center"/>
    </xf>
    <xf numFmtId="0" fontId="2" fillId="2" borderId="11" xfId="0" quotePrefix="1" applyFont="1" applyFill="1" applyBorder="1"/>
    <xf numFmtId="167" fontId="2" fillId="2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2" xfId="0" applyFont="1" applyBorder="1" applyAlignment="1">
      <alignment horizontal="center" wrapText="1"/>
    </xf>
    <xf numFmtId="0" fontId="2" fillId="0" borderId="13" xfId="0" quotePrefix="1" applyFont="1" applyBorder="1"/>
    <xf numFmtId="167" fontId="2" fillId="0" borderId="13" xfId="0" applyNumberFormat="1" applyFont="1" applyBorder="1" applyAlignment="1">
      <alignment horizontal="center"/>
    </xf>
    <xf numFmtId="167" fontId="2" fillId="0" borderId="9" xfId="0" applyNumberFormat="1" applyFont="1" applyBorder="1" applyAlignment="1">
      <alignment horizontal="center"/>
    </xf>
    <xf numFmtId="166" fontId="2" fillId="0" borderId="9" xfId="0" applyNumberFormat="1" applyFont="1" applyBorder="1"/>
    <xf numFmtId="167" fontId="2" fillId="0" borderId="9" xfId="0" applyNumberFormat="1" applyFont="1" applyBorder="1" applyAlignment="1">
      <alignment horizontal="center" wrapText="1"/>
    </xf>
    <xf numFmtId="166" fontId="1" fillId="0" borderId="0" xfId="0" applyNumberFormat="1" applyFont="1"/>
    <xf numFmtId="0" fontId="2" fillId="0" borderId="0" xfId="0" applyFont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 wrapText="1"/>
    </xf>
    <xf numFmtId="0" fontId="2" fillId="2" borderId="11" xfId="0" quotePrefix="1" applyFont="1" applyFill="1" applyBorder="1" applyAlignment="1">
      <alignment horizontal="left"/>
    </xf>
    <xf numFmtId="167" fontId="2" fillId="2" borderId="9" xfId="0" applyNumberFormat="1" applyFont="1" applyFill="1" applyBorder="1" applyAlignment="1">
      <alignment horizontal="left"/>
    </xf>
    <xf numFmtId="166" fontId="2" fillId="2" borderId="9" xfId="0" applyNumberFormat="1" applyFont="1" applyFill="1" applyBorder="1" applyAlignment="1">
      <alignment horizontal="left"/>
    </xf>
    <xf numFmtId="167" fontId="2" fillId="2" borderId="9" xfId="0" applyNumberFormat="1" applyFont="1" applyFill="1" applyBorder="1" applyAlignment="1">
      <alignment horizontal="left" wrapText="1"/>
    </xf>
    <xf numFmtId="0" fontId="2" fillId="0" borderId="13" xfId="0" quotePrefix="1" applyFont="1" applyBorder="1" applyAlignment="1">
      <alignment horizontal="left" wrapText="1"/>
    </xf>
    <xf numFmtId="167" fontId="2" fillId="2" borderId="11" xfId="0" applyNumberFormat="1" applyFont="1" applyFill="1" applyBorder="1" applyAlignment="1">
      <alignment wrapText="1"/>
    </xf>
    <xf numFmtId="167" fontId="2" fillId="2" borderId="9" xfId="0" applyNumberFormat="1" applyFont="1" applyFill="1" applyBorder="1"/>
    <xf numFmtId="167" fontId="2" fillId="2" borderId="11" xfId="0" quotePrefix="1" applyNumberFormat="1" applyFont="1" applyFill="1" applyBorder="1"/>
    <xf numFmtId="167" fontId="2" fillId="2" borderId="11" xfId="0" quotePrefix="1" applyNumberFormat="1" applyFont="1" applyFill="1" applyBorder="1" applyAlignment="1">
      <alignment wrapText="1"/>
    </xf>
    <xf numFmtId="165" fontId="2" fillId="2" borderId="9" xfId="0" applyNumberFormat="1" applyFont="1" applyFill="1" applyBorder="1"/>
    <xf numFmtId="0" fontId="2" fillId="2" borderId="10" xfId="0" applyFont="1" applyFill="1" applyBorder="1"/>
    <xf numFmtId="167" fontId="1" fillId="2" borderId="11" xfId="0" applyNumberFormat="1" applyFont="1" applyFill="1" applyBorder="1" applyAlignment="1">
      <alignment horizontal="left"/>
    </xf>
    <xf numFmtId="167" fontId="1" fillId="2" borderId="9" xfId="0" applyNumberFormat="1" applyFont="1" applyFill="1" applyBorder="1" applyAlignment="1">
      <alignment horizontal="left"/>
    </xf>
    <xf numFmtId="167" fontId="1" fillId="2" borderId="11" xfId="0" quotePrefix="1" applyNumberFormat="1" applyFont="1" applyFill="1" applyBorder="1"/>
    <xf numFmtId="0" fontId="2" fillId="2" borderId="1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wrapText="1"/>
    </xf>
    <xf numFmtId="167" fontId="1" fillId="2" borderId="15" xfId="0" applyNumberFormat="1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166" fontId="1" fillId="2" borderId="2" xfId="0" applyNumberFormat="1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7" xfId="0" applyFont="1" applyFill="1" applyBorder="1"/>
    <xf numFmtId="167" fontId="2" fillId="2" borderId="17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/>
    </xf>
    <xf numFmtId="166" fontId="2" fillId="2" borderId="16" xfId="0" applyNumberFormat="1" applyFont="1" applyFill="1" applyBorder="1"/>
    <xf numFmtId="0" fontId="1" fillId="2" borderId="15" xfId="0" applyFont="1" applyFill="1" applyBorder="1"/>
    <xf numFmtId="167" fontId="1" fillId="2" borderId="15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9" xfId="0" applyFont="1" applyFill="1" applyBorder="1" applyAlignment="1">
      <alignment horizontal="center" wrapText="1"/>
    </xf>
    <xf numFmtId="0" fontId="2" fillId="2" borderId="8" xfId="0" applyFont="1" applyFill="1" applyBorder="1"/>
    <xf numFmtId="167" fontId="2" fillId="2" borderId="8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166" fontId="2" fillId="2" borderId="6" xfId="0" applyNumberFormat="1" applyFont="1" applyFill="1" applyBorder="1"/>
    <xf numFmtId="167" fontId="2" fillId="2" borderId="6" xfId="0" applyNumberFormat="1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11" xfId="0" quotePrefix="1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22" xfId="0" applyFont="1" applyFill="1" applyBorder="1"/>
    <xf numFmtId="0" fontId="2" fillId="2" borderId="23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left" wrapText="1"/>
    </xf>
    <xf numFmtId="167" fontId="2" fillId="2" borderId="24" xfId="0" applyNumberFormat="1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166" fontId="2" fillId="2" borderId="22" xfId="0" applyNumberFormat="1" applyFont="1" applyFill="1" applyBorder="1"/>
    <xf numFmtId="167" fontId="2" fillId="2" borderId="22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7" fontId="2" fillId="2" borderId="22" xfId="0" applyNumberFormat="1" applyFont="1" applyFill="1" applyBorder="1" applyAlignment="1">
      <alignment horizontal="center" wrapText="1"/>
    </xf>
    <xf numFmtId="167" fontId="2" fillId="2" borderId="24" xfId="0" applyNumberFormat="1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9" xfId="0" applyFont="1" applyFill="1" applyBorder="1" applyAlignment="1">
      <alignment horizontal="center" wrapText="1"/>
    </xf>
    <xf numFmtId="0" fontId="1" fillId="2" borderId="8" xfId="0" applyFont="1" applyFill="1" applyBorder="1"/>
    <xf numFmtId="166" fontId="1" fillId="2" borderId="6" xfId="0" applyNumberFormat="1" applyFont="1" applyFill="1" applyBorder="1"/>
    <xf numFmtId="0" fontId="2" fillId="2" borderId="11" xfId="0" quotePrefix="1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2" xfId="0" applyFont="1" applyBorder="1"/>
    <xf numFmtId="0" fontId="2" fillId="0" borderId="26" xfId="0" applyFont="1" applyBorder="1" applyAlignment="1">
      <alignment horizontal="center" wrapText="1"/>
    </xf>
    <xf numFmtId="164" fontId="2" fillId="0" borderId="27" xfId="0" applyNumberFormat="1" applyFont="1" applyBorder="1"/>
    <xf numFmtId="167" fontId="2" fillId="0" borderId="27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2" fillId="0" borderId="22" xfId="0" applyNumberFormat="1" applyFont="1" applyBorder="1"/>
    <xf numFmtId="167" fontId="2" fillId="0" borderId="22" xfId="0" applyNumberFormat="1" applyFont="1" applyBorder="1" applyAlignment="1">
      <alignment horizontal="center" wrapText="1"/>
    </xf>
    <xf numFmtId="166" fontId="2" fillId="0" borderId="0" xfId="0" applyNumberFormat="1" applyFont="1"/>
    <xf numFmtId="164" fontId="2" fillId="2" borderId="9" xfId="0" applyNumberFormat="1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center"/>
    </xf>
    <xf numFmtId="167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6" fontId="2" fillId="2" borderId="9" xfId="0" applyNumberFormat="1" applyFont="1" applyFill="1" applyBorder="1" applyAlignment="1">
      <alignment vertical="center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9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1" xfId="0" applyFont="1" applyFill="1" applyBorder="1"/>
    <xf numFmtId="0" fontId="2" fillId="2" borderId="22" xfId="0" applyFont="1" applyFill="1" applyBorder="1" applyAlignment="1">
      <alignment horizontal="center"/>
    </xf>
    <xf numFmtId="0" fontId="2" fillId="2" borderId="24" xfId="0" quotePrefix="1" applyFont="1" applyFill="1" applyBorder="1" applyAlignment="1">
      <alignment wrapText="1"/>
    </xf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wrapText="1"/>
    </xf>
    <xf numFmtId="167" fontId="2" fillId="0" borderId="29" xfId="0" applyNumberFormat="1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166" fontId="2" fillId="0" borderId="28" xfId="0" applyNumberFormat="1" applyFont="1" applyBorder="1"/>
    <xf numFmtId="166" fontId="2" fillId="0" borderId="2" xfId="0" applyNumberFormat="1" applyFont="1" applyBorder="1"/>
    <xf numFmtId="0" fontId="1" fillId="2" borderId="18" xfId="0" applyFont="1" applyFill="1" applyBorder="1" applyAlignment="1">
      <alignment horizontal="center" wrapText="1"/>
    </xf>
    <xf numFmtId="167" fontId="1" fillId="2" borderId="6" xfId="0" applyNumberFormat="1" applyFont="1" applyFill="1" applyBorder="1"/>
    <xf numFmtId="0" fontId="1" fillId="2" borderId="3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67" fontId="1" fillId="2" borderId="20" xfId="0" applyNumberFormat="1" applyFont="1" applyFill="1" applyBorder="1" applyAlignment="1">
      <alignment horizontal="center"/>
    </xf>
    <xf numFmtId="167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 wrapText="1"/>
    </xf>
    <xf numFmtId="166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 wrapText="1"/>
    </xf>
    <xf numFmtId="0" fontId="2" fillId="2" borderId="11" xfId="0" applyFont="1" applyFill="1" applyBorder="1"/>
    <xf numFmtId="0" fontId="2" fillId="2" borderId="11" xfId="0" applyFont="1" applyFill="1" applyBorder="1" applyAlignment="1">
      <alignment wrapText="1"/>
    </xf>
    <xf numFmtId="166" fontId="2" fillId="2" borderId="9" xfId="0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0" fontId="2" fillId="0" borderId="31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167" fontId="2" fillId="0" borderId="13" xfId="0" applyNumberFormat="1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167" fontId="2" fillId="3" borderId="11" xfId="0" applyNumberFormat="1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166" fontId="2" fillId="3" borderId="9" xfId="0" applyNumberFormat="1" applyFont="1" applyFill="1" applyBorder="1"/>
    <xf numFmtId="167" fontId="2" fillId="4" borderId="11" xfId="0" applyNumberFormat="1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166" fontId="2" fillId="4" borderId="9" xfId="0" applyNumberFormat="1" applyFont="1" applyFill="1" applyBorder="1"/>
    <xf numFmtId="166" fontId="2" fillId="6" borderId="9" xfId="0" applyNumberFormat="1" applyFont="1" applyFill="1" applyBorder="1"/>
    <xf numFmtId="0" fontId="2" fillId="2" borderId="32" xfId="0" applyFont="1" applyFill="1" applyBorder="1" applyAlignment="1">
      <alignment horizontal="center"/>
    </xf>
    <xf numFmtId="0" fontId="2" fillId="2" borderId="32" xfId="0" applyFont="1" applyFill="1" applyBorder="1"/>
    <xf numFmtId="0" fontId="2" fillId="2" borderId="33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wrapText="1"/>
    </xf>
    <xf numFmtId="167" fontId="2" fillId="2" borderId="25" xfId="0" applyNumberFormat="1" applyFont="1" applyFill="1" applyBorder="1" applyAlignment="1">
      <alignment horizontal="center" wrapText="1"/>
    </xf>
    <xf numFmtId="167" fontId="2" fillId="3" borderId="25" xfId="0" applyNumberFormat="1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166" fontId="2" fillId="3" borderId="22" xfId="0" applyNumberFormat="1" applyFont="1" applyFill="1" applyBorder="1"/>
    <xf numFmtId="167" fontId="2" fillId="4" borderId="25" xfId="0" applyNumberFormat="1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166" fontId="2" fillId="4" borderId="22" xfId="0" applyNumberFormat="1" applyFont="1" applyFill="1" applyBorder="1"/>
    <xf numFmtId="0" fontId="2" fillId="2" borderId="18" xfId="0" applyFont="1" applyFill="1" applyBorder="1"/>
    <xf numFmtId="0" fontId="2" fillId="2" borderId="34" xfId="0" applyFont="1" applyFill="1" applyBorder="1" applyAlignment="1">
      <alignment horizontal="center" wrapText="1"/>
    </xf>
    <xf numFmtId="0" fontId="2" fillId="2" borderId="20" xfId="0" applyFont="1" applyFill="1" applyBorder="1"/>
    <xf numFmtId="167" fontId="2" fillId="2" borderId="20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18" xfId="0" applyFont="1" applyFill="1" applyBorder="1" applyAlignment="1">
      <alignment horizontal="left" wrapText="1"/>
    </xf>
    <xf numFmtId="0" fontId="2" fillId="2" borderId="20" xfId="0" applyFont="1" applyFill="1" applyBorder="1" applyAlignment="1">
      <alignment wrapText="1"/>
    </xf>
    <xf numFmtId="167" fontId="2" fillId="2" borderId="20" xfId="0" applyNumberFormat="1" applyFont="1" applyFill="1" applyBorder="1" applyAlignment="1">
      <alignment horizontal="center" wrapText="1"/>
    </xf>
    <xf numFmtId="167" fontId="2" fillId="2" borderId="2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quotePrefix="1" applyFont="1" applyFill="1" applyBorder="1"/>
    <xf numFmtId="0" fontId="2" fillId="2" borderId="8" xfId="0" quotePrefix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quotePrefix="1" applyFont="1" applyFill="1" applyBorder="1" applyAlignment="1">
      <alignment horizontal="center"/>
    </xf>
    <xf numFmtId="0" fontId="2" fillId="7" borderId="11" xfId="0" quotePrefix="1" applyFont="1" applyFill="1" applyBorder="1"/>
    <xf numFmtId="0" fontId="2" fillId="0" borderId="35" xfId="0" applyFont="1" applyBorder="1" applyAlignment="1">
      <alignment horizontal="center" wrapText="1"/>
    </xf>
    <xf numFmtId="0" fontId="2" fillId="0" borderId="13" xfId="0" quotePrefix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24" xfId="0" quotePrefix="1" applyFont="1" applyFill="1" applyBorder="1"/>
    <xf numFmtId="0" fontId="2" fillId="2" borderId="24" xfId="0" quotePrefix="1" applyFont="1" applyFill="1" applyBorder="1" applyAlignment="1">
      <alignment horizontal="center"/>
    </xf>
    <xf numFmtId="0" fontId="2" fillId="2" borderId="18" xfId="0" applyFont="1" applyFill="1" applyBorder="1" applyAlignment="1">
      <alignment wrapText="1"/>
    </xf>
    <xf numFmtId="166" fontId="2" fillId="2" borderId="18" xfId="0" applyNumberFormat="1" applyFont="1" applyFill="1" applyBorder="1"/>
    <xf numFmtId="167" fontId="2" fillId="2" borderId="18" xfId="0" applyNumberFormat="1" applyFont="1" applyFill="1" applyBorder="1" applyAlignment="1">
      <alignment horizontal="center" wrapText="1"/>
    </xf>
    <xf numFmtId="167" fontId="2" fillId="2" borderId="18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2" fillId="2" borderId="6" xfId="0" applyFont="1" applyFill="1" applyBorder="1" applyAlignment="1">
      <alignment wrapText="1"/>
    </xf>
    <xf numFmtId="0" fontId="1" fillId="2" borderId="36" xfId="0" applyFont="1" applyFill="1" applyBorder="1" applyAlignment="1">
      <alignment horizontal="center"/>
    </xf>
    <xf numFmtId="0" fontId="1" fillId="2" borderId="36" xfId="0" applyFont="1" applyFill="1" applyBorder="1"/>
    <xf numFmtId="0" fontId="2" fillId="2" borderId="37" xfId="0" applyFont="1" applyFill="1" applyBorder="1" applyAlignment="1">
      <alignment horizontal="center" wrapText="1"/>
    </xf>
    <xf numFmtId="0" fontId="2" fillId="2" borderId="38" xfId="0" applyFont="1" applyFill="1" applyBorder="1"/>
    <xf numFmtId="167" fontId="2" fillId="2" borderId="3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166" fontId="2" fillId="2" borderId="36" xfId="0" applyNumberFormat="1" applyFont="1" applyFill="1" applyBorder="1"/>
    <xf numFmtId="166" fontId="2" fillId="2" borderId="9" xfId="0" applyNumberFormat="1" applyFont="1" applyFill="1" applyBorder="1" applyAlignment="1">
      <alignment wrapText="1"/>
    </xf>
    <xf numFmtId="165" fontId="2" fillId="2" borderId="1" xfId="0" applyNumberFormat="1" applyFont="1" applyFill="1" applyBorder="1"/>
    <xf numFmtId="0" fontId="1" fillId="2" borderId="39" xfId="0" applyFont="1" applyFill="1" applyBorder="1" applyAlignment="1">
      <alignment horizontal="center" wrapText="1"/>
    </xf>
    <xf numFmtId="0" fontId="1" fillId="2" borderId="15" xfId="0" quotePrefix="1" applyFont="1" applyFill="1" applyBorder="1" applyAlignment="1">
      <alignment horizontal="right" wrapText="1"/>
    </xf>
    <xf numFmtId="0" fontId="2" fillId="2" borderId="3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right"/>
    </xf>
    <xf numFmtId="0" fontId="2" fillId="2" borderId="20" xfId="0" quotePrefix="1" applyFont="1" applyFill="1" applyBorder="1" applyAlignment="1">
      <alignment wrapText="1"/>
    </xf>
    <xf numFmtId="164" fontId="2" fillId="2" borderId="9" xfId="0" applyNumberFormat="1" applyFont="1" applyFill="1" applyBorder="1" applyAlignment="1">
      <alignment horizontal="left"/>
    </xf>
    <xf numFmtId="164" fontId="1" fillId="2" borderId="2" xfId="0" applyNumberFormat="1" applyFont="1" applyFill="1" applyBorder="1"/>
    <xf numFmtId="0" fontId="2" fillId="2" borderId="32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2" fillId="2" borderId="33" xfId="0" applyFont="1" applyFill="1" applyBorder="1"/>
    <xf numFmtId="0" fontId="2" fillId="2" borderId="25" xfId="0" quotePrefix="1" applyFont="1" applyFill="1" applyBorder="1"/>
    <xf numFmtId="0" fontId="2" fillId="2" borderId="25" xfId="0" quotePrefix="1" applyFont="1" applyFill="1" applyBorder="1" applyAlignment="1">
      <alignment horizontal="center"/>
    </xf>
    <xf numFmtId="0" fontId="1" fillId="2" borderId="14" xfId="0" applyFont="1" applyFill="1" applyBorder="1"/>
    <xf numFmtId="0" fontId="2" fillId="2" borderId="17" xfId="0" quotePrefix="1" applyFont="1" applyFill="1" applyBorder="1"/>
    <xf numFmtId="0" fontId="2" fillId="2" borderId="16" xfId="0" applyFont="1" applyFill="1" applyBorder="1" applyAlignment="1">
      <alignment horizontal="left" wrapText="1"/>
    </xf>
    <xf numFmtId="0" fontId="2" fillId="2" borderId="19" xfId="0" applyFont="1" applyFill="1" applyBorder="1"/>
    <xf numFmtId="0" fontId="2" fillId="0" borderId="31" xfId="0" quotePrefix="1" applyFont="1" applyBorder="1"/>
    <xf numFmtId="0" fontId="2" fillId="0" borderId="31" xfId="0" applyFont="1" applyBorder="1"/>
    <xf numFmtId="0" fontId="2" fillId="0" borderId="13" xfId="0" applyFont="1" applyBorder="1" applyAlignment="1">
      <alignment horizontal="left"/>
    </xf>
    <xf numFmtId="0" fontId="2" fillId="0" borderId="13" xfId="0" applyFont="1" applyBorder="1"/>
    <xf numFmtId="0" fontId="2" fillId="2" borderId="21" xfId="0" quotePrefix="1" applyFont="1" applyFill="1" applyBorder="1"/>
    <xf numFmtId="0" fontId="2" fillId="2" borderId="8" xfId="0" applyFont="1" applyFill="1" applyBorder="1" applyAlignment="1">
      <alignment horizontal="left" wrapText="1"/>
    </xf>
    <xf numFmtId="0" fontId="2" fillId="2" borderId="23" xfId="0" applyFont="1" applyFill="1" applyBorder="1"/>
    <xf numFmtId="167" fontId="2" fillId="2" borderId="11" xfId="0" applyNumberFormat="1" applyFont="1" applyFill="1" applyBorder="1"/>
    <xf numFmtId="167" fontId="2" fillId="2" borderId="24" xfId="0" quotePrefix="1" applyNumberFormat="1" applyFont="1" applyFill="1" applyBorder="1"/>
    <xf numFmtId="167" fontId="2" fillId="2" borderId="22" xfId="0" applyNumberFormat="1" applyFont="1" applyFill="1" applyBorder="1"/>
    <xf numFmtId="167" fontId="2" fillId="2" borderId="22" xfId="0" quotePrefix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 wrapText="1"/>
    </xf>
    <xf numFmtId="0" fontId="2" fillId="2" borderId="8" xfId="0" quotePrefix="1" applyFont="1" applyFill="1" applyBorder="1" applyAlignment="1">
      <alignment wrapText="1"/>
    </xf>
    <xf numFmtId="167" fontId="2" fillId="2" borderId="8" xfId="0" applyNumberFormat="1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164" fontId="2" fillId="2" borderId="6" xfId="0" applyNumberFormat="1" applyFont="1" applyFill="1" applyBorder="1" applyAlignment="1">
      <alignment wrapText="1"/>
    </xf>
    <xf numFmtId="164" fontId="2" fillId="2" borderId="9" xfId="0" applyNumberFormat="1" applyFont="1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164" fontId="2" fillId="2" borderId="9" xfId="0" applyNumberFormat="1" applyFont="1" applyFill="1" applyBorder="1" applyAlignment="1">
      <alignment vertical="center" wrapText="1"/>
    </xf>
    <xf numFmtId="0" fontId="2" fillId="2" borderId="40" xfId="0" applyFont="1" applyFill="1" applyBorder="1" applyAlignment="1">
      <alignment horizontal="center" wrapText="1"/>
    </xf>
    <xf numFmtId="167" fontId="2" fillId="2" borderId="22" xfId="0" applyNumberFormat="1" applyFont="1" applyFill="1" applyBorder="1" applyAlignment="1">
      <alignment wrapText="1"/>
    </xf>
    <xf numFmtId="164" fontId="2" fillId="2" borderId="22" xfId="0" applyNumberFormat="1" applyFont="1" applyFill="1" applyBorder="1"/>
    <xf numFmtId="164" fontId="2" fillId="2" borderId="18" xfId="0" applyNumberFormat="1" applyFont="1" applyFill="1" applyBorder="1"/>
    <xf numFmtId="164" fontId="2" fillId="2" borderId="32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2" fillId="2" borderId="7" xfId="0" applyFont="1" applyFill="1" applyBorder="1"/>
    <xf numFmtId="166" fontId="2" fillId="2" borderId="7" xfId="0" applyNumberFormat="1" applyFont="1" applyFill="1" applyBorder="1"/>
    <xf numFmtId="0" fontId="2" fillId="2" borderId="24" xfId="0" applyFont="1" applyFill="1" applyBorder="1" applyAlignment="1">
      <alignment wrapText="1"/>
    </xf>
    <xf numFmtId="0" fontId="2" fillId="2" borderId="22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wrapText="1"/>
    </xf>
    <xf numFmtId="167" fontId="2" fillId="2" borderId="17" xfId="0" applyNumberFormat="1" applyFont="1" applyFill="1" applyBorder="1" applyAlignment="1">
      <alignment horizontal="center" wrapText="1"/>
    </xf>
    <xf numFmtId="166" fontId="2" fillId="2" borderId="17" xfId="0" applyNumberFormat="1" applyFont="1" applyFill="1" applyBorder="1"/>
    <xf numFmtId="164" fontId="2" fillId="2" borderId="18" xfId="0" applyNumberFormat="1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166" fontId="2" fillId="2" borderId="8" xfId="0" applyNumberFormat="1" applyFont="1" applyFill="1" applyBorder="1"/>
    <xf numFmtId="166" fontId="2" fillId="2" borderId="24" xfId="0" applyNumberFormat="1" applyFont="1" applyFill="1" applyBorder="1"/>
    <xf numFmtId="164" fontId="1" fillId="2" borderId="36" xfId="0" applyNumberFormat="1" applyFont="1" applyFill="1" applyBorder="1"/>
    <xf numFmtId="0" fontId="1" fillId="2" borderId="37" xfId="0" applyFont="1" applyFill="1" applyBorder="1" applyAlignment="1">
      <alignment horizontal="center" wrapText="1"/>
    </xf>
    <xf numFmtId="0" fontId="1" fillId="2" borderId="38" xfId="0" applyFont="1" applyFill="1" applyBorder="1" applyAlignment="1">
      <alignment wrapText="1"/>
    </xf>
    <xf numFmtId="167" fontId="1" fillId="2" borderId="38" xfId="0" applyNumberFormat="1" applyFont="1" applyFill="1" applyBorder="1" applyAlignment="1">
      <alignment horizontal="center" wrapText="1"/>
    </xf>
    <xf numFmtId="0" fontId="1" fillId="2" borderId="38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0" fontId="1" fillId="2" borderId="38" xfId="0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15" xfId="0" applyFont="1" applyFill="1" applyBorder="1"/>
    <xf numFmtId="167" fontId="2" fillId="2" borderId="36" xfId="0" applyNumberFormat="1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166" fontId="2" fillId="2" borderId="41" xfId="0" applyNumberFormat="1" applyFont="1" applyFill="1" applyBorder="1"/>
    <xf numFmtId="0" fontId="2" fillId="8" borderId="6" xfId="0" applyFont="1" applyFill="1" applyBorder="1" applyAlignment="1">
      <alignment horizontal="center"/>
    </xf>
    <xf numFmtId="0" fontId="2" fillId="8" borderId="18" xfId="0" applyFont="1" applyFill="1" applyBorder="1"/>
    <xf numFmtId="0" fontId="2" fillId="8" borderId="34" xfId="0" applyFont="1" applyFill="1" applyBorder="1" applyAlignment="1">
      <alignment horizontal="center" wrapText="1"/>
    </xf>
    <xf numFmtId="0" fontId="2" fillId="8" borderId="20" xfId="0" applyFont="1" applyFill="1" applyBorder="1" applyAlignment="1">
      <alignment wrapText="1"/>
    </xf>
    <xf numFmtId="167" fontId="2" fillId="8" borderId="20" xfId="0" applyNumberFormat="1" applyFont="1" applyFill="1" applyBorder="1" applyAlignment="1">
      <alignment horizontal="center" wrapText="1"/>
    </xf>
    <xf numFmtId="0" fontId="2" fillId="8" borderId="20" xfId="0" applyFont="1" applyFill="1" applyBorder="1" applyAlignment="1">
      <alignment horizontal="center" wrapText="1"/>
    </xf>
    <xf numFmtId="167" fontId="2" fillId="8" borderId="8" xfId="0" applyNumberFormat="1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wrapText="1"/>
    </xf>
    <xf numFmtId="166" fontId="2" fillId="8" borderId="6" xfId="0" applyNumberFormat="1" applyFont="1" applyFill="1" applyBorder="1"/>
    <xf numFmtId="167" fontId="2" fillId="8" borderId="6" xfId="0" applyNumberFormat="1" applyFont="1" applyFill="1" applyBorder="1" applyAlignment="1">
      <alignment horizontal="center" wrapText="1"/>
    </xf>
    <xf numFmtId="166" fontId="2" fillId="8" borderId="1" xfId="0" applyNumberFormat="1" applyFont="1" applyFill="1" applyBorder="1"/>
    <xf numFmtId="0" fontId="2" fillId="8" borderId="1" xfId="0" applyFont="1" applyFill="1" applyBorder="1"/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2" fillId="8" borderId="21" xfId="0" applyFont="1" applyFill="1" applyBorder="1" applyAlignment="1">
      <alignment horizontal="center" wrapText="1"/>
    </xf>
    <xf numFmtId="0" fontId="2" fillId="8" borderId="11" xfId="0" quotePrefix="1" applyFont="1" applyFill="1" applyBorder="1" applyAlignment="1">
      <alignment wrapText="1"/>
    </xf>
    <xf numFmtId="166" fontId="2" fillId="8" borderId="18" xfId="0" applyNumberFormat="1" applyFont="1" applyFill="1" applyBorder="1"/>
    <xf numFmtId="167" fontId="2" fillId="8" borderId="9" xfId="0" applyNumberFormat="1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166" fontId="2" fillId="8" borderId="9" xfId="0" applyNumberFormat="1" applyFont="1" applyFill="1" applyBorder="1"/>
    <xf numFmtId="167" fontId="2" fillId="8" borderId="11" xfId="0" applyNumberFormat="1" applyFont="1" applyFill="1" applyBorder="1" applyAlignment="1">
      <alignment horizontal="center" wrapText="1"/>
    </xf>
    <xf numFmtId="0" fontId="2" fillId="8" borderId="22" xfId="0" applyFont="1" applyFill="1" applyBorder="1" applyAlignment="1">
      <alignment horizontal="center"/>
    </xf>
    <xf numFmtId="0" fontId="2" fillId="8" borderId="22" xfId="0" applyFont="1" applyFill="1" applyBorder="1"/>
    <xf numFmtId="0" fontId="2" fillId="8" borderId="23" xfId="0" applyFont="1" applyFill="1" applyBorder="1" applyAlignment="1">
      <alignment horizontal="center" wrapText="1"/>
    </xf>
    <xf numFmtId="0" fontId="2" fillId="8" borderId="24" xfId="0" quotePrefix="1" applyFont="1" applyFill="1" applyBorder="1" applyAlignment="1">
      <alignment wrapText="1"/>
    </xf>
    <xf numFmtId="167" fontId="2" fillId="8" borderId="24" xfId="0" applyNumberFormat="1" applyFont="1" applyFill="1" applyBorder="1" applyAlignment="1">
      <alignment horizontal="center" wrapText="1"/>
    </xf>
    <xf numFmtId="0" fontId="2" fillId="8" borderId="24" xfId="0" applyFont="1" applyFill="1" applyBorder="1" applyAlignment="1">
      <alignment horizontal="center" wrapText="1"/>
    </xf>
    <xf numFmtId="166" fontId="2" fillId="8" borderId="22" xfId="0" applyNumberFormat="1" applyFont="1" applyFill="1" applyBorder="1"/>
    <xf numFmtId="167" fontId="2" fillId="8" borderId="22" xfId="0" applyNumberFormat="1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14" xfId="0" applyFont="1" applyFill="1" applyBorder="1" applyAlignment="1">
      <alignment horizontal="center" wrapText="1"/>
    </xf>
    <xf numFmtId="0" fontId="1" fillId="8" borderId="15" xfId="0" applyFont="1" applyFill="1" applyBorder="1" applyAlignment="1">
      <alignment wrapText="1"/>
    </xf>
    <xf numFmtId="167" fontId="1" fillId="8" borderId="15" xfId="0" applyNumberFormat="1" applyFont="1" applyFill="1" applyBorder="1" applyAlignment="1">
      <alignment horizontal="center" wrapText="1"/>
    </xf>
    <xf numFmtId="0" fontId="1" fillId="8" borderId="15" xfId="0" applyFont="1" applyFill="1" applyBorder="1" applyAlignment="1">
      <alignment horizontal="center" wrapText="1"/>
    </xf>
    <xf numFmtId="166" fontId="1" fillId="8" borderId="2" xfId="0" applyNumberFormat="1" applyFont="1" applyFill="1" applyBorder="1"/>
    <xf numFmtId="166" fontId="1" fillId="8" borderId="1" xfId="0" applyNumberFormat="1" applyFont="1" applyFill="1" applyBorder="1"/>
    <xf numFmtId="164" fontId="1" fillId="8" borderId="1" xfId="0" applyNumberFormat="1" applyFont="1" applyFill="1" applyBorder="1"/>
    <xf numFmtId="0" fontId="1" fillId="8" borderId="1" xfId="0" applyFont="1" applyFill="1" applyBorder="1"/>
    <xf numFmtId="0" fontId="1" fillId="8" borderId="42" xfId="0" applyFont="1" applyFill="1" applyBorder="1"/>
    <xf numFmtId="167" fontId="2" fillId="8" borderId="36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66" fontId="2" fillId="8" borderId="36" xfId="0" applyNumberFormat="1" applyFont="1" applyFill="1" applyBorder="1"/>
    <xf numFmtId="166" fontId="2" fillId="8" borderId="41" xfId="0" applyNumberFormat="1" applyFont="1" applyFill="1" applyBorder="1"/>
    <xf numFmtId="166" fontId="2" fillId="8" borderId="2" xfId="0" applyNumberFormat="1" applyFont="1" applyFill="1" applyBorder="1"/>
    <xf numFmtId="0" fontId="2" fillId="8" borderId="6" xfId="0" applyFont="1" applyFill="1" applyBorder="1"/>
    <xf numFmtId="0" fontId="2" fillId="8" borderId="19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vertical="center"/>
    </xf>
    <xf numFmtId="0" fontId="2" fillId="8" borderId="6" xfId="0" applyFont="1" applyFill="1" applyBorder="1" applyAlignment="1">
      <alignment horizontal="center" wrapText="1"/>
    </xf>
    <xf numFmtId="166" fontId="2" fillId="8" borderId="6" xfId="0" applyNumberFormat="1" applyFont="1" applyFill="1" applyBorder="1" applyAlignment="1">
      <alignment vertical="center"/>
    </xf>
    <xf numFmtId="0" fontId="2" fillId="8" borderId="18" xfId="0" applyFont="1" applyFill="1" applyBorder="1" applyAlignment="1">
      <alignment horizontal="center"/>
    </xf>
    <xf numFmtId="0" fontId="2" fillId="8" borderId="11" xfId="0" applyFont="1" applyFill="1" applyBorder="1" applyAlignment="1">
      <alignment vertical="center"/>
    </xf>
    <xf numFmtId="0" fontId="2" fillId="8" borderId="9" xfId="0" applyFont="1" applyFill="1" applyBorder="1" applyAlignment="1">
      <alignment horizontal="center" wrapText="1"/>
    </xf>
    <xf numFmtId="166" fontId="2" fillId="8" borderId="9" xfId="0" applyNumberFormat="1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167" fontId="2" fillId="8" borderId="25" xfId="0" applyNumberFormat="1" applyFont="1" applyFill="1" applyBorder="1" applyAlignment="1">
      <alignment horizontal="center" wrapText="1"/>
    </xf>
    <xf numFmtId="0" fontId="2" fillId="8" borderId="22" xfId="0" applyFont="1" applyFill="1" applyBorder="1" applyAlignment="1">
      <alignment horizontal="center" wrapText="1"/>
    </xf>
    <xf numFmtId="166" fontId="2" fillId="8" borderId="22" xfId="0" applyNumberFormat="1" applyFont="1" applyFill="1" applyBorder="1" applyAlignment="1">
      <alignment vertical="center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17" xfId="0" applyFont="1" applyFill="1" applyBorder="1" applyAlignment="1">
      <alignment wrapText="1"/>
    </xf>
    <xf numFmtId="167" fontId="1" fillId="2" borderId="17" xfId="0" applyNumberFormat="1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42" xfId="0" applyFont="1" applyFill="1" applyBorder="1" applyAlignment="1">
      <alignment horizontal="center"/>
    </xf>
    <xf numFmtId="0" fontId="1" fillId="2" borderId="42" xfId="0" applyFont="1" applyFill="1" applyBorder="1"/>
    <xf numFmtId="0" fontId="1" fillId="2" borderId="43" xfId="0" applyFont="1" applyFill="1" applyBorder="1"/>
    <xf numFmtId="0" fontId="1" fillId="2" borderId="44" xfId="0" applyFont="1" applyFill="1" applyBorder="1"/>
    <xf numFmtId="167" fontId="1" fillId="2" borderId="44" xfId="0" applyNumberFormat="1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166" fontId="1" fillId="2" borderId="42" xfId="0" applyNumberFormat="1" applyFont="1" applyFill="1" applyBorder="1"/>
    <xf numFmtId="0" fontId="2" fillId="2" borderId="1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/>
    <xf numFmtId="0" fontId="1" fillId="2" borderId="1" xfId="0" quotePrefix="1" applyFont="1" applyFill="1" applyBorder="1" applyAlignment="1">
      <alignment horizontal="left"/>
    </xf>
    <xf numFmtId="0" fontId="2" fillId="2" borderId="20" xfId="0" applyFont="1" applyFill="1" applyBorder="1" applyAlignment="1">
      <alignment horizontal="right" wrapText="1"/>
    </xf>
    <xf numFmtId="0" fontId="2" fillId="2" borderId="2" xfId="0" applyFont="1" applyFill="1" applyBorder="1"/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167" fontId="2" fillId="2" borderId="15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166" fontId="2" fillId="2" borderId="42" xfId="0" applyNumberFormat="1" applyFont="1" applyFill="1" applyBorder="1"/>
    <xf numFmtId="10" fontId="2" fillId="2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166" fontId="2" fillId="2" borderId="2" xfId="0" applyNumberFormat="1" applyFont="1" applyFill="1" applyBorder="1"/>
    <xf numFmtId="167" fontId="2" fillId="2" borderId="2" xfId="0" applyNumberFormat="1" applyFont="1" applyFill="1" applyBorder="1"/>
    <xf numFmtId="0" fontId="2" fillId="2" borderId="17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17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6" fontId="6" fillId="2" borderId="1" xfId="0" applyNumberFormat="1" applyFont="1" applyFill="1" applyBorder="1"/>
    <xf numFmtId="0" fontId="10" fillId="2" borderId="1" xfId="0" applyFont="1" applyFill="1" applyBorder="1" applyAlignment="1">
      <alignment vertical="center" wrapText="1"/>
    </xf>
    <xf numFmtId="0" fontId="9" fillId="2" borderId="48" xfId="0" applyFont="1" applyFill="1" applyBorder="1" applyAlignment="1">
      <alignment vertical="center" wrapText="1"/>
    </xf>
    <xf numFmtId="0" fontId="9" fillId="2" borderId="48" xfId="0" applyFont="1" applyFill="1" applyBorder="1" applyAlignment="1">
      <alignment horizontal="center" vertical="center" wrapText="1"/>
    </xf>
    <xf numFmtId="166" fontId="9" fillId="10" borderId="49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0" fontId="9" fillId="2" borderId="50" xfId="0" applyFont="1" applyFill="1" applyBorder="1" applyAlignment="1">
      <alignment wrapText="1"/>
    </xf>
    <xf numFmtId="0" fontId="9" fillId="2" borderId="51" xfId="0" applyFont="1" applyFill="1" applyBorder="1" applyAlignment="1">
      <alignment horizontal="left" wrapText="1"/>
    </xf>
    <xf numFmtId="166" fontId="11" fillId="2" borderId="50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11" fillId="2" borderId="51" xfId="0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166" fontId="13" fillId="2" borderId="51" xfId="0" applyNumberFormat="1" applyFont="1" applyFill="1" applyBorder="1" applyAlignment="1">
      <alignment horizontal="center"/>
    </xf>
    <xf numFmtId="166" fontId="11" fillId="2" borderId="5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left" wrapText="1"/>
    </xf>
    <xf numFmtId="166" fontId="14" fillId="2" borderId="51" xfId="0" applyNumberFormat="1" applyFont="1" applyFill="1" applyBorder="1" applyAlignment="1">
      <alignment horizontal="center"/>
    </xf>
    <xf numFmtId="0" fontId="9" fillId="2" borderId="51" xfId="0" applyFont="1" applyFill="1" applyBorder="1" applyAlignment="1">
      <alignment wrapText="1"/>
    </xf>
    <xf numFmtId="166" fontId="9" fillId="2" borderId="51" xfId="0" applyNumberFormat="1" applyFont="1" applyFill="1" applyBorder="1" applyAlignment="1">
      <alignment horizontal="center"/>
    </xf>
    <xf numFmtId="166" fontId="9" fillId="2" borderId="2" xfId="0" applyNumberFormat="1" applyFont="1" applyFill="1" applyBorder="1" applyAlignment="1">
      <alignment horizontal="right"/>
    </xf>
    <xf numFmtId="0" fontId="10" fillId="2" borderId="1" xfId="0" applyFont="1" applyFill="1" applyBorder="1"/>
    <xf numFmtId="0" fontId="9" fillId="2" borderId="48" xfId="0" applyFont="1" applyFill="1" applyBorder="1"/>
    <xf numFmtId="0" fontId="9" fillId="2" borderId="52" xfId="0" applyFont="1" applyFill="1" applyBorder="1" applyAlignment="1">
      <alignment horizontal="right" wrapText="1"/>
    </xf>
    <xf numFmtId="166" fontId="9" fillId="2" borderId="49" xfId="0" applyNumberFormat="1" applyFont="1" applyFill="1" applyBorder="1"/>
    <xf numFmtId="0" fontId="7" fillId="2" borderId="1" xfId="0" applyFont="1" applyFill="1" applyBorder="1"/>
    <xf numFmtId="166" fontId="15" fillId="2" borderId="1" xfId="0" applyNumberFormat="1" applyFont="1" applyFill="1" applyBorder="1"/>
    <xf numFmtId="166" fontId="8" fillId="2" borderId="1" xfId="0" applyNumberFormat="1" applyFont="1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7" fontId="1" fillId="2" borderId="8" xfId="0" applyNumberFormat="1" applyFont="1" applyFill="1" applyBorder="1" applyAlignment="1">
      <alignment horizontal="center" vertical="center"/>
    </xf>
    <xf numFmtId="167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167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6" fontId="1" fillId="2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9" xfId="0" quotePrefix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167" fontId="2" fillId="5" borderId="9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66" fontId="2" fillId="5" borderId="9" xfId="0" applyNumberFormat="1" applyFont="1" applyFill="1" applyBorder="1" applyAlignment="1">
      <alignment vertical="center"/>
    </xf>
    <xf numFmtId="167" fontId="2" fillId="5" borderId="9" xfId="0" applyNumberFormat="1" applyFont="1" applyFill="1" applyBorder="1" applyAlignment="1">
      <alignment vertical="center" wrapText="1"/>
    </xf>
    <xf numFmtId="167" fontId="2" fillId="5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vertical="center"/>
    </xf>
    <xf numFmtId="167" fontId="2" fillId="0" borderId="13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vertical="center"/>
    </xf>
    <xf numFmtId="167" fontId="2" fillId="0" borderId="9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/>
    </xf>
    <xf numFmtId="166" fontId="2" fillId="2" borderId="9" xfId="0" applyNumberFormat="1" applyFont="1" applyFill="1" applyBorder="1" applyAlignment="1">
      <alignment horizontal="left" vertical="center"/>
    </xf>
    <xf numFmtId="167" fontId="2" fillId="2" borderId="9" xfId="0" applyNumberFormat="1" applyFont="1" applyFill="1" applyBorder="1" applyAlignment="1">
      <alignment horizontal="left" vertical="center" wrapText="1"/>
    </xf>
    <xf numFmtId="0" fontId="2" fillId="0" borderId="13" xfId="0" quotePrefix="1" applyFont="1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vertical="center"/>
    </xf>
    <xf numFmtId="167" fontId="1" fillId="2" borderId="9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167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67" fontId="1" fillId="2" borderId="15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/>
    </xf>
    <xf numFmtId="167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vertical="center"/>
    </xf>
    <xf numFmtId="167" fontId="2" fillId="2" borderId="6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/>
    </xf>
    <xf numFmtId="0" fontId="2" fillId="2" borderId="25" xfId="0" applyFont="1" applyFill="1" applyBorder="1" applyAlignment="1">
      <alignment horizontal="center" vertical="center" wrapText="1"/>
    </xf>
    <xf numFmtId="166" fontId="2" fillId="2" borderId="22" xfId="0" applyNumberFormat="1" applyFont="1" applyFill="1" applyBorder="1" applyAlignment="1">
      <alignment vertical="center"/>
    </xf>
    <xf numFmtId="167" fontId="2" fillId="2" borderId="22" xfId="0" applyNumberFormat="1" applyFont="1" applyFill="1" applyBorder="1" applyAlignment="1">
      <alignment horizontal="center" vertical="center"/>
    </xf>
    <xf numFmtId="167" fontId="2" fillId="2" borderId="22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/>
    </xf>
    <xf numFmtId="166" fontId="1" fillId="2" borderId="6" xfId="0" applyNumberFormat="1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6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vertical="center"/>
    </xf>
    <xf numFmtId="167" fontId="2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6" fontId="2" fillId="0" borderId="22" xfId="0" applyNumberFormat="1" applyFont="1" applyBorder="1" applyAlignment="1">
      <alignment vertical="center"/>
    </xf>
    <xf numFmtId="167" fontId="2" fillId="0" borderId="22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 wrapText="1"/>
    </xf>
    <xf numFmtId="167" fontId="2" fillId="0" borderId="29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6" fontId="2" fillId="0" borderId="28" xfId="0" applyNumberFormat="1" applyFont="1" applyBorder="1" applyAlignment="1">
      <alignment vertical="center"/>
    </xf>
    <xf numFmtId="167" fontId="1" fillId="2" borderId="6" xfId="0" applyNumberFormat="1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167" fontId="1" fillId="2" borderId="18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6" fontId="1" fillId="2" borderId="1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167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vertical="center" wrapText="1"/>
    </xf>
    <xf numFmtId="167" fontId="2" fillId="2" borderId="25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/>
    </xf>
    <xf numFmtId="167" fontId="2" fillId="2" borderId="25" xfId="0" applyNumberFormat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vertical="center"/>
    </xf>
    <xf numFmtId="167" fontId="2" fillId="2" borderId="6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 wrapText="1"/>
    </xf>
    <xf numFmtId="166" fontId="2" fillId="2" borderId="18" xfId="0" applyNumberFormat="1" applyFont="1" applyFill="1" applyBorder="1" applyAlignment="1">
      <alignment vertical="center"/>
    </xf>
    <xf numFmtId="167" fontId="2" fillId="2" borderId="18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vertical="center"/>
    </xf>
    <xf numFmtId="167" fontId="2" fillId="2" borderId="38" xfId="0" applyNumberFormat="1" applyFont="1" applyFill="1" applyBorder="1" applyAlignment="1">
      <alignment horizontal="center" vertical="center"/>
    </xf>
    <xf numFmtId="166" fontId="2" fillId="2" borderId="36" xfId="0" applyNumberFormat="1" applyFont="1" applyFill="1" applyBorder="1" applyAlignment="1">
      <alignment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15" xfId="0" quotePrefix="1" applyFont="1" applyFill="1" applyBorder="1" applyAlignment="1">
      <alignment horizontal="right" vertical="center" wrapText="1"/>
    </xf>
    <xf numFmtId="0" fontId="2" fillId="2" borderId="30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vertical="center"/>
    </xf>
    <xf numFmtId="0" fontId="2" fillId="2" borderId="25" xfId="0" quotePrefix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0" borderId="31" xfId="0" quotePrefix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vertical="center" wrapText="1"/>
    </xf>
    <xf numFmtId="167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vertical="center" wrapText="1"/>
    </xf>
    <xf numFmtId="164" fontId="2" fillId="2" borderId="9" xfId="0" applyNumberFormat="1" applyFont="1" applyFill="1" applyBorder="1" applyAlignment="1">
      <alignment vertical="center"/>
    </xf>
    <xf numFmtId="0" fontId="2" fillId="2" borderId="40" xfId="0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vertical="center"/>
    </xf>
    <xf numFmtId="164" fontId="2" fillId="2" borderId="18" xfId="0" applyNumberFormat="1" applyFont="1" applyFill="1" applyBorder="1" applyAlignment="1">
      <alignment vertical="center"/>
    </xf>
    <xf numFmtId="164" fontId="2" fillId="2" borderId="3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164" fontId="2" fillId="2" borderId="18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166" fontId="2" fillId="2" borderId="8" xfId="0" applyNumberFormat="1" applyFont="1" applyFill="1" applyBorder="1" applyAlignment="1">
      <alignment vertical="center"/>
    </xf>
    <xf numFmtId="164" fontId="1" fillId="2" borderId="36" xfId="0" applyNumberFormat="1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vertical="center" wrapText="1"/>
    </xf>
    <xf numFmtId="167" fontId="1" fillId="2" borderId="38" xfId="0" applyNumberFormat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167" fontId="2" fillId="2" borderId="36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vertical="center" wrapText="1"/>
    </xf>
    <xf numFmtId="167" fontId="1" fillId="8" borderId="15" xfId="0" applyNumberFormat="1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166" fontId="1" fillId="8" borderId="2" xfId="0" applyNumberFormat="1" applyFont="1" applyFill="1" applyBorder="1" applyAlignment="1">
      <alignment vertical="center"/>
    </xf>
    <xf numFmtId="167" fontId="2" fillId="8" borderId="36" xfId="0" applyNumberFormat="1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166" fontId="2" fillId="8" borderId="36" xfId="0" applyNumberFormat="1" applyFont="1" applyFill="1" applyBorder="1" applyAlignment="1">
      <alignment vertical="center"/>
    </xf>
    <xf numFmtId="166" fontId="2" fillId="8" borderId="2" xfId="0" applyNumberFormat="1" applyFont="1" applyFill="1" applyBorder="1" applyAlignment="1">
      <alignment vertical="center"/>
    </xf>
    <xf numFmtId="167" fontId="1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7" fontId="1" fillId="3" borderId="3" xfId="0" applyNumberFormat="1" applyFont="1" applyFill="1" applyBorder="1" applyAlignment="1">
      <alignment horizontal="center"/>
    </xf>
    <xf numFmtId="167" fontId="1" fillId="4" borderId="3" xfId="0" applyNumberFormat="1" applyFont="1" applyFill="1" applyBorder="1" applyAlignment="1">
      <alignment horizontal="center"/>
    </xf>
    <xf numFmtId="166" fontId="2" fillId="2" borderId="45" xfId="0" applyNumberFormat="1" applyFont="1" applyFill="1" applyBorder="1" applyAlignment="1">
      <alignment horizontal="center"/>
    </xf>
    <xf numFmtId="0" fontId="3" fillId="0" borderId="47" xfId="0" applyFont="1" applyBorder="1"/>
    <xf numFmtId="0" fontId="2" fillId="2" borderId="45" xfId="0" applyFont="1" applyFill="1" applyBorder="1" applyAlignment="1">
      <alignment horizontal="center"/>
    </xf>
    <xf numFmtId="0" fontId="3" fillId="0" borderId="46" xfId="0" applyFont="1" applyBorder="1"/>
    <xf numFmtId="0" fontId="1" fillId="8" borderId="3" xfId="0" applyFont="1" applyFill="1" applyBorder="1" applyAlignment="1">
      <alignment horizontal="left"/>
    </xf>
    <xf numFmtId="0" fontId="6" fillId="2" borderId="45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 wrapText="1"/>
    </xf>
    <xf numFmtId="17" fontId="9" fillId="2" borderId="45" xfId="0" quotePrefix="1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vertical="center"/>
    </xf>
    <xf numFmtId="0" fontId="2" fillId="8" borderId="37" xfId="0" applyFont="1" applyFill="1" applyBorder="1" applyAlignment="1">
      <alignment horizontal="center" vertical="center" wrapText="1"/>
    </xf>
    <xf numFmtId="0" fontId="2" fillId="8" borderId="38" xfId="0" applyFont="1" applyFill="1" applyBorder="1" applyAlignment="1">
      <alignment vertical="center"/>
    </xf>
    <xf numFmtId="167" fontId="2" fillId="8" borderId="38" xfId="0" applyNumberFormat="1" applyFont="1" applyFill="1" applyBorder="1" applyAlignment="1">
      <alignment horizontal="center" vertical="center" wrapText="1"/>
    </xf>
    <xf numFmtId="0" fontId="2" fillId="8" borderId="38" xfId="0" applyFont="1" applyFill="1" applyBorder="1" applyAlignment="1">
      <alignment horizontal="center" vertical="center" wrapText="1"/>
    </xf>
    <xf numFmtId="167" fontId="2" fillId="8" borderId="36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vertical="center"/>
    </xf>
    <xf numFmtId="167" fontId="2" fillId="8" borderId="15" xfId="0" applyNumberFormat="1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67" fontId="2" fillId="8" borderId="2" xfId="0" applyNumberFormat="1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vertical="center"/>
    </xf>
    <xf numFmtId="0" fontId="2" fillId="8" borderId="53" xfId="0" applyFont="1" applyFill="1" applyBorder="1" applyAlignment="1">
      <alignment vertical="center"/>
    </xf>
    <xf numFmtId="0" fontId="2" fillId="8" borderId="54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vertical="center" wrapText="1"/>
    </xf>
    <xf numFmtId="167" fontId="2" fillId="8" borderId="55" xfId="0" applyNumberFormat="1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166" fontId="2" fillId="8" borderId="53" xfId="0" applyNumberFormat="1" applyFont="1" applyFill="1" applyBorder="1" applyAlignment="1">
      <alignment vertic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3" fillId="0" borderId="58" xfId="0" applyFont="1" applyBorder="1"/>
    <xf numFmtId="0" fontId="3" fillId="0" borderId="59" xfId="0" applyFont="1" applyBorder="1"/>
    <xf numFmtId="166" fontId="1" fillId="2" borderId="60" xfId="0" applyNumberFormat="1" applyFont="1" applyFill="1" applyBorder="1" applyAlignment="1">
      <alignment horizontal="center"/>
    </xf>
    <xf numFmtId="167" fontId="1" fillId="2" borderId="57" xfId="0" applyNumberFormat="1" applyFont="1" applyFill="1" applyBorder="1" applyAlignment="1">
      <alignment horizontal="center" vertical="center"/>
    </xf>
    <xf numFmtId="0" fontId="3" fillId="0" borderId="58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1" fillId="2" borderId="62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wrapText="1"/>
    </xf>
    <xf numFmtId="0" fontId="3" fillId="0" borderId="14" xfId="0" applyFont="1" applyBorder="1"/>
    <xf numFmtId="0" fontId="3" fillId="0" borderId="15" xfId="0" applyFont="1" applyBorder="1"/>
    <xf numFmtId="0" fontId="1" fillId="2" borderId="39" xfId="0" applyFont="1" applyFill="1" applyBorder="1" applyAlignment="1">
      <alignment horizontal="center"/>
    </xf>
    <xf numFmtId="166" fontId="1" fillId="2" borderId="63" xfId="0" applyNumberFormat="1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 vertical="center" wrapText="1"/>
    </xf>
    <xf numFmtId="166" fontId="1" fillId="2" borderId="65" xfId="0" applyNumberFormat="1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7" fontId="1" fillId="2" borderId="13" xfId="0" applyNumberFormat="1" applyFont="1" applyFill="1" applyBorder="1" applyAlignment="1">
      <alignment horizontal="center" vertical="center"/>
    </xf>
    <xf numFmtId="166" fontId="1" fillId="2" borderId="67" xfId="0" applyNumberFormat="1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quotePrefix="1" applyFont="1" applyFill="1" applyBorder="1" applyAlignment="1">
      <alignment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6" fontId="2" fillId="2" borderId="67" xfId="0" applyNumberFormat="1" applyFont="1" applyFill="1" applyBorder="1" applyAlignment="1">
      <alignment vertical="center"/>
    </xf>
    <xf numFmtId="0" fontId="2" fillId="5" borderId="6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4" fillId="5" borderId="13" xfId="0" quotePrefix="1" applyFont="1" applyFill="1" applyBorder="1" applyAlignment="1">
      <alignment vertical="center" wrapText="1"/>
    </xf>
    <xf numFmtId="167" fontId="2" fillId="5" borderId="13" xfId="0" applyNumberFormat="1" applyFont="1" applyFill="1" applyBorder="1" applyAlignment="1">
      <alignment horizontal="center" vertical="center" wrapText="1"/>
    </xf>
    <xf numFmtId="166" fontId="2" fillId="5" borderId="67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 wrapText="1"/>
    </xf>
    <xf numFmtId="0" fontId="4" fillId="2" borderId="13" xfId="0" quotePrefix="1" applyFont="1" applyFill="1" applyBorder="1" applyAlignment="1">
      <alignment vertical="center" wrapText="1"/>
    </xf>
    <xf numFmtId="0" fontId="2" fillId="2" borderId="13" xfId="0" quotePrefix="1" applyFont="1" applyFill="1" applyBorder="1" applyAlignment="1">
      <alignment vertical="center"/>
    </xf>
    <xf numFmtId="167" fontId="2" fillId="2" borderId="13" xfId="0" applyNumberFormat="1" applyFont="1" applyFill="1" applyBorder="1" applyAlignment="1">
      <alignment horizontal="center" vertical="center"/>
    </xf>
    <xf numFmtId="0" fontId="4" fillId="5" borderId="13" xfId="0" quotePrefix="1" applyFont="1" applyFill="1" applyBorder="1" applyAlignment="1">
      <alignment vertical="center"/>
    </xf>
    <xf numFmtId="167" fontId="2" fillId="5" borderId="13" xfId="0" applyNumberFormat="1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166" fontId="2" fillId="0" borderId="67" xfId="0" applyNumberFormat="1" applyFont="1" applyBorder="1" applyAlignment="1">
      <alignment vertical="center"/>
    </xf>
    <xf numFmtId="0" fontId="2" fillId="2" borderId="66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quotePrefix="1" applyFont="1" applyFill="1" applyBorder="1" applyAlignment="1">
      <alignment horizontal="left" vertical="center"/>
    </xf>
    <xf numFmtId="166" fontId="2" fillId="2" borderId="67" xfId="0" applyNumberFormat="1" applyFont="1" applyFill="1" applyBorder="1" applyAlignment="1">
      <alignment horizontal="left" vertical="center"/>
    </xf>
    <xf numFmtId="167" fontId="2" fillId="2" borderId="13" xfId="0" applyNumberFormat="1" applyFont="1" applyFill="1" applyBorder="1" applyAlignment="1">
      <alignment vertical="center" wrapText="1"/>
    </xf>
    <xf numFmtId="167" fontId="4" fillId="5" borderId="13" xfId="0" quotePrefix="1" applyNumberFormat="1" applyFont="1" applyFill="1" applyBorder="1" applyAlignment="1">
      <alignment vertical="center" wrapText="1"/>
    </xf>
    <xf numFmtId="167" fontId="4" fillId="5" borderId="13" xfId="0" quotePrefix="1" applyNumberFormat="1" applyFont="1" applyFill="1" applyBorder="1" applyAlignment="1">
      <alignment vertical="center"/>
    </xf>
    <xf numFmtId="167" fontId="2" fillId="2" borderId="13" xfId="0" quotePrefix="1" applyNumberFormat="1" applyFont="1" applyFill="1" applyBorder="1" applyAlignment="1">
      <alignment vertical="center"/>
    </xf>
    <xf numFmtId="167" fontId="2" fillId="2" borderId="13" xfId="0" quotePrefix="1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/>
    </xf>
    <xf numFmtId="167" fontId="1" fillId="2" borderId="13" xfId="0" applyNumberFormat="1" applyFont="1" applyFill="1" applyBorder="1" applyAlignment="1">
      <alignment horizontal="left" vertical="center"/>
    </xf>
    <xf numFmtId="167" fontId="1" fillId="2" borderId="13" xfId="0" quotePrefix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166" fontId="1" fillId="2" borderId="63" xfId="0" applyNumberFormat="1" applyFont="1" applyFill="1" applyBorder="1" applyAlignment="1">
      <alignment vertical="center"/>
    </xf>
    <xf numFmtId="0" fontId="2" fillId="2" borderId="6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vertical="center"/>
    </xf>
    <xf numFmtId="167" fontId="2" fillId="2" borderId="2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166" fontId="2" fillId="2" borderId="65" xfId="0" applyNumberFormat="1" applyFont="1" applyFill="1" applyBorder="1" applyAlignment="1">
      <alignment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13" xfId="0" quotePrefix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167" fontId="2" fillId="2" borderId="27" xfId="0" applyNumberFormat="1" applyFont="1" applyFill="1" applyBorder="1" applyAlignment="1">
      <alignment horizontal="center" vertical="center" wrapText="1"/>
    </xf>
    <xf numFmtId="167" fontId="2" fillId="2" borderId="27" xfId="0" applyNumberFormat="1" applyFont="1" applyFill="1" applyBorder="1" applyAlignment="1">
      <alignment horizontal="center" vertical="center"/>
    </xf>
    <xf numFmtId="166" fontId="2" fillId="2" borderId="70" xfId="0" applyNumberFormat="1" applyFont="1" applyFill="1" applyBorder="1" applyAlignment="1">
      <alignment vertical="center"/>
    </xf>
    <xf numFmtId="0" fontId="1" fillId="2" borderId="64" xfId="0" applyFont="1" applyFill="1" applyBorder="1" applyAlignment="1">
      <alignment horizontal="center" vertical="center"/>
    </xf>
    <xf numFmtId="166" fontId="1" fillId="2" borderId="65" xfId="0" applyNumberFormat="1" applyFont="1" applyFill="1" applyBorder="1" applyAlignment="1">
      <alignment vertical="center"/>
    </xf>
    <xf numFmtId="0" fontId="2" fillId="0" borderId="71" xfId="0" applyFont="1" applyBorder="1" applyAlignment="1">
      <alignment horizontal="center" vertical="center"/>
    </xf>
    <xf numFmtId="166" fontId="2" fillId="0" borderId="70" xfId="0" applyNumberFormat="1" applyFont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vertical="center" wrapText="1"/>
    </xf>
    <xf numFmtId="0" fontId="2" fillId="0" borderId="6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166" fontId="2" fillId="0" borderId="63" xfId="0" applyNumberFormat="1" applyFont="1" applyBorder="1" applyAlignment="1">
      <alignment vertical="center"/>
    </xf>
    <xf numFmtId="0" fontId="1" fillId="2" borderId="69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167" fontId="1" fillId="2" borderId="35" xfId="0" applyNumberFormat="1" applyFont="1" applyFill="1" applyBorder="1" applyAlignment="1">
      <alignment horizontal="center" vertical="center"/>
    </xf>
    <xf numFmtId="166" fontId="1" fillId="2" borderId="7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166" fontId="2" fillId="6" borderId="67" xfId="0" applyNumberFormat="1" applyFont="1" applyFill="1" applyBorder="1" applyAlignment="1">
      <alignment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 wrapText="1"/>
    </xf>
    <xf numFmtId="167" fontId="2" fillId="2" borderId="35" xfId="0" applyNumberFormat="1" applyFont="1" applyFill="1" applyBorder="1" applyAlignment="1">
      <alignment horizontal="center" vertical="center" wrapText="1"/>
    </xf>
    <xf numFmtId="167" fontId="2" fillId="2" borderId="35" xfId="0" applyNumberFormat="1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/>
    </xf>
    <xf numFmtId="0" fontId="2" fillId="7" borderId="13" xfId="0" quotePrefix="1" applyFont="1" applyFill="1" applyBorder="1" applyAlignment="1">
      <alignment vertical="center"/>
    </xf>
    <xf numFmtId="0" fontId="2" fillId="2" borderId="27" xfId="0" quotePrefix="1" applyFont="1" applyFill="1" applyBorder="1" applyAlignment="1">
      <alignment vertical="center"/>
    </xf>
    <xf numFmtId="166" fontId="2" fillId="2" borderId="72" xfId="0" applyNumberFormat="1" applyFont="1" applyFill="1" applyBorder="1" applyAlignment="1">
      <alignment vertical="center"/>
    </xf>
    <xf numFmtId="0" fontId="1" fillId="2" borderId="75" xfId="0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vertical="center" wrapText="1"/>
    </xf>
    <xf numFmtId="0" fontId="2" fillId="2" borderId="35" xfId="0" quotePrefix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2" fillId="2" borderId="35" xfId="0" quotePrefix="1" applyFont="1" applyFill="1" applyBorder="1" applyAlignment="1">
      <alignment vertical="center" wrapText="1"/>
    </xf>
    <xf numFmtId="0" fontId="2" fillId="2" borderId="47" xfId="0" applyFont="1" applyFill="1" applyBorder="1" applyAlignment="1">
      <alignment vertical="center"/>
    </xf>
    <xf numFmtId="0" fontId="2" fillId="2" borderId="29" xfId="0" quotePrefix="1" applyFont="1" applyFill="1" applyBorder="1" applyAlignment="1">
      <alignment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31" xfId="0" quotePrefix="1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167" fontId="2" fillId="2" borderId="13" xfId="0" applyNumberFormat="1" applyFont="1" applyFill="1" applyBorder="1" applyAlignment="1">
      <alignment vertical="center"/>
    </xf>
    <xf numFmtId="167" fontId="2" fillId="2" borderId="27" xfId="0" quotePrefix="1" applyNumberFormat="1" applyFont="1" applyFill="1" applyBorder="1" applyAlignment="1">
      <alignment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horizontal="left" vertical="center"/>
    </xf>
    <xf numFmtId="0" fontId="2" fillId="2" borderId="29" xfId="0" quotePrefix="1" applyFont="1" applyFill="1" applyBorder="1" applyAlignment="1">
      <alignment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66" fontId="2" fillId="2" borderId="29" xfId="0" applyNumberFormat="1" applyFont="1" applyFill="1" applyBorder="1" applyAlignment="1">
      <alignment vertical="center"/>
    </xf>
    <xf numFmtId="166" fontId="2" fillId="2" borderId="27" xfId="0" applyNumberFormat="1" applyFont="1" applyFill="1" applyBorder="1" applyAlignment="1">
      <alignment vertical="center"/>
    </xf>
    <xf numFmtId="166" fontId="2" fillId="2" borderId="76" xfId="0" applyNumberFormat="1" applyFont="1" applyFill="1" applyBorder="1" applyAlignment="1">
      <alignment vertical="center"/>
    </xf>
    <xf numFmtId="0" fontId="2" fillId="8" borderId="77" xfId="0" applyFont="1" applyFill="1" applyBorder="1" applyAlignment="1">
      <alignment horizontal="center" vertical="center"/>
    </xf>
    <xf numFmtId="166" fontId="2" fillId="8" borderId="78" xfId="0" applyNumberFormat="1" applyFont="1" applyFill="1" applyBorder="1" applyAlignment="1">
      <alignment vertical="center"/>
    </xf>
    <xf numFmtId="0" fontId="2" fillId="8" borderId="66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 wrapText="1"/>
    </xf>
    <xf numFmtId="0" fontId="2" fillId="8" borderId="13" xfId="0" quotePrefix="1" applyFont="1" applyFill="1" applyBorder="1" applyAlignment="1">
      <alignment vertical="center" wrapText="1"/>
    </xf>
    <xf numFmtId="167" fontId="2" fillId="8" borderId="35" xfId="0" applyNumberFormat="1" applyFont="1" applyFill="1" applyBorder="1" applyAlignment="1">
      <alignment horizontal="center" vertical="center" wrapText="1"/>
    </xf>
    <xf numFmtId="167" fontId="2" fillId="8" borderId="13" xfId="0" applyNumberFormat="1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166" fontId="2" fillId="8" borderId="67" xfId="0" applyNumberFormat="1" applyFont="1" applyFill="1" applyBorder="1" applyAlignment="1">
      <alignment vertical="center"/>
    </xf>
    <xf numFmtId="0" fontId="2" fillId="8" borderId="71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quotePrefix="1" applyFont="1" applyFill="1" applyBorder="1" applyAlignment="1">
      <alignment vertical="center" wrapText="1"/>
    </xf>
    <xf numFmtId="167" fontId="2" fillId="8" borderId="27" xfId="0" applyNumberFormat="1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166" fontId="2" fillId="8" borderId="70" xfId="0" applyNumberFormat="1" applyFont="1" applyFill="1" applyBorder="1" applyAlignment="1">
      <alignment vertical="center"/>
    </xf>
    <xf numFmtId="0" fontId="1" fillId="8" borderId="62" xfId="0" applyFont="1" applyFill="1" applyBorder="1" applyAlignment="1">
      <alignment horizontal="center" vertical="center"/>
    </xf>
    <xf numFmtId="166" fontId="1" fillId="8" borderId="63" xfId="0" applyNumberFormat="1" applyFont="1" applyFill="1" applyBorder="1" applyAlignment="1">
      <alignment vertical="center"/>
    </xf>
    <xf numFmtId="0" fontId="1" fillId="8" borderId="79" xfId="0" applyFont="1" applyFill="1" applyBorder="1" applyAlignment="1">
      <alignment vertical="center"/>
    </xf>
    <xf numFmtId="0" fontId="1" fillId="8" borderId="39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66" fontId="2" fillId="8" borderId="63" xfId="0" applyNumberFormat="1" applyFont="1" applyFill="1" applyBorder="1" applyAlignment="1">
      <alignment vertical="center"/>
    </xf>
    <xf numFmtId="0" fontId="2" fillId="8" borderId="75" xfId="0" applyFont="1" applyFill="1" applyBorder="1" applyAlignment="1">
      <alignment horizontal="center" vertical="center"/>
    </xf>
    <xf numFmtId="166" fontId="2" fillId="8" borderId="76" xfId="0" applyNumberFormat="1" applyFont="1" applyFill="1" applyBorder="1" applyAlignment="1">
      <alignment vertical="center"/>
    </xf>
    <xf numFmtId="0" fontId="2" fillId="8" borderId="62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vertical="center" wrapText="1"/>
    </xf>
    <xf numFmtId="167" fontId="1" fillId="2" borderId="29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/>
    </xf>
    <xf numFmtId="0" fontId="1" fillId="2" borderId="81" xfId="0" applyFont="1" applyFill="1" applyBorder="1" applyAlignment="1">
      <alignment vertical="center"/>
    </xf>
    <xf numFmtId="0" fontId="1" fillId="2" borderId="82" xfId="0" applyFont="1" applyFill="1" applyBorder="1" applyAlignment="1">
      <alignment vertical="center"/>
    </xf>
    <xf numFmtId="0" fontId="1" fillId="2" borderId="83" xfId="0" applyFont="1" applyFill="1" applyBorder="1" applyAlignment="1">
      <alignment vertical="center"/>
    </xf>
    <xf numFmtId="167" fontId="1" fillId="2" borderId="83" xfId="0" applyNumberFormat="1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166" fontId="1" fillId="2" borderId="81" xfId="0" applyNumberFormat="1" applyFont="1" applyFill="1" applyBorder="1" applyAlignment="1">
      <alignment vertical="center"/>
    </xf>
    <xf numFmtId="166" fontId="1" fillId="2" borderId="84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17" fontId="1" fillId="2" borderId="1" xfId="0" applyNumberFormat="1" applyFont="1" applyFill="1" applyBorder="1" applyAlignment="1">
      <alignment horizontal="left"/>
    </xf>
    <xf numFmtId="0" fontId="1" fillId="2" borderId="6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 wrapText="1"/>
    </xf>
    <xf numFmtId="0" fontId="2" fillId="8" borderId="35" xfId="0" applyFont="1" applyFill="1" applyBorder="1" applyAlignment="1">
      <alignment horizontal="left" vertical="center" wrapText="1"/>
    </xf>
    <xf numFmtId="0" fontId="1" fillId="8" borderId="15" xfId="0" applyFont="1" applyFill="1" applyBorder="1" applyAlignment="1">
      <alignment horizontal="left" vertical="center" wrapText="1"/>
    </xf>
    <xf numFmtId="0" fontId="2" fillId="8" borderId="36" xfId="0" applyFont="1" applyFill="1" applyBorder="1" applyAlignment="1">
      <alignment horizontal="left" vertical="center"/>
    </xf>
    <xf numFmtId="0" fontId="2" fillId="8" borderId="38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8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</sheetPr>
  <dimension ref="A1:R1000"/>
  <sheetViews>
    <sheetView tabSelected="1" zoomScaleNormal="100" zoomScaleSheetLayoutView="100" workbookViewId="0">
      <pane xSplit="6" ySplit="6" topLeftCell="G57" activePane="bottomRight" state="frozen"/>
      <selection pane="topRight" activeCell="H1" sqref="H1"/>
      <selection pane="bottomLeft" activeCell="A7" sqref="A7"/>
      <selection pane="bottomRight" activeCell="G63" sqref="G63"/>
    </sheetView>
  </sheetViews>
  <sheetFormatPr defaultColWidth="14.42578125" defaultRowHeight="15" customHeight="1"/>
  <cols>
    <col min="1" max="1" width="5.140625" customWidth="1"/>
    <col min="2" max="2" width="33.28515625" customWidth="1"/>
    <col min="3" max="3" width="2.140625" customWidth="1"/>
    <col min="4" max="4" width="61.85546875" customWidth="1"/>
    <col min="5" max="5" width="12.140625" customWidth="1"/>
    <col min="6" max="6" width="19.42578125" style="804" customWidth="1"/>
    <col min="7" max="7" width="12.140625" customWidth="1"/>
    <col min="8" max="8" width="8" customWidth="1"/>
    <col min="9" max="9" width="23.140625" customWidth="1"/>
    <col min="10" max="10" width="20.42578125" customWidth="1"/>
    <col min="11" max="11" width="26" customWidth="1"/>
    <col min="12" max="12" width="27" customWidth="1"/>
    <col min="13" max="13" width="22.140625" customWidth="1"/>
    <col min="14" max="14" width="14.5703125" customWidth="1"/>
    <col min="15" max="16" width="8.85546875" customWidth="1"/>
  </cols>
  <sheetData>
    <row r="1" spans="1:16" ht="20.25" customHeight="1">
      <c r="A1" s="1" t="s">
        <v>0</v>
      </c>
      <c r="B1" s="2"/>
      <c r="C1" s="2"/>
      <c r="D1" s="2"/>
      <c r="E1" s="2"/>
      <c r="F1" s="1"/>
      <c r="G1" s="3"/>
      <c r="H1" s="3"/>
      <c r="I1" s="3"/>
      <c r="J1" s="3"/>
      <c r="K1" s="3"/>
      <c r="L1" s="4"/>
      <c r="M1" s="4"/>
      <c r="N1" s="4"/>
      <c r="O1" s="4"/>
      <c r="P1" s="4"/>
    </row>
    <row r="2" spans="1:16" ht="20.25" customHeight="1">
      <c r="A2" s="1" t="s">
        <v>1</v>
      </c>
      <c r="B2" s="5"/>
      <c r="C2" s="5"/>
      <c r="D2" s="5"/>
      <c r="E2" s="5"/>
      <c r="F2" s="775"/>
      <c r="G2" s="6"/>
      <c r="H2" s="6"/>
      <c r="I2" s="6"/>
      <c r="J2" s="6"/>
      <c r="K2" s="7"/>
      <c r="L2" s="8"/>
      <c r="M2" s="4"/>
      <c r="N2" s="4"/>
      <c r="O2" s="4"/>
      <c r="P2" s="4"/>
    </row>
    <row r="3" spans="1:16" ht="20.25" customHeight="1">
      <c r="A3" s="9" t="s">
        <v>2</v>
      </c>
      <c r="B3" s="10"/>
      <c r="C3" s="10"/>
      <c r="D3" s="10"/>
      <c r="E3" s="10"/>
      <c r="F3" s="776"/>
      <c r="G3" s="12"/>
      <c r="H3" s="12"/>
      <c r="I3" s="12"/>
      <c r="J3" s="12"/>
      <c r="K3" s="12"/>
      <c r="L3" s="8"/>
      <c r="M3" s="4"/>
      <c r="N3" s="4"/>
      <c r="O3" s="4"/>
      <c r="P3" s="4"/>
    </row>
    <row r="4" spans="1:16" ht="20.25" customHeight="1" thickBot="1">
      <c r="A4" s="10"/>
      <c r="B4" s="12"/>
      <c r="C4" s="12"/>
      <c r="D4" s="13"/>
      <c r="E4" s="10"/>
      <c r="F4" s="1"/>
      <c r="G4" s="12"/>
      <c r="H4" s="12"/>
      <c r="I4" s="12"/>
      <c r="J4" s="13">
        <f>J360</f>
        <v>0</v>
      </c>
      <c r="K4" s="13"/>
      <c r="L4" s="8"/>
      <c r="M4" s="4"/>
      <c r="N4" s="4"/>
      <c r="O4" s="4"/>
      <c r="P4" s="4"/>
    </row>
    <row r="5" spans="1:16" ht="20.25" customHeight="1">
      <c r="A5" s="615"/>
      <c r="B5" s="616"/>
      <c r="C5" s="617"/>
      <c r="D5" s="618"/>
      <c r="E5" s="619"/>
      <c r="F5" s="777"/>
      <c r="G5" s="620" t="s">
        <v>7</v>
      </c>
      <c r="H5" s="621"/>
      <c r="I5" s="621"/>
      <c r="J5" s="622"/>
      <c r="K5" s="16"/>
      <c r="L5" s="8"/>
      <c r="M5" s="4"/>
      <c r="N5" s="4"/>
      <c r="O5" s="4"/>
      <c r="P5" s="4"/>
    </row>
    <row r="6" spans="1:16" ht="20.25" customHeight="1">
      <c r="A6" s="623"/>
      <c r="B6" s="624" t="s">
        <v>8</v>
      </c>
      <c r="C6" s="625"/>
      <c r="D6" s="626"/>
      <c r="E6" s="18" t="s">
        <v>9</v>
      </c>
      <c r="F6" s="278" t="s">
        <v>11</v>
      </c>
      <c r="G6" s="627" t="s">
        <v>15</v>
      </c>
      <c r="H6" s="626"/>
      <c r="I6" s="19" t="s">
        <v>13</v>
      </c>
      <c r="J6" s="628" t="s">
        <v>14</v>
      </c>
      <c r="K6" s="24"/>
      <c r="L6" s="13"/>
      <c r="M6" s="4"/>
      <c r="N6" s="4"/>
      <c r="O6" s="4"/>
      <c r="P6" s="4"/>
    </row>
    <row r="7" spans="1:16" ht="20.25" customHeight="1">
      <c r="A7" s="629"/>
      <c r="B7" s="422"/>
      <c r="C7" s="423"/>
      <c r="D7" s="424"/>
      <c r="E7" s="425"/>
      <c r="F7" s="778"/>
      <c r="G7" s="426"/>
      <c r="H7" s="427"/>
      <c r="I7" s="428"/>
      <c r="J7" s="630"/>
      <c r="K7" s="24"/>
      <c r="L7" s="4"/>
      <c r="M7" s="4"/>
      <c r="N7" s="4"/>
      <c r="O7" s="4"/>
      <c r="P7" s="4"/>
    </row>
    <row r="8" spans="1:16" ht="20.25" customHeight="1">
      <c r="A8" s="631" t="s">
        <v>16</v>
      </c>
      <c r="B8" s="429" t="s">
        <v>17</v>
      </c>
      <c r="C8" s="632"/>
      <c r="D8" s="633"/>
      <c r="E8" s="634"/>
      <c r="F8" s="779"/>
      <c r="G8" s="430"/>
      <c r="H8" s="431"/>
      <c r="I8" s="432"/>
      <c r="J8" s="635"/>
      <c r="K8" s="24"/>
      <c r="L8" s="4"/>
      <c r="M8" s="4"/>
      <c r="N8" s="4"/>
      <c r="O8" s="4"/>
      <c r="P8" s="4"/>
    </row>
    <row r="9" spans="1:16" ht="20.25" customHeight="1">
      <c r="A9" s="636">
        <v>1</v>
      </c>
      <c r="B9" s="433" t="s">
        <v>18</v>
      </c>
      <c r="C9" s="637"/>
      <c r="D9" s="638" t="s">
        <v>19</v>
      </c>
      <c r="E9" s="639" t="s">
        <v>20</v>
      </c>
      <c r="F9" s="680" t="s">
        <v>22</v>
      </c>
      <c r="G9" s="146">
        <v>1</v>
      </c>
      <c r="H9" s="434" t="s">
        <v>23</v>
      </c>
      <c r="I9" s="145"/>
      <c r="J9" s="641">
        <f t="shared" ref="J9:J38" si="0">G9*I9</f>
        <v>0</v>
      </c>
      <c r="K9" s="13"/>
      <c r="L9" s="4"/>
      <c r="M9" s="4"/>
      <c r="N9" s="4"/>
      <c r="O9" s="4"/>
      <c r="P9" s="4"/>
    </row>
    <row r="10" spans="1:16" ht="20.25" customHeight="1">
      <c r="A10" s="636"/>
      <c r="B10" s="269" t="s">
        <v>17</v>
      </c>
      <c r="C10" s="637"/>
      <c r="D10" s="638" t="s">
        <v>24</v>
      </c>
      <c r="E10" s="639" t="s">
        <v>20</v>
      </c>
      <c r="F10" s="680" t="s">
        <v>22</v>
      </c>
      <c r="G10" s="146">
        <v>0</v>
      </c>
      <c r="H10" s="434" t="s">
        <v>26</v>
      </c>
      <c r="I10" s="145"/>
      <c r="J10" s="641">
        <f t="shared" si="0"/>
        <v>0</v>
      </c>
      <c r="K10" s="13"/>
      <c r="L10" s="4"/>
      <c r="M10" s="4"/>
      <c r="N10" s="4"/>
      <c r="O10" s="4"/>
      <c r="P10" s="4"/>
    </row>
    <row r="11" spans="1:16" ht="33.6" customHeight="1">
      <c r="A11" s="642"/>
      <c r="B11" s="437"/>
      <c r="C11" s="643"/>
      <c r="D11" s="644" t="s">
        <v>27</v>
      </c>
      <c r="E11" s="645" t="s">
        <v>20</v>
      </c>
      <c r="F11" s="780" t="s">
        <v>28</v>
      </c>
      <c r="G11" s="441">
        <v>2</v>
      </c>
      <c r="H11" s="439"/>
      <c r="I11" s="440"/>
      <c r="J11" s="646">
        <f t="shared" si="0"/>
        <v>0</v>
      </c>
      <c r="K11" s="55"/>
      <c r="L11" s="56"/>
      <c r="M11" s="56"/>
      <c r="N11" s="56"/>
      <c r="O11" s="56"/>
      <c r="P11" s="56"/>
    </row>
    <row r="12" spans="1:16" ht="20.25" customHeight="1">
      <c r="A12" s="636"/>
      <c r="B12" s="269"/>
      <c r="C12" s="637"/>
      <c r="D12" s="647" t="s">
        <v>29</v>
      </c>
      <c r="E12" s="639" t="s">
        <v>20</v>
      </c>
      <c r="F12" s="680" t="s">
        <v>22</v>
      </c>
      <c r="G12" s="146">
        <v>1</v>
      </c>
      <c r="H12" s="435" t="s">
        <v>23</v>
      </c>
      <c r="I12" s="145"/>
      <c r="J12" s="641">
        <f t="shared" si="0"/>
        <v>0</v>
      </c>
      <c r="K12" s="13"/>
      <c r="L12" s="4"/>
      <c r="M12" s="4"/>
      <c r="N12" s="4"/>
      <c r="O12" s="4"/>
      <c r="P12" s="4"/>
    </row>
    <row r="13" spans="1:16" ht="20.25" customHeight="1">
      <c r="A13" s="636"/>
      <c r="B13" s="269"/>
      <c r="C13" s="637"/>
      <c r="D13" s="638" t="s">
        <v>30</v>
      </c>
      <c r="E13" s="639" t="s">
        <v>31</v>
      </c>
      <c r="F13" s="680" t="s">
        <v>22</v>
      </c>
      <c r="G13" s="146">
        <v>1</v>
      </c>
      <c r="H13" s="434" t="s">
        <v>23</v>
      </c>
      <c r="I13" s="145"/>
      <c r="J13" s="641">
        <f t="shared" si="0"/>
        <v>0</v>
      </c>
      <c r="K13" s="13"/>
      <c r="L13" s="4"/>
      <c r="M13" s="4"/>
      <c r="N13" s="4"/>
      <c r="O13" s="4"/>
      <c r="P13" s="4"/>
    </row>
    <row r="14" spans="1:16" ht="32.1" customHeight="1">
      <c r="A14" s="636"/>
      <c r="B14" s="269"/>
      <c r="C14" s="637"/>
      <c r="D14" s="648" t="s">
        <v>33</v>
      </c>
      <c r="E14" s="639" t="s">
        <v>34</v>
      </c>
      <c r="F14" s="680" t="s">
        <v>28</v>
      </c>
      <c r="G14" s="146">
        <v>1</v>
      </c>
      <c r="H14" s="435" t="s">
        <v>23</v>
      </c>
      <c r="I14" s="145"/>
      <c r="J14" s="641">
        <f t="shared" si="0"/>
        <v>0</v>
      </c>
      <c r="K14" s="13"/>
      <c r="L14" s="4"/>
      <c r="M14" s="4"/>
      <c r="N14" s="4"/>
      <c r="O14" s="4"/>
      <c r="P14" s="4"/>
    </row>
    <row r="15" spans="1:16" ht="30.6" customHeight="1">
      <c r="A15" s="636"/>
      <c r="B15" s="269"/>
      <c r="C15" s="637"/>
      <c r="D15" s="648" t="s">
        <v>35</v>
      </c>
      <c r="E15" s="639" t="s">
        <v>34</v>
      </c>
      <c r="F15" s="680" t="s">
        <v>28</v>
      </c>
      <c r="G15" s="146">
        <v>1</v>
      </c>
      <c r="H15" s="434" t="s">
        <v>23</v>
      </c>
      <c r="I15" s="145"/>
      <c r="J15" s="641">
        <f t="shared" si="0"/>
        <v>0</v>
      </c>
      <c r="K15" s="13"/>
      <c r="L15" s="4"/>
      <c r="M15" s="4"/>
      <c r="N15" s="4"/>
      <c r="O15" s="4"/>
      <c r="P15" s="4"/>
    </row>
    <row r="16" spans="1:16" ht="20.25" customHeight="1">
      <c r="A16" s="636"/>
      <c r="B16" s="269"/>
      <c r="C16" s="637"/>
      <c r="D16" s="648" t="s">
        <v>36</v>
      </c>
      <c r="E16" s="639" t="s">
        <v>34</v>
      </c>
      <c r="F16" s="680" t="s">
        <v>28</v>
      </c>
      <c r="G16" s="146">
        <v>9</v>
      </c>
      <c r="H16" s="434" t="s">
        <v>23</v>
      </c>
      <c r="I16" s="145"/>
      <c r="J16" s="641">
        <f t="shared" si="0"/>
        <v>0</v>
      </c>
      <c r="K16" s="13"/>
      <c r="L16" s="4"/>
      <c r="M16" s="4"/>
      <c r="N16" s="4"/>
      <c r="O16" s="4"/>
      <c r="P16" s="4"/>
    </row>
    <row r="17" spans="1:16" ht="33" customHeight="1">
      <c r="A17" s="636"/>
      <c r="B17" s="269"/>
      <c r="C17" s="637"/>
      <c r="D17" s="648" t="s">
        <v>37</v>
      </c>
      <c r="E17" s="639" t="s">
        <v>34</v>
      </c>
      <c r="F17" s="680" t="s">
        <v>28</v>
      </c>
      <c r="G17" s="146">
        <v>1</v>
      </c>
      <c r="H17" s="435" t="s">
        <v>26</v>
      </c>
      <c r="I17" s="145"/>
      <c r="J17" s="641">
        <f t="shared" si="0"/>
        <v>0</v>
      </c>
      <c r="K17" s="13"/>
      <c r="L17" s="4"/>
      <c r="M17" s="4"/>
      <c r="N17" s="4"/>
      <c r="O17" s="4"/>
      <c r="P17" s="4"/>
    </row>
    <row r="18" spans="1:16" ht="33.6" customHeight="1">
      <c r="A18" s="636"/>
      <c r="B18" s="269"/>
      <c r="C18" s="637"/>
      <c r="D18" s="638" t="s">
        <v>38</v>
      </c>
      <c r="E18" s="639" t="s">
        <v>34</v>
      </c>
      <c r="F18" s="680" t="s">
        <v>22</v>
      </c>
      <c r="G18" s="146">
        <v>1</v>
      </c>
      <c r="H18" s="435" t="s">
        <v>23</v>
      </c>
      <c r="I18" s="145"/>
      <c r="J18" s="641">
        <f t="shared" si="0"/>
        <v>0</v>
      </c>
      <c r="K18" s="13"/>
      <c r="L18" s="4"/>
      <c r="M18" s="4"/>
      <c r="N18" s="4"/>
      <c r="O18" s="4"/>
      <c r="P18" s="4"/>
    </row>
    <row r="19" spans="1:16" ht="20.25" customHeight="1">
      <c r="A19" s="636"/>
      <c r="B19" s="269"/>
      <c r="C19" s="637"/>
      <c r="D19" s="649" t="s">
        <v>39</v>
      </c>
      <c r="E19" s="650" t="s">
        <v>20</v>
      </c>
      <c r="F19" s="680" t="s">
        <v>28</v>
      </c>
      <c r="G19" s="146">
        <v>2</v>
      </c>
      <c r="H19" s="142" t="s">
        <v>23</v>
      </c>
      <c r="I19" s="145"/>
      <c r="J19" s="641">
        <f t="shared" si="0"/>
        <v>0</v>
      </c>
      <c r="K19" s="13"/>
      <c r="L19" s="4"/>
      <c r="M19" s="4"/>
      <c r="N19" s="4"/>
      <c r="O19" s="4"/>
      <c r="P19" s="4"/>
    </row>
    <row r="20" spans="1:16" ht="20.25" customHeight="1">
      <c r="A20" s="636"/>
      <c r="B20" s="269"/>
      <c r="C20" s="637"/>
      <c r="D20" s="649" t="s">
        <v>40</v>
      </c>
      <c r="E20" s="650" t="s">
        <v>20</v>
      </c>
      <c r="F20" s="680" t="s">
        <v>22</v>
      </c>
      <c r="G20" s="146">
        <v>1</v>
      </c>
      <c r="H20" s="142" t="s">
        <v>23</v>
      </c>
      <c r="I20" s="145"/>
      <c r="J20" s="641">
        <f t="shared" si="0"/>
        <v>0</v>
      </c>
      <c r="K20" s="13"/>
      <c r="L20" s="4"/>
      <c r="M20" s="4"/>
      <c r="N20" s="4"/>
      <c r="O20" s="4"/>
      <c r="P20" s="4"/>
    </row>
    <row r="21" spans="1:16" ht="20.25" customHeight="1">
      <c r="A21" s="642"/>
      <c r="B21" s="437"/>
      <c r="C21" s="643"/>
      <c r="D21" s="651" t="s">
        <v>41</v>
      </c>
      <c r="E21" s="652" t="s">
        <v>20</v>
      </c>
      <c r="F21" s="780" t="s">
        <v>28</v>
      </c>
      <c r="G21" s="438">
        <v>1</v>
      </c>
      <c r="H21" s="436" t="s">
        <v>23</v>
      </c>
      <c r="I21" s="440"/>
      <c r="J21" s="646">
        <f t="shared" si="0"/>
        <v>0</v>
      </c>
      <c r="K21" s="55"/>
      <c r="L21" s="56"/>
      <c r="M21" s="56"/>
      <c r="N21" s="56"/>
      <c r="O21" s="56"/>
      <c r="P21" s="56"/>
    </row>
    <row r="22" spans="1:16" ht="20.25" customHeight="1">
      <c r="A22" s="636"/>
      <c r="B22" s="269"/>
      <c r="C22" s="637"/>
      <c r="D22" s="649" t="s">
        <v>42</v>
      </c>
      <c r="E22" s="650" t="s">
        <v>20</v>
      </c>
      <c r="F22" s="680" t="s">
        <v>22</v>
      </c>
      <c r="G22" s="146">
        <v>1</v>
      </c>
      <c r="H22" s="142" t="s">
        <v>23</v>
      </c>
      <c r="I22" s="145"/>
      <c r="J22" s="641">
        <f t="shared" si="0"/>
        <v>0</v>
      </c>
      <c r="K22" s="13"/>
      <c r="L22" s="4"/>
      <c r="M22" s="4"/>
      <c r="N22" s="4"/>
      <c r="O22" s="4"/>
      <c r="P22" s="4"/>
    </row>
    <row r="23" spans="1:16" ht="20.25" customHeight="1">
      <c r="A23" s="653"/>
      <c r="B23" s="444"/>
      <c r="C23" s="445"/>
      <c r="D23" s="446" t="s">
        <v>44</v>
      </c>
      <c r="E23" s="447" t="s">
        <v>20</v>
      </c>
      <c r="F23" s="680" t="s">
        <v>22</v>
      </c>
      <c r="G23" s="450">
        <v>14</v>
      </c>
      <c r="H23" s="443" t="s">
        <v>45</v>
      </c>
      <c r="I23" s="449"/>
      <c r="J23" s="654">
        <f t="shared" si="0"/>
        <v>0</v>
      </c>
      <c r="K23" s="68"/>
      <c r="L23" s="69"/>
      <c r="M23" s="69"/>
      <c r="N23" s="69"/>
      <c r="O23" s="69"/>
      <c r="P23" s="69"/>
    </row>
    <row r="24" spans="1:16" ht="20.25" customHeight="1">
      <c r="A24" s="636"/>
      <c r="B24" s="269"/>
      <c r="C24" s="637"/>
      <c r="D24" s="649" t="s">
        <v>46</v>
      </c>
      <c r="E24" s="650" t="s">
        <v>20</v>
      </c>
      <c r="F24" s="680" t="s">
        <v>22</v>
      </c>
      <c r="G24" s="146">
        <v>1</v>
      </c>
      <c r="H24" s="142" t="s">
        <v>47</v>
      </c>
      <c r="I24" s="145"/>
      <c r="J24" s="641">
        <f t="shared" si="0"/>
        <v>0</v>
      </c>
      <c r="K24" s="13"/>
      <c r="L24" s="4"/>
      <c r="M24" s="4"/>
      <c r="N24" s="4"/>
      <c r="O24" s="4"/>
      <c r="P24" s="4"/>
    </row>
    <row r="25" spans="1:16" ht="20.25" customHeight="1">
      <c r="A25" s="655"/>
      <c r="B25" s="451"/>
      <c r="C25" s="656"/>
      <c r="D25" s="657" t="s">
        <v>48</v>
      </c>
      <c r="E25" s="650" t="s">
        <v>31</v>
      </c>
      <c r="F25" s="680" t="s">
        <v>22</v>
      </c>
      <c r="G25" s="453">
        <v>1</v>
      </c>
      <c r="H25" s="142" t="s">
        <v>47</v>
      </c>
      <c r="I25" s="452"/>
      <c r="J25" s="658">
        <f t="shared" si="0"/>
        <v>0</v>
      </c>
      <c r="K25" s="13"/>
      <c r="L25" s="4"/>
      <c r="M25" s="4"/>
      <c r="N25" s="4"/>
      <c r="O25" s="4"/>
      <c r="P25" s="4"/>
    </row>
    <row r="26" spans="1:16" ht="20.25" customHeight="1">
      <c r="A26" s="636"/>
      <c r="B26" s="269"/>
      <c r="C26" s="637"/>
      <c r="D26" s="649" t="s">
        <v>49</v>
      </c>
      <c r="E26" s="650" t="s">
        <v>50</v>
      </c>
      <c r="F26" s="680" t="s">
        <v>22</v>
      </c>
      <c r="G26" s="146">
        <v>2362.52</v>
      </c>
      <c r="H26" s="142" t="s">
        <v>51</v>
      </c>
      <c r="I26" s="145"/>
      <c r="J26" s="641">
        <f t="shared" si="0"/>
        <v>0</v>
      </c>
      <c r="K26" s="13"/>
      <c r="L26" s="4"/>
      <c r="M26" s="4"/>
      <c r="N26" s="4"/>
      <c r="O26" s="4"/>
      <c r="P26" s="4"/>
    </row>
    <row r="27" spans="1:16" ht="20.25" customHeight="1">
      <c r="A27" s="653"/>
      <c r="B27" s="444"/>
      <c r="C27" s="445"/>
      <c r="D27" s="446" t="s">
        <v>52</v>
      </c>
      <c r="E27" s="447" t="s">
        <v>20</v>
      </c>
      <c r="F27" s="680" t="s">
        <v>22</v>
      </c>
      <c r="G27" s="450">
        <v>0</v>
      </c>
      <c r="H27" s="443" t="s">
        <v>45</v>
      </c>
      <c r="I27" s="449"/>
      <c r="J27" s="654">
        <f t="shared" si="0"/>
        <v>0</v>
      </c>
      <c r="K27" s="68"/>
      <c r="L27" s="69"/>
      <c r="M27" s="69"/>
      <c r="N27" s="69"/>
      <c r="O27" s="69"/>
      <c r="P27" s="69"/>
    </row>
    <row r="28" spans="1:16" ht="27.75" customHeight="1">
      <c r="A28" s="653"/>
      <c r="B28" s="444"/>
      <c r="C28" s="445"/>
      <c r="D28" s="454" t="s">
        <v>53</v>
      </c>
      <c r="E28" s="447" t="s">
        <v>31</v>
      </c>
      <c r="F28" s="680" t="s">
        <v>22</v>
      </c>
      <c r="G28" s="450">
        <v>2</v>
      </c>
      <c r="H28" s="443" t="s">
        <v>45</v>
      </c>
      <c r="I28" s="449"/>
      <c r="J28" s="654">
        <f t="shared" si="0"/>
        <v>0</v>
      </c>
      <c r="K28" s="68"/>
      <c r="L28" s="69"/>
      <c r="M28" s="69"/>
      <c r="N28" s="69"/>
      <c r="O28" s="69"/>
      <c r="P28" s="69"/>
    </row>
    <row r="29" spans="1:16" ht="20.25" customHeight="1">
      <c r="A29" s="636"/>
      <c r="B29" s="269"/>
      <c r="C29" s="637"/>
      <c r="D29" s="659"/>
      <c r="E29" s="650"/>
      <c r="F29" s="680"/>
      <c r="G29" s="146">
        <v>0</v>
      </c>
      <c r="H29" s="147"/>
      <c r="I29" s="145"/>
      <c r="J29" s="641">
        <f t="shared" si="0"/>
        <v>0</v>
      </c>
      <c r="K29" s="13"/>
      <c r="L29" s="4"/>
      <c r="M29" s="4"/>
      <c r="N29" s="4"/>
      <c r="O29" s="4"/>
      <c r="P29" s="4"/>
    </row>
    <row r="30" spans="1:16" ht="20.25" customHeight="1">
      <c r="A30" s="642"/>
      <c r="B30" s="437"/>
      <c r="C30" s="643"/>
      <c r="D30" s="660" t="s">
        <v>54</v>
      </c>
      <c r="E30" s="645" t="s">
        <v>20</v>
      </c>
      <c r="F30" s="780" t="s">
        <v>28</v>
      </c>
      <c r="G30" s="438">
        <v>0</v>
      </c>
      <c r="H30" s="438" t="s">
        <v>23</v>
      </c>
      <c r="I30" s="440"/>
      <c r="J30" s="646">
        <f t="shared" si="0"/>
        <v>0</v>
      </c>
      <c r="K30" s="55"/>
      <c r="L30" s="56"/>
      <c r="M30" s="56"/>
      <c r="N30" s="56"/>
      <c r="O30" s="56"/>
      <c r="P30" s="56"/>
    </row>
    <row r="31" spans="1:16" ht="20.25" customHeight="1">
      <c r="A31" s="642"/>
      <c r="B31" s="437"/>
      <c r="C31" s="643"/>
      <c r="D31" s="661" t="s">
        <v>55</v>
      </c>
      <c r="E31" s="652" t="s">
        <v>20</v>
      </c>
      <c r="F31" s="780" t="s">
        <v>28</v>
      </c>
      <c r="G31" s="438">
        <v>2</v>
      </c>
      <c r="H31" s="442" t="s">
        <v>26</v>
      </c>
      <c r="I31" s="440"/>
      <c r="J31" s="646">
        <f t="shared" si="0"/>
        <v>0</v>
      </c>
      <c r="K31" s="55"/>
      <c r="L31" s="56"/>
      <c r="M31" s="56"/>
      <c r="N31" s="56"/>
      <c r="O31" s="56"/>
      <c r="P31" s="56"/>
    </row>
    <row r="32" spans="1:16" ht="20.25" customHeight="1">
      <c r="A32" s="636"/>
      <c r="B32" s="269"/>
      <c r="C32" s="637"/>
      <c r="D32" s="662" t="s">
        <v>56</v>
      </c>
      <c r="E32" s="650" t="s">
        <v>20</v>
      </c>
      <c r="F32" s="680" t="s">
        <v>22</v>
      </c>
      <c r="G32" s="146">
        <v>2</v>
      </c>
      <c r="H32" s="147" t="s">
        <v>26</v>
      </c>
      <c r="I32" s="145"/>
      <c r="J32" s="641">
        <f t="shared" si="0"/>
        <v>0</v>
      </c>
      <c r="K32" s="13"/>
      <c r="L32" s="4"/>
      <c r="M32" s="4"/>
      <c r="N32" s="4"/>
      <c r="O32" s="4"/>
      <c r="P32" s="4"/>
    </row>
    <row r="33" spans="1:16" ht="20.25" customHeight="1">
      <c r="A33" s="636"/>
      <c r="B33" s="269"/>
      <c r="C33" s="637"/>
      <c r="D33" s="662" t="s">
        <v>57</v>
      </c>
      <c r="E33" s="650" t="s">
        <v>20</v>
      </c>
      <c r="F33" s="680" t="s">
        <v>22</v>
      </c>
      <c r="G33" s="146">
        <v>4</v>
      </c>
      <c r="H33" s="147" t="s">
        <v>26</v>
      </c>
      <c r="I33" s="145"/>
      <c r="J33" s="641">
        <f t="shared" si="0"/>
        <v>0</v>
      </c>
      <c r="K33" s="13"/>
      <c r="L33" s="4"/>
      <c r="M33" s="4"/>
      <c r="N33" s="4"/>
      <c r="O33" s="4"/>
      <c r="P33" s="4"/>
    </row>
    <row r="34" spans="1:16" ht="20.25" customHeight="1">
      <c r="A34" s="636"/>
      <c r="B34" s="269"/>
      <c r="C34" s="637"/>
      <c r="D34" s="663" t="s">
        <v>58</v>
      </c>
      <c r="E34" s="650" t="s">
        <v>20</v>
      </c>
      <c r="F34" s="680" t="s">
        <v>22</v>
      </c>
      <c r="G34" s="146">
        <v>1</v>
      </c>
      <c r="H34" s="147" t="s">
        <v>23</v>
      </c>
      <c r="I34" s="145"/>
      <c r="J34" s="641">
        <f t="shared" si="0"/>
        <v>0</v>
      </c>
      <c r="K34" s="13"/>
      <c r="L34" s="4"/>
      <c r="M34" s="4"/>
      <c r="N34" s="4"/>
      <c r="O34" s="4"/>
      <c r="P34" s="4"/>
    </row>
    <row r="35" spans="1:16" ht="20.25" customHeight="1">
      <c r="A35" s="636"/>
      <c r="B35" s="269"/>
      <c r="C35" s="637"/>
      <c r="D35" s="662" t="s">
        <v>59</v>
      </c>
      <c r="E35" s="650" t="s">
        <v>20</v>
      </c>
      <c r="F35" s="680" t="s">
        <v>22</v>
      </c>
      <c r="G35" s="146">
        <v>1</v>
      </c>
      <c r="H35" s="147" t="s">
        <v>23</v>
      </c>
      <c r="I35" s="145"/>
      <c r="J35" s="641">
        <f t="shared" si="0"/>
        <v>0</v>
      </c>
      <c r="K35" s="13"/>
      <c r="L35" s="4"/>
      <c r="M35" s="4"/>
      <c r="N35" s="4"/>
      <c r="O35" s="4"/>
      <c r="P35" s="4"/>
    </row>
    <row r="36" spans="1:16" ht="20.25" customHeight="1">
      <c r="A36" s="636"/>
      <c r="B36" s="269"/>
      <c r="C36" s="664"/>
      <c r="D36" s="663" t="s">
        <v>60</v>
      </c>
      <c r="E36" s="650" t="s">
        <v>20</v>
      </c>
      <c r="F36" s="680" t="s">
        <v>22</v>
      </c>
      <c r="G36" s="146">
        <v>7</v>
      </c>
      <c r="H36" s="147" t="s">
        <v>26</v>
      </c>
      <c r="I36" s="145"/>
      <c r="J36" s="641">
        <f t="shared" si="0"/>
        <v>0</v>
      </c>
      <c r="K36" s="13"/>
      <c r="L36" s="4"/>
      <c r="M36" s="4"/>
      <c r="N36" s="4"/>
      <c r="O36" s="4"/>
      <c r="P36" s="4"/>
    </row>
    <row r="37" spans="1:16" ht="20.25" customHeight="1">
      <c r="A37" s="636"/>
      <c r="B37" s="269"/>
      <c r="C37" s="637"/>
      <c r="D37" s="663" t="s">
        <v>61</v>
      </c>
      <c r="E37" s="650" t="s">
        <v>20</v>
      </c>
      <c r="F37" s="680" t="s">
        <v>22</v>
      </c>
      <c r="G37" s="146">
        <v>16</v>
      </c>
      <c r="H37" s="147" t="s">
        <v>47</v>
      </c>
      <c r="I37" s="145"/>
      <c r="J37" s="641">
        <f t="shared" si="0"/>
        <v>0</v>
      </c>
      <c r="K37" s="13"/>
      <c r="L37" s="4"/>
      <c r="M37" s="4"/>
      <c r="N37" s="4"/>
      <c r="O37" s="4"/>
      <c r="P37" s="4"/>
    </row>
    <row r="38" spans="1:16" ht="20.25" customHeight="1">
      <c r="A38" s="636"/>
      <c r="B38" s="269"/>
      <c r="C38" s="637"/>
      <c r="D38" s="663" t="s">
        <v>62</v>
      </c>
      <c r="E38" s="650" t="s">
        <v>20</v>
      </c>
      <c r="F38" s="680" t="s">
        <v>22</v>
      </c>
      <c r="G38" s="146">
        <v>1</v>
      </c>
      <c r="H38" s="147" t="s">
        <v>47</v>
      </c>
      <c r="I38" s="145"/>
      <c r="J38" s="641">
        <f t="shared" si="0"/>
        <v>0</v>
      </c>
      <c r="K38" s="13"/>
      <c r="L38" s="4"/>
      <c r="M38" s="4"/>
      <c r="N38" s="4"/>
      <c r="O38" s="4"/>
      <c r="P38" s="4"/>
    </row>
    <row r="39" spans="1:16" ht="20.25" customHeight="1">
      <c r="A39" s="636"/>
      <c r="B39" s="269"/>
      <c r="C39" s="637"/>
      <c r="D39" s="665" t="s">
        <v>63</v>
      </c>
      <c r="E39" s="650" t="s">
        <v>20</v>
      </c>
      <c r="F39" s="680" t="s">
        <v>22</v>
      </c>
      <c r="G39" s="146"/>
      <c r="H39" s="147"/>
      <c r="I39" s="145"/>
      <c r="J39" s="641"/>
      <c r="K39" s="13"/>
      <c r="L39" s="4"/>
      <c r="M39" s="4"/>
      <c r="N39" s="4"/>
      <c r="O39" s="4"/>
      <c r="P39" s="4"/>
    </row>
    <row r="40" spans="1:16" ht="20.25" customHeight="1">
      <c r="A40" s="636"/>
      <c r="B40" s="456"/>
      <c r="C40" s="637"/>
      <c r="D40" s="662" t="s">
        <v>64</v>
      </c>
      <c r="E40" s="650" t="s">
        <v>20</v>
      </c>
      <c r="F40" s="680" t="s">
        <v>22</v>
      </c>
      <c r="G40" s="146">
        <v>1</v>
      </c>
      <c r="H40" s="147" t="s">
        <v>47</v>
      </c>
      <c r="I40" s="145"/>
      <c r="J40" s="641">
        <f t="shared" ref="J40:J42" si="1">+I40*G40</f>
        <v>0</v>
      </c>
      <c r="K40" s="13"/>
      <c r="L40" s="4"/>
      <c r="M40" s="4"/>
      <c r="N40" s="4"/>
      <c r="O40" s="4"/>
      <c r="P40" s="4"/>
    </row>
    <row r="41" spans="1:16" ht="20.25" customHeight="1">
      <c r="A41" s="636"/>
      <c r="B41" s="269"/>
      <c r="C41" s="637"/>
      <c r="D41" s="662" t="s">
        <v>65</v>
      </c>
      <c r="E41" s="650" t="s">
        <v>20</v>
      </c>
      <c r="F41" s="680" t="s">
        <v>22</v>
      </c>
      <c r="G41" s="146">
        <v>1</v>
      </c>
      <c r="H41" s="147" t="s">
        <v>47</v>
      </c>
      <c r="I41" s="145"/>
      <c r="J41" s="641">
        <f t="shared" si="1"/>
        <v>0</v>
      </c>
      <c r="K41" s="13"/>
      <c r="L41" s="4"/>
      <c r="M41" s="4"/>
      <c r="N41" s="4"/>
      <c r="O41" s="4"/>
      <c r="P41" s="4"/>
    </row>
    <row r="42" spans="1:16" ht="20.25" customHeight="1">
      <c r="A42" s="636"/>
      <c r="B42" s="269"/>
      <c r="C42" s="637"/>
      <c r="D42" s="662" t="s">
        <v>66</v>
      </c>
      <c r="E42" s="650" t="s">
        <v>20</v>
      </c>
      <c r="F42" s="680" t="s">
        <v>22</v>
      </c>
      <c r="G42" s="146">
        <v>1</v>
      </c>
      <c r="H42" s="147" t="s">
        <v>23</v>
      </c>
      <c r="I42" s="145"/>
      <c r="J42" s="641">
        <f t="shared" si="1"/>
        <v>0</v>
      </c>
      <c r="K42" s="13"/>
      <c r="L42" s="4"/>
      <c r="M42" s="4"/>
      <c r="N42" s="4"/>
      <c r="O42" s="4"/>
      <c r="P42" s="4"/>
    </row>
    <row r="43" spans="1:16" ht="20.25" customHeight="1">
      <c r="A43" s="636"/>
      <c r="B43" s="269"/>
      <c r="C43" s="637"/>
      <c r="D43" s="666" t="s">
        <v>67</v>
      </c>
      <c r="E43" s="650"/>
      <c r="F43" s="781"/>
      <c r="G43" s="146"/>
      <c r="H43" s="147"/>
      <c r="I43" s="145"/>
      <c r="J43" s="641"/>
      <c r="K43" s="13"/>
      <c r="L43" s="4"/>
      <c r="M43" s="4"/>
      <c r="N43" s="4"/>
      <c r="O43" s="4"/>
      <c r="P43" s="4"/>
    </row>
    <row r="44" spans="1:16" ht="20.25" customHeight="1">
      <c r="A44" s="636"/>
      <c r="B44" s="269"/>
      <c r="C44" s="637"/>
      <c r="D44" s="662" t="s">
        <v>68</v>
      </c>
      <c r="E44" s="650" t="s">
        <v>69</v>
      </c>
      <c r="F44" s="680" t="s">
        <v>28</v>
      </c>
      <c r="G44" s="146">
        <v>1</v>
      </c>
      <c r="H44" s="147" t="s">
        <v>23</v>
      </c>
      <c r="I44" s="145"/>
      <c r="J44" s="641">
        <f t="shared" ref="J44:J45" si="2">+I44*G44</f>
        <v>0</v>
      </c>
      <c r="K44" s="13"/>
      <c r="L44" s="4"/>
      <c r="M44" s="4"/>
      <c r="N44" s="4"/>
      <c r="O44" s="4"/>
      <c r="P44" s="4"/>
    </row>
    <row r="45" spans="1:16" ht="20.25" customHeight="1">
      <c r="A45" s="636"/>
      <c r="B45" s="269"/>
      <c r="C45" s="637"/>
      <c r="D45" s="662" t="s">
        <v>70</v>
      </c>
      <c r="E45" s="650" t="s">
        <v>20</v>
      </c>
      <c r="F45" s="680" t="s">
        <v>28</v>
      </c>
      <c r="G45" s="146">
        <v>1</v>
      </c>
      <c r="H45" s="147" t="s">
        <v>23</v>
      </c>
      <c r="I45" s="145"/>
      <c r="J45" s="641">
        <f t="shared" si="2"/>
        <v>0</v>
      </c>
      <c r="K45" s="13"/>
      <c r="L45" s="4"/>
      <c r="M45" s="4"/>
      <c r="N45" s="4"/>
      <c r="O45" s="4"/>
      <c r="P45" s="4"/>
    </row>
    <row r="46" spans="1:16" ht="20.25" customHeight="1">
      <c r="A46" s="636"/>
      <c r="B46" s="269"/>
      <c r="C46" s="637"/>
      <c r="D46" s="666" t="s">
        <v>71</v>
      </c>
      <c r="E46" s="650"/>
      <c r="F46" s="781"/>
      <c r="G46" s="146"/>
      <c r="H46" s="147"/>
      <c r="I46" s="145"/>
      <c r="J46" s="641"/>
      <c r="K46" s="13"/>
      <c r="L46" s="4"/>
      <c r="M46" s="4"/>
      <c r="N46" s="4"/>
      <c r="O46" s="4"/>
      <c r="P46" s="4"/>
    </row>
    <row r="47" spans="1:16" ht="20.25" customHeight="1">
      <c r="A47" s="636"/>
      <c r="B47" s="269"/>
      <c r="C47" s="637"/>
      <c r="D47" s="662" t="s">
        <v>72</v>
      </c>
      <c r="E47" s="650" t="s">
        <v>20</v>
      </c>
      <c r="F47" s="680" t="s">
        <v>22</v>
      </c>
      <c r="G47" s="146">
        <v>2</v>
      </c>
      <c r="H47" s="147" t="s">
        <v>26</v>
      </c>
      <c r="I47" s="145"/>
      <c r="J47" s="641">
        <f>+I47*G47</f>
        <v>0</v>
      </c>
      <c r="K47" s="13"/>
      <c r="L47" s="8"/>
      <c r="M47" s="4"/>
      <c r="N47" s="4"/>
      <c r="O47" s="4"/>
      <c r="P47" s="4"/>
    </row>
    <row r="48" spans="1:16" ht="20.25" customHeight="1">
      <c r="A48" s="668"/>
      <c r="B48" s="457"/>
      <c r="C48" s="458"/>
      <c r="D48" s="459"/>
      <c r="E48" s="460"/>
      <c r="F48" s="782"/>
      <c r="G48" s="460"/>
      <c r="H48" s="461"/>
      <c r="I48" s="462" t="s">
        <v>73</v>
      </c>
      <c r="J48" s="669">
        <f>SUM(J9:J47)</f>
        <v>0</v>
      </c>
      <c r="K48" s="13"/>
      <c r="L48" s="3"/>
      <c r="M48" s="3"/>
      <c r="N48" s="3"/>
      <c r="O48" s="3"/>
      <c r="P48" s="3"/>
    </row>
    <row r="49" spans="1:16" ht="20.25" customHeight="1">
      <c r="A49" s="670">
        <v>2</v>
      </c>
      <c r="B49" s="671" t="s">
        <v>74</v>
      </c>
      <c r="C49" s="672"/>
      <c r="D49" s="673" t="s">
        <v>75</v>
      </c>
      <c r="E49" s="674" t="s">
        <v>20</v>
      </c>
      <c r="F49" s="680" t="s">
        <v>22</v>
      </c>
      <c r="G49" s="146">
        <v>5</v>
      </c>
      <c r="H49" s="675" t="s">
        <v>26</v>
      </c>
      <c r="I49" s="145"/>
      <c r="J49" s="641">
        <f>+I49*G49</f>
        <v>0</v>
      </c>
      <c r="K49" s="8"/>
      <c r="L49" s="4"/>
      <c r="M49" s="4"/>
      <c r="N49" s="4"/>
      <c r="O49" s="4"/>
      <c r="P49" s="4"/>
    </row>
    <row r="50" spans="1:16" ht="20.25" customHeight="1">
      <c r="A50" s="668"/>
      <c r="B50" s="457"/>
      <c r="C50" s="458"/>
      <c r="D50" s="463"/>
      <c r="E50" s="464"/>
      <c r="F50" s="783"/>
      <c r="G50" s="464"/>
      <c r="H50" s="465"/>
      <c r="I50" s="462" t="s">
        <v>76</v>
      </c>
      <c r="J50" s="669">
        <f>SUM(J49)</f>
        <v>0</v>
      </c>
      <c r="K50" s="13"/>
      <c r="L50" s="3"/>
      <c r="M50" s="3"/>
      <c r="N50" s="3"/>
      <c r="O50" s="3"/>
      <c r="P50" s="3"/>
    </row>
    <row r="51" spans="1:16" ht="20.25" customHeight="1">
      <c r="A51" s="676">
        <v>3</v>
      </c>
      <c r="B51" s="466" t="s">
        <v>77</v>
      </c>
      <c r="C51" s="467"/>
      <c r="D51" s="468" t="s">
        <v>78</v>
      </c>
      <c r="E51" s="469" t="s">
        <v>20</v>
      </c>
      <c r="F51" s="680" t="s">
        <v>22</v>
      </c>
      <c r="G51" s="472">
        <v>1</v>
      </c>
      <c r="H51" s="470" t="s">
        <v>23</v>
      </c>
      <c r="I51" s="471"/>
      <c r="J51" s="677">
        <f>+I51*G51</f>
        <v>0</v>
      </c>
      <c r="K51" s="8"/>
      <c r="L51" s="4"/>
      <c r="M51" s="4"/>
      <c r="N51" s="4"/>
      <c r="O51" s="4"/>
      <c r="P51" s="4"/>
    </row>
    <row r="52" spans="1:16" ht="20.25" customHeight="1">
      <c r="A52" s="636"/>
      <c r="B52" s="269"/>
      <c r="C52" s="678"/>
      <c r="D52" s="657" t="s">
        <v>79</v>
      </c>
      <c r="E52" s="639" t="s">
        <v>20</v>
      </c>
      <c r="F52" s="680" t="s">
        <v>22</v>
      </c>
      <c r="G52" s="146"/>
      <c r="H52" s="147"/>
      <c r="I52" s="145"/>
      <c r="J52" s="641"/>
      <c r="K52" s="8"/>
      <c r="L52" s="4"/>
      <c r="M52" s="4"/>
      <c r="N52" s="4"/>
      <c r="O52" s="4"/>
      <c r="P52" s="4"/>
    </row>
    <row r="53" spans="1:16" ht="20.25" customHeight="1">
      <c r="A53" s="636"/>
      <c r="B53" s="269"/>
      <c r="C53" s="678"/>
      <c r="D53" s="679" t="s">
        <v>80</v>
      </c>
      <c r="E53" s="639" t="s">
        <v>20</v>
      </c>
      <c r="F53" s="680" t="s">
        <v>22</v>
      </c>
      <c r="G53" s="146"/>
      <c r="H53" s="147"/>
      <c r="I53" s="145"/>
      <c r="J53" s="641"/>
      <c r="K53" s="8"/>
      <c r="L53" s="4"/>
      <c r="M53" s="4"/>
      <c r="N53" s="4"/>
      <c r="O53" s="4"/>
      <c r="P53" s="4"/>
    </row>
    <row r="54" spans="1:16" ht="20.25" customHeight="1">
      <c r="A54" s="636"/>
      <c r="B54" s="269"/>
      <c r="C54" s="678"/>
      <c r="D54" s="679" t="s">
        <v>81</v>
      </c>
      <c r="E54" s="639" t="s">
        <v>20</v>
      </c>
      <c r="F54" s="680" t="s">
        <v>22</v>
      </c>
      <c r="G54" s="146"/>
      <c r="H54" s="147"/>
      <c r="I54" s="145"/>
      <c r="J54" s="641"/>
      <c r="K54" s="8"/>
      <c r="L54" s="4"/>
      <c r="M54" s="4"/>
      <c r="N54" s="4"/>
      <c r="O54" s="4"/>
      <c r="P54" s="4"/>
    </row>
    <row r="55" spans="1:16" ht="20.25" customHeight="1">
      <c r="A55" s="636"/>
      <c r="B55" s="269"/>
      <c r="C55" s="678"/>
      <c r="D55" s="679" t="s">
        <v>82</v>
      </c>
      <c r="E55" s="639" t="s">
        <v>20</v>
      </c>
      <c r="F55" s="680" t="s">
        <v>22</v>
      </c>
      <c r="G55" s="146"/>
      <c r="H55" s="147"/>
      <c r="I55" s="145"/>
      <c r="J55" s="641"/>
      <c r="K55" s="8"/>
      <c r="L55" s="4"/>
      <c r="M55" s="4"/>
      <c r="N55" s="4"/>
      <c r="O55" s="4"/>
      <c r="P55" s="4"/>
    </row>
    <row r="56" spans="1:16" ht="20.25" customHeight="1">
      <c r="A56" s="636"/>
      <c r="B56" s="269"/>
      <c r="C56" s="678"/>
      <c r="D56" s="680" t="s">
        <v>83</v>
      </c>
      <c r="E56" s="639" t="s">
        <v>20</v>
      </c>
      <c r="F56" s="680" t="s">
        <v>22</v>
      </c>
      <c r="G56" s="146">
        <v>1</v>
      </c>
      <c r="H56" s="650" t="s">
        <v>23</v>
      </c>
      <c r="I56" s="145"/>
      <c r="J56" s="641">
        <f t="shared" ref="J56:J58" si="3">+I56*G56</f>
        <v>0</v>
      </c>
      <c r="K56" s="8"/>
      <c r="L56" s="4"/>
      <c r="M56" s="4"/>
      <c r="N56" s="4"/>
      <c r="O56" s="4"/>
      <c r="P56" s="4"/>
    </row>
    <row r="57" spans="1:16" ht="20.25" customHeight="1">
      <c r="A57" s="636"/>
      <c r="B57" s="269"/>
      <c r="C57" s="678"/>
      <c r="D57" s="680" t="s">
        <v>84</v>
      </c>
      <c r="E57" s="639" t="s">
        <v>20</v>
      </c>
      <c r="F57" s="680" t="s">
        <v>22</v>
      </c>
      <c r="G57" s="146">
        <v>1</v>
      </c>
      <c r="H57" s="650" t="s">
        <v>23</v>
      </c>
      <c r="I57" s="145"/>
      <c r="J57" s="641">
        <f t="shared" si="3"/>
        <v>0</v>
      </c>
      <c r="K57" s="8"/>
      <c r="L57" s="4"/>
      <c r="M57" s="4"/>
      <c r="N57" s="4"/>
      <c r="O57" s="4"/>
      <c r="P57" s="4"/>
    </row>
    <row r="58" spans="1:16" ht="20.25" customHeight="1">
      <c r="A58" s="636"/>
      <c r="B58" s="473"/>
      <c r="C58" s="681"/>
      <c r="D58" s="682" t="s">
        <v>85</v>
      </c>
      <c r="E58" s="683" t="s">
        <v>20</v>
      </c>
      <c r="F58" s="680" t="s">
        <v>22</v>
      </c>
      <c r="G58" s="477">
        <v>1</v>
      </c>
      <c r="H58" s="684" t="s">
        <v>23</v>
      </c>
      <c r="I58" s="475"/>
      <c r="J58" s="685">
        <f t="shared" si="3"/>
        <v>0</v>
      </c>
      <c r="K58" s="8"/>
      <c r="L58" s="4"/>
      <c r="M58" s="4"/>
      <c r="N58" s="4"/>
      <c r="O58" s="4"/>
      <c r="P58" s="4"/>
    </row>
    <row r="59" spans="1:16" ht="20.25" customHeight="1">
      <c r="A59" s="668"/>
      <c r="B59" s="457"/>
      <c r="C59" s="458"/>
      <c r="D59" s="463"/>
      <c r="E59" s="464"/>
      <c r="F59" s="783"/>
      <c r="G59" s="464"/>
      <c r="H59" s="465"/>
      <c r="I59" s="462" t="s">
        <v>86</v>
      </c>
      <c r="J59" s="669">
        <f>SUM(J51:J58)</f>
        <v>0</v>
      </c>
      <c r="K59" s="13"/>
      <c r="L59" s="3"/>
      <c r="M59" s="3"/>
      <c r="N59" s="3"/>
      <c r="O59" s="3"/>
      <c r="P59" s="3"/>
    </row>
    <row r="60" spans="1:16" ht="20.25" customHeight="1">
      <c r="A60" s="686"/>
      <c r="B60" s="478"/>
      <c r="C60" s="479"/>
      <c r="D60" s="480"/>
      <c r="E60" s="425"/>
      <c r="F60" s="778"/>
      <c r="G60" s="425"/>
      <c r="H60" s="424"/>
      <c r="I60" s="481"/>
      <c r="J60" s="687"/>
      <c r="K60" s="13"/>
      <c r="L60" s="3"/>
      <c r="M60" s="3"/>
      <c r="N60" s="3"/>
      <c r="O60" s="3"/>
      <c r="P60" s="3"/>
    </row>
    <row r="61" spans="1:16" ht="20.25" customHeight="1">
      <c r="A61" s="636">
        <v>4</v>
      </c>
      <c r="B61" s="269" t="s">
        <v>87</v>
      </c>
      <c r="C61" s="678"/>
      <c r="D61" s="680" t="s">
        <v>88</v>
      </c>
      <c r="E61" s="639" t="s">
        <v>34</v>
      </c>
      <c r="F61" s="680" t="s">
        <v>28</v>
      </c>
      <c r="G61" s="146">
        <v>1</v>
      </c>
      <c r="H61" s="147" t="s">
        <v>47</v>
      </c>
      <c r="I61" s="145"/>
      <c r="J61" s="641">
        <f t="shared" ref="J61:J63" si="4">G61*I61</f>
        <v>0</v>
      </c>
      <c r="K61" s="8"/>
      <c r="L61" s="4"/>
      <c r="M61" s="4"/>
      <c r="N61" s="4"/>
      <c r="O61" s="4"/>
      <c r="P61" s="4"/>
    </row>
    <row r="62" spans="1:16" ht="20.25" customHeight="1">
      <c r="A62" s="636"/>
      <c r="B62" s="269"/>
      <c r="C62" s="678"/>
      <c r="D62" s="680" t="s">
        <v>89</v>
      </c>
      <c r="E62" s="639" t="s">
        <v>34</v>
      </c>
      <c r="F62" s="680" t="s">
        <v>28</v>
      </c>
      <c r="G62" s="146">
        <v>1</v>
      </c>
      <c r="H62" s="147" t="s">
        <v>23</v>
      </c>
      <c r="I62" s="145"/>
      <c r="J62" s="641">
        <f t="shared" si="4"/>
        <v>0</v>
      </c>
      <c r="K62" s="8"/>
      <c r="L62" s="4"/>
      <c r="M62" s="4"/>
      <c r="N62" s="4"/>
      <c r="O62" s="4"/>
      <c r="P62" s="4"/>
    </row>
    <row r="63" spans="1:16" ht="24.75" customHeight="1">
      <c r="A63" s="688">
        <v>5</v>
      </c>
      <c r="B63" s="482" t="s">
        <v>90</v>
      </c>
      <c r="C63" s="483"/>
      <c r="D63" s="484" t="s">
        <v>91</v>
      </c>
      <c r="E63" s="485" t="s">
        <v>34</v>
      </c>
      <c r="F63" s="784" t="s">
        <v>28</v>
      </c>
      <c r="G63" s="488">
        <v>1</v>
      </c>
      <c r="H63" s="486" t="s">
        <v>23</v>
      </c>
      <c r="I63" s="487"/>
      <c r="J63" s="689">
        <f t="shared" si="4"/>
        <v>0</v>
      </c>
      <c r="K63" s="140"/>
      <c r="L63" s="69"/>
      <c r="M63" s="69"/>
      <c r="N63" s="69"/>
      <c r="O63" s="69"/>
      <c r="P63" s="69"/>
    </row>
    <row r="64" spans="1:16" ht="20.25" customHeight="1">
      <c r="A64" s="668"/>
      <c r="B64" s="457"/>
      <c r="C64" s="458"/>
      <c r="D64" s="463"/>
      <c r="E64" s="464"/>
      <c r="F64" s="783"/>
      <c r="G64" s="464"/>
      <c r="H64" s="465"/>
      <c r="I64" s="462" t="s">
        <v>92</v>
      </c>
      <c r="J64" s="669">
        <f>SUM(J61:J63)</f>
        <v>0</v>
      </c>
      <c r="K64" s="13"/>
      <c r="L64" s="3"/>
      <c r="M64" s="3"/>
      <c r="N64" s="3"/>
      <c r="O64" s="3"/>
      <c r="P64" s="3"/>
    </row>
    <row r="65" spans="1:16" ht="20.25" customHeight="1">
      <c r="A65" s="686"/>
      <c r="B65" s="478"/>
      <c r="C65" s="479"/>
      <c r="D65" s="480"/>
      <c r="E65" s="425"/>
      <c r="F65" s="778"/>
      <c r="G65" s="425"/>
      <c r="H65" s="424"/>
      <c r="I65" s="481"/>
      <c r="J65" s="687"/>
      <c r="K65" s="13"/>
      <c r="L65" s="3"/>
      <c r="M65" s="3"/>
      <c r="N65" s="3"/>
      <c r="O65" s="3"/>
      <c r="P65" s="3"/>
    </row>
    <row r="66" spans="1:16" ht="20.25" customHeight="1">
      <c r="A66" s="636">
        <v>5</v>
      </c>
      <c r="B66" s="269" t="s">
        <v>93</v>
      </c>
      <c r="C66" s="678"/>
      <c r="D66" s="679" t="s">
        <v>94</v>
      </c>
      <c r="E66" s="639" t="s">
        <v>50</v>
      </c>
      <c r="F66" s="680" t="s">
        <v>22</v>
      </c>
      <c r="G66" s="146">
        <v>1</v>
      </c>
      <c r="H66" s="147" t="s">
        <v>23</v>
      </c>
      <c r="I66" s="145"/>
      <c r="J66" s="641">
        <f t="shared" ref="J66:J72" si="5">+I66*G66</f>
        <v>0</v>
      </c>
      <c r="K66" s="8"/>
      <c r="L66" s="4"/>
      <c r="M66" s="4"/>
      <c r="N66" s="4"/>
      <c r="O66" s="4"/>
      <c r="P66" s="4"/>
    </row>
    <row r="67" spans="1:16" ht="20.25" customHeight="1">
      <c r="A67" s="636"/>
      <c r="B67" s="680"/>
      <c r="C67" s="678"/>
      <c r="D67" s="679" t="s">
        <v>95</v>
      </c>
      <c r="E67" s="639" t="s">
        <v>50</v>
      </c>
      <c r="F67" s="680" t="s">
        <v>22</v>
      </c>
      <c r="G67" s="146">
        <v>1</v>
      </c>
      <c r="H67" s="147" t="s">
        <v>23</v>
      </c>
      <c r="I67" s="145"/>
      <c r="J67" s="641">
        <f t="shared" si="5"/>
        <v>0</v>
      </c>
      <c r="K67" s="8"/>
      <c r="L67" s="4"/>
      <c r="M67" s="4"/>
      <c r="N67" s="4"/>
      <c r="O67" s="4"/>
      <c r="P67" s="4"/>
    </row>
    <row r="68" spans="1:16" ht="32.25" customHeight="1">
      <c r="A68" s="636"/>
      <c r="B68" s="680"/>
      <c r="C68" s="690"/>
      <c r="D68" s="679" t="s">
        <v>96</v>
      </c>
      <c r="E68" s="639" t="s">
        <v>34</v>
      </c>
      <c r="F68" s="680" t="s">
        <v>22</v>
      </c>
      <c r="G68" s="146">
        <v>1</v>
      </c>
      <c r="H68" s="147" t="s">
        <v>23</v>
      </c>
      <c r="I68" s="145"/>
      <c r="J68" s="641">
        <f t="shared" si="5"/>
        <v>0</v>
      </c>
      <c r="K68" s="148"/>
      <c r="L68" s="149"/>
      <c r="M68" s="149"/>
      <c r="N68" s="149"/>
      <c r="O68" s="149"/>
      <c r="P68" s="149"/>
    </row>
    <row r="69" spans="1:16" ht="20.25" customHeight="1">
      <c r="A69" s="636"/>
      <c r="B69" s="451"/>
      <c r="C69" s="664"/>
      <c r="D69" s="657" t="s">
        <v>97</v>
      </c>
      <c r="E69" s="691" t="s">
        <v>34</v>
      </c>
      <c r="F69" s="680" t="s">
        <v>22</v>
      </c>
      <c r="G69" s="146">
        <v>757.0200000000001</v>
      </c>
      <c r="H69" s="147" t="s">
        <v>51</v>
      </c>
      <c r="I69" s="145"/>
      <c r="J69" s="641">
        <f t="shared" si="5"/>
        <v>0</v>
      </c>
      <c r="K69" s="8"/>
      <c r="L69" s="4"/>
      <c r="M69" s="4"/>
      <c r="N69" s="4"/>
      <c r="O69" s="4"/>
      <c r="P69" s="4"/>
    </row>
    <row r="70" spans="1:16" ht="20.25" customHeight="1">
      <c r="A70" s="636"/>
      <c r="B70" s="680"/>
      <c r="C70" s="690"/>
      <c r="D70" s="638" t="s">
        <v>98</v>
      </c>
      <c r="E70" s="639" t="s">
        <v>50</v>
      </c>
      <c r="F70" s="680" t="s">
        <v>22</v>
      </c>
      <c r="G70" s="146">
        <v>1</v>
      </c>
      <c r="H70" s="147" t="s">
        <v>23</v>
      </c>
      <c r="I70" s="145"/>
      <c r="J70" s="641">
        <f t="shared" si="5"/>
        <v>0</v>
      </c>
      <c r="K70" s="8"/>
      <c r="L70" s="4"/>
      <c r="M70" s="4"/>
      <c r="N70" s="4"/>
      <c r="O70" s="4"/>
      <c r="P70" s="4"/>
    </row>
    <row r="71" spans="1:16" ht="20.25" customHeight="1">
      <c r="A71" s="636"/>
      <c r="B71" s="680"/>
      <c r="C71" s="678"/>
      <c r="D71" s="638" t="s">
        <v>99</v>
      </c>
      <c r="E71" s="639" t="s">
        <v>20</v>
      </c>
      <c r="F71" s="680" t="s">
        <v>22</v>
      </c>
      <c r="G71" s="146">
        <v>1</v>
      </c>
      <c r="H71" s="147" t="s">
        <v>23</v>
      </c>
      <c r="I71" s="145"/>
      <c r="J71" s="641">
        <f t="shared" si="5"/>
        <v>0</v>
      </c>
      <c r="K71" s="8"/>
      <c r="L71" s="4"/>
      <c r="M71" s="4"/>
      <c r="N71" s="4"/>
      <c r="O71" s="4"/>
      <c r="P71" s="4"/>
    </row>
    <row r="72" spans="1:16" ht="20.25" customHeight="1">
      <c r="A72" s="692"/>
      <c r="B72" s="682"/>
      <c r="C72" s="681"/>
      <c r="D72" s="693" t="s">
        <v>100</v>
      </c>
      <c r="E72" s="683" t="s">
        <v>20</v>
      </c>
      <c r="F72" s="680" t="s">
        <v>22</v>
      </c>
      <c r="G72" s="477">
        <v>1</v>
      </c>
      <c r="H72" s="476" t="s">
        <v>23</v>
      </c>
      <c r="I72" s="475"/>
      <c r="J72" s="685">
        <f t="shared" si="5"/>
        <v>0</v>
      </c>
      <c r="K72" s="8"/>
      <c r="L72" s="4"/>
      <c r="M72" s="4"/>
      <c r="N72" s="4"/>
      <c r="O72" s="4"/>
      <c r="P72" s="4"/>
    </row>
    <row r="73" spans="1:16" ht="20.25" customHeight="1">
      <c r="A73" s="668"/>
      <c r="B73" s="457"/>
      <c r="C73" s="458"/>
      <c r="D73" s="459"/>
      <c r="E73" s="460"/>
      <c r="F73" s="782"/>
      <c r="G73" s="460"/>
      <c r="H73" s="461"/>
      <c r="I73" s="462" t="s">
        <v>101</v>
      </c>
      <c r="J73" s="669">
        <f>SUM(J66:J72)</f>
        <v>0</v>
      </c>
      <c r="K73" s="13"/>
      <c r="L73" s="3"/>
      <c r="M73" s="3"/>
      <c r="N73" s="3"/>
      <c r="O73" s="3"/>
      <c r="P73" s="3"/>
    </row>
    <row r="74" spans="1:16" ht="20.25" customHeight="1">
      <c r="A74" s="694">
        <v>6</v>
      </c>
      <c r="B74" s="489" t="s">
        <v>102</v>
      </c>
      <c r="C74" s="695"/>
      <c r="D74" s="490"/>
      <c r="E74" s="491"/>
      <c r="F74" s="785"/>
      <c r="G74" s="488">
        <v>0</v>
      </c>
      <c r="H74" s="492" t="s">
        <v>26</v>
      </c>
      <c r="I74" s="493"/>
      <c r="J74" s="696">
        <f>G74*I74</f>
        <v>0</v>
      </c>
      <c r="K74" s="140"/>
      <c r="L74" s="69"/>
      <c r="M74" s="69"/>
      <c r="N74" s="69"/>
      <c r="O74" s="69"/>
      <c r="P74" s="69"/>
    </row>
    <row r="75" spans="1:16" ht="20.25" customHeight="1">
      <c r="A75" s="668"/>
      <c r="B75" s="457"/>
      <c r="C75" s="458"/>
      <c r="D75" s="459"/>
      <c r="E75" s="460"/>
      <c r="F75" s="782"/>
      <c r="G75" s="460"/>
      <c r="H75" s="461"/>
      <c r="I75" s="462" t="s">
        <v>103</v>
      </c>
      <c r="J75" s="669">
        <f>J74</f>
        <v>0</v>
      </c>
      <c r="K75" s="13"/>
      <c r="L75" s="3"/>
      <c r="M75" s="3"/>
      <c r="N75" s="3"/>
      <c r="O75" s="3"/>
      <c r="P75" s="3"/>
    </row>
    <row r="76" spans="1:16" ht="20.25" customHeight="1">
      <c r="A76" s="697" t="s">
        <v>104</v>
      </c>
      <c r="B76" s="494" t="s">
        <v>105</v>
      </c>
      <c r="C76" s="495"/>
      <c r="D76" s="698"/>
      <c r="E76" s="699"/>
      <c r="F76" s="786"/>
      <c r="G76" s="496"/>
      <c r="H76" s="497"/>
      <c r="I76" s="498"/>
      <c r="J76" s="700"/>
      <c r="K76" s="24"/>
      <c r="L76" s="4"/>
      <c r="M76" s="4"/>
      <c r="N76" s="4"/>
      <c r="O76" s="4"/>
      <c r="P76" s="4"/>
    </row>
    <row r="77" spans="1:16" ht="20.25" customHeight="1">
      <c r="A77" s="636">
        <v>7</v>
      </c>
      <c r="B77" s="499" t="s">
        <v>106</v>
      </c>
      <c r="C77" s="678"/>
      <c r="D77" s="701" t="s">
        <v>107</v>
      </c>
      <c r="E77" s="650" t="s">
        <v>34</v>
      </c>
      <c r="F77" s="680" t="s">
        <v>22</v>
      </c>
      <c r="G77" s="146">
        <v>688.2</v>
      </c>
      <c r="H77" s="147" t="s">
        <v>51</v>
      </c>
      <c r="I77" s="145"/>
      <c r="J77" s="641">
        <f t="shared" ref="J77:J86" si="6">+I77*G77</f>
        <v>0</v>
      </c>
      <c r="K77" s="8"/>
      <c r="L77" s="4"/>
      <c r="M77" s="4"/>
      <c r="N77" s="4"/>
      <c r="O77" s="4"/>
      <c r="P77" s="4"/>
    </row>
    <row r="78" spans="1:16" ht="20.25" customHeight="1">
      <c r="A78" s="636"/>
      <c r="B78" s="269"/>
      <c r="C78" s="678"/>
      <c r="D78" s="701" t="s">
        <v>108</v>
      </c>
      <c r="E78" s="650" t="s">
        <v>34</v>
      </c>
      <c r="F78" s="680" t="s">
        <v>22</v>
      </c>
      <c r="G78" s="146">
        <v>1112.4000000000001</v>
      </c>
      <c r="H78" s="147" t="s">
        <v>51</v>
      </c>
      <c r="I78" s="145"/>
      <c r="J78" s="641">
        <f t="shared" si="6"/>
        <v>0</v>
      </c>
      <c r="K78" s="8"/>
      <c r="L78" s="4"/>
      <c r="M78" s="4"/>
      <c r="N78" s="4"/>
      <c r="O78" s="4"/>
      <c r="P78" s="4"/>
    </row>
    <row r="79" spans="1:16" ht="28.5" customHeight="1">
      <c r="A79" s="636"/>
      <c r="B79" s="269"/>
      <c r="C79" s="678"/>
      <c r="D79" s="702" t="s">
        <v>109</v>
      </c>
      <c r="E79" s="639" t="s">
        <v>34</v>
      </c>
      <c r="F79" s="680" t="s">
        <v>22</v>
      </c>
      <c r="G79" s="146">
        <v>222</v>
      </c>
      <c r="H79" s="147" t="s">
        <v>51</v>
      </c>
      <c r="I79" s="145"/>
      <c r="J79" s="641">
        <f t="shared" si="6"/>
        <v>0</v>
      </c>
      <c r="K79" s="174"/>
      <c r="L79" s="4"/>
      <c r="M79" s="4"/>
      <c r="N79" s="4"/>
      <c r="O79" s="4"/>
      <c r="P79" s="4"/>
    </row>
    <row r="80" spans="1:16" ht="20.25" customHeight="1">
      <c r="A80" s="636"/>
      <c r="B80" s="269"/>
      <c r="C80" s="678"/>
      <c r="D80" s="702" t="s">
        <v>110</v>
      </c>
      <c r="E80" s="639" t="s">
        <v>34</v>
      </c>
      <c r="F80" s="680" t="s">
        <v>22</v>
      </c>
      <c r="G80" s="146">
        <v>1112.4000000000001</v>
      </c>
      <c r="H80" s="147" t="s">
        <v>51</v>
      </c>
      <c r="I80" s="145"/>
      <c r="J80" s="641">
        <f t="shared" si="6"/>
        <v>0</v>
      </c>
      <c r="K80" s="8"/>
      <c r="L80" s="4"/>
      <c r="M80" s="4"/>
      <c r="N80" s="4"/>
      <c r="O80" s="4"/>
      <c r="P80" s="4"/>
    </row>
    <row r="81" spans="1:16" ht="20.25" customHeight="1">
      <c r="A81" s="636"/>
      <c r="B81" s="269"/>
      <c r="C81" s="678"/>
      <c r="D81" s="702" t="s">
        <v>111</v>
      </c>
      <c r="E81" s="639" t="s">
        <v>34</v>
      </c>
      <c r="F81" s="680" t="s">
        <v>22</v>
      </c>
      <c r="G81" s="146">
        <v>688.2</v>
      </c>
      <c r="H81" s="147" t="s">
        <v>51</v>
      </c>
      <c r="I81" s="145"/>
      <c r="J81" s="641">
        <f t="shared" si="6"/>
        <v>0</v>
      </c>
      <c r="K81" s="8"/>
      <c r="L81" s="4"/>
      <c r="M81" s="4"/>
      <c r="N81" s="4"/>
      <c r="O81" s="4"/>
      <c r="P81" s="4"/>
    </row>
    <row r="82" spans="1:16" ht="20.25" customHeight="1">
      <c r="A82" s="653"/>
      <c r="B82" s="444"/>
      <c r="C82" s="500"/>
      <c r="D82" s="501" t="s">
        <v>112</v>
      </c>
      <c r="E82" s="502" t="s">
        <v>34</v>
      </c>
      <c r="F82" s="787" t="s">
        <v>28</v>
      </c>
      <c r="G82" s="450">
        <v>3</v>
      </c>
      <c r="H82" s="448" t="s">
        <v>26</v>
      </c>
      <c r="I82" s="449"/>
      <c r="J82" s="654">
        <f t="shared" si="6"/>
        <v>0</v>
      </c>
      <c r="K82" s="68"/>
      <c r="L82" s="69"/>
      <c r="M82" s="69"/>
      <c r="N82" s="69"/>
      <c r="O82" s="69"/>
      <c r="P82" s="69"/>
    </row>
    <row r="83" spans="1:16" ht="20.25" customHeight="1">
      <c r="A83" s="636"/>
      <c r="B83" s="269"/>
      <c r="C83" s="678"/>
      <c r="D83" s="702" t="s">
        <v>113</v>
      </c>
      <c r="E83" s="639" t="s">
        <v>34</v>
      </c>
      <c r="F83" s="680" t="s">
        <v>22</v>
      </c>
      <c r="G83" s="146">
        <v>688.2</v>
      </c>
      <c r="H83" s="147" t="s">
        <v>51</v>
      </c>
      <c r="I83" s="145"/>
      <c r="J83" s="641">
        <f t="shared" si="6"/>
        <v>0</v>
      </c>
      <c r="K83" s="8"/>
      <c r="L83" s="4"/>
      <c r="M83" s="4"/>
      <c r="N83" s="4"/>
      <c r="O83" s="4"/>
      <c r="P83" s="4"/>
    </row>
    <row r="84" spans="1:16" ht="20.25" customHeight="1">
      <c r="A84" s="636"/>
      <c r="B84" s="269"/>
      <c r="C84" s="678"/>
      <c r="D84" s="702" t="s">
        <v>114</v>
      </c>
      <c r="E84" s="639" t="s">
        <v>34</v>
      </c>
      <c r="F84" s="680" t="s">
        <v>22</v>
      </c>
      <c r="G84" s="146">
        <v>1</v>
      </c>
      <c r="H84" s="147" t="s">
        <v>23</v>
      </c>
      <c r="I84" s="145"/>
      <c r="J84" s="703">
        <f t="shared" si="6"/>
        <v>0</v>
      </c>
      <c r="K84" s="8"/>
      <c r="L84" s="4"/>
      <c r="M84" s="4"/>
      <c r="N84" s="4"/>
      <c r="O84" s="4"/>
      <c r="P84" s="4"/>
    </row>
    <row r="85" spans="1:16" ht="20.25" customHeight="1">
      <c r="A85" s="636"/>
      <c r="B85" s="451"/>
      <c r="C85" s="678"/>
      <c r="D85" s="702" t="s">
        <v>115</v>
      </c>
      <c r="E85" s="639" t="s">
        <v>34</v>
      </c>
      <c r="F85" s="680" t="s">
        <v>22</v>
      </c>
      <c r="G85" s="146">
        <v>0</v>
      </c>
      <c r="H85" s="147" t="s">
        <v>26</v>
      </c>
      <c r="I85" s="145"/>
      <c r="J85" s="641">
        <f t="shared" si="6"/>
        <v>0</v>
      </c>
      <c r="K85" s="8"/>
      <c r="L85" s="4"/>
      <c r="M85" s="4"/>
      <c r="N85" s="4"/>
      <c r="O85" s="4"/>
      <c r="P85" s="4"/>
    </row>
    <row r="86" spans="1:16" ht="20.25" customHeight="1">
      <c r="A86" s="704"/>
      <c r="B86" s="504"/>
      <c r="C86" s="505"/>
      <c r="D86" s="506" t="s">
        <v>116</v>
      </c>
      <c r="E86" s="507" t="s">
        <v>34</v>
      </c>
      <c r="F86" s="680" t="s">
        <v>22</v>
      </c>
      <c r="G86" s="146">
        <v>3</v>
      </c>
      <c r="H86" s="147" t="s">
        <v>117</v>
      </c>
      <c r="I86" s="145"/>
      <c r="J86" s="641">
        <f t="shared" si="6"/>
        <v>0</v>
      </c>
      <c r="K86" s="8"/>
      <c r="L86" s="4"/>
      <c r="M86" s="4"/>
      <c r="N86" s="4"/>
      <c r="O86" s="4"/>
      <c r="P86" s="4"/>
    </row>
    <row r="87" spans="1:16" ht="20.25" customHeight="1">
      <c r="A87" s="668"/>
      <c r="B87" s="457"/>
      <c r="C87" s="458"/>
      <c r="D87" s="459"/>
      <c r="E87" s="460"/>
      <c r="F87" s="782"/>
      <c r="G87" s="460"/>
      <c r="H87" s="461"/>
      <c r="I87" s="462" t="s">
        <v>118</v>
      </c>
      <c r="J87" s="669">
        <f>SUM(J77:J86)</f>
        <v>0</v>
      </c>
      <c r="K87" s="13"/>
      <c r="L87" s="3"/>
      <c r="M87" s="3"/>
      <c r="N87" s="3"/>
      <c r="O87" s="3"/>
      <c r="P87" s="3"/>
    </row>
    <row r="88" spans="1:16" ht="20.25" customHeight="1">
      <c r="A88" s="676">
        <v>8</v>
      </c>
      <c r="B88" s="508" t="s">
        <v>119</v>
      </c>
      <c r="C88" s="509"/>
      <c r="D88" s="705" t="s">
        <v>107</v>
      </c>
      <c r="E88" s="639" t="s">
        <v>34</v>
      </c>
      <c r="F88" s="680" t="s">
        <v>22</v>
      </c>
      <c r="G88" s="146">
        <v>243.81</v>
      </c>
      <c r="H88" s="147" t="s">
        <v>51</v>
      </c>
      <c r="I88" s="145"/>
      <c r="J88" s="641">
        <f t="shared" ref="J88:J92" si="7">+I88*G88</f>
        <v>0</v>
      </c>
      <c r="K88" s="8"/>
      <c r="L88" s="4"/>
      <c r="M88" s="4"/>
      <c r="N88" s="4"/>
      <c r="O88" s="4"/>
      <c r="P88" s="4"/>
    </row>
    <row r="89" spans="1:16" ht="20.25" customHeight="1">
      <c r="A89" s="636"/>
      <c r="B89" s="269"/>
      <c r="C89" s="678"/>
      <c r="D89" s="701" t="s">
        <v>108</v>
      </c>
      <c r="E89" s="639" t="s">
        <v>34</v>
      </c>
      <c r="F89" s="680" t="s">
        <v>22</v>
      </c>
      <c r="G89" s="146">
        <v>267.40000000000003</v>
      </c>
      <c r="H89" s="147" t="s">
        <v>51</v>
      </c>
      <c r="I89" s="145"/>
      <c r="J89" s="641">
        <f t="shared" si="7"/>
        <v>0</v>
      </c>
      <c r="K89" s="8"/>
      <c r="L89" s="4"/>
      <c r="M89" s="4"/>
      <c r="N89" s="4"/>
      <c r="O89" s="4"/>
      <c r="P89" s="4"/>
    </row>
    <row r="90" spans="1:16" ht="20.25" customHeight="1">
      <c r="A90" s="636"/>
      <c r="B90" s="269"/>
      <c r="C90" s="678"/>
      <c r="D90" s="702" t="s">
        <v>120</v>
      </c>
      <c r="E90" s="639" t="s">
        <v>34</v>
      </c>
      <c r="F90" s="680" t="s">
        <v>22</v>
      </c>
      <c r="G90" s="146">
        <v>243.81</v>
      </c>
      <c r="H90" s="147" t="s">
        <v>51</v>
      </c>
      <c r="I90" s="145"/>
      <c r="J90" s="641">
        <f t="shared" si="7"/>
        <v>0</v>
      </c>
      <c r="K90" s="8"/>
      <c r="L90" s="4"/>
      <c r="M90" s="4"/>
      <c r="N90" s="4"/>
      <c r="O90" s="4"/>
      <c r="P90" s="4"/>
    </row>
    <row r="91" spans="1:16" ht="20.25" customHeight="1">
      <c r="A91" s="636"/>
      <c r="B91" s="269"/>
      <c r="C91" s="678"/>
      <c r="D91" s="702" t="s">
        <v>113</v>
      </c>
      <c r="E91" s="639" t="s">
        <v>34</v>
      </c>
      <c r="F91" s="680" t="s">
        <v>22</v>
      </c>
      <c r="G91" s="146">
        <v>243.81</v>
      </c>
      <c r="H91" s="147" t="s">
        <v>51</v>
      </c>
      <c r="I91" s="145"/>
      <c r="J91" s="641">
        <f t="shared" si="7"/>
        <v>0</v>
      </c>
      <c r="K91" s="8"/>
      <c r="L91" s="4"/>
      <c r="M91" s="4"/>
      <c r="N91" s="4"/>
      <c r="O91" s="4"/>
      <c r="P91" s="4"/>
    </row>
    <row r="92" spans="1:16" ht="20.25" customHeight="1">
      <c r="A92" s="704"/>
      <c r="B92" s="504"/>
      <c r="C92" s="505"/>
      <c r="D92" s="510" t="s">
        <v>121</v>
      </c>
      <c r="E92" s="639" t="s">
        <v>34</v>
      </c>
      <c r="F92" s="680" t="s">
        <v>22</v>
      </c>
      <c r="G92" s="146">
        <v>4</v>
      </c>
      <c r="H92" s="147" t="s">
        <v>122</v>
      </c>
      <c r="I92" s="145"/>
      <c r="J92" s="641">
        <f t="shared" si="7"/>
        <v>0</v>
      </c>
      <c r="K92" s="8"/>
      <c r="L92" s="4"/>
      <c r="M92" s="4"/>
      <c r="N92" s="4"/>
      <c r="O92" s="4"/>
      <c r="P92" s="4"/>
    </row>
    <row r="93" spans="1:16" ht="20.25" customHeight="1">
      <c r="A93" s="668"/>
      <c r="B93" s="457"/>
      <c r="C93" s="458"/>
      <c r="D93" s="459"/>
      <c r="E93" s="460"/>
      <c r="F93" s="782"/>
      <c r="G93" s="460"/>
      <c r="H93" s="461"/>
      <c r="I93" s="462" t="s">
        <v>123</v>
      </c>
      <c r="J93" s="669">
        <f>SUM(J88:J92)</f>
        <v>0</v>
      </c>
      <c r="K93" s="13"/>
      <c r="L93" s="3"/>
      <c r="M93" s="3"/>
      <c r="N93" s="3"/>
      <c r="O93" s="3"/>
      <c r="P93" s="3"/>
    </row>
    <row r="94" spans="1:16" ht="20.25" customHeight="1">
      <c r="A94" s="676">
        <v>9</v>
      </c>
      <c r="B94" s="511" t="s">
        <v>124</v>
      </c>
      <c r="C94" s="509"/>
      <c r="D94" s="705" t="s">
        <v>107</v>
      </c>
      <c r="E94" s="639" t="s">
        <v>34</v>
      </c>
      <c r="F94" s="680" t="s">
        <v>22</v>
      </c>
      <c r="G94" s="146">
        <v>316.64</v>
      </c>
      <c r="H94" s="147" t="s">
        <v>51</v>
      </c>
      <c r="I94" s="145"/>
      <c r="J94" s="641">
        <f t="shared" ref="J94:J103" si="8">+I94*G94</f>
        <v>0</v>
      </c>
      <c r="K94" s="8"/>
      <c r="L94" s="4"/>
      <c r="M94" s="4"/>
      <c r="N94" s="4"/>
      <c r="O94" s="4"/>
      <c r="P94" s="4"/>
    </row>
    <row r="95" spans="1:16" ht="20.25" customHeight="1">
      <c r="A95" s="636"/>
      <c r="B95" s="269"/>
      <c r="C95" s="678"/>
      <c r="D95" s="701" t="s">
        <v>108</v>
      </c>
      <c r="E95" s="639" t="s">
        <v>34</v>
      </c>
      <c r="F95" s="680" t="s">
        <v>22</v>
      </c>
      <c r="G95" s="146">
        <v>350.32</v>
      </c>
      <c r="H95" s="147" t="s">
        <v>51</v>
      </c>
      <c r="I95" s="145"/>
      <c r="J95" s="641">
        <f t="shared" si="8"/>
        <v>0</v>
      </c>
      <c r="K95" s="8"/>
      <c r="L95" s="4"/>
      <c r="M95" s="4"/>
      <c r="N95" s="4"/>
      <c r="O95" s="4"/>
      <c r="P95" s="4"/>
    </row>
    <row r="96" spans="1:16" ht="27" customHeight="1">
      <c r="A96" s="636"/>
      <c r="B96" s="269"/>
      <c r="C96" s="678"/>
      <c r="D96" s="702" t="s">
        <v>109</v>
      </c>
      <c r="E96" s="639" t="s">
        <v>34</v>
      </c>
      <c r="F96" s="680" t="s">
        <v>22</v>
      </c>
      <c r="G96" s="146">
        <v>64</v>
      </c>
      <c r="H96" s="147" t="s">
        <v>51</v>
      </c>
      <c r="I96" s="145"/>
      <c r="J96" s="641">
        <f t="shared" si="8"/>
        <v>0</v>
      </c>
      <c r="K96" s="8"/>
      <c r="L96" s="4"/>
      <c r="M96" s="4"/>
      <c r="N96" s="4"/>
      <c r="O96" s="4"/>
      <c r="P96" s="4"/>
    </row>
    <row r="97" spans="1:16" ht="20.25" customHeight="1">
      <c r="A97" s="636"/>
      <c r="B97" s="269"/>
      <c r="C97" s="678"/>
      <c r="D97" s="702" t="s">
        <v>110</v>
      </c>
      <c r="E97" s="639" t="s">
        <v>34</v>
      </c>
      <c r="F97" s="680" t="s">
        <v>22</v>
      </c>
      <c r="G97" s="146">
        <v>350.32</v>
      </c>
      <c r="H97" s="147" t="s">
        <v>51</v>
      </c>
      <c r="I97" s="145"/>
      <c r="J97" s="641">
        <f t="shared" si="8"/>
        <v>0</v>
      </c>
      <c r="K97" s="8"/>
      <c r="L97" s="4"/>
      <c r="M97" s="4"/>
      <c r="N97" s="4"/>
      <c r="O97" s="4"/>
      <c r="P97" s="4"/>
    </row>
    <row r="98" spans="1:16" ht="20.25" customHeight="1">
      <c r="A98" s="636"/>
      <c r="B98" s="269"/>
      <c r="C98" s="678"/>
      <c r="D98" s="702" t="s">
        <v>111</v>
      </c>
      <c r="E98" s="639" t="s">
        <v>34</v>
      </c>
      <c r="F98" s="680" t="s">
        <v>22</v>
      </c>
      <c r="G98" s="146">
        <v>316.64</v>
      </c>
      <c r="H98" s="147" t="s">
        <v>51</v>
      </c>
      <c r="I98" s="145"/>
      <c r="J98" s="641">
        <f t="shared" si="8"/>
        <v>0</v>
      </c>
      <c r="K98" s="8"/>
      <c r="L98" s="4"/>
      <c r="M98" s="4"/>
      <c r="N98" s="4"/>
      <c r="O98" s="4"/>
      <c r="P98" s="4"/>
    </row>
    <row r="99" spans="1:16" ht="20.25" customHeight="1">
      <c r="A99" s="636"/>
      <c r="B99" s="269"/>
      <c r="C99" s="678"/>
      <c r="D99" s="702" t="s">
        <v>125</v>
      </c>
      <c r="E99" s="639" t="s">
        <v>34</v>
      </c>
      <c r="F99" s="680" t="s">
        <v>22</v>
      </c>
      <c r="G99" s="146">
        <v>316.64</v>
      </c>
      <c r="H99" s="147" t="s">
        <v>51</v>
      </c>
      <c r="I99" s="145"/>
      <c r="J99" s="641">
        <f t="shared" si="8"/>
        <v>0</v>
      </c>
      <c r="K99" s="8"/>
      <c r="L99" s="4"/>
      <c r="M99" s="4"/>
      <c r="N99" s="4"/>
      <c r="O99" s="4"/>
      <c r="P99" s="4"/>
    </row>
    <row r="100" spans="1:16" ht="20.25" customHeight="1">
      <c r="A100" s="653"/>
      <c r="B100" s="444"/>
      <c r="C100" s="500"/>
      <c r="D100" s="501" t="s">
        <v>112</v>
      </c>
      <c r="E100" s="502" t="s">
        <v>34</v>
      </c>
      <c r="F100" s="787" t="s">
        <v>28</v>
      </c>
      <c r="G100" s="450">
        <v>2</v>
      </c>
      <c r="H100" s="448" t="s">
        <v>26</v>
      </c>
      <c r="I100" s="449"/>
      <c r="J100" s="654">
        <f t="shared" si="8"/>
        <v>0</v>
      </c>
      <c r="K100" s="140"/>
      <c r="L100" s="69"/>
      <c r="M100" s="69"/>
      <c r="N100" s="69"/>
      <c r="O100" s="69"/>
      <c r="P100" s="69"/>
    </row>
    <row r="101" spans="1:16" ht="20.25" customHeight="1">
      <c r="A101" s="636"/>
      <c r="B101" s="269"/>
      <c r="C101" s="678"/>
      <c r="D101" s="702" t="s">
        <v>126</v>
      </c>
      <c r="E101" s="639" t="s">
        <v>34</v>
      </c>
      <c r="F101" s="680" t="s">
        <v>22</v>
      </c>
      <c r="G101" s="146">
        <v>1</v>
      </c>
      <c r="H101" s="147" t="s">
        <v>23</v>
      </c>
      <c r="I101" s="145"/>
      <c r="J101" s="641">
        <f t="shared" si="8"/>
        <v>0</v>
      </c>
      <c r="K101" s="8"/>
      <c r="L101" s="4"/>
      <c r="M101" s="4"/>
      <c r="N101" s="4"/>
      <c r="O101" s="4"/>
      <c r="P101" s="4"/>
    </row>
    <row r="102" spans="1:16" ht="20.25" customHeight="1">
      <c r="A102" s="636"/>
      <c r="B102" s="269"/>
      <c r="C102" s="678"/>
      <c r="D102" s="702" t="s">
        <v>127</v>
      </c>
      <c r="E102" s="639" t="s">
        <v>34</v>
      </c>
      <c r="F102" s="680" t="s">
        <v>22</v>
      </c>
      <c r="G102" s="146">
        <v>1</v>
      </c>
      <c r="H102" s="147" t="s">
        <v>23</v>
      </c>
      <c r="I102" s="145"/>
      <c r="J102" s="641">
        <f t="shared" si="8"/>
        <v>0</v>
      </c>
      <c r="K102" s="8"/>
      <c r="L102" s="4"/>
      <c r="M102" s="4"/>
      <c r="N102" s="4"/>
      <c r="O102" s="4"/>
      <c r="P102" s="4"/>
    </row>
    <row r="103" spans="1:16" ht="20.25" customHeight="1">
      <c r="A103" s="636"/>
      <c r="B103" s="269"/>
      <c r="C103" s="678"/>
      <c r="D103" s="702" t="s">
        <v>128</v>
      </c>
      <c r="E103" s="639" t="s">
        <v>34</v>
      </c>
      <c r="F103" s="680" t="s">
        <v>22</v>
      </c>
      <c r="G103" s="146">
        <v>1</v>
      </c>
      <c r="H103" s="147" t="s">
        <v>26</v>
      </c>
      <c r="I103" s="145"/>
      <c r="J103" s="703">
        <f t="shared" si="8"/>
        <v>0</v>
      </c>
      <c r="K103" s="8"/>
      <c r="L103" s="4"/>
      <c r="M103" s="4"/>
      <c r="N103" s="4"/>
      <c r="O103" s="4"/>
      <c r="P103" s="4"/>
    </row>
    <row r="104" spans="1:16" ht="20.25" customHeight="1">
      <c r="A104" s="704"/>
      <c r="B104" s="504"/>
      <c r="C104" s="505"/>
      <c r="D104" s="506" t="s">
        <v>129</v>
      </c>
      <c r="E104" s="639" t="s">
        <v>34</v>
      </c>
      <c r="F104" s="788" t="s">
        <v>28</v>
      </c>
      <c r="G104" s="146">
        <v>2</v>
      </c>
      <c r="H104" s="474" t="s">
        <v>47</v>
      </c>
      <c r="I104" s="475"/>
      <c r="J104" s="685">
        <f>G104*I104</f>
        <v>0</v>
      </c>
      <c r="K104" s="8"/>
      <c r="L104" s="4"/>
      <c r="M104" s="4"/>
      <c r="N104" s="4"/>
      <c r="O104" s="4"/>
      <c r="P104" s="4"/>
    </row>
    <row r="105" spans="1:16" ht="20.25" customHeight="1">
      <c r="A105" s="668"/>
      <c r="B105" s="457"/>
      <c r="C105" s="458"/>
      <c r="D105" s="459"/>
      <c r="E105" s="460"/>
      <c r="F105" s="782"/>
      <c r="G105" s="460"/>
      <c r="H105" s="461"/>
      <c r="I105" s="462" t="s">
        <v>131</v>
      </c>
      <c r="J105" s="669">
        <f>SUM(J94:J104)</f>
        <v>0</v>
      </c>
      <c r="K105" s="13"/>
      <c r="L105" s="3"/>
      <c r="M105" s="3"/>
      <c r="N105" s="3"/>
      <c r="O105" s="3"/>
      <c r="P105" s="3"/>
    </row>
    <row r="106" spans="1:16" ht="20.25" customHeight="1">
      <c r="A106" s="676">
        <v>10</v>
      </c>
      <c r="B106" s="512" t="s">
        <v>132</v>
      </c>
      <c r="C106" s="509"/>
      <c r="D106" s="706" t="s">
        <v>133</v>
      </c>
      <c r="E106" s="707" t="s">
        <v>31</v>
      </c>
      <c r="F106" s="680" t="s">
        <v>22</v>
      </c>
      <c r="G106" s="146">
        <v>3</v>
      </c>
      <c r="H106" s="147" t="s">
        <v>26</v>
      </c>
      <c r="I106" s="145"/>
      <c r="J106" s="641">
        <f t="shared" ref="J106:J108" si="9">+I106*G106</f>
        <v>0</v>
      </c>
      <c r="K106" s="8"/>
      <c r="L106" s="4"/>
      <c r="M106" s="4"/>
      <c r="N106" s="4"/>
      <c r="O106" s="4"/>
      <c r="P106" s="4"/>
    </row>
    <row r="107" spans="1:16" ht="20.25" customHeight="1">
      <c r="A107" s="636"/>
      <c r="B107" s="269"/>
      <c r="C107" s="678"/>
      <c r="D107" s="702" t="s">
        <v>134</v>
      </c>
      <c r="E107" s="639" t="s">
        <v>31</v>
      </c>
      <c r="F107" s="680" t="s">
        <v>22</v>
      </c>
      <c r="G107" s="146">
        <v>114</v>
      </c>
      <c r="H107" s="147" t="s">
        <v>51</v>
      </c>
      <c r="I107" s="145"/>
      <c r="J107" s="641">
        <f t="shared" si="9"/>
        <v>0</v>
      </c>
      <c r="K107" s="8"/>
      <c r="L107" s="4"/>
      <c r="M107" s="4"/>
      <c r="N107" s="4"/>
      <c r="O107" s="4"/>
      <c r="P107" s="4"/>
    </row>
    <row r="108" spans="1:16" ht="20.25" customHeight="1">
      <c r="A108" s="704"/>
      <c r="B108" s="504"/>
      <c r="C108" s="505"/>
      <c r="D108" s="506" t="s">
        <v>135</v>
      </c>
      <c r="E108" s="507" t="s">
        <v>31</v>
      </c>
      <c r="F108" s="680" t="s">
        <v>22</v>
      </c>
      <c r="G108" s="146">
        <v>123</v>
      </c>
      <c r="H108" s="147" t="s">
        <v>136</v>
      </c>
      <c r="I108" s="145"/>
      <c r="J108" s="641">
        <f t="shared" si="9"/>
        <v>0</v>
      </c>
      <c r="K108" s="8"/>
      <c r="L108" s="4"/>
      <c r="M108" s="4"/>
      <c r="N108" s="4"/>
      <c r="O108" s="4"/>
      <c r="P108" s="4"/>
    </row>
    <row r="109" spans="1:16" ht="20.25" customHeight="1">
      <c r="A109" s="668"/>
      <c r="B109" s="457"/>
      <c r="C109" s="458"/>
      <c r="D109" s="459"/>
      <c r="E109" s="460"/>
      <c r="F109" s="782"/>
      <c r="G109" s="460"/>
      <c r="H109" s="461"/>
      <c r="I109" s="462" t="s">
        <v>137</v>
      </c>
      <c r="J109" s="669">
        <f>SUM(J106:J108)</f>
        <v>0</v>
      </c>
      <c r="K109" s="13"/>
      <c r="L109" s="3"/>
      <c r="M109" s="3"/>
      <c r="N109" s="3"/>
      <c r="O109" s="3"/>
      <c r="P109" s="3"/>
    </row>
    <row r="110" spans="1:16" ht="20.25" customHeight="1">
      <c r="A110" s="676">
        <v>11</v>
      </c>
      <c r="B110" s="512" t="s">
        <v>138</v>
      </c>
      <c r="C110" s="509"/>
      <c r="D110" s="705" t="s">
        <v>107</v>
      </c>
      <c r="E110" s="639" t="s">
        <v>34</v>
      </c>
      <c r="F110" s="680" t="s">
        <v>22</v>
      </c>
      <c r="G110" s="146">
        <v>216.40799999999999</v>
      </c>
      <c r="H110" s="147" t="s">
        <v>51</v>
      </c>
      <c r="I110" s="145"/>
      <c r="J110" s="641">
        <f t="shared" ref="J110:J119" si="10">+I110*G110</f>
        <v>0</v>
      </c>
      <c r="K110" s="8"/>
      <c r="L110" s="4"/>
      <c r="M110" s="4"/>
      <c r="N110" s="4"/>
      <c r="O110" s="4"/>
      <c r="P110" s="4"/>
    </row>
    <row r="111" spans="1:16" ht="20.25" customHeight="1">
      <c r="A111" s="636"/>
      <c r="B111" s="269"/>
      <c r="C111" s="678"/>
      <c r="D111" s="701" t="s">
        <v>108</v>
      </c>
      <c r="E111" s="639" t="s">
        <v>34</v>
      </c>
      <c r="F111" s="680" t="s">
        <v>22</v>
      </c>
      <c r="G111" s="146">
        <v>238.07</v>
      </c>
      <c r="H111" s="147" t="s">
        <v>51</v>
      </c>
      <c r="I111" s="145"/>
      <c r="J111" s="641">
        <f t="shared" si="10"/>
        <v>0</v>
      </c>
      <c r="K111" s="8"/>
      <c r="L111" s="4"/>
      <c r="M111" s="4"/>
      <c r="N111" s="4"/>
      <c r="O111" s="4"/>
      <c r="P111" s="4"/>
    </row>
    <row r="112" spans="1:16" ht="15.75" customHeight="1">
      <c r="A112" s="636"/>
      <c r="B112" s="269"/>
      <c r="C112" s="678"/>
      <c r="D112" s="702" t="s">
        <v>109</v>
      </c>
      <c r="E112" s="639" t="s">
        <v>34</v>
      </c>
      <c r="F112" s="680" t="s">
        <v>22</v>
      </c>
      <c r="G112" s="146">
        <v>119.28</v>
      </c>
      <c r="H112" s="147" t="s">
        <v>51</v>
      </c>
      <c r="I112" s="145"/>
      <c r="J112" s="641">
        <f t="shared" si="10"/>
        <v>0</v>
      </c>
      <c r="K112" s="8"/>
      <c r="L112" s="4"/>
      <c r="M112" s="4"/>
      <c r="N112" s="4"/>
      <c r="O112" s="4"/>
      <c r="P112" s="4"/>
    </row>
    <row r="113" spans="1:16" ht="20.25" customHeight="1">
      <c r="A113" s="636"/>
      <c r="B113" s="269"/>
      <c r="C113" s="678"/>
      <c r="D113" s="702" t="s">
        <v>110</v>
      </c>
      <c r="E113" s="639" t="s">
        <v>34</v>
      </c>
      <c r="F113" s="680" t="s">
        <v>22</v>
      </c>
      <c r="G113" s="146">
        <v>238.07</v>
      </c>
      <c r="H113" s="147" t="s">
        <v>51</v>
      </c>
      <c r="I113" s="145"/>
      <c r="J113" s="641">
        <f t="shared" si="10"/>
        <v>0</v>
      </c>
      <c r="K113" s="8"/>
      <c r="L113" s="4"/>
      <c r="M113" s="4"/>
      <c r="N113" s="4"/>
      <c r="O113" s="4"/>
      <c r="P113" s="4"/>
    </row>
    <row r="114" spans="1:16" ht="20.25" customHeight="1">
      <c r="A114" s="636"/>
      <c r="B114" s="269"/>
      <c r="C114" s="678"/>
      <c r="D114" s="702" t="s">
        <v>139</v>
      </c>
      <c r="E114" s="639" t="s">
        <v>34</v>
      </c>
      <c r="F114" s="680" t="s">
        <v>22</v>
      </c>
      <c r="G114" s="146">
        <v>1</v>
      </c>
      <c r="H114" s="147" t="s">
        <v>26</v>
      </c>
      <c r="I114" s="145"/>
      <c r="J114" s="641">
        <f t="shared" si="10"/>
        <v>0</v>
      </c>
      <c r="K114" s="8"/>
      <c r="L114" s="4"/>
      <c r="M114" s="4"/>
      <c r="N114" s="4"/>
      <c r="O114" s="4"/>
      <c r="P114" s="4"/>
    </row>
    <row r="115" spans="1:16" ht="20.25" customHeight="1">
      <c r="A115" s="636"/>
      <c r="B115" s="269"/>
      <c r="C115" s="678"/>
      <c r="D115" s="702" t="s">
        <v>133</v>
      </c>
      <c r="E115" s="639" t="s">
        <v>34</v>
      </c>
      <c r="F115" s="680" t="s">
        <v>22</v>
      </c>
      <c r="G115" s="146">
        <v>2</v>
      </c>
      <c r="H115" s="147" t="s">
        <v>26</v>
      </c>
      <c r="I115" s="145"/>
      <c r="J115" s="641">
        <f t="shared" si="10"/>
        <v>0</v>
      </c>
      <c r="K115" s="8"/>
      <c r="L115" s="4"/>
      <c r="M115" s="4"/>
      <c r="N115" s="4"/>
      <c r="O115" s="4"/>
      <c r="P115" s="4"/>
    </row>
    <row r="116" spans="1:16" ht="20.25" customHeight="1">
      <c r="A116" s="636"/>
      <c r="B116" s="269"/>
      <c r="C116" s="678"/>
      <c r="D116" s="701" t="s">
        <v>121</v>
      </c>
      <c r="E116" s="639" t="s">
        <v>34</v>
      </c>
      <c r="F116" s="680" t="s">
        <v>22</v>
      </c>
      <c r="G116" s="146">
        <v>3</v>
      </c>
      <c r="H116" s="147" t="s">
        <v>26</v>
      </c>
      <c r="I116" s="145"/>
      <c r="J116" s="641">
        <f t="shared" si="10"/>
        <v>0</v>
      </c>
      <c r="K116" s="8"/>
      <c r="L116" s="4"/>
      <c r="M116" s="4"/>
      <c r="N116" s="4"/>
      <c r="O116" s="4"/>
      <c r="P116" s="4"/>
    </row>
    <row r="117" spans="1:16" ht="20.25" customHeight="1">
      <c r="A117" s="653"/>
      <c r="B117" s="444"/>
      <c r="C117" s="500"/>
      <c r="D117" s="501" t="s">
        <v>112</v>
      </c>
      <c r="E117" s="502" t="s">
        <v>34</v>
      </c>
      <c r="F117" s="787" t="s">
        <v>28</v>
      </c>
      <c r="G117" s="450">
        <v>3</v>
      </c>
      <c r="H117" s="448" t="s">
        <v>26</v>
      </c>
      <c r="I117" s="449"/>
      <c r="J117" s="654">
        <f t="shared" si="10"/>
        <v>0</v>
      </c>
      <c r="K117" s="140"/>
      <c r="L117" s="69"/>
      <c r="M117" s="69"/>
      <c r="N117" s="69"/>
      <c r="O117" s="69"/>
      <c r="P117" s="69"/>
    </row>
    <row r="118" spans="1:16" ht="20.25" customHeight="1">
      <c r="A118" s="636"/>
      <c r="B118" s="269"/>
      <c r="C118" s="678"/>
      <c r="D118" s="702" t="s">
        <v>111</v>
      </c>
      <c r="E118" s="639" t="s">
        <v>34</v>
      </c>
      <c r="F118" s="680" t="s">
        <v>22</v>
      </c>
      <c r="G118" s="146">
        <v>216.40799999999999</v>
      </c>
      <c r="H118" s="147" t="s">
        <v>51</v>
      </c>
      <c r="I118" s="145"/>
      <c r="J118" s="641">
        <f t="shared" si="10"/>
        <v>0</v>
      </c>
      <c r="K118" s="8"/>
      <c r="L118" s="4"/>
      <c r="M118" s="4"/>
      <c r="N118" s="4"/>
      <c r="O118" s="4"/>
      <c r="P118" s="4"/>
    </row>
    <row r="119" spans="1:16" ht="20.25" customHeight="1">
      <c r="A119" s="704"/>
      <c r="B119" s="504"/>
      <c r="C119" s="505"/>
      <c r="D119" s="506" t="s">
        <v>125</v>
      </c>
      <c r="E119" s="639" t="s">
        <v>34</v>
      </c>
      <c r="F119" s="680" t="s">
        <v>22</v>
      </c>
      <c r="G119" s="146">
        <v>216.40799999999999</v>
      </c>
      <c r="H119" s="147" t="s">
        <v>51</v>
      </c>
      <c r="I119" s="145"/>
      <c r="J119" s="641">
        <f t="shared" si="10"/>
        <v>0</v>
      </c>
      <c r="K119" s="8"/>
      <c r="L119" s="4"/>
      <c r="M119" s="4"/>
      <c r="N119" s="4"/>
      <c r="O119" s="4"/>
      <c r="P119" s="4"/>
    </row>
    <row r="120" spans="1:16" ht="20.25" customHeight="1">
      <c r="A120" s="668"/>
      <c r="B120" s="457"/>
      <c r="C120" s="458"/>
      <c r="D120" s="459"/>
      <c r="E120" s="460"/>
      <c r="F120" s="782"/>
      <c r="G120" s="460"/>
      <c r="H120" s="461"/>
      <c r="I120" s="462" t="s">
        <v>140</v>
      </c>
      <c r="J120" s="669">
        <f>SUM(J110:J119)</f>
        <v>0</v>
      </c>
      <c r="K120" s="13"/>
      <c r="L120" s="3"/>
      <c r="M120" s="3"/>
      <c r="N120" s="3"/>
      <c r="O120" s="3"/>
      <c r="P120" s="3"/>
    </row>
    <row r="121" spans="1:16" ht="20.25" customHeight="1">
      <c r="A121" s="676">
        <v>12</v>
      </c>
      <c r="B121" s="512" t="s">
        <v>141</v>
      </c>
      <c r="C121" s="509"/>
      <c r="D121" s="705" t="s">
        <v>107</v>
      </c>
      <c r="E121" s="708" t="s">
        <v>31</v>
      </c>
      <c r="F121" s="680" t="s">
        <v>22</v>
      </c>
      <c r="G121" s="146">
        <v>155</v>
      </c>
      <c r="H121" s="147" t="s">
        <v>51</v>
      </c>
      <c r="I121" s="145"/>
      <c r="J121" s="641">
        <f t="shared" ref="J121:J124" si="11">+I121*G121</f>
        <v>0</v>
      </c>
      <c r="K121" s="8"/>
      <c r="L121" s="4"/>
      <c r="M121" s="4"/>
      <c r="N121" s="4"/>
      <c r="O121" s="4"/>
      <c r="P121" s="4"/>
    </row>
    <row r="122" spans="1:16" ht="20.25" customHeight="1">
      <c r="A122" s="636"/>
      <c r="B122" s="272"/>
      <c r="C122" s="678"/>
      <c r="D122" s="701" t="s">
        <v>108</v>
      </c>
      <c r="E122" s="650" t="s">
        <v>31</v>
      </c>
      <c r="F122" s="680" t="s">
        <v>22</v>
      </c>
      <c r="G122" s="146">
        <v>155</v>
      </c>
      <c r="H122" s="147" t="s">
        <v>51</v>
      </c>
      <c r="I122" s="145"/>
      <c r="J122" s="641">
        <f t="shared" si="11"/>
        <v>0</v>
      </c>
      <c r="K122" s="8"/>
      <c r="L122" s="4"/>
      <c r="M122" s="4"/>
      <c r="N122" s="4"/>
      <c r="O122" s="4"/>
      <c r="P122" s="4"/>
    </row>
    <row r="123" spans="1:16" ht="20.25" customHeight="1">
      <c r="A123" s="636"/>
      <c r="B123" s="269"/>
      <c r="C123" s="678"/>
      <c r="D123" s="702" t="s">
        <v>120</v>
      </c>
      <c r="E123" s="650" t="s">
        <v>31</v>
      </c>
      <c r="F123" s="680" t="s">
        <v>22</v>
      </c>
      <c r="G123" s="146">
        <v>155</v>
      </c>
      <c r="H123" s="147" t="s">
        <v>51</v>
      </c>
      <c r="I123" s="145"/>
      <c r="J123" s="641">
        <f t="shared" si="11"/>
        <v>0</v>
      </c>
      <c r="K123" s="8"/>
      <c r="L123" s="4"/>
      <c r="M123" s="4"/>
      <c r="N123" s="4"/>
      <c r="O123" s="4"/>
      <c r="P123" s="4"/>
    </row>
    <row r="124" spans="1:16" ht="20.25" customHeight="1">
      <c r="A124" s="704"/>
      <c r="B124" s="504"/>
      <c r="C124" s="505"/>
      <c r="D124" s="506" t="s">
        <v>113</v>
      </c>
      <c r="E124" s="513" t="s">
        <v>31</v>
      </c>
      <c r="F124" s="680" t="s">
        <v>22</v>
      </c>
      <c r="G124" s="146">
        <v>155</v>
      </c>
      <c r="H124" s="147" t="s">
        <v>51</v>
      </c>
      <c r="I124" s="145"/>
      <c r="J124" s="641">
        <f t="shared" si="11"/>
        <v>0</v>
      </c>
      <c r="K124" s="8"/>
      <c r="L124" s="4"/>
      <c r="M124" s="4"/>
      <c r="N124" s="4"/>
      <c r="O124" s="4"/>
      <c r="P124" s="4"/>
    </row>
    <row r="125" spans="1:16" ht="20.25" customHeight="1">
      <c r="A125" s="668"/>
      <c r="B125" s="457"/>
      <c r="C125" s="458"/>
      <c r="D125" s="459"/>
      <c r="E125" s="460"/>
      <c r="F125" s="782"/>
      <c r="G125" s="460"/>
      <c r="H125" s="461"/>
      <c r="I125" s="462" t="s">
        <v>142</v>
      </c>
      <c r="J125" s="669">
        <f>SUM(J121:J124)</f>
        <v>0</v>
      </c>
      <c r="K125" s="13"/>
      <c r="L125" s="3"/>
      <c r="M125" s="3"/>
      <c r="N125" s="3"/>
      <c r="O125" s="3"/>
      <c r="P125" s="3"/>
    </row>
    <row r="126" spans="1:16" ht="20.25" customHeight="1">
      <c r="A126" s="676">
        <v>13</v>
      </c>
      <c r="B126" s="508" t="s">
        <v>143</v>
      </c>
      <c r="C126" s="509"/>
      <c r="D126" s="705" t="s">
        <v>107</v>
      </c>
      <c r="E126" s="639" t="s">
        <v>34</v>
      </c>
      <c r="F126" s="680" t="s">
        <v>22</v>
      </c>
      <c r="G126" s="146">
        <v>180.11999999999998</v>
      </c>
      <c r="H126" s="147" t="s">
        <v>51</v>
      </c>
      <c r="I126" s="145"/>
      <c r="J126" s="641">
        <f t="shared" ref="J126:J134" si="12">+I126*G126</f>
        <v>0</v>
      </c>
      <c r="K126" s="8"/>
      <c r="L126" s="4"/>
      <c r="M126" s="4"/>
      <c r="N126" s="4"/>
      <c r="O126" s="4"/>
      <c r="P126" s="4"/>
    </row>
    <row r="127" spans="1:16" ht="20.25" customHeight="1">
      <c r="A127" s="636"/>
      <c r="B127" s="269"/>
      <c r="C127" s="678"/>
      <c r="D127" s="701" t="s">
        <v>108</v>
      </c>
      <c r="E127" s="639" t="s">
        <v>34</v>
      </c>
      <c r="F127" s="680" t="s">
        <v>22</v>
      </c>
      <c r="G127" s="146">
        <v>81.149999999999991</v>
      </c>
      <c r="H127" s="147" t="s">
        <v>51</v>
      </c>
      <c r="I127" s="145"/>
      <c r="J127" s="641">
        <f t="shared" si="12"/>
        <v>0</v>
      </c>
      <c r="K127" s="8"/>
      <c r="L127" s="4"/>
      <c r="M127" s="4"/>
      <c r="N127" s="4"/>
      <c r="O127" s="4"/>
      <c r="P127" s="4"/>
    </row>
    <row r="128" spans="1:16" ht="20.25" customHeight="1">
      <c r="A128" s="636"/>
      <c r="B128" s="269"/>
      <c r="C128" s="678"/>
      <c r="D128" s="701" t="s">
        <v>110</v>
      </c>
      <c r="E128" s="639" t="s">
        <v>34</v>
      </c>
      <c r="F128" s="680" t="s">
        <v>22</v>
      </c>
      <c r="G128" s="146">
        <v>81.149999999999991</v>
      </c>
      <c r="H128" s="147" t="s">
        <v>51</v>
      </c>
      <c r="I128" s="145"/>
      <c r="J128" s="641">
        <f t="shared" si="12"/>
        <v>0</v>
      </c>
      <c r="K128" s="8"/>
      <c r="L128" s="4"/>
      <c r="M128" s="4"/>
      <c r="N128" s="4"/>
      <c r="O128" s="4"/>
      <c r="P128" s="4"/>
    </row>
    <row r="129" spans="1:16" ht="20.25" customHeight="1">
      <c r="A129" s="653"/>
      <c r="B129" s="444"/>
      <c r="C129" s="500"/>
      <c r="D129" s="501" t="s">
        <v>112</v>
      </c>
      <c r="E129" s="502" t="s">
        <v>34</v>
      </c>
      <c r="F129" s="787" t="s">
        <v>28</v>
      </c>
      <c r="G129" s="450">
        <v>1</v>
      </c>
      <c r="H129" s="448" t="s">
        <v>26</v>
      </c>
      <c r="I129" s="449"/>
      <c r="J129" s="654">
        <f t="shared" si="12"/>
        <v>0</v>
      </c>
      <c r="K129" s="140"/>
      <c r="L129" s="69"/>
      <c r="M129" s="69"/>
      <c r="N129" s="69"/>
      <c r="O129" s="69"/>
      <c r="P129" s="69"/>
    </row>
    <row r="130" spans="1:16" ht="20.25" customHeight="1">
      <c r="A130" s="636"/>
      <c r="B130" s="269"/>
      <c r="C130" s="678"/>
      <c r="D130" s="701" t="s">
        <v>133</v>
      </c>
      <c r="E130" s="639" t="s">
        <v>34</v>
      </c>
      <c r="F130" s="680" t="s">
        <v>22</v>
      </c>
      <c r="G130" s="146">
        <v>2</v>
      </c>
      <c r="H130" s="147" t="s">
        <v>26</v>
      </c>
      <c r="I130" s="145"/>
      <c r="J130" s="641">
        <f t="shared" si="12"/>
        <v>0</v>
      </c>
      <c r="K130" s="8"/>
      <c r="L130" s="4"/>
      <c r="M130" s="4"/>
      <c r="N130" s="4"/>
      <c r="O130" s="4"/>
      <c r="P130" s="4"/>
    </row>
    <row r="131" spans="1:16" ht="20.25" customHeight="1">
      <c r="A131" s="636"/>
      <c r="B131" s="269"/>
      <c r="C131" s="678"/>
      <c r="D131" s="702" t="s">
        <v>111</v>
      </c>
      <c r="E131" s="639" t="s">
        <v>34</v>
      </c>
      <c r="F131" s="680" t="s">
        <v>22</v>
      </c>
      <c r="G131" s="146">
        <v>180.11999999999998</v>
      </c>
      <c r="H131" s="147" t="s">
        <v>51</v>
      </c>
      <c r="I131" s="145"/>
      <c r="J131" s="641">
        <f t="shared" si="12"/>
        <v>0</v>
      </c>
      <c r="K131" s="8"/>
      <c r="L131" s="4"/>
      <c r="M131" s="4"/>
      <c r="N131" s="4"/>
      <c r="O131" s="4"/>
      <c r="P131" s="4"/>
    </row>
    <row r="132" spans="1:16" ht="20.25" customHeight="1">
      <c r="A132" s="636"/>
      <c r="B132" s="269"/>
      <c r="C132" s="678"/>
      <c r="D132" s="702" t="s">
        <v>125</v>
      </c>
      <c r="E132" s="639" t="s">
        <v>34</v>
      </c>
      <c r="F132" s="680" t="s">
        <v>22</v>
      </c>
      <c r="G132" s="146">
        <v>180.11999999999998</v>
      </c>
      <c r="H132" s="147" t="s">
        <v>51</v>
      </c>
      <c r="I132" s="145"/>
      <c r="J132" s="641">
        <f t="shared" si="12"/>
        <v>0</v>
      </c>
      <c r="K132" s="8"/>
      <c r="L132" s="4"/>
      <c r="M132" s="4"/>
      <c r="N132" s="4"/>
      <c r="O132" s="4"/>
      <c r="P132" s="4"/>
    </row>
    <row r="133" spans="1:16" ht="20.25" customHeight="1">
      <c r="A133" s="636"/>
      <c r="B133" s="269"/>
      <c r="C133" s="678"/>
      <c r="D133" s="702" t="s">
        <v>144</v>
      </c>
      <c r="E133" s="639" t="s">
        <v>34</v>
      </c>
      <c r="F133" s="680" t="s">
        <v>28</v>
      </c>
      <c r="G133" s="146">
        <v>1</v>
      </c>
      <c r="H133" s="147" t="s">
        <v>26</v>
      </c>
      <c r="I133" s="145"/>
      <c r="J133" s="641">
        <f t="shared" si="12"/>
        <v>0</v>
      </c>
      <c r="K133" s="8"/>
      <c r="L133" s="4"/>
      <c r="M133" s="4"/>
      <c r="N133" s="4"/>
      <c r="O133" s="4"/>
      <c r="P133" s="4"/>
    </row>
    <row r="134" spans="1:16" ht="20.25" customHeight="1">
      <c r="A134" s="704"/>
      <c r="B134" s="504"/>
      <c r="C134" s="505"/>
      <c r="D134" s="506" t="s">
        <v>145</v>
      </c>
      <c r="E134" s="639" t="s">
        <v>34</v>
      </c>
      <c r="F134" s="788" t="s">
        <v>28</v>
      </c>
      <c r="G134" s="146">
        <v>1</v>
      </c>
      <c r="H134" s="147" t="s">
        <v>47</v>
      </c>
      <c r="I134" s="145"/>
      <c r="J134" s="641">
        <f t="shared" si="12"/>
        <v>0</v>
      </c>
      <c r="K134" s="8"/>
      <c r="L134" s="4"/>
      <c r="M134" s="4"/>
      <c r="N134" s="4"/>
      <c r="O134" s="4"/>
      <c r="P134" s="4"/>
    </row>
    <row r="135" spans="1:16" ht="20.25" customHeight="1">
      <c r="A135" s="668"/>
      <c r="B135" s="457"/>
      <c r="C135" s="458"/>
      <c r="D135" s="459"/>
      <c r="E135" s="460"/>
      <c r="F135" s="782"/>
      <c r="G135" s="460"/>
      <c r="H135" s="461"/>
      <c r="I135" s="462" t="s">
        <v>146</v>
      </c>
      <c r="J135" s="669">
        <f>SUM(J126:J134)</f>
        <v>0</v>
      </c>
      <c r="K135" s="13"/>
      <c r="L135" s="3"/>
      <c r="M135" s="3"/>
      <c r="N135" s="3"/>
      <c r="O135" s="3"/>
      <c r="P135" s="3"/>
    </row>
    <row r="136" spans="1:16" ht="26.25" customHeight="1">
      <c r="A136" s="676">
        <v>14</v>
      </c>
      <c r="B136" s="511" t="s">
        <v>147</v>
      </c>
      <c r="C136" s="509"/>
      <c r="D136" s="705" t="s">
        <v>107</v>
      </c>
      <c r="E136" s="639" t="s">
        <v>34</v>
      </c>
      <c r="F136" s="680" t="s">
        <v>22</v>
      </c>
      <c r="G136" s="146">
        <v>0</v>
      </c>
      <c r="H136" s="147" t="s">
        <v>51</v>
      </c>
      <c r="I136" s="145"/>
      <c r="J136" s="641">
        <f t="shared" ref="J136:J142" si="13">+I136*G136</f>
        <v>0</v>
      </c>
      <c r="K136" s="8"/>
      <c r="L136" s="4"/>
      <c r="M136" s="4"/>
      <c r="N136" s="4"/>
      <c r="O136" s="4"/>
      <c r="P136" s="4"/>
    </row>
    <row r="137" spans="1:16" ht="20.25" customHeight="1">
      <c r="A137" s="636"/>
      <c r="B137" s="269"/>
      <c r="C137" s="678"/>
      <c r="D137" s="701" t="s">
        <v>108</v>
      </c>
      <c r="E137" s="639" t="s">
        <v>34</v>
      </c>
      <c r="F137" s="680" t="s">
        <v>22</v>
      </c>
      <c r="G137" s="146">
        <v>0</v>
      </c>
      <c r="H137" s="147" t="s">
        <v>51</v>
      </c>
      <c r="I137" s="145"/>
      <c r="J137" s="641">
        <f t="shared" si="13"/>
        <v>0</v>
      </c>
      <c r="K137" s="8"/>
      <c r="L137" s="4"/>
      <c r="M137" s="4"/>
      <c r="N137" s="4"/>
      <c r="O137" s="4"/>
      <c r="P137" s="4"/>
    </row>
    <row r="138" spans="1:16" ht="20.25" customHeight="1">
      <c r="A138" s="636"/>
      <c r="B138" s="269"/>
      <c r="C138" s="678"/>
      <c r="D138" s="702" t="s">
        <v>110</v>
      </c>
      <c r="E138" s="639" t="s">
        <v>34</v>
      </c>
      <c r="F138" s="680" t="s">
        <v>22</v>
      </c>
      <c r="G138" s="146">
        <v>0</v>
      </c>
      <c r="H138" s="147" t="s">
        <v>51</v>
      </c>
      <c r="I138" s="145"/>
      <c r="J138" s="641">
        <f t="shared" si="13"/>
        <v>0</v>
      </c>
      <c r="K138" s="8"/>
      <c r="L138" s="4"/>
      <c r="M138" s="4"/>
      <c r="N138" s="4"/>
      <c r="O138" s="4"/>
      <c r="P138" s="4"/>
    </row>
    <row r="139" spans="1:16" ht="20.25" customHeight="1">
      <c r="A139" s="653"/>
      <c r="B139" s="444"/>
      <c r="C139" s="500"/>
      <c r="D139" s="501" t="s">
        <v>112</v>
      </c>
      <c r="E139" s="502" t="s">
        <v>34</v>
      </c>
      <c r="F139" s="680" t="s">
        <v>28</v>
      </c>
      <c r="G139" s="146">
        <v>0</v>
      </c>
      <c r="H139" s="448" t="s">
        <v>26</v>
      </c>
      <c r="I139" s="449"/>
      <c r="J139" s="654">
        <f t="shared" si="13"/>
        <v>0</v>
      </c>
      <c r="K139" s="140"/>
      <c r="L139" s="69"/>
      <c r="M139" s="69"/>
      <c r="N139" s="69"/>
      <c r="O139" s="69"/>
      <c r="P139" s="69"/>
    </row>
    <row r="140" spans="1:16" ht="20.25" customHeight="1">
      <c r="A140" s="636"/>
      <c r="B140" s="269"/>
      <c r="C140" s="678"/>
      <c r="D140" s="702" t="s">
        <v>111</v>
      </c>
      <c r="E140" s="639" t="s">
        <v>34</v>
      </c>
      <c r="F140" s="680" t="s">
        <v>22</v>
      </c>
      <c r="G140" s="146">
        <v>0</v>
      </c>
      <c r="H140" s="147" t="s">
        <v>51</v>
      </c>
      <c r="I140" s="145"/>
      <c r="J140" s="641">
        <f t="shared" si="13"/>
        <v>0</v>
      </c>
      <c r="K140" s="8"/>
      <c r="L140" s="4"/>
      <c r="M140" s="4"/>
      <c r="N140" s="4"/>
      <c r="O140" s="4"/>
      <c r="P140" s="4"/>
    </row>
    <row r="141" spans="1:16" ht="20.25" customHeight="1">
      <c r="A141" s="636"/>
      <c r="B141" s="269"/>
      <c r="C141" s="678"/>
      <c r="D141" s="702" t="s">
        <v>125</v>
      </c>
      <c r="E141" s="639" t="s">
        <v>34</v>
      </c>
      <c r="F141" s="680" t="s">
        <v>22</v>
      </c>
      <c r="G141" s="146">
        <v>0</v>
      </c>
      <c r="H141" s="147" t="s">
        <v>51</v>
      </c>
      <c r="I141" s="145"/>
      <c r="J141" s="641">
        <f t="shared" si="13"/>
        <v>0</v>
      </c>
      <c r="K141" s="8"/>
      <c r="L141" s="4"/>
      <c r="M141" s="4"/>
      <c r="N141" s="4"/>
      <c r="O141" s="4"/>
      <c r="P141" s="4"/>
    </row>
    <row r="142" spans="1:16" ht="20.25" customHeight="1">
      <c r="A142" s="704"/>
      <c r="B142" s="504"/>
      <c r="C142" s="505"/>
      <c r="D142" s="506" t="s">
        <v>148</v>
      </c>
      <c r="E142" s="639" t="s">
        <v>34</v>
      </c>
      <c r="F142" s="680" t="s">
        <v>28</v>
      </c>
      <c r="G142" s="146">
        <v>0</v>
      </c>
      <c r="H142" s="147" t="s">
        <v>26</v>
      </c>
      <c r="I142" s="145"/>
      <c r="J142" s="641">
        <f t="shared" si="13"/>
        <v>0</v>
      </c>
      <c r="K142" s="8"/>
      <c r="L142" s="4"/>
      <c r="M142" s="4"/>
      <c r="N142" s="4"/>
      <c r="O142" s="4"/>
      <c r="P142" s="4"/>
    </row>
    <row r="143" spans="1:16" ht="20.25" customHeight="1">
      <c r="A143" s="668"/>
      <c r="B143" s="457"/>
      <c r="C143" s="458"/>
      <c r="D143" s="459"/>
      <c r="E143" s="460"/>
      <c r="F143" s="782"/>
      <c r="G143" s="460"/>
      <c r="H143" s="461"/>
      <c r="I143" s="462" t="s">
        <v>149</v>
      </c>
      <c r="J143" s="669">
        <f>SUM(J136:J142)</f>
        <v>0</v>
      </c>
      <c r="K143" s="13"/>
      <c r="L143" s="3"/>
      <c r="M143" s="3"/>
      <c r="N143" s="3"/>
      <c r="O143" s="3"/>
      <c r="P143" s="3"/>
    </row>
    <row r="144" spans="1:16" ht="20.25" customHeight="1">
      <c r="A144" s="636">
        <v>15</v>
      </c>
      <c r="B144" s="451" t="s">
        <v>150</v>
      </c>
      <c r="C144" s="678"/>
      <c r="D144" s="701" t="s">
        <v>107</v>
      </c>
      <c r="E144" s="639" t="s">
        <v>34</v>
      </c>
      <c r="F144" s="680" t="s">
        <v>22</v>
      </c>
      <c r="G144" s="146">
        <v>0</v>
      </c>
      <c r="H144" s="147" t="s">
        <v>51</v>
      </c>
      <c r="I144" s="145"/>
      <c r="J144" s="641">
        <f t="shared" ref="J144:J150" si="14">+I144*G144</f>
        <v>0</v>
      </c>
      <c r="K144" s="8"/>
      <c r="L144" s="4"/>
      <c r="M144" s="4"/>
      <c r="N144" s="4"/>
      <c r="O144" s="4"/>
      <c r="P144" s="4"/>
    </row>
    <row r="145" spans="1:16" ht="20.25" customHeight="1">
      <c r="A145" s="636"/>
      <c r="B145" s="269"/>
      <c r="C145" s="678"/>
      <c r="D145" s="701" t="s">
        <v>108</v>
      </c>
      <c r="E145" s="639" t="s">
        <v>34</v>
      </c>
      <c r="F145" s="680" t="s">
        <v>22</v>
      </c>
      <c r="G145" s="146">
        <v>0</v>
      </c>
      <c r="H145" s="147" t="s">
        <v>51</v>
      </c>
      <c r="I145" s="145"/>
      <c r="J145" s="641">
        <f t="shared" si="14"/>
        <v>0</v>
      </c>
      <c r="K145" s="8"/>
      <c r="L145" s="4"/>
      <c r="M145" s="4"/>
      <c r="N145" s="4"/>
      <c r="O145" s="4"/>
      <c r="P145" s="4"/>
    </row>
    <row r="146" spans="1:16" ht="20.25" customHeight="1">
      <c r="A146" s="636"/>
      <c r="B146" s="269"/>
      <c r="C146" s="678"/>
      <c r="D146" s="701" t="s">
        <v>110</v>
      </c>
      <c r="E146" s="639" t="s">
        <v>34</v>
      </c>
      <c r="F146" s="680" t="s">
        <v>22</v>
      </c>
      <c r="G146" s="146">
        <v>0</v>
      </c>
      <c r="H146" s="147" t="s">
        <v>51</v>
      </c>
      <c r="I146" s="145"/>
      <c r="J146" s="641">
        <f t="shared" si="14"/>
        <v>0</v>
      </c>
      <c r="K146" s="8"/>
      <c r="L146" s="4"/>
      <c r="M146" s="4"/>
      <c r="N146" s="4"/>
      <c r="O146" s="4"/>
      <c r="P146" s="4"/>
    </row>
    <row r="147" spans="1:16" ht="20.25" customHeight="1">
      <c r="A147" s="653"/>
      <c r="B147" s="444"/>
      <c r="C147" s="500"/>
      <c r="D147" s="501" t="s">
        <v>112</v>
      </c>
      <c r="E147" s="502" t="s">
        <v>34</v>
      </c>
      <c r="F147" s="787" t="s">
        <v>28</v>
      </c>
      <c r="G147" s="146">
        <v>0</v>
      </c>
      <c r="H147" s="448" t="s">
        <v>26</v>
      </c>
      <c r="I147" s="449"/>
      <c r="J147" s="654">
        <f t="shared" si="14"/>
        <v>0</v>
      </c>
      <c r="K147" s="140"/>
      <c r="L147" s="69"/>
      <c r="M147" s="69"/>
      <c r="N147" s="69"/>
      <c r="O147" s="69"/>
      <c r="P147" s="69"/>
    </row>
    <row r="148" spans="1:16" ht="20.25" customHeight="1">
      <c r="A148" s="636"/>
      <c r="B148" s="269"/>
      <c r="C148" s="678"/>
      <c r="D148" s="702" t="s">
        <v>111</v>
      </c>
      <c r="E148" s="639" t="s">
        <v>34</v>
      </c>
      <c r="F148" s="680" t="s">
        <v>22</v>
      </c>
      <c r="G148" s="146">
        <v>0</v>
      </c>
      <c r="H148" s="147" t="s">
        <v>51</v>
      </c>
      <c r="I148" s="145"/>
      <c r="J148" s="641">
        <f t="shared" si="14"/>
        <v>0</v>
      </c>
      <c r="K148" s="8"/>
      <c r="L148" s="4"/>
      <c r="M148" s="4"/>
      <c r="N148" s="4"/>
      <c r="O148" s="4"/>
      <c r="P148" s="4"/>
    </row>
    <row r="149" spans="1:16" ht="20.25" customHeight="1">
      <c r="A149" s="636"/>
      <c r="B149" s="269"/>
      <c r="C149" s="678"/>
      <c r="D149" s="702" t="s">
        <v>125</v>
      </c>
      <c r="E149" s="639" t="s">
        <v>34</v>
      </c>
      <c r="F149" s="680" t="s">
        <v>22</v>
      </c>
      <c r="G149" s="146">
        <v>0</v>
      </c>
      <c r="H149" s="147" t="s">
        <v>51</v>
      </c>
      <c r="I149" s="145"/>
      <c r="J149" s="641">
        <f t="shared" si="14"/>
        <v>0</v>
      </c>
      <c r="K149" s="8"/>
      <c r="L149" s="4"/>
      <c r="M149" s="4"/>
      <c r="N149" s="4"/>
      <c r="O149" s="4"/>
      <c r="P149" s="4"/>
    </row>
    <row r="150" spans="1:16" ht="20.25" customHeight="1">
      <c r="A150" s="704"/>
      <c r="B150" s="504"/>
      <c r="C150" s="505"/>
      <c r="D150" s="506" t="s">
        <v>151</v>
      </c>
      <c r="E150" s="639" t="s">
        <v>34</v>
      </c>
      <c r="F150" s="788" t="s">
        <v>28</v>
      </c>
      <c r="G150" s="146">
        <v>0</v>
      </c>
      <c r="H150" s="147" t="s">
        <v>26</v>
      </c>
      <c r="I150" s="145"/>
      <c r="J150" s="641">
        <f t="shared" si="14"/>
        <v>0</v>
      </c>
      <c r="K150" s="8"/>
      <c r="L150" s="4"/>
      <c r="M150" s="4"/>
      <c r="N150" s="4"/>
      <c r="O150" s="4"/>
      <c r="P150" s="4"/>
    </row>
    <row r="151" spans="1:16" ht="20.25" customHeight="1">
      <c r="A151" s="668"/>
      <c r="B151" s="457"/>
      <c r="C151" s="458"/>
      <c r="D151" s="459"/>
      <c r="E151" s="460"/>
      <c r="F151" s="782"/>
      <c r="G151" s="460"/>
      <c r="H151" s="461"/>
      <c r="I151" s="462" t="s">
        <v>152</v>
      </c>
      <c r="J151" s="669">
        <f>SUM(J144:J150)</f>
        <v>0</v>
      </c>
      <c r="K151" s="13"/>
      <c r="L151" s="3"/>
      <c r="M151" s="3"/>
      <c r="N151" s="3"/>
      <c r="O151" s="3"/>
      <c r="P151" s="3"/>
    </row>
    <row r="152" spans="1:16" ht="20.25" customHeight="1">
      <c r="A152" s="636">
        <v>16</v>
      </c>
      <c r="B152" s="451" t="s">
        <v>153</v>
      </c>
      <c r="C152" s="678"/>
      <c r="D152" s="701" t="s">
        <v>107</v>
      </c>
      <c r="E152" s="639" t="s">
        <v>34</v>
      </c>
      <c r="F152" s="680" t="s">
        <v>22</v>
      </c>
      <c r="G152" s="146">
        <v>0</v>
      </c>
      <c r="H152" s="667" t="s">
        <v>51</v>
      </c>
      <c r="I152" s="145"/>
      <c r="J152" s="641">
        <f t="shared" ref="J152:J158" si="15">G152*I152</f>
        <v>0</v>
      </c>
      <c r="K152" s="8"/>
      <c r="L152" s="4"/>
      <c r="M152" s="4"/>
      <c r="N152" s="4"/>
      <c r="O152" s="4"/>
      <c r="P152" s="4"/>
    </row>
    <row r="153" spans="1:16" ht="20.25" customHeight="1">
      <c r="A153" s="636"/>
      <c r="B153" s="269"/>
      <c r="C153" s="678"/>
      <c r="D153" s="701" t="s">
        <v>108</v>
      </c>
      <c r="E153" s="639" t="s">
        <v>34</v>
      </c>
      <c r="F153" s="680" t="s">
        <v>22</v>
      </c>
      <c r="G153" s="146">
        <v>0</v>
      </c>
      <c r="H153" s="667" t="s">
        <v>51</v>
      </c>
      <c r="I153" s="145"/>
      <c r="J153" s="641">
        <f t="shared" si="15"/>
        <v>0</v>
      </c>
      <c r="K153" s="8"/>
      <c r="L153" s="4"/>
      <c r="M153" s="4"/>
      <c r="N153" s="4"/>
      <c r="O153" s="4"/>
      <c r="P153" s="4"/>
    </row>
    <row r="154" spans="1:16" ht="20.25" customHeight="1">
      <c r="A154" s="636"/>
      <c r="B154" s="269"/>
      <c r="C154" s="678"/>
      <c r="D154" s="701" t="s">
        <v>110</v>
      </c>
      <c r="E154" s="639" t="s">
        <v>34</v>
      </c>
      <c r="F154" s="680" t="s">
        <v>22</v>
      </c>
      <c r="G154" s="146">
        <v>0</v>
      </c>
      <c r="H154" s="667" t="s">
        <v>51</v>
      </c>
      <c r="I154" s="145"/>
      <c r="J154" s="641">
        <f t="shared" si="15"/>
        <v>0</v>
      </c>
      <c r="K154" s="8"/>
      <c r="L154" s="4"/>
      <c r="M154" s="4"/>
      <c r="N154" s="4"/>
      <c r="O154" s="4"/>
      <c r="P154" s="4"/>
    </row>
    <row r="155" spans="1:16" ht="20.25" customHeight="1">
      <c r="A155" s="653"/>
      <c r="B155" s="444"/>
      <c r="C155" s="500"/>
      <c r="D155" s="501" t="s">
        <v>112</v>
      </c>
      <c r="E155" s="502" t="s">
        <v>34</v>
      </c>
      <c r="F155" s="787" t="s">
        <v>28</v>
      </c>
      <c r="G155" s="146">
        <v>0</v>
      </c>
      <c r="H155" s="503" t="s">
        <v>26</v>
      </c>
      <c r="I155" s="449"/>
      <c r="J155" s="654">
        <f t="shared" si="15"/>
        <v>0</v>
      </c>
      <c r="K155" s="140"/>
      <c r="L155" s="69"/>
      <c r="M155" s="69"/>
      <c r="N155" s="69"/>
      <c r="O155" s="69"/>
      <c r="P155" s="69"/>
    </row>
    <row r="156" spans="1:16" ht="20.25" customHeight="1">
      <c r="A156" s="636"/>
      <c r="B156" s="269"/>
      <c r="C156" s="678"/>
      <c r="D156" s="702" t="s">
        <v>111</v>
      </c>
      <c r="E156" s="639" t="s">
        <v>34</v>
      </c>
      <c r="F156" s="680" t="s">
        <v>22</v>
      </c>
      <c r="G156" s="146">
        <v>0</v>
      </c>
      <c r="H156" s="640" t="s">
        <v>51</v>
      </c>
      <c r="I156" s="145"/>
      <c r="J156" s="641">
        <f t="shared" si="15"/>
        <v>0</v>
      </c>
      <c r="K156" s="8"/>
      <c r="L156" s="4"/>
      <c r="M156" s="4"/>
      <c r="N156" s="4"/>
      <c r="O156" s="4"/>
      <c r="P156" s="4"/>
    </row>
    <row r="157" spans="1:16" ht="20.25" customHeight="1">
      <c r="A157" s="636"/>
      <c r="B157" s="269"/>
      <c r="C157" s="678"/>
      <c r="D157" s="702" t="s">
        <v>125</v>
      </c>
      <c r="E157" s="639" t="s">
        <v>34</v>
      </c>
      <c r="F157" s="680" t="s">
        <v>22</v>
      </c>
      <c r="G157" s="146">
        <v>0</v>
      </c>
      <c r="H157" s="640" t="s">
        <v>51</v>
      </c>
      <c r="I157" s="145"/>
      <c r="J157" s="641">
        <f t="shared" si="15"/>
        <v>0</v>
      </c>
      <c r="K157" s="8"/>
      <c r="L157" s="4"/>
      <c r="M157" s="4"/>
      <c r="N157" s="4"/>
      <c r="O157" s="4"/>
      <c r="P157" s="4"/>
    </row>
    <row r="158" spans="1:16" ht="20.25" customHeight="1">
      <c r="A158" s="704"/>
      <c r="B158" s="504"/>
      <c r="C158" s="505"/>
      <c r="D158" s="506" t="s">
        <v>151</v>
      </c>
      <c r="E158" s="639" t="s">
        <v>34</v>
      </c>
      <c r="F158" s="788" t="s">
        <v>28</v>
      </c>
      <c r="G158" s="146">
        <v>0</v>
      </c>
      <c r="H158" s="474" t="s">
        <v>26</v>
      </c>
      <c r="I158" s="145"/>
      <c r="J158" s="641">
        <f t="shared" si="15"/>
        <v>0</v>
      </c>
      <c r="K158" s="8"/>
      <c r="L158" s="4"/>
      <c r="M158" s="4"/>
      <c r="N158" s="4"/>
      <c r="O158" s="4"/>
      <c r="P158" s="4"/>
    </row>
    <row r="159" spans="1:16" ht="20.25" customHeight="1">
      <c r="A159" s="668"/>
      <c r="B159" s="457"/>
      <c r="C159" s="458"/>
      <c r="D159" s="459"/>
      <c r="E159" s="460"/>
      <c r="F159" s="782"/>
      <c r="G159" s="460"/>
      <c r="H159" s="461"/>
      <c r="I159" s="462" t="s">
        <v>154</v>
      </c>
      <c r="J159" s="669">
        <f>SUM(J152:J158)</f>
        <v>0</v>
      </c>
      <c r="K159" s="13"/>
      <c r="L159" s="3"/>
      <c r="M159" s="3"/>
      <c r="N159" s="3"/>
      <c r="O159" s="3"/>
      <c r="P159" s="3"/>
    </row>
    <row r="160" spans="1:16" ht="20.25" customHeight="1">
      <c r="A160" s="636">
        <v>17</v>
      </c>
      <c r="B160" s="451" t="s">
        <v>155</v>
      </c>
      <c r="C160" s="678"/>
      <c r="D160" s="701" t="s">
        <v>107</v>
      </c>
      <c r="E160" s="639" t="s">
        <v>34</v>
      </c>
      <c r="F160" s="680" t="s">
        <v>22</v>
      </c>
      <c r="G160" s="146">
        <v>0</v>
      </c>
      <c r="H160" s="667" t="s">
        <v>51</v>
      </c>
      <c r="I160" s="145"/>
      <c r="J160" s="641">
        <f t="shared" ref="J160:J163" si="16">G160*I160</f>
        <v>0</v>
      </c>
      <c r="K160" s="8"/>
      <c r="L160" s="4"/>
      <c r="M160" s="4"/>
      <c r="N160" s="4"/>
      <c r="O160" s="4"/>
      <c r="P160" s="4"/>
    </row>
    <row r="161" spans="1:16" ht="20.25" customHeight="1">
      <c r="A161" s="636"/>
      <c r="B161" s="269"/>
      <c r="C161" s="678"/>
      <c r="D161" s="701" t="s">
        <v>108</v>
      </c>
      <c r="E161" s="639" t="s">
        <v>34</v>
      </c>
      <c r="F161" s="680" t="s">
        <v>22</v>
      </c>
      <c r="G161" s="146">
        <v>0</v>
      </c>
      <c r="H161" s="667" t="s">
        <v>51</v>
      </c>
      <c r="I161" s="145"/>
      <c r="J161" s="641">
        <f t="shared" si="16"/>
        <v>0</v>
      </c>
      <c r="K161" s="8"/>
      <c r="L161" s="4"/>
      <c r="M161" s="4"/>
      <c r="N161" s="4"/>
      <c r="O161" s="4"/>
      <c r="P161" s="4"/>
    </row>
    <row r="162" spans="1:16" ht="20.25" customHeight="1">
      <c r="A162" s="636"/>
      <c r="B162" s="269"/>
      <c r="C162" s="678"/>
      <c r="D162" s="702" t="s">
        <v>111</v>
      </c>
      <c r="E162" s="639" t="s">
        <v>34</v>
      </c>
      <c r="F162" s="680" t="s">
        <v>22</v>
      </c>
      <c r="G162" s="146">
        <v>0</v>
      </c>
      <c r="H162" s="640" t="s">
        <v>51</v>
      </c>
      <c r="I162" s="145"/>
      <c r="J162" s="641">
        <f t="shared" si="16"/>
        <v>0</v>
      </c>
      <c r="K162" s="8"/>
      <c r="L162" s="4"/>
      <c r="M162" s="4"/>
      <c r="N162" s="4"/>
      <c r="O162" s="4"/>
      <c r="P162" s="4"/>
    </row>
    <row r="163" spans="1:16" ht="20.25" customHeight="1">
      <c r="A163" s="636"/>
      <c r="B163" s="269"/>
      <c r="C163" s="678"/>
      <c r="D163" s="702" t="s">
        <v>125</v>
      </c>
      <c r="E163" s="639" t="s">
        <v>34</v>
      </c>
      <c r="F163" s="680" t="s">
        <v>22</v>
      </c>
      <c r="G163" s="146">
        <v>0</v>
      </c>
      <c r="H163" s="640" t="s">
        <v>51</v>
      </c>
      <c r="I163" s="145"/>
      <c r="J163" s="641">
        <f t="shared" si="16"/>
        <v>0</v>
      </c>
      <c r="K163" s="8"/>
      <c r="L163" s="4"/>
      <c r="M163" s="4"/>
      <c r="N163" s="4"/>
      <c r="O163" s="4"/>
      <c r="P163" s="4"/>
    </row>
    <row r="164" spans="1:16" ht="20.25" customHeight="1">
      <c r="A164" s="668"/>
      <c r="B164" s="457"/>
      <c r="C164" s="458"/>
      <c r="D164" s="459"/>
      <c r="E164" s="460"/>
      <c r="F164" s="782"/>
      <c r="G164" s="460"/>
      <c r="H164" s="461"/>
      <c r="I164" s="462" t="s">
        <v>157</v>
      </c>
      <c r="J164" s="669">
        <f>SUM(J160:J163)</f>
        <v>0</v>
      </c>
      <c r="K164" s="13"/>
      <c r="L164" s="3"/>
      <c r="M164" s="3"/>
      <c r="N164" s="3"/>
      <c r="O164" s="3"/>
      <c r="P164" s="3"/>
    </row>
    <row r="165" spans="1:16" ht="20.25" customHeight="1">
      <c r="A165" s="709">
        <v>18</v>
      </c>
      <c r="B165" s="466" t="s">
        <v>158</v>
      </c>
      <c r="C165" s="467"/>
      <c r="D165" s="514" t="s">
        <v>159</v>
      </c>
      <c r="E165" s="639" t="s">
        <v>34</v>
      </c>
      <c r="F165" s="789" t="s">
        <v>28</v>
      </c>
      <c r="G165" s="472">
        <v>6</v>
      </c>
      <c r="H165" s="515" t="s">
        <v>26</v>
      </c>
      <c r="I165" s="471"/>
      <c r="J165" s="677">
        <f t="shared" ref="J165:J171" si="17">+I165*G165</f>
        <v>0</v>
      </c>
      <c r="K165" s="8"/>
      <c r="L165" s="4"/>
      <c r="M165" s="4"/>
      <c r="N165" s="4"/>
      <c r="O165" s="4"/>
      <c r="P165" s="4"/>
    </row>
    <row r="166" spans="1:16" ht="20.25" customHeight="1">
      <c r="A166" s="711"/>
      <c r="B166" s="269"/>
      <c r="C166" s="678"/>
      <c r="D166" s="649" t="s">
        <v>160</v>
      </c>
      <c r="E166" s="639" t="s">
        <v>34</v>
      </c>
      <c r="F166" s="789" t="s">
        <v>28</v>
      </c>
      <c r="G166" s="146">
        <v>10</v>
      </c>
      <c r="H166" s="147" t="s">
        <v>26</v>
      </c>
      <c r="I166" s="145"/>
      <c r="J166" s="641">
        <f t="shared" si="17"/>
        <v>0</v>
      </c>
      <c r="K166" s="8"/>
      <c r="L166" s="4"/>
      <c r="M166" s="4"/>
      <c r="N166" s="4"/>
      <c r="O166" s="4"/>
      <c r="P166" s="4"/>
    </row>
    <row r="167" spans="1:16" ht="20.25" customHeight="1">
      <c r="A167" s="711"/>
      <c r="B167" s="269"/>
      <c r="C167" s="678"/>
      <c r="D167" s="712" t="s">
        <v>161</v>
      </c>
      <c r="E167" s="639" t="s">
        <v>34</v>
      </c>
      <c r="F167" s="789" t="s">
        <v>28</v>
      </c>
      <c r="G167" s="146">
        <v>0</v>
      </c>
      <c r="H167" s="147" t="s">
        <v>47</v>
      </c>
      <c r="I167" s="145"/>
      <c r="J167" s="641">
        <f t="shared" si="17"/>
        <v>0</v>
      </c>
      <c r="K167" s="8"/>
      <c r="L167" s="4"/>
      <c r="M167" s="4"/>
      <c r="N167" s="4"/>
      <c r="O167" s="4"/>
      <c r="P167" s="4"/>
    </row>
    <row r="168" spans="1:16" ht="20.25" customHeight="1">
      <c r="A168" s="711"/>
      <c r="B168" s="269"/>
      <c r="C168" s="678"/>
      <c r="D168" s="649" t="s">
        <v>162</v>
      </c>
      <c r="E168" s="639" t="s">
        <v>34</v>
      </c>
      <c r="F168" s="789" t="s">
        <v>28</v>
      </c>
      <c r="G168" s="146">
        <v>2</v>
      </c>
      <c r="H168" s="147" t="s">
        <v>47</v>
      </c>
      <c r="I168" s="145"/>
      <c r="J168" s="641">
        <f t="shared" si="17"/>
        <v>0</v>
      </c>
      <c r="K168" s="8"/>
      <c r="L168" s="4"/>
      <c r="M168" s="4"/>
      <c r="N168" s="4"/>
      <c r="O168" s="4"/>
      <c r="P168" s="4"/>
    </row>
    <row r="169" spans="1:16" ht="20.25" customHeight="1">
      <c r="A169" s="636"/>
      <c r="B169" s="269"/>
      <c r="C169" s="678"/>
      <c r="D169" s="649" t="s">
        <v>163</v>
      </c>
      <c r="E169" s="639" t="s">
        <v>34</v>
      </c>
      <c r="F169" s="789" t="s">
        <v>28</v>
      </c>
      <c r="G169" s="146">
        <v>4</v>
      </c>
      <c r="H169" s="147" t="s">
        <v>47</v>
      </c>
      <c r="I169" s="145"/>
      <c r="J169" s="641">
        <f t="shared" si="17"/>
        <v>0</v>
      </c>
      <c r="K169" s="8"/>
      <c r="L169" s="4"/>
      <c r="M169" s="4"/>
      <c r="N169" s="4"/>
      <c r="O169" s="4"/>
      <c r="P169" s="4"/>
    </row>
    <row r="170" spans="1:16" ht="20.25" customHeight="1">
      <c r="A170" s="653"/>
      <c r="B170" s="444"/>
      <c r="C170" s="500"/>
      <c r="D170" s="446" t="s">
        <v>164</v>
      </c>
      <c r="E170" s="447" t="s">
        <v>34</v>
      </c>
      <c r="F170" s="790" t="s">
        <v>28</v>
      </c>
      <c r="G170" s="450">
        <v>2</v>
      </c>
      <c r="H170" s="448" t="s">
        <v>26</v>
      </c>
      <c r="I170" s="449"/>
      <c r="J170" s="654">
        <f t="shared" si="17"/>
        <v>0</v>
      </c>
      <c r="K170" s="140"/>
      <c r="L170" s="69"/>
      <c r="M170" s="69"/>
      <c r="N170" s="69"/>
      <c r="O170" s="69"/>
      <c r="P170" s="69"/>
    </row>
    <row r="171" spans="1:16" ht="20.25" customHeight="1">
      <c r="A171" s="692"/>
      <c r="B171" s="473"/>
      <c r="C171" s="681"/>
      <c r="D171" s="713" t="s">
        <v>165</v>
      </c>
      <c r="E171" s="639" t="s">
        <v>34</v>
      </c>
      <c r="F171" s="789" t="s">
        <v>28</v>
      </c>
      <c r="G171" s="683">
        <v>1</v>
      </c>
      <c r="H171" s="684" t="s">
        <v>47</v>
      </c>
      <c r="I171" s="475"/>
      <c r="J171" s="685">
        <f t="shared" si="17"/>
        <v>0</v>
      </c>
      <c r="K171" s="8"/>
      <c r="L171" s="4"/>
      <c r="M171" s="4"/>
      <c r="N171" s="4"/>
      <c r="O171" s="4"/>
      <c r="P171" s="4"/>
    </row>
    <row r="172" spans="1:16" ht="20.25" customHeight="1">
      <c r="A172" s="668"/>
      <c r="B172" s="457"/>
      <c r="C172" s="458"/>
      <c r="D172" s="463"/>
      <c r="E172" s="464"/>
      <c r="F172" s="783"/>
      <c r="G172" s="464"/>
      <c r="H172" s="465"/>
      <c r="I172" s="462" t="s">
        <v>166</v>
      </c>
      <c r="J172" s="669">
        <f>SUM(J165:J171)</f>
        <v>0</v>
      </c>
      <c r="K172" s="13"/>
      <c r="L172" s="3"/>
      <c r="M172" s="3"/>
      <c r="N172" s="3"/>
      <c r="O172" s="3"/>
      <c r="P172" s="3"/>
    </row>
    <row r="173" spans="1:16" ht="20.25" customHeight="1">
      <c r="A173" s="697" t="s">
        <v>167</v>
      </c>
      <c r="B173" s="494" t="s">
        <v>168</v>
      </c>
      <c r="C173" s="495"/>
      <c r="D173" s="698"/>
      <c r="E173" s="699"/>
      <c r="F173" s="786"/>
      <c r="G173" s="496"/>
      <c r="H173" s="497"/>
      <c r="I173" s="498"/>
      <c r="J173" s="700"/>
      <c r="K173" s="24"/>
      <c r="L173" s="4"/>
      <c r="M173" s="4"/>
      <c r="N173" s="4"/>
      <c r="O173" s="4"/>
      <c r="P173" s="4"/>
    </row>
    <row r="174" spans="1:16" ht="30" customHeight="1">
      <c r="A174" s="676">
        <v>19</v>
      </c>
      <c r="B174" s="516" t="s">
        <v>169</v>
      </c>
      <c r="C174" s="509"/>
      <c r="D174" s="705" t="s">
        <v>120</v>
      </c>
      <c r="E174" s="708" t="s">
        <v>31</v>
      </c>
      <c r="F174" s="680" t="s">
        <v>22</v>
      </c>
      <c r="G174" s="518">
        <v>691</v>
      </c>
      <c r="H174" s="519" t="s">
        <v>51</v>
      </c>
      <c r="I174" s="517"/>
      <c r="J174" s="714">
        <f t="shared" ref="J174:J180" si="18">+I174*G174</f>
        <v>0</v>
      </c>
      <c r="K174" s="8"/>
      <c r="L174" s="4"/>
      <c r="M174" s="4"/>
      <c r="N174" s="4"/>
      <c r="O174" s="4"/>
      <c r="P174" s="4"/>
    </row>
    <row r="175" spans="1:16" ht="20.25" customHeight="1">
      <c r="A175" s="636"/>
      <c r="B175" s="433"/>
      <c r="C175" s="678"/>
      <c r="D175" s="701" t="s">
        <v>170</v>
      </c>
      <c r="E175" s="650" t="s">
        <v>31</v>
      </c>
      <c r="F175" s="680" t="s">
        <v>22</v>
      </c>
      <c r="G175" s="146">
        <v>691</v>
      </c>
      <c r="H175" s="147" t="s">
        <v>51</v>
      </c>
      <c r="I175" s="145"/>
      <c r="J175" s="641">
        <f t="shared" si="18"/>
        <v>0</v>
      </c>
      <c r="K175" s="8"/>
      <c r="L175" s="4"/>
      <c r="M175" s="4"/>
      <c r="N175" s="4"/>
      <c r="O175" s="4"/>
      <c r="P175" s="4"/>
    </row>
    <row r="176" spans="1:16" ht="20.25" customHeight="1">
      <c r="A176" s="636"/>
      <c r="B176" s="269"/>
      <c r="C176" s="678"/>
      <c r="D176" s="638" t="s">
        <v>107</v>
      </c>
      <c r="E176" s="650" t="s">
        <v>31</v>
      </c>
      <c r="F176" s="680" t="s">
        <v>22</v>
      </c>
      <c r="G176" s="146">
        <v>691</v>
      </c>
      <c r="H176" s="147" t="s">
        <v>51</v>
      </c>
      <c r="I176" s="145"/>
      <c r="J176" s="641">
        <f t="shared" si="18"/>
        <v>0</v>
      </c>
      <c r="K176" s="8"/>
      <c r="L176" s="4"/>
      <c r="M176" s="4"/>
      <c r="N176" s="4"/>
      <c r="O176" s="4"/>
      <c r="P176" s="4"/>
    </row>
    <row r="177" spans="1:16" ht="20.25" customHeight="1">
      <c r="A177" s="636"/>
      <c r="B177" s="269"/>
      <c r="C177" s="678"/>
      <c r="D177" s="702" t="s">
        <v>171</v>
      </c>
      <c r="E177" s="650" t="s">
        <v>31</v>
      </c>
      <c r="F177" s="680" t="s">
        <v>22</v>
      </c>
      <c r="G177" s="146">
        <v>691</v>
      </c>
      <c r="H177" s="147" t="s">
        <v>51</v>
      </c>
      <c r="I177" s="145"/>
      <c r="J177" s="641">
        <f t="shared" si="18"/>
        <v>0</v>
      </c>
      <c r="K177" s="8"/>
      <c r="L177" s="4"/>
      <c r="M177" s="4"/>
      <c r="N177" s="4"/>
      <c r="O177" s="4"/>
      <c r="P177" s="4"/>
    </row>
    <row r="178" spans="1:16" ht="20.25" customHeight="1">
      <c r="A178" s="636"/>
      <c r="B178" s="269"/>
      <c r="C178" s="678"/>
      <c r="D178" s="702" t="s">
        <v>172</v>
      </c>
      <c r="E178" s="650" t="s">
        <v>31</v>
      </c>
      <c r="F178" s="680" t="s">
        <v>22</v>
      </c>
      <c r="G178" s="146">
        <v>691</v>
      </c>
      <c r="H178" s="147">
        <v>0</v>
      </c>
      <c r="I178" s="145"/>
      <c r="J178" s="641">
        <f t="shared" si="18"/>
        <v>0</v>
      </c>
      <c r="K178" s="8"/>
      <c r="L178" s="4"/>
      <c r="M178" s="4"/>
      <c r="N178" s="4"/>
      <c r="O178" s="4"/>
      <c r="P178" s="4"/>
    </row>
    <row r="179" spans="1:16" ht="20.25" customHeight="1">
      <c r="A179" s="636"/>
      <c r="B179" s="269"/>
      <c r="C179" s="678"/>
      <c r="D179" s="702" t="s">
        <v>173</v>
      </c>
      <c r="E179" s="650" t="s">
        <v>31</v>
      </c>
      <c r="F179" s="781" t="s">
        <v>28</v>
      </c>
      <c r="G179" s="146">
        <v>1</v>
      </c>
      <c r="H179" s="147" t="s">
        <v>26</v>
      </c>
      <c r="I179" s="145"/>
      <c r="J179" s="641">
        <f t="shared" si="18"/>
        <v>0</v>
      </c>
      <c r="K179" s="8"/>
      <c r="L179" s="4"/>
      <c r="M179" s="4"/>
      <c r="N179" s="4"/>
      <c r="O179" s="4"/>
      <c r="P179" s="4"/>
    </row>
    <row r="180" spans="1:16" ht="20.25" customHeight="1">
      <c r="A180" s="704"/>
      <c r="B180" s="504"/>
      <c r="C180" s="505"/>
      <c r="D180" s="506" t="s">
        <v>174</v>
      </c>
      <c r="E180" s="650" t="s">
        <v>31</v>
      </c>
      <c r="F180" s="791" t="s">
        <v>28</v>
      </c>
      <c r="G180" s="146">
        <v>1</v>
      </c>
      <c r="H180" s="147" t="s">
        <v>47</v>
      </c>
      <c r="I180" s="145"/>
      <c r="J180" s="641">
        <f t="shared" si="18"/>
        <v>0</v>
      </c>
      <c r="K180" s="8"/>
      <c r="L180" s="224"/>
      <c r="M180" s="4"/>
      <c r="N180" s="4"/>
      <c r="O180" s="4"/>
      <c r="P180" s="4"/>
    </row>
    <row r="181" spans="1:16" ht="20.25" customHeight="1">
      <c r="A181" s="668"/>
      <c r="B181" s="457"/>
      <c r="C181" s="458"/>
      <c r="D181" s="463"/>
      <c r="E181" s="464"/>
      <c r="F181" s="783"/>
      <c r="G181" s="464"/>
      <c r="H181" s="465"/>
      <c r="I181" s="462" t="s">
        <v>156</v>
      </c>
      <c r="J181" s="669">
        <f>SUM(J174:J180)</f>
        <v>0</v>
      </c>
      <c r="K181" s="13"/>
      <c r="L181" s="3"/>
      <c r="M181" s="3"/>
      <c r="N181" s="3"/>
      <c r="O181" s="3"/>
      <c r="P181" s="3"/>
    </row>
    <row r="182" spans="1:16" ht="32.25" customHeight="1">
      <c r="A182" s="676">
        <v>20</v>
      </c>
      <c r="B182" s="520" t="s">
        <v>175</v>
      </c>
      <c r="C182" s="509"/>
      <c r="D182" s="705" t="s">
        <v>120</v>
      </c>
      <c r="E182" s="708" t="s">
        <v>31</v>
      </c>
      <c r="F182" s="680" t="s">
        <v>22</v>
      </c>
      <c r="G182" s="146">
        <v>529.54999999999995</v>
      </c>
      <c r="H182" s="147" t="s">
        <v>51</v>
      </c>
      <c r="I182" s="145"/>
      <c r="J182" s="641">
        <f t="shared" ref="J182:J186" si="19">+I182*G182</f>
        <v>0</v>
      </c>
      <c r="K182" s="8"/>
      <c r="L182" s="4"/>
      <c r="M182" s="4"/>
      <c r="N182" s="4"/>
      <c r="O182" s="4"/>
      <c r="P182" s="4"/>
    </row>
    <row r="183" spans="1:16" ht="20.25" customHeight="1">
      <c r="A183" s="636"/>
      <c r="B183" s="433"/>
      <c r="C183" s="678"/>
      <c r="D183" s="638" t="s">
        <v>107</v>
      </c>
      <c r="E183" s="650" t="s">
        <v>31</v>
      </c>
      <c r="F183" s="680" t="s">
        <v>22</v>
      </c>
      <c r="G183" s="146">
        <v>529.54999999999995</v>
      </c>
      <c r="H183" s="147" t="s">
        <v>51</v>
      </c>
      <c r="I183" s="145"/>
      <c r="J183" s="641">
        <f t="shared" si="19"/>
        <v>0</v>
      </c>
      <c r="K183" s="8"/>
      <c r="L183" s="4"/>
      <c r="M183" s="4"/>
      <c r="N183" s="4"/>
      <c r="O183" s="4"/>
      <c r="P183" s="4"/>
    </row>
    <row r="184" spans="1:16" ht="20.25" customHeight="1">
      <c r="A184" s="636"/>
      <c r="B184" s="269"/>
      <c r="C184" s="678"/>
      <c r="D184" s="638" t="s">
        <v>176</v>
      </c>
      <c r="E184" s="650" t="s">
        <v>31</v>
      </c>
      <c r="F184" s="680" t="s">
        <v>22</v>
      </c>
      <c r="G184" s="146">
        <v>529.54999999999995</v>
      </c>
      <c r="H184" s="147" t="s">
        <v>51</v>
      </c>
      <c r="I184" s="145"/>
      <c r="J184" s="641">
        <f t="shared" si="19"/>
        <v>0</v>
      </c>
      <c r="K184" s="8"/>
      <c r="L184" s="4"/>
      <c r="M184" s="4"/>
      <c r="N184" s="4"/>
      <c r="O184" s="4"/>
      <c r="P184" s="4"/>
    </row>
    <row r="185" spans="1:16" ht="20.25" customHeight="1">
      <c r="A185" s="636"/>
      <c r="B185" s="269"/>
      <c r="C185" s="678"/>
      <c r="D185" s="638" t="s">
        <v>113</v>
      </c>
      <c r="E185" s="650" t="s">
        <v>31</v>
      </c>
      <c r="F185" s="680" t="s">
        <v>22</v>
      </c>
      <c r="G185" s="146">
        <v>529.54999999999995</v>
      </c>
      <c r="H185" s="147" t="s">
        <v>51</v>
      </c>
      <c r="I185" s="145"/>
      <c r="J185" s="641">
        <f t="shared" si="19"/>
        <v>0</v>
      </c>
      <c r="K185" s="8"/>
      <c r="L185" s="4"/>
      <c r="M185" s="4"/>
      <c r="N185" s="4"/>
      <c r="O185" s="4"/>
      <c r="P185" s="4"/>
    </row>
    <row r="186" spans="1:16" ht="20.25" customHeight="1">
      <c r="A186" s="704"/>
      <c r="B186" s="504"/>
      <c r="C186" s="505"/>
      <c r="D186" s="506" t="s">
        <v>177</v>
      </c>
      <c r="E186" s="650" t="s">
        <v>31</v>
      </c>
      <c r="F186" s="791" t="s">
        <v>28</v>
      </c>
      <c r="G186" s="146">
        <v>1</v>
      </c>
      <c r="H186" s="147" t="s">
        <v>26</v>
      </c>
      <c r="I186" s="145"/>
      <c r="J186" s="641">
        <f t="shared" si="19"/>
        <v>0</v>
      </c>
      <c r="K186" s="8"/>
      <c r="L186" s="4"/>
      <c r="M186" s="4"/>
      <c r="N186" s="4"/>
      <c r="O186" s="4"/>
      <c r="P186" s="4"/>
    </row>
    <row r="187" spans="1:16" ht="20.25" customHeight="1">
      <c r="A187" s="668"/>
      <c r="B187" s="457"/>
      <c r="C187" s="458"/>
      <c r="D187" s="463"/>
      <c r="E187" s="464"/>
      <c r="F187" s="783"/>
      <c r="G187" s="464"/>
      <c r="H187" s="465"/>
      <c r="I187" s="462" t="s">
        <v>178</v>
      </c>
      <c r="J187" s="669">
        <f>SUM(J182:J186)</f>
        <v>0</v>
      </c>
      <c r="K187" s="13"/>
      <c r="L187" s="3"/>
      <c r="M187" s="3"/>
      <c r="N187" s="3"/>
      <c r="O187" s="3"/>
      <c r="P187" s="3"/>
    </row>
    <row r="188" spans="1:16" ht="20.25" customHeight="1">
      <c r="A188" s="715" t="s">
        <v>179</v>
      </c>
      <c r="B188" s="521" t="s">
        <v>180</v>
      </c>
      <c r="C188" s="522"/>
      <c r="D188" s="523"/>
      <c r="E188" s="639" t="s">
        <v>181</v>
      </c>
      <c r="F188" s="680" t="s">
        <v>22</v>
      </c>
      <c r="G188" s="146"/>
      <c r="H188" s="147"/>
      <c r="I188" s="145"/>
      <c r="J188" s="641"/>
      <c r="K188" s="8"/>
      <c r="L188" s="4"/>
      <c r="M188" s="4"/>
      <c r="N188" s="4"/>
      <c r="O188" s="4"/>
      <c r="P188" s="4"/>
    </row>
    <row r="189" spans="1:16" ht="20.25" customHeight="1">
      <c r="A189" s="636">
        <v>21</v>
      </c>
      <c r="B189" s="269" t="s">
        <v>182</v>
      </c>
      <c r="C189" s="637"/>
      <c r="D189" s="702" t="s">
        <v>183</v>
      </c>
      <c r="E189" s="639" t="s">
        <v>181</v>
      </c>
      <c r="F189" s="680" t="s">
        <v>22</v>
      </c>
      <c r="G189" s="146"/>
      <c r="H189" s="147"/>
      <c r="I189" s="145"/>
      <c r="J189" s="641"/>
      <c r="K189" s="8"/>
      <c r="L189" s="4"/>
      <c r="M189" s="4"/>
      <c r="N189" s="4"/>
      <c r="O189" s="4"/>
      <c r="P189" s="4"/>
    </row>
    <row r="190" spans="1:16" ht="20.25" customHeight="1">
      <c r="A190" s="636"/>
      <c r="B190" s="269"/>
      <c r="C190" s="637"/>
      <c r="D190" s="638" t="s">
        <v>184</v>
      </c>
      <c r="E190" s="639" t="s">
        <v>181</v>
      </c>
      <c r="F190" s="680" t="s">
        <v>22</v>
      </c>
      <c r="G190" s="146"/>
      <c r="H190" s="147"/>
      <c r="I190" s="145"/>
      <c r="J190" s="641"/>
      <c r="K190" s="8"/>
      <c r="L190" s="4"/>
      <c r="M190" s="4"/>
      <c r="N190" s="4"/>
      <c r="O190" s="4"/>
      <c r="P190" s="4"/>
    </row>
    <row r="191" spans="1:16" ht="20.25" customHeight="1">
      <c r="A191" s="636"/>
      <c r="B191" s="269"/>
      <c r="C191" s="637"/>
      <c r="D191" s="638" t="s">
        <v>185</v>
      </c>
      <c r="E191" s="639" t="s">
        <v>181</v>
      </c>
      <c r="F191" s="680" t="s">
        <v>22</v>
      </c>
      <c r="G191" s="146"/>
      <c r="H191" s="147"/>
      <c r="I191" s="145"/>
      <c r="J191" s="641"/>
      <c r="K191" s="8"/>
      <c r="L191" s="4"/>
      <c r="M191" s="4"/>
      <c r="N191" s="4"/>
      <c r="O191" s="4"/>
      <c r="P191" s="4"/>
    </row>
    <row r="192" spans="1:16" ht="20.25" customHeight="1">
      <c r="A192" s="636"/>
      <c r="B192" s="269"/>
      <c r="C192" s="637"/>
      <c r="D192" s="638" t="s">
        <v>186</v>
      </c>
      <c r="E192" s="639" t="s">
        <v>181</v>
      </c>
      <c r="F192" s="680" t="s">
        <v>22</v>
      </c>
      <c r="G192" s="146"/>
      <c r="H192" s="147"/>
      <c r="I192" s="145"/>
      <c r="J192" s="641"/>
      <c r="K192" s="8"/>
      <c r="L192" s="4"/>
      <c r="M192" s="4"/>
      <c r="N192" s="4"/>
      <c r="O192" s="4"/>
      <c r="P192" s="4"/>
    </row>
    <row r="193" spans="1:16" ht="20.25" customHeight="1">
      <c r="A193" s="636"/>
      <c r="B193" s="269"/>
      <c r="C193" s="678"/>
      <c r="D193" s="638" t="s">
        <v>187</v>
      </c>
      <c r="E193" s="639" t="s">
        <v>181</v>
      </c>
      <c r="F193" s="680" t="s">
        <v>22</v>
      </c>
      <c r="G193" s="146"/>
      <c r="H193" s="147"/>
      <c r="I193" s="145"/>
      <c r="J193" s="641"/>
      <c r="K193" s="8"/>
      <c r="L193" s="4"/>
      <c r="M193" s="4"/>
      <c r="N193" s="4"/>
      <c r="O193" s="4"/>
      <c r="P193" s="4"/>
    </row>
    <row r="194" spans="1:16" ht="20.25" customHeight="1">
      <c r="A194" s="636"/>
      <c r="B194" s="269"/>
      <c r="C194" s="678"/>
      <c r="D194" s="638" t="s">
        <v>188</v>
      </c>
      <c r="E194" s="639" t="s">
        <v>181</v>
      </c>
      <c r="F194" s="680" t="s">
        <v>22</v>
      </c>
      <c r="G194" s="146"/>
      <c r="H194" s="147"/>
      <c r="I194" s="145"/>
      <c r="J194" s="641"/>
      <c r="K194" s="8"/>
      <c r="L194" s="4"/>
      <c r="M194" s="4"/>
      <c r="N194" s="4"/>
      <c r="O194" s="4"/>
      <c r="P194" s="4"/>
    </row>
    <row r="195" spans="1:16" ht="20.25" customHeight="1">
      <c r="A195" s="636"/>
      <c r="B195" s="269"/>
      <c r="C195" s="678"/>
      <c r="D195" s="638" t="s">
        <v>189</v>
      </c>
      <c r="E195" s="639" t="s">
        <v>181</v>
      </c>
      <c r="F195" s="680" t="s">
        <v>22</v>
      </c>
      <c r="G195" s="146"/>
      <c r="H195" s="147"/>
      <c r="I195" s="145"/>
      <c r="J195" s="641"/>
      <c r="K195" s="8"/>
      <c r="L195" s="4"/>
      <c r="M195" s="4"/>
      <c r="N195" s="4"/>
      <c r="O195" s="4"/>
      <c r="P195" s="4"/>
    </row>
    <row r="196" spans="1:16" ht="20.25" customHeight="1">
      <c r="A196" s="636"/>
      <c r="B196" s="269"/>
      <c r="C196" s="678"/>
      <c r="D196" s="638" t="s">
        <v>190</v>
      </c>
      <c r="E196" s="639" t="s">
        <v>181</v>
      </c>
      <c r="F196" s="680" t="s">
        <v>22</v>
      </c>
      <c r="G196" s="146"/>
      <c r="H196" s="147"/>
      <c r="I196" s="145"/>
      <c r="J196" s="641"/>
      <c r="K196" s="8"/>
      <c r="L196" s="4"/>
      <c r="M196" s="4"/>
      <c r="N196" s="4"/>
      <c r="O196" s="4"/>
      <c r="P196" s="4"/>
    </row>
    <row r="197" spans="1:16" ht="20.25" customHeight="1">
      <c r="A197" s="636"/>
      <c r="B197" s="269"/>
      <c r="C197" s="678"/>
      <c r="D197" s="638" t="s">
        <v>191</v>
      </c>
      <c r="E197" s="639" t="s">
        <v>181</v>
      </c>
      <c r="F197" s="680" t="s">
        <v>22</v>
      </c>
      <c r="G197" s="146"/>
      <c r="H197" s="147"/>
      <c r="I197" s="145"/>
      <c r="J197" s="641"/>
      <c r="K197" s="8"/>
      <c r="L197" s="4"/>
      <c r="M197" s="4"/>
      <c r="N197" s="4"/>
      <c r="O197" s="4"/>
      <c r="P197" s="4"/>
    </row>
    <row r="198" spans="1:16" ht="20.25" customHeight="1">
      <c r="A198" s="636"/>
      <c r="B198" s="269"/>
      <c r="C198" s="678"/>
      <c r="D198" s="702" t="s">
        <v>192</v>
      </c>
      <c r="E198" s="639" t="s">
        <v>181</v>
      </c>
      <c r="F198" s="680" t="s">
        <v>22</v>
      </c>
      <c r="G198" s="146"/>
      <c r="H198" s="147"/>
      <c r="I198" s="145"/>
      <c r="J198" s="641"/>
      <c r="K198" s="8"/>
      <c r="L198" s="8"/>
      <c r="M198" s="4"/>
      <c r="N198" s="4"/>
      <c r="O198" s="4"/>
      <c r="P198" s="4"/>
    </row>
    <row r="199" spans="1:16" ht="20.25" customHeight="1">
      <c r="A199" s="636"/>
      <c r="B199" s="269"/>
      <c r="C199" s="678"/>
      <c r="D199" s="702" t="s">
        <v>193</v>
      </c>
      <c r="E199" s="639" t="s">
        <v>181</v>
      </c>
      <c r="F199" s="680" t="s">
        <v>22</v>
      </c>
      <c r="G199" s="146">
        <v>0</v>
      </c>
      <c r="H199" s="147" t="s">
        <v>194</v>
      </c>
      <c r="I199" s="145"/>
      <c r="J199" s="641">
        <f t="shared" ref="J199:J202" si="20">+I199*G199</f>
        <v>0</v>
      </c>
      <c r="K199" s="8"/>
      <c r="L199" s="8"/>
      <c r="M199" s="234"/>
      <c r="N199" s="4"/>
      <c r="O199" s="4"/>
      <c r="P199" s="4"/>
    </row>
    <row r="200" spans="1:16" ht="20.25" customHeight="1">
      <c r="A200" s="636"/>
      <c r="B200" s="269"/>
      <c r="C200" s="678"/>
      <c r="D200" s="638" t="s">
        <v>195</v>
      </c>
      <c r="E200" s="639" t="s">
        <v>181</v>
      </c>
      <c r="F200" s="680" t="s">
        <v>22</v>
      </c>
      <c r="G200" s="146">
        <v>0</v>
      </c>
      <c r="H200" s="147" t="s">
        <v>194</v>
      </c>
      <c r="I200" s="145"/>
      <c r="J200" s="641">
        <f t="shared" si="20"/>
        <v>0</v>
      </c>
      <c r="K200" s="8"/>
      <c r="L200" s="8"/>
      <c r="M200" s="234"/>
      <c r="N200" s="4"/>
      <c r="O200" s="4"/>
      <c r="P200" s="4"/>
    </row>
    <row r="201" spans="1:16" ht="20.25" customHeight="1">
      <c r="A201" s="636"/>
      <c r="B201" s="269"/>
      <c r="C201" s="678"/>
      <c r="D201" s="638" t="s">
        <v>196</v>
      </c>
      <c r="E201" s="639" t="s">
        <v>181</v>
      </c>
      <c r="F201" s="680" t="s">
        <v>22</v>
      </c>
      <c r="G201" s="146">
        <v>0</v>
      </c>
      <c r="H201" s="147" t="s">
        <v>194</v>
      </c>
      <c r="I201" s="145"/>
      <c r="J201" s="641">
        <f t="shared" si="20"/>
        <v>0</v>
      </c>
      <c r="K201" s="8"/>
      <c r="L201" s="8"/>
      <c r="M201" s="234"/>
      <c r="N201" s="4"/>
      <c r="O201" s="4"/>
      <c r="P201" s="4"/>
    </row>
    <row r="202" spans="1:16" ht="20.25" customHeight="1">
      <c r="A202" s="636"/>
      <c r="B202" s="269"/>
      <c r="C202" s="678"/>
      <c r="D202" s="702" t="s">
        <v>197</v>
      </c>
      <c r="E202" s="639" t="s">
        <v>181</v>
      </c>
      <c r="F202" s="680" t="s">
        <v>22</v>
      </c>
      <c r="G202" s="146">
        <v>0</v>
      </c>
      <c r="H202" s="147" t="s">
        <v>194</v>
      </c>
      <c r="I202" s="145"/>
      <c r="J202" s="641">
        <f t="shared" si="20"/>
        <v>0</v>
      </c>
      <c r="K202" s="8"/>
      <c r="L202" s="8"/>
      <c r="M202" s="234"/>
      <c r="N202" s="4"/>
      <c r="O202" s="4"/>
      <c r="P202" s="4"/>
    </row>
    <row r="203" spans="1:16" ht="20.25" customHeight="1">
      <c r="A203" s="636"/>
      <c r="B203" s="269"/>
      <c r="C203" s="678"/>
      <c r="D203" s="702"/>
      <c r="E203" s="639" t="s">
        <v>181</v>
      </c>
      <c r="F203" s="680" t="s">
        <v>22</v>
      </c>
      <c r="G203" s="146"/>
      <c r="H203" s="147"/>
      <c r="I203" s="145"/>
      <c r="J203" s="641"/>
      <c r="K203" s="8"/>
      <c r="L203" s="234"/>
      <c r="M203" s="4"/>
      <c r="N203" s="4"/>
      <c r="O203" s="4"/>
      <c r="P203" s="4"/>
    </row>
    <row r="204" spans="1:16" ht="20.25" customHeight="1">
      <c r="A204" s="636"/>
      <c r="B204" s="269"/>
      <c r="C204" s="678"/>
      <c r="D204" s="716" t="s">
        <v>198</v>
      </c>
      <c r="E204" s="639" t="s">
        <v>181</v>
      </c>
      <c r="F204" s="680" t="s">
        <v>22</v>
      </c>
      <c r="G204" s="146">
        <v>16</v>
      </c>
      <c r="H204" s="147" t="s">
        <v>194</v>
      </c>
      <c r="I204" s="455"/>
      <c r="J204" s="641">
        <f t="shared" ref="J204:J210" si="21">+I204*G204</f>
        <v>0</v>
      </c>
      <c r="K204" s="8"/>
      <c r="L204" s="234"/>
      <c r="M204" s="4"/>
      <c r="N204" s="4"/>
      <c r="O204" s="4"/>
      <c r="P204" s="4"/>
    </row>
    <row r="205" spans="1:16" ht="20.25" customHeight="1">
      <c r="A205" s="636"/>
      <c r="B205" s="269"/>
      <c r="C205" s="678"/>
      <c r="D205" s="716" t="s">
        <v>198</v>
      </c>
      <c r="E205" s="639" t="s">
        <v>181</v>
      </c>
      <c r="F205" s="680" t="s">
        <v>22</v>
      </c>
      <c r="G205" s="146">
        <v>20</v>
      </c>
      <c r="H205" s="147" t="s">
        <v>194</v>
      </c>
      <c r="I205" s="455"/>
      <c r="J205" s="641">
        <f t="shared" si="21"/>
        <v>0</v>
      </c>
      <c r="K205" s="8"/>
      <c r="L205" s="234"/>
      <c r="M205" s="4"/>
      <c r="N205" s="4"/>
      <c r="O205" s="4"/>
      <c r="P205" s="4"/>
    </row>
    <row r="206" spans="1:16" ht="20.25" customHeight="1">
      <c r="A206" s="636"/>
      <c r="B206" s="269"/>
      <c r="C206" s="678"/>
      <c r="D206" s="716" t="s">
        <v>198</v>
      </c>
      <c r="E206" s="639" t="s">
        <v>181</v>
      </c>
      <c r="F206" s="680" t="s">
        <v>22</v>
      </c>
      <c r="G206" s="146">
        <v>0</v>
      </c>
      <c r="H206" s="147" t="s">
        <v>194</v>
      </c>
      <c r="I206" s="455"/>
      <c r="J206" s="641">
        <f t="shared" si="21"/>
        <v>0</v>
      </c>
      <c r="K206" s="8"/>
      <c r="L206" s="234"/>
      <c r="M206" s="4"/>
      <c r="N206" s="4"/>
      <c r="O206" s="4"/>
      <c r="P206" s="4"/>
    </row>
    <row r="207" spans="1:16" ht="20.25" customHeight="1">
      <c r="A207" s="636"/>
      <c r="B207" s="269"/>
      <c r="C207" s="678"/>
      <c r="D207" s="716" t="s">
        <v>198</v>
      </c>
      <c r="E207" s="639" t="s">
        <v>181</v>
      </c>
      <c r="F207" s="680" t="s">
        <v>22</v>
      </c>
      <c r="G207" s="146">
        <v>0</v>
      </c>
      <c r="H207" s="147" t="s">
        <v>194</v>
      </c>
      <c r="I207" s="455"/>
      <c r="J207" s="641">
        <f t="shared" si="21"/>
        <v>0</v>
      </c>
      <c r="K207" s="8"/>
      <c r="L207" s="234"/>
      <c r="M207" s="4"/>
      <c r="N207" s="4"/>
      <c r="O207" s="4"/>
      <c r="P207" s="4"/>
    </row>
    <row r="208" spans="1:16" ht="20.25" customHeight="1">
      <c r="A208" s="636"/>
      <c r="B208" s="269"/>
      <c r="C208" s="678"/>
      <c r="D208" s="716" t="s">
        <v>198</v>
      </c>
      <c r="E208" s="639" t="s">
        <v>181</v>
      </c>
      <c r="F208" s="680" t="s">
        <v>22</v>
      </c>
      <c r="G208" s="146">
        <v>0</v>
      </c>
      <c r="H208" s="147" t="s">
        <v>194</v>
      </c>
      <c r="I208" s="455"/>
      <c r="J208" s="641">
        <f t="shared" si="21"/>
        <v>0</v>
      </c>
      <c r="K208" s="8"/>
      <c r="L208" s="234"/>
      <c r="M208" s="4"/>
      <c r="N208" s="4"/>
      <c r="O208" s="4"/>
      <c r="P208" s="4"/>
    </row>
    <row r="209" spans="1:16" ht="20.25" customHeight="1">
      <c r="A209" s="636"/>
      <c r="B209" s="269"/>
      <c r="C209" s="678"/>
      <c r="D209" s="716" t="s">
        <v>198</v>
      </c>
      <c r="E209" s="639" t="s">
        <v>181</v>
      </c>
      <c r="F209" s="680" t="s">
        <v>22</v>
      </c>
      <c r="G209" s="146">
        <v>4</v>
      </c>
      <c r="H209" s="147" t="s">
        <v>194</v>
      </c>
      <c r="I209" s="455"/>
      <c r="J209" s="641">
        <f t="shared" si="21"/>
        <v>0</v>
      </c>
      <c r="K209" s="8"/>
      <c r="L209" s="234"/>
      <c r="M209" s="4"/>
      <c r="N209" s="4"/>
      <c r="O209" s="4"/>
      <c r="P209" s="4"/>
    </row>
    <row r="210" spans="1:16" ht="20.25" customHeight="1">
      <c r="A210" s="636"/>
      <c r="B210" s="269"/>
      <c r="C210" s="678"/>
      <c r="D210" s="702" t="s">
        <v>199</v>
      </c>
      <c r="E210" s="639" t="s">
        <v>181</v>
      </c>
      <c r="F210" s="680" t="s">
        <v>22</v>
      </c>
      <c r="G210" s="146">
        <v>200</v>
      </c>
      <c r="H210" s="147" t="s">
        <v>194</v>
      </c>
      <c r="I210" s="145"/>
      <c r="J210" s="641">
        <f t="shared" si="21"/>
        <v>0</v>
      </c>
      <c r="K210" s="8"/>
      <c r="L210" s="4"/>
      <c r="M210" s="4"/>
      <c r="N210" s="4"/>
      <c r="O210" s="4"/>
      <c r="P210" s="4"/>
    </row>
    <row r="211" spans="1:16" ht="20.25" customHeight="1">
      <c r="A211" s="668"/>
      <c r="B211" s="457"/>
      <c r="C211" s="526"/>
      <c r="D211" s="527" t="s">
        <v>200</v>
      </c>
      <c r="E211" s="460"/>
      <c r="F211" s="782"/>
      <c r="G211" s="460">
        <v>0</v>
      </c>
      <c r="H211" s="461"/>
      <c r="I211" s="462" t="s">
        <v>201</v>
      </c>
      <c r="J211" s="669">
        <f>SUM(J199:J210)</f>
        <v>0</v>
      </c>
      <c r="K211" s="13"/>
      <c r="L211" s="3"/>
      <c r="M211" s="3"/>
      <c r="N211" s="3"/>
      <c r="O211" s="3"/>
      <c r="P211" s="3"/>
    </row>
    <row r="212" spans="1:16" ht="20.25" customHeight="1">
      <c r="A212" s="676"/>
      <c r="B212" s="508"/>
      <c r="C212" s="528"/>
      <c r="D212" s="717" t="s">
        <v>202</v>
      </c>
      <c r="E212" s="707"/>
      <c r="F212" s="789"/>
      <c r="G212" s="146"/>
      <c r="H212" s="147"/>
      <c r="I212" s="145"/>
      <c r="J212" s="641"/>
      <c r="K212" s="8"/>
      <c r="L212" s="4"/>
      <c r="M212" s="4"/>
      <c r="N212" s="4"/>
      <c r="O212" s="4"/>
      <c r="P212" s="4"/>
    </row>
    <row r="213" spans="1:16" ht="20.25" customHeight="1">
      <c r="A213" s="636"/>
      <c r="B213" s="269"/>
      <c r="C213" s="637"/>
      <c r="D213" s="718" t="s">
        <v>203</v>
      </c>
      <c r="E213" s="650"/>
      <c r="F213" s="781"/>
      <c r="G213" s="146"/>
      <c r="H213" s="147"/>
      <c r="I213" s="145"/>
      <c r="J213" s="641"/>
      <c r="K213" s="8"/>
      <c r="L213" s="4"/>
      <c r="M213" s="4"/>
      <c r="N213" s="4"/>
      <c r="O213" s="4"/>
      <c r="P213" s="4"/>
    </row>
    <row r="214" spans="1:16" ht="15.75" customHeight="1">
      <c r="A214" s="636"/>
      <c r="B214" s="269"/>
      <c r="C214" s="637"/>
      <c r="D214" s="718" t="s">
        <v>204</v>
      </c>
      <c r="E214" s="650"/>
      <c r="F214" s="781"/>
      <c r="G214" s="146"/>
      <c r="H214" s="147"/>
      <c r="I214" s="145"/>
      <c r="J214" s="641"/>
      <c r="K214" s="8"/>
      <c r="L214" s="4"/>
      <c r="M214" s="4"/>
      <c r="N214" s="4"/>
      <c r="O214" s="4"/>
      <c r="P214" s="4"/>
    </row>
    <row r="215" spans="1:16" ht="39" customHeight="1">
      <c r="A215" s="676">
        <v>22</v>
      </c>
      <c r="B215" s="511" t="s">
        <v>205</v>
      </c>
      <c r="C215" s="509"/>
      <c r="D215" s="719" t="s">
        <v>206</v>
      </c>
      <c r="E215" s="639" t="s">
        <v>181</v>
      </c>
      <c r="F215" s="789" t="s">
        <v>28</v>
      </c>
      <c r="G215" s="146">
        <v>40</v>
      </c>
      <c r="H215" s="147" t="s">
        <v>26</v>
      </c>
      <c r="I215" s="145"/>
      <c r="J215" s="641">
        <f t="shared" ref="J215:J217" si="22">+I215*G215</f>
        <v>0</v>
      </c>
      <c r="K215" s="8"/>
      <c r="L215" s="4"/>
      <c r="M215" s="4"/>
      <c r="N215" s="4"/>
      <c r="O215" s="4"/>
      <c r="P215" s="4"/>
    </row>
    <row r="216" spans="1:16" ht="20.25" customHeight="1">
      <c r="A216" s="636"/>
      <c r="B216" s="529" t="s">
        <v>207</v>
      </c>
      <c r="C216" s="678"/>
      <c r="D216" s="638" t="s">
        <v>207</v>
      </c>
      <c r="E216" s="639" t="s">
        <v>181</v>
      </c>
      <c r="F216" s="789" t="s">
        <v>28</v>
      </c>
      <c r="G216" s="146">
        <v>40</v>
      </c>
      <c r="H216" s="147" t="s">
        <v>26</v>
      </c>
      <c r="I216" s="145"/>
      <c r="J216" s="641">
        <f t="shared" si="22"/>
        <v>0</v>
      </c>
      <c r="K216" s="8"/>
      <c r="L216" s="4"/>
      <c r="M216" s="4"/>
      <c r="N216" s="8">
        <f>+J211+J218+J221</f>
        <v>0</v>
      </c>
      <c r="O216" s="4"/>
      <c r="P216" s="4"/>
    </row>
    <row r="217" spans="1:16" ht="20.25" customHeight="1">
      <c r="A217" s="636"/>
      <c r="B217" s="529" t="s">
        <v>208</v>
      </c>
      <c r="C217" s="678"/>
      <c r="D217" s="638" t="s">
        <v>208</v>
      </c>
      <c r="E217" s="639" t="s">
        <v>181</v>
      </c>
      <c r="F217" s="789" t="s">
        <v>28</v>
      </c>
      <c r="G217" s="146">
        <v>40</v>
      </c>
      <c r="H217" s="147" t="s">
        <v>26</v>
      </c>
      <c r="I217" s="145"/>
      <c r="J217" s="641">
        <f t="shared" si="22"/>
        <v>0</v>
      </c>
      <c r="K217" s="8"/>
      <c r="L217" s="4"/>
      <c r="M217" s="4"/>
      <c r="N217" s="4"/>
      <c r="O217" s="4"/>
      <c r="P217" s="4"/>
    </row>
    <row r="218" spans="1:16" ht="20.25" customHeight="1">
      <c r="A218" s="668"/>
      <c r="B218" s="530"/>
      <c r="C218" s="458"/>
      <c r="D218" s="459"/>
      <c r="E218" s="460"/>
      <c r="F218" s="782"/>
      <c r="G218" s="460"/>
      <c r="H218" s="461"/>
      <c r="I218" s="462" t="s">
        <v>209</v>
      </c>
      <c r="J218" s="669">
        <f>SUM(J215:J217)</f>
        <v>0</v>
      </c>
      <c r="K218" s="13"/>
      <c r="L218" s="3"/>
      <c r="M218" s="3"/>
      <c r="N218" s="3"/>
      <c r="O218" s="3"/>
      <c r="P218" s="3"/>
    </row>
    <row r="219" spans="1:16" ht="20.25" customHeight="1">
      <c r="A219" s="636">
        <v>23</v>
      </c>
      <c r="B219" s="269" t="s">
        <v>210</v>
      </c>
      <c r="C219" s="678"/>
      <c r="D219" s="702" t="s">
        <v>211</v>
      </c>
      <c r="E219" s="639" t="s">
        <v>31</v>
      </c>
      <c r="F219" s="680" t="s">
        <v>22</v>
      </c>
      <c r="G219" s="146">
        <v>11</v>
      </c>
      <c r="H219" s="147" t="s">
        <v>212</v>
      </c>
      <c r="I219" s="145"/>
      <c r="J219" s="641">
        <f t="shared" ref="J219:J220" si="23">+I219*G219</f>
        <v>0</v>
      </c>
      <c r="K219" s="8"/>
      <c r="L219" s="4"/>
      <c r="M219" s="4"/>
      <c r="N219" s="4"/>
      <c r="O219" s="4"/>
      <c r="P219" s="4"/>
    </row>
    <row r="220" spans="1:16" ht="20.25" customHeight="1">
      <c r="A220" s="636"/>
      <c r="B220" s="269"/>
      <c r="C220" s="678"/>
      <c r="D220" s="702" t="s">
        <v>133</v>
      </c>
      <c r="E220" s="639" t="s">
        <v>31</v>
      </c>
      <c r="F220" s="680" t="s">
        <v>22</v>
      </c>
      <c r="G220" s="146">
        <v>16</v>
      </c>
      <c r="H220" s="147" t="s">
        <v>26</v>
      </c>
      <c r="I220" s="145"/>
      <c r="J220" s="641">
        <f t="shared" si="23"/>
        <v>0</v>
      </c>
      <c r="K220" s="8"/>
      <c r="L220" s="4"/>
      <c r="M220" s="4"/>
      <c r="N220" s="4"/>
      <c r="O220" s="4"/>
      <c r="P220" s="4"/>
    </row>
    <row r="221" spans="1:16" ht="20.25" customHeight="1">
      <c r="A221" s="668"/>
      <c r="B221" s="457"/>
      <c r="C221" s="458"/>
      <c r="D221" s="463"/>
      <c r="E221" s="464"/>
      <c r="F221" s="783"/>
      <c r="G221" s="464"/>
      <c r="H221" s="465"/>
      <c r="I221" s="462" t="s">
        <v>213</v>
      </c>
      <c r="J221" s="669">
        <f>SUM(J219:J220)</f>
        <v>0</v>
      </c>
      <c r="K221" s="13"/>
      <c r="L221" s="3"/>
      <c r="M221" s="3"/>
      <c r="N221" s="3"/>
      <c r="O221" s="3"/>
      <c r="P221" s="3"/>
    </row>
    <row r="222" spans="1:16" ht="20.25" customHeight="1">
      <c r="A222" s="686" t="s">
        <v>214</v>
      </c>
      <c r="B222" s="478" t="s">
        <v>215</v>
      </c>
      <c r="C222" s="467"/>
      <c r="D222" s="468"/>
      <c r="E222" s="469"/>
      <c r="F222" s="792"/>
      <c r="G222" s="469"/>
      <c r="H222" s="470"/>
      <c r="I222" s="471"/>
      <c r="J222" s="677"/>
      <c r="K222" s="8"/>
      <c r="L222" s="4"/>
      <c r="M222" s="4"/>
      <c r="N222" s="4"/>
      <c r="O222" s="4"/>
      <c r="P222" s="4"/>
    </row>
    <row r="223" spans="1:16" ht="20.25" customHeight="1">
      <c r="A223" s="636">
        <v>24</v>
      </c>
      <c r="B223" s="451" t="s">
        <v>216</v>
      </c>
      <c r="C223" s="678"/>
      <c r="D223" s="638" t="s">
        <v>217</v>
      </c>
      <c r="E223" s="639" t="s">
        <v>50</v>
      </c>
      <c r="F223" s="680" t="s">
        <v>22</v>
      </c>
      <c r="G223" s="146">
        <v>1</v>
      </c>
      <c r="H223" s="147" t="s">
        <v>23</v>
      </c>
      <c r="I223" s="145"/>
      <c r="J223" s="641">
        <f t="shared" ref="J223:J225" si="24">+I223*G223</f>
        <v>0</v>
      </c>
      <c r="K223" s="13"/>
      <c r="L223" s="4"/>
      <c r="M223" s="4"/>
      <c r="N223" s="4"/>
      <c r="O223" s="4"/>
      <c r="P223" s="4"/>
    </row>
    <row r="224" spans="1:16" ht="20.25" customHeight="1">
      <c r="A224" s="704"/>
      <c r="B224" s="531"/>
      <c r="C224" s="505"/>
      <c r="D224" s="702" t="s">
        <v>218</v>
      </c>
      <c r="E224" s="639" t="s">
        <v>50</v>
      </c>
      <c r="F224" s="680" t="s">
        <v>22</v>
      </c>
      <c r="G224" s="146">
        <v>60</v>
      </c>
      <c r="H224" s="147" t="s">
        <v>51</v>
      </c>
      <c r="I224" s="145"/>
      <c r="J224" s="641">
        <f t="shared" si="24"/>
        <v>0</v>
      </c>
      <c r="K224" s="8"/>
      <c r="L224" s="4"/>
      <c r="M224" s="4"/>
      <c r="N224" s="4"/>
      <c r="O224" s="4"/>
      <c r="P224" s="4"/>
    </row>
    <row r="225" spans="1:16" ht="20.25" customHeight="1">
      <c r="A225" s="692"/>
      <c r="B225" s="532"/>
      <c r="C225" s="681"/>
      <c r="D225" s="638" t="s">
        <v>219</v>
      </c>
      <c r="E225" s="507" t="s">
        <v>50</v>
      </c>
      <c r="F225" s="788" t="s">
        <v>28</v>
      </c>
      <c r="G225" s="146">
        <v>1</v>
      </c>
      <c r="H225" s="147" t="s">
        <v>23</v>
      </c>
      <c r="I225" s="145"/>
      <c r="J225" s="641">
        <f t="shared" si="24"/>
        <v>0</v>
      </c>
      <c r="K225" s="8"/>
      <c r="L225" s="4"/>
      <c r="M225" s="4"/>
      <c r="N225" s="4"/>
      <c r="O225" s="4"/>
      <c r="P225" s="4"/>
    </row>
    <row r="226" spans="1:16" ht="20.25" customHeight="1">
      <c r="A226" s="668"/>
      <c r="B226" s="457"/>
      <c r="C226" s="458"/>
      <c r="D226" s="459"/>
      <c r="E226" s="460"/>
      <c r="F226" s="782"/>
      <c r="G226" s="460"/>
      <c r="H226" s="461"/>
      <c r="I226" s="462" t="s">
        <v>220</v>
      </c>
      <c r="J226" s="669">
        <f>SUM(J223:J225)</f>
        <v>0</v>
      </c>
      <c r="K226" s="13"/>
      <c r="L226" s="3"/>
      <c r="M226" s="3"/>
      <c r="N226" s="3"/>
      <c r="O226" s="3"/>
      <c r="P226" s="3"/>
    </row>
    <row r="227" spans="1:16" ht="20.25" customHeight="1">
      <c r="A227" s="686" t="s">
        <v>221</v>
      </c>
      <c r="B227" s="478" t="s">
        <v>222</v>
      </c>
      <c r="C227" s="467"/>
      <c r="D227" s="468"/>
      <c r="E227" s="469"/>
      <c r="F227" s="792"/>
      <c r="G227" s="469"/>
      <c r="H227" s="470"/>
      <c r="I227" s="471"/>
      <c r="J227" s="677"/>
      <c r="K227" s="8"/>
      <c r="L227" s="4"/>
      <c r="M227" s="4"/>
      <c r="N227" s="4"/>
      <c r="O227" s="4"/>
      <c r="P227" s="4"/>
    </row>
    <row r="228" spans="1:16" ht="20.25" customHeight="1">
      <c r="A228" s="676">
        <v>25</v>
      </c>
      <c r="B228" s="511" t="s">
        <v>223</v>
      </c>
      <c r="C228" s="509"/>
      <c r="D228" s="705" t="s">
        <v>224</v>
      </c>
      <c r="E228" s="639" t="s">
        <v>31</v>
      </c>
      <c r="F228" s="680" t="s">
        <v>22</v>
      </c>
      <c r="G228" s="146">
        <v>70</v>
      </c>
      <c r="H228" s="147" t="s">
        <v>51</v>
      </c>
      <c r="I228" s="145"/>
      <c r="J228" s="641">
        <f>+I228*G228</f>
        <v>0</v>
      </c>
      <c r="K228" s="8"/>
      <c r="L228" s="4"/>
      <c r="M228" s="4"/>
      <c r="N228" s="4"/>
      <c r="O228" s="4"/>
      <c r="P228" s="4"/>
    </row>
    <row r="229" spans="1:16" ht="20.25" customHeight="1">
      <c r="A229" s="636"/>
      <c r="B229" s="269"/>
      <c r="C229" s="678"/>
      <c r="D229" s="638" t="s">
        <v>225</v>
      </c>
      <c r="E229" s="639" t="s">
        <v>31</v>
      </c>
      <c r="F229" s="680" t="s">
        <v>22</v>
      </c>
      <c r="G229" s="146"/>
      <c r="H229" s="147"/>
      <c r="I229" s="145"/>
      <c r="J229" s="641"/>
      <c r="K229" s="8"/>
      <c r="L229" s="4"/>
      <c r="M229" s="4"/>
      <c r="N229" s="4"/>
      <c r="O229" s="4"/>
      <c r="P229" s="4"/>
    </row>
    <row r="230" spans="1:16" ht="20.25" customHeight="1">
      <c r="A230" s="636"/>
      <c r="B230" s="269"/>
      <c r="C230" s="678"/>
      <c r="D230" s="649" t="s">
        <v>226</v>
      </c>
      <c r="E230" s="639" t="s">
        <v>31</v>
      </c>
      <c r="F230" s="680" t="s">
        <v>22</v>
      </c>
      <c r="G230" s="146"/>
      <c r="H230" s="147"/>
      <c r="I230" s="145"/>
      <c r="J230" s="641"/>
      <c r="K230" s="8"/>
      <c r="L230" s="4"/>
      <c r="M230" s="4"/>
      <c r="N230" s="4"/>
      <c r="O230" s="4"/>
      <c r="P230" s="4"/>
    </row>
    <row r="231" spans="1:16" ht="20.25" customHeight="1">
      <c r="A231" s="636"/>
      <c r="B231" s="269"/>
      <c r="C231" s="690"/>
      <c r="D231" s="649" t="s">
        <v>227</v>
      </c>
      <c r="E231" s="639" t="s">
        <v>31</v>
      </c>
      <c r="F231" s="680" t="s">
        <v>22</v>
      </c>
      <c r="G231" s="146"/>
      <c r="H231" s="147"/>
      <c r="I231" s="145"/>
      <c r="J231" s="641"/>
      <c r="K231" s="8"/>
      <c r="L231" s="4"/>
      <c r="M231" s="4"/>
      <c r="N231" s="4"/>
      <c r="O231" s="4"/>
      <c r="P231" s="4"/>
    </row>
    <row r="232" spans="1:16" ht="20.25" customHeight="1">
      <c r="A232" s="636"/>
      <c r="B232" s="269"/>
      <c r="C232" s="690"/>
      <c r="D232" s="649" t="s">
        <v>228</v>
      </c>
      <c r="E232" s="639" t="s">
        <v>31</v>
      </c>
      <c r="F232" s="680" t="s">
        <v>22</v>
      </c>
      <c r="G232" s="146"/>
      <c r="H232" s="147"/>
      <c r="I232" s="145"/>
      <c r="J232" s="641"/>
      <c r="K232" s="8"/>
      <c r="L232" s="4"/>
      <c r="M232" s="4"/>
      <c r="N232" s="4"/>
      <c r="O232" s="4"/>
      <c r="P232" s="4"/>
    </row>
    <row r="233" spans="1:16" ht="20.25" customHeight="1">
      <c r="A233" s="636"/>
      <c r="B233" s="269"/>
      <c r="C233" s="690"/>
      <c r="D233" s="649" t="s">
        <v>229</v>
      </c>
      <c r="E233" s="639" t="s">
        <v>31</v>
      </c>
      <c r="F233" s="680" t="s">
        <v>22</v>
      </c>
      <c r="G233" s="146"/>
      <c r="H233" s="147"/>
      <c r="I233" s="145"/>
      <c r="J233" s="641"/>
      <c r="K233" s="8"/>
      <c r="L233" s="4"/>
      <c r="M233" s="4"/>
      <c r="N233" s="4"/>
      <c r="O233" s="4"/>
      <c r="P233" s="4"/>
    </row>
    <row r="234" spans="1:16" ht="20.25" customHeight="1">
      <c r="A234" s="704"/>
      <c r="B234" s="504"/>
      <c r="C234" s="533"/>
      <c r="D234" s="534" t="s">
        <v>230</v>
      </c>
      <c r="E234" s="639" t="s">
        <v>31</v>
      </c>
      <c r="F234" s="680" t="s">
        <v>22</v>
      </c>
      <c r="G234" s="146">
        <v>2</v>
      </c>
      <c r="H234" s="147" t="s">
        <v>26</v>
      </c>
      <c r="I234" s="145"/>
      <c r="J234" s="641">
        <f>+I234*G234</f>
        <v>0</v>
      </c>
      <c r="K234" s="8"/>
      <c r="L234" s="4"/>
      <c r="M234" s="4"/>
      <c r="N234" s="4"/>
      <c r="O234" s="4"/>
      <c r="P234" s="4"/>
    </row>
    <row r="235" spans="1:16" ht="20.25" customHeight="1">
      <c r="A235" s="668"/>
      <c r="B235" s="457"/>
      <c r="C235" s="535"/>
      <c r="D235" s="463"/>
      <c r="E235" s="464"/>
      <c r="F235" s="783"/>
      <c r="G235" s="464"/>
      <c r="H235" s="465"/>
      <c r="I235" s="462" t="s">
        <v>231</v>
      </c>
      <c r="J235" s="669">
        <f>SUM(J228:J234)</f>
        <v>0</v>
      </c>
      <c r="K235" s="13"/>
      <c r="L235" s="3"/>
      <c r="M235" s="3"/>
      <c r="N235" s="3"/>
      <c r="O235" s="3"/>
      <c r="P235" s="3"/>
    </row>
    <row r="236" spans="1:16" ht="25.5" customHeight="1">
      <c r="A236" s="676">
        <v>26</v>
      </c>
      <c r="B236" s="511" t="s">
        <v>232</v>
      </c>
      <c r="C236" s="509"/>
      <c r="D236" s="705" t="s">
        <v>224</v>
      </c>
      <c r="E236" s="639" t="s">
        <v>31</v>
      </c>
      <c r="F236" s="680" t="s">
        <v>22</v>
      </c>
      <c r="G236" s="146">
        <v>43.1</v>
      </c>
      <c r="H236" s="147" t="s">
        <v>51</v>
      </c>
      <c r="I236" s="145"/>
      <c r="J236" s="641">
        <f t="shared" ref="J236:J241" si="25">+I236*G236</f>
        <v>0</v>
      </c>
      <c r="K236" s="8"/>
      <c r="L236" s="4"/>
      <c r="M236" s="4"/>
      <c r="N236" s="4"/>
      <c r="O236" s="4"/>
      <c r="P236" s="4"/>
    </row>
    <row r="237" spans="1:16" ht="20.25" customHeight="1">
      <c r="A237" s="636"/>
      <c r="B237" s="269"/>
      <c r="C237" s="678"/>
      <c r="D237" s="638" t="s">
        <v>225</v>
      </c>
      <c r="E237" s="639" t="s">
        <v>31</v>
      </c>
      <c r="F237" s="680" t="s">
        <v>22</v>
      </c>
      <c r="G237" s="146">
        <v>0</v>
      </c>
      <c r="H237" s="147">
        <v>0</v>
      </c>
      <c r="I237" s="145"/>
      <c r="J237" s="641">
        <f t="shared" si="25"/>
        <v>0</v>
      </c>
      <c r="K237" s="8"/>
      <c r="L237" s="4"/>
      <c r="M237" s="4"/>
      <c r="N237" s="4"/>
      <c r="O237" s="4"/>
      <c r="P237" s="4"/>
    </row>
    <row r="238" spans="1:16" ht="20.25" customHeight="1">
      <c r="A238" s="636"/>
      <c r="B238" s="269"/>
      <c r="C238" s="678"/>
      <c r="D238" s="649" t="s">
        <v>226</v>
      </c>
      <c r="E238" s="639" t="s">
        <v>31</v>
      </c>
      <c r="F238" s="680" t="s">
        <v>22</v>
      </c>
      <c r="G238" s="146">
        <v>0</v>
      </c>
      <c r="H238" s="147">
        <v>0</v>
      </c>
      <c r="I238" s="145"/>
      <c r="J238" s="641">
        <f t="shared" si="25"/>
        <v>0</v>
      </c>
      <c r="K238" s="8"/>
      <c r="L238" s="4"/>
      <c r="M238" s="4"/>
      <c r="N238" s="4"/>
      <c r="O238" s="4"/>
      <c r="P238" s="4"/>
    </row>
    <row r="239" spans="1:16" ht="20.25" customHeight="1">
      <c r="A239" s="636"/>
      <c r="B239" s="269"/>
      <c r="C239" s="690"/>
      <c r="D239" s="649" t="s">
        <v>227</v>
      </c>
      <c r="E239" s="639" t="s">
        <v>31</v>
      </c>
      <c r="F239" s="680" t="s">
        <v>22</v>
      </c>
      <c r="G239" s="146">
        <v>0</v>
      </c>
      <c r="H239" s="147">
        <v>0</v>
      </c>
      <c r="I239" s="145"/>
      <c r="J239" s="641">
        <f t="shared" si="25"/>
        <v>0</v>
      </c>
      <c r="K239" s="8"/>
      <c r="L239" s="4"/>
      <c r="M239" s="4"/>
      <c r="N239" s="4"/>
      <c r="O239" s="4"/>
      <c r="P239" s="4"/>
    </row>
    <row r="240" spans="1:16" ht="20.25" customHeight="1">
      <c r="A240" s="636"/>
      <c r="B240" s="269"/>
      <c r="C240" s="690"/>
      <c r="D240" s="649" t="s">
        <v>228</v>
      </c>
      <c r="E240" s="639" t="s">
        <v>31</v>
      </c>
      <c r="F240" s="680" t="s">
        <v>22</v>
      </c>
      <c r="G240" s="146">
        <v>0</v>
      </c>
      <c r="H240" s="147">
        <v>0</v>
      </c>
      <c r="I240" s="145"/>
      <c r="J240" s="641">
        <f t="shared" si="25"/>
        <v>0</v>
      </c>
      <c r="K240" s="8"/>
      <c r="L240" s="4"/>
      <c r="M240" s="4"/>
      <c r="N240" s="4"/>
      <c r="O240" s="4"/>
      <c r="P240" s="4"/>
    </row>
    <row r="241" spans="1:16" ht="20.25" customHeight="1">
      <c r="A241" s="704"/>
      <c r="B241" s="504"/>
      <c r="C241" s="533"/>
      <c r="D241" s="534" t="s">
        <v>230</v>
      </c>
      <c r="E241" s="639" t="s">
        <v>31</v>
      </c>
      <c r="F241" s="680" t="s">
        <v>22</v>
      </c>
      <c r="G241" s="146">
        <v>2</v>
      </c>
      <c r="H241" s="147" t="s">
        <v>26</v>
      </c>
      <c r="I241" s="145"/>
      <c r="J241" s="641">
        <f t="shared" si="25"/>
        <v>0</v>
      </c>
      <c r="K241" s="8"/>
      <c r="L241" s="4"/>
      <c r="M241" s="4"/>
      <c r="N241" s="4"/>
      <c r="O241" s="4"/>
      <c r="P241" s="4"/>
    </row>
    <row r="242" spans="1:16" ht="20.25" customHeight="1">
      <c r="A242" s="668"/>
      <c r="B242" s="457"/>
      <c r="C242" s="535"/>
      <c r="D242" s="463"/>
      <c r="E242" s="464"/>
      <c r="F242" s="783"/>
      <c r="G242" s="464"/>
      <c r="H242" s="465"/>
      <c r="I242" s="462" t="s">
        <v>233</v>
      </c>
      <c r="J242" s="669">
        <f>SUM(J236:J241)</f>
        <v>0</v>
      </c>
      <c r="K242" s="13"/>
      <c r="L242" s="3"/>
      <c r="M242" s="3"/>
      <c r="N242" s="3"/>
      <c r="O242" s="3"/>
      <c r="P242" s="3"/>
    </row>
    <row r="243" spans="1:16" ht="30" customHeight="1">
      <c r="A243" s="636">
        <v>27</v>
      </c>
      <c r="B243" s="499" t="s">
        <v>234</v>
      </c>
      <c r="C243" s="678"/>
      <c r="D243" s="701" t="s">
        <v>224</v>
      </c>
      <c r="E243" s="639" t="s">
        <v>31</v>
      </c>
      <c r="F243" s="680" t="s">
        <v>22</v>
      </c>
      <c r="G243" s="146">
        <v>50.15</v>
      </c>
      <c r="H243" s="147" t="s">
        <v>51</v>
      </c>
      <c r="I243" s="145"/>
      <c r="J243" s="641">
        <f t="shared" ref="J243:J248" si="26">+I243*G243</f>
        <v>0</v>
      </c>
      <c r="K243" s="8"/>
      <c r="L243" s="4"/>
      <c r="M243" s="4"/>
      <c r="N243" s="4"/>
      <c r="O243" s="4"/>
      <c r="P243" s="4"/>
    </row>
    <row r="244" spans="1:16" ht="20.25" customHeight="1">
      <c r="A244" s="636"/>
      <c r="B244" s="269"/>
      <c r="C244" s="678"/>
      <c r="D244" s="638" t="s">
        <v>225</v>
      </c>
      <c r="E244" s="639" t="s">
        <v>31</v>
      </c>
      <c r="F244" s="680" t="s">
        <v>22</v>
      </c>
      <c r="G244" s="146">
        <v>0</v>
      </c>
      <c r="H244" s="147">
        <v>0</v>
      </c>
      <c r="I244" s="145"/>
      <c r="J244" s="641">
        <f t="shared" si="26"/>
        <v>0</v>
      </c>
      <c r="K244" s="8"/>
      <c r="L244" s="4"/>
      <c r="M244" s="4"/>
      <c r="N244" s="4"/>
      <c r="O244" s="4"/>
      <c r="P244" s="4"/>
    </row>
    <row r="245" spans="1:16" ht="20.25" customHeight="1">
      <c r="A245" s="636"/>
      <c r="B245" s="269"/>
      <c r="C245" s="678"/>
      <c r="D245" s="649" t="s">
        <v>226</v>
      </c>
      <c r="E245" s="639" t="s">
        <v>31</v>
      </c>
      <c r="F245" s="680" t="s">
        <v>22</v>
      </c>
      <c r="G245" s="146">
        <v>0</v>
      </c>
      <c r="H245" s="147">
        <v>0</v>
      </c>
      <c r="I245" s="145"/>
      <c r="J245" s="641">
        <f t="shared" si="26"/>
        <v>0</v>
      </c>
      <c r="K245" s="8"/>
      <c r="L245" s="4"/>
      <c r="M245" s="4"/>
      <c r="N245" s="4"/>
      <c r="O245" s="4"/>
      <c r="P245" s="4"/>
    </row>
    <row r="246" spans="1:16" ht="20.25" customHeight="1">
      <c r="A246" s="636"/>
      <c r="B246" s="269"/>
      <c r="C246" s="690"/>
      <c r="D246" s="649" t="s">
        <v>227</v>
      </c>
      <c r="E246" s="639" t="s">
        <v>31</v>
      </c>
      <c r="F246" s="680" t="s">
        <v>22</v>
      </c>
      <c r="G246" s="146">
        <v>0</v>
      </c>
      <c r="H246" s="147">
        <v>0</v>
      </c>
      <c r="I246" s="145"/>
      <c r="J246" s="641">
        <f t="shared" si="26"/>
        <v>0</v>
      </c>
      <c r="K246" s="8"/>
      <c r="L246" s="4"/>
      <c r="M246" s="4"/>
      <c r="N246" s="4"/>
      <c r="O246" s="4"/>
      <c r="P246" s="4"/>
    </row>
    <row r="247" spans="1:16" ht="20.25" customHeight="1">
      <c r="A247" s="636"/>
      <c r="B247" s="269"/>
      <c r="C247" s="690"/>
      <c r="D247" s="649" t="s">
        <v>228</v>
      </c>
      <c r="E247" s="639" t="s">
        <v>31</v>
      </c>
      <c r="F247" s="680" t="s">
        <v>22</v>
      </c>
      <c r="G247" s="146">
        <v>0</v>
      </c>
      <c r="H247" s="147">
        <v>0</v>
      </c>
      <c r="I247" s="145"/>
      <c r="J247" s="641">
        <f t="shared" si="26"/>
        <v>0</v>
      </c>
      <c r="K247" s="8"/>
      <c r="L247" s="4"/>
      <c r="M247" s="4"/>
      <c r="N247" s="4"/>
      <c r="O247" s="4"/>
      <c r="P247" s="4"/>
    </row>
    <row r="248" spans="1:16" ht="20.25" customHeight="1">
      <c r="A248" s="704"/>
      <c r="B248" s="504"/>
      <c r="C248" s="533"/>
      <c r="D248" s="534" t="s">
        <v>230</v>
      </c>
      <c r="E248" s="639" t="s">
        <v>31</v>
      </c>
      <c r="F248" s="680" t="s">
        <v>22</v>
      </c>
      <c r="G248" s="146">
        <v>2</v>
      </c>
      <c r="H248" s="147" t="s">
        <v>26</v>
      </c>
      <c r="I248" s="145"/>
      <c r="J248" s="641">
        <f t="shared" si="26"/>
        <v>0</v>
      </c>
      <c r="K248" s="8"/>
      <c r="L248" s="4"/>
      <c r="M248" s="4"/>
      <c r="N248" s="4"/>
      <c r="O248" s="4"/>
      <c r="P248" s="4"/>
    </row>
    <row r="249" spans="1:16" ht="20.25" customHeight="1">
      <c r="A249" s="668"/>
      <c r="B249" s="457"/>
      <c r="C249" s="535"/>
      <c r="D249" s="463"/>
      <c r="E249" s="464"/>
      <c r="F249" s="783"/>
      <c r="G249" s="464"/>
      <c r="H249" s="465"/>
      <c r="I249" s="462" t="s">
        <v>235</v>
      </c>
      <c r="J249" s="669">
        <f>SUM(J243:J248)</f>
        <v>0</v>
      </c>
      <c r="K249" s="13"/>
      <c r="L249" s="3"/>
      <c r="M249" s="3"/>
      <c r="N249" s="3"/>
      <c r="O249" s="3"/>
      <c r="P249" s="3"/>
    </row>
    <row r="250" spans="1:16" ht="20.25" customHeight="1">
      <c r="A250" s="670">
        <v>28</v>
      </c>
      <c r="B250" s="671" t="s">
        <v>236</v>
      </c>
      <c r="C250" s="720"/>
      <c r="D250" s="721" t="s">
        <v>237</v>
      </c>
      <c r="E250" s="674" t="s">
        <v>50</v>
      </c>
      <c r="F250" s="680" t="s">
        <v>22</v>
      </c>
      <c r="G250" s="146">
        <v>35</v>
      </c>
      <c r="H250" s="147" t="s">
        <v>51</v>
      </c>
      <c r="I250" s="145"/>
      <c r="J250" s="641">
        <f>+I250*G250</f>
        <v>0</v>
      </c>
      <c r="K250" s="8"/>
      <c r="L250" s="4"/>
      <c r="M250" s="4"/>
      <c r="N250" s="4"/>
      <c r="O250" s="4"/>
      <c r="P250" s="4"/>
    </row>
    <row r="251" spans="1:16" ht="20.25" customHeight="1">
      <c r="A251" s="668"/>
      <c r="B251" s="457"/>
      <c r="C251" s="535"/>
      <c r="D251" s="463"/>
      <c r="E251" s="464"/>
      <c r="F251" s="783"/>
      <c r="G251" s="464"/>
      <c r="H251" s="465"/>
      <c r="I251" s="462" t="s">
        <v>238</v>
      </c>
      <c r="J251" s="669">
        <f>SUM(J250)</f>
        <v>0</v>
      </c>
      <c r="K251" s="13"/>
      <c r="L251" s="3"/>
      <c r="M251" s="3"/>
      <c r="N251" s="3"/>
      <c r="O251" s="3"/>
      <c r="P251" s="3"/>
    </row>
    <row r="252" spans="1:16" ht="20.25" customHeight="1">
      <c r="A252" s="670">
        <v>29</v>
      </c>
      <c r="B252" s="722" t="s">
        <v>239</v>
      </c>
      <c r="C252" s="672"/>
      <c r="D252" s="673" t="s">
        <v>224</v>
      </c>
      <c r="E252" s="639" t="s">
        <v>31</v>
      </c>
      <c r="F252" s="680" t="s">
        <v>22</v>
      </c>
      <c r="G252" s="146">
        <v>1</v>
      </c>
      <c r="H252" s="147" t="s">
        <v>23</v>
      </c>
      <c r="I252" s="145"/>
      <c r="J252" s="641">
        <f>+I252*G252</f>
        <v>0</v>
      </c>
      <c r="K252" s="8"/>
      <c r="L252" s="4"/>
      <c r="M252" s="4"/>
      <c r="N252" s="4"/>
      <c r="O252" s="4"/>
      <c r="P252" s="4"/>
    </row>
    <row r="253" spans="1:16" ht="20.25" customHeight="1">
      <c r="A253" s="668"/>
      <c r="B253" s="457"/>
      <c r="C253" s="535"/>
      <c r="D253" s="463"/>
      <c r="E253" s="464"/>
      <c r="F253" s="783"/>
      <c r="G253" s="464"/>
      <c r="H253" s="465"/>
      <c r="I253" s="462" t="s">
        <v>240</v>
      </c>
      <c r="J253" s="669">
        <f>SUM(J252)</f>
        <v>0</v>
      </c>
      <c r="K253" s="13"/>
      <c r="L253" s="3"/>
      <c r="M253" s="3"/>
      <c r="N253" s="3"/>
      <c r="O253" s="3"/>
      <c r="P253" s="3"/>
    </row>
    <row r="254" spans="1:16" ht="20.25" customHeight="1">
      <c r="A254" s="670">
        <v>30</v>
      </c>
      <c r="B254" s="722" t="s">
        <v>241</v>
      </c>
      <c r="C254" s="672"/>
      <c r="D254" s="673" t="s">
        <v>224</v>
      </c>
      <c r="E254" s="639" t="s">
        <v>31</v>
      </c>
      <c r="F254" s="680" t="s">
        <v>22</v>
      </c>
      <c r="G254" s="146">
        <v>1</v>
      </c>
      <c r="H254" s="147" t="s">
        <v>23</v>
      </c>
      <c r="I254" s="145"/>
      <c r="J254" s="641">
        <f>+I254*G254</f>
        <v>0</v>
      </c>
      <c r="K254" s="8"/>
      <c r="L254" s="4"/>
      <c r="M254" s="4"/>
      <c r="N254" s="4"/>
      <c r="O254" s="4"/>
      <c r="P254" s="4"/>
    </row>
    <row r="255" spans="1:16" ht="20.25" customHeight="1">
      <c r="A255" s="668"/>
      <c r="B255" s="457"/>
      <c r="C255" s="535"/>
      <c r="D255" s="463"/>
      <c r="E255" s="464"/>
      <c r="F255" s="783"/>
      <c r="G255" s="464"/>
      <c r="H255" s="465"/>
      <c r="I255" s="462" t="s">
        <v>242</v>
      </c>
      <c r="J255" s="669">
        <f>SUM(J254)</f>
        <v>0</v>
      </c>
      <c r="K255" s="13"/>
      <c r="L255" s="3"/>
      <c r="M255" s="3"/>
      <c r="N255" s="3"/>
      <c r="O255" s="3"/>
      <c r="P255" s="3"/>
    </row>
    <row r="256" spans="1:16" ht="20.25" customHeight="1">
      <c r="A256" s="686" t="s">
        <v>243</v>
      </c>
      <c r="B256" s="478" t="s">
        <v>244</v>
      </c>
      <c r="C256" s="536"/>
      <c r="D256" s="468"/>
      <c r="E256" s="469"/>
      <c r="F256" s="792"/>
      <c r="G256" s="469"/>
      <c r="H256" s="470"/>
      <c r="I256" s="471"/>
      <c r="J256" s="677"/>
      <c r="K256" s="8"/>
      <c r="L256" s="4"/>
      <c r="M256" s="4"/>
      <c r="N256" s="4"/>
      <c r="O256" s="4"/>
      <c r="P256" s="4"/>
    </row>
    <row r="257" spans="1:16" ht="20.25" customHeight="1">
      <c r="A257" s="653">
        <v>31</v>
      </c>
      <c r="B257" s="444" t="s">
        <v>245</v>
      </c>
      <c r="C257" s="537" t="s">
        <v>246</v>
      </c>
      <c r="D257" s="501" t="s">
        <v>247</v>
      </c>
      <c r="E257" s="447" t="s">
        <v>50</v>
      </c>
      <c r="F257" s="539" t="s">
        <v>28</v>
      </c>
      <c r="G257" s="450">
        <v>2</v>
      </c>
      <c r="H257" s="448" t="s">
        <v>26</v>
      </c>
      <c r="I257" s="449"/>
      <c r="J257" s="654">
        <f t="shared" ref="J257:J269" si="27">+I257*G257</f>
        <v>0</v>
      </c>
      <c r="K257" s="140"/>
      <c r="L257" s="69"/>
      <c r="M257" s="69"/>
      <c r="N257" s="69"/>
      <c r="O257" s="69"/>
      <c r="P257" s="69"/>
    </row>
    <row r="258" spans="1:16" ht="20.25" customHeight="1">
      <c r="A258" s="653"/>
      <c r="B258" s="444"/>
      <c r="C258" s="538"/>
      <c r="D258" s="539" t="s">
        <v>248</v>
      </c>
      <c r="E258" s="447" t="s">
        <v>50</v>
      </c>
      <c r="F258" s="539" t="s">
        <v>28</v>
      </c>
      <c r="G258" s="450">
        <v>0</v>
      </c>
      <c r="H258" s="448" t="s">
        <v>136</v>
      </c>
      <c r="I258" s="449"/>
      <c r="J258" s="654">
        <f t="shared" si="27"/>
        <v>0</v>
      </c>
      <c r="K258" s="140"/>
      <c r="L258" s="69"/>
      <c r="M258" s="69"/>
      <c r="N258" s="69"/>
      <c r="O258" s="69"/>
      <c r="P258" s="69"/>
    </row>
    <row r="259" spans="1:16" ht="20.25" customHeight="1">
      <c r="A259" s="653"/>
      <c r="B259" s="444"/>
      <c r="C259" s="538"/>
      <c r="D259" s="539" t="s">
        <v>249</v>
      </c>
      <c r="E259" s="447" t="s">
        <v>50</v>
      </c>
      <c r="F259" s="539" t="s">
        <v>28</v>
      </c>
      <c r="G259" s="450">
        <v>2</v>
      </c>
      <c r="H259" s="448" t="s">
        <v>136</v>
      </c>
      <c r="I259" s="449"/>
      <c r="J259" s="654">
        <f t="shared" si="27"/>
        <v>0</v>
      </c>
      <c r="K259" s="140"/>
      <c r="L259" s="69"/>
      <c r="M259" s="69"/>
      <c r="N259" s="69"/>
      <c r="O259" s="69"/>
      <c r="P259" s="69"/>
    </row>
    <row r="260" spans="1:16" ht="20.25" customHeight="1">
      <c r="A260" s="653"/>
      <c r="B260" s="444"/>
      <c r="C260" s="537" t="s">
        <v>246</v>
      </c>
      <c r="D260" s="501" t="s">
        <v>250</v>
      </c>
      <c r="E260" s="447" t="s">
        <v>50</v>
      </c>
      <c r="F260" s="539" t="s">
        <v>22</v>
      </c>
      <c r="G260" s="450">
        <v>60</v>
      </c>
      <c r="H260" s="448" t="s">
        <v>51</v>
      </c>
      <c r="I260" s="449"/>
      <c r="J260" s="654">
        <f t="shared" si="27"/>
        <v>0</v>
      </c>
      <c r="K260" s="140"/>
      <c r="L260" s="69"/>
      <c r="M260" s="69"/>
      <c r="N260" s="69"/>
      <c r="O260" s="69"/>
      <c r="P260" s="69"/>
    </row>
    <row r="261" spans="1:16" ht="20.25" customHeight="1">
      <c r="A261" s="653"/>
      <c r="B261" s="444"/>
      <c r="C261" s="537" t="s">
        <v>246</v>
      </c>
      <c r="D261" s="501" t="s">
        <v>251</v>
      </c>
      <c r="E261" s="447" t="s">
        <v>50</v>
      </c>
      <c r="F261" s="539" t="s">
        <v>22</v>
      </c>
      <c r="G261" s="450">
        <v>8</v>
      </c>
      <c r="H261" s="448" t="s">
        <v>252</v>
      </c>
      <c r="I261" s="449"/>
      <c r="J261" s="654">
        <f t="shared" si="27"/>
        <v>0</v>
      </c>
      <c r="K261" s="140"/>
      <c r="L261" s="69"/>
      <c r="M261" s="69"/>
      <c r="N261" s="69"/>
      <c r="O261" s="69"/>
      <c r="P261" s="69"/>
    </row>
    <row r="262" spans="1:16" ht="20.25" customHeight="1">
      <c r="A262" s="653"/>
      <c r="B262" s="444"/>
      <c r="C262" s="537" t="s">
        <v>246</v>
      </c>
      <c r="D262" s="501" t="s">
        <v>139</v>
      </c>
      <c r="E262" s="447" t="s">
        <v>50</v>
      </c>
      <c r="F262" s="539" t="s">
        <v>22</v>
      </c>
      <c r="G262" s="450">
        <v>1</v>
      </c>
      <c r="H262" s="448" t="s">
        <v>136</v>
      </c>
      <c r="I262" s="449"/>
      <c r="J262" s="654">
        <f t="shared" si="27"/>
        <v>0</v>
      </c>
      <c r="K262" s="140"/>
      <c r="L262" s="69"/>
      <c r="M262" s="69"/>
      <c r="N262" s="69"/>
      <c r="O262" s="69"/>
      <c r="P262" s="69"/>
    </row>
    <row r="263" spans="1:16" ht="20.25" customHeight="1">
      <c r="A263" s="653"/>
      <c r="B263" s="444"/>
      <c r="C263" s="537" t="s">
        <v>246</v>
      </c>
      <c r="D263" s="501" t="s">
        <v>253</v>
      </c>
      <c r="E263" s="447" t="s">
        <v>50</v>
      </c>
      <c r="F263" s="539" t="s">
        <v>28</v>
      </c>
      <c r="G263" s="450">
        <v>0</v>
      </c>
      <c r="H263" s="448" t="s">
        <v>136</v>
      </c>
      <c r="I263" s="449"/>
      <c r="J263" s="654">
        <f t="shared" si="27"/>
        <v>0</v>
      </c>
      <c r="K263" s="140"/>
      <c r="L263" s="69"/>
      <c r="M263" s="69"/>
      <c r="N263" s="69"/>
      <c r="O263" s="69"/>
      <c r="P263" s="69"/>
    </row>
    <row r="264" spans="1:16" ht="20.25" customHeight="1">
      <c r="A264" s="653"/>
      <c r="B264" s="444"/>
      <c r="C264" s="537" t="s">
        <v>246</v>
      </c>
      <c r="D264" s="501" t="s">
        <v>254</v>
      </c>
      <c r="E264" s="447" t="s">
        <v>50</v>
      </c>
      <c r="F264" s="539" t="s">
        <v>22</v>
      </c>
      <c r="G264" s="450">
        <v>49</v>
      </c>
      <c r="H264" s="448" t="s">
        <v>136</v>
      </c>
      <c r="I264" s="449"/>
      <c r="J264" s="654">
        <f t="shared" si="27"/>
        <v>0</v>
      </c>
      <c r="K264" s="140"/>
      <c r="L264" s="69"/>
      <c r="M264" s="69"/>
      <c r="N264" s="69"/>
      <c r="O264" s="69"/>
      <c r="P264" s="69"/>
    </row>
    <row r="265" spans="1:16" ht="20.25" customHeight="1">
      <c r="A265" s="653"/>
      <c r="B265" s="444"/>
      <c r="C265" s="537" t="s">
        <v>246</v>
      </c>
      <c r="D265" s="501" t="s">
        <v>255</v>
      </c>
      <c r="E265" s="447" t="s">
        <v>50</v>
      </c>
      <c r="F265" s="539" t="s">
        <v>22</v>
      </c>
      <c r="G265" s="450">
        <v>2</v>
      </c>
      <c r="H265" s="448" t="s">
        <v>26</v>
      </c>
      <c r="I265" s="449"/>
      <c r="J265" s="654">
        <f t="shared" si="27"/>
        <v>0</v>
      </c>
      <c r="K265" s="140"/>
      <c r="L265" s="69"/>
      <c r="M265" s="69"/>
      <c r="N265" s="69"/>
      <c r="O265" s="69"/>
      <c r="P265" s="69"/>
    </row>
    <row r="266" spans="1:16" ht="30.75" customHeight="1">
      <c r="A266" s="653"/>
      <c r="B266" s="444"/>
      <c r="C266" s="538"/>
      <c r="D266" s="501" t="s">
        <v>256</v>
      </c>
      <c r="E266" s="447" t="s">
        <v>50</v>
      </c>
      <c r="F266" s="539" t="s">
        <v>28</v>
      </c>
      <c r="G266" s="450">
        <v>2</v>
      </c>
      <c r="H266" s="448" t="s">
        <v>23</v>
      </c>
      <c r="I266" s="449"/>
      <c r="J266" s="654">
        <f t="shared" si="27"/>
        <v>0</v>
      </c>
      <c r="K266" s="140"/>
      <c r="L266" s="69"/>
      <c r="M266" s="69"/>
      <c r="N266" s="69"/>
      <c r="O266" s="69"/>
      <c r="P266" s="69"/>
    </row>
    <row r="267" spans="1:16" ht="20.25" customHeight="1">
      <c r="A267" s="653"/>
      <c r="B267" s="444"/>
      <c r="C267" s="537" t="s">
        <v>246</v>
      </c>
      <c r="D267" s="540" t="s">
        <v>257</v>
      </c>
      <c r="E267" s="447" t="s">
        <v>50</v>
      </c>
      <c r="F267" s="539" t="s">
        <v>28</v>
      </c>
      <c r="G267" s="450">
        <v>4</v>
      </c>
      <c r="H267" s="448" t="s">
        <v>258</v>
      </c>
      <c r="I267" s="449"/>
      <c r="J267" s="654">
        <f t="shared" si="27"/>
        <v>0</v>
      </c>
      <c r="K267" s="140"/>
      <c r="L267" s="69"/>
      <c r="M267" s="69"/>
      <c r="N267" s="69"/>
      <c r="O267" s="69"/>
      <c r="P267" s="69"/>
    </row>
    <row r="268" spans="1:16" ht="20.25" customHeight="1">
      <c r="A268" s="653"/>
      <c r="B268" s="444"/>
      <c r="C268" s="537" t="s">
        <v>246</v>
      </c>
      <c r="D268" s="540" t="s">
        <v>259</v>
      </c>
      <c r="E268" s="447" t="s">
        <v>50</v>
      </c>
      <c r="F268" s="539" t="s">
        <v>28</v>
      </c>
      <c r="G268" s="450">
        <v>1</v>
      </c>
      <c r="H268" s="448" t="s">
        <v>26</v>
      </c>
      <c r="I268" s="449"/>
      <c r="J268" s="654">
        <f t="shared" si="27"/>
        <v>0</v>
      </c>
      <c r="K268" s="140"/>
      <c r="L268" s="69"/>
      <c r="M268" s="69"/>
      <c r="N268" s="69"/>
      <c r="O268" s="69"/>
      <c r="P268" s="69"/>
    </row>
    <row r="269" spans="1:16" ht="20.25" customHeight="1">
      <c r="A269" s="636"/>
      <c r="B269" s="269"/>
      <c r="C269" s="723" t="s">
        <v>246</v>
      </c>
      <c r="D269" s="701" t="s">
        <v>260</v>
      </c>
      <c r="E269" s="650" t="s">
        <v>50</v>
      </c>
      <c r="F269" s="539" t="s">
        <v>28</v>
      </c>
      <c r="G269" s="146">
        <v>1</v>
      </c>
      <c r="H269" s="147" t="s">
        <v>26</v>
      </c>
      <c r="I269" s="145"/>
      <c r="J269" s="641">
        <f t="shared" si="27"/>
        <v>0</v>
      </c>
      <c r="K269" s="8"/>
      <c r="L269" s="4"/>
      <c r="M269" s="4"/>
      <c r="N269" s="4"/>
      <c r="O269" s="4"/>
      <c r="P269" s="4"/>
    </row>
    <row r="270" spans="1:16" ht="20.25" customHeight="1">
      <c r="A270" s="668"/>
      <c r="B270" s="457"/>
      <c r="C270" s="535"/>
      <c r="D270" s="463"/>
      <c r="E270" s="464"/>
      <c r="F270" s="783"/>
      <c r="G270" s="464"/>
      <c r="H270" s="465"/>
      <c r="I270" s="462" t="s">
        <v>209</v>
      </c>
      <c r="J270" s="669">
        <f>SUM(J257:J269)</f>
        <v>0</v>
      </c>
      <c r="K270" s="13"/>
      <c r="L270" s="3"/>
      <c r="M270" s="3"/>
      <c r="N270" s="3"/>
      <c r="O270" s="3"/>
      <c r="P270" s="3"/>
    </row>
    <row r="271" spans="1:16" ht="20.25" customHeight="1">
      <c r="A271" s="709">
        <v>32</v>
      </c>
      <c r="B271" s="466" t="s">
        <v>261</v>
      </c>
      <c r="C271" s="536"/>
      <c r="D271" s="541" t="s">
        <v>262</v>
      </c>
      <c r="E271" s="469" t="s">
        <v>50</v>
      </c>
      <c r="F271" s="539" t="s">
        <v>22</v>
      </c>
      <c r="G271" s="146">
        <v>1</v>
      </c>
      <c r="H271" s="147" t="s">
        <v>23</v>
      </c>
      <c r="I271" s="145"/>
      <c r="J271" s="641">
        <f t="shared" ref="J271:J273" si="28">+I271*G271</f>
        <v>0</v>
      </c>
      <c r="K271" s="8"/>
      <c r="L271" s="4"/>
      <c r="M271" s="4"/>
      <c r="N271" s="4"/>
      <c r="O271" s="4"/>
      <c r="P271" s="4"/>
    </row>
    <row r="272" spans="1:16" ht="20.25" customHeight="1">
      <c r="A272" s="636"/>
      <c r="B272" s="269"/>
      <c r="C272" s="690"/>
      <c r="D272" s="680" t="s">
        <v>263</v>
      </c>
      <c r="E272" s="650" t="s">
        <v>50</v>
      </c>
      <c r="F272" s="539" t="s">
        <v>22</v>
      </c>
      <c r="G272" s="146">
        <v>1</v>
      </c>
      <c r="H272" s="147" t="s">
        <v>47</v>
      </c>
      <c r="I272" s="145"/>
      <c r="J272" s="641">
        <f t="shared" si="28"/>
        <v>0</v>
      </c>
      <c r="K272" s="8"/>
      <c r="L272" s="4"/>
      <c r="M272" s="4"/>
      <c r="N272" s="4"/>
      <c r="O272" s="4"/>
      <c r="P272" s="4"/>
    </row>
    <row r="273" spans="1:16" ht="20.25" customHeight="1">
      <c r="A273" s="692"/>
      <c r="B273" s="473"/>
      <c r="C273" s="724"/>
      <c r="D273" s="682" t="s">
        <v>264</v>
      </c>
      <c r="E273" s="684" t="s">
        <v>50</v>
      </c>
      <c r="F273" s="539" t="s">
        <v>28</v>
      </c>
      <c r="G273" s="146">
        <v>1</v>
      </c>
      <c r="H273" s="147" t="s">
        <v>26</v>
      </c>
      <c r="I273" s="145"/>
      <c r="J273" s="641">
        <f t="shared" si="28"/>
        <v>0</v>
      </c>
      <c r="K273" s="8"/>
      <c r="L273" s="4"/>
      <c r="M273" s="4"/>
      <c r="N273" s="4"/>
      <c r="O273" s="4"/>
      <c r="P273" s="4"/>
    </row>
    <row r="274" spans="1:16" ht="20.25" customHeight="1">
      <c r="A274" s="668"/>
      <c r="B274" s="457"/>
      <c r="C274" s="535"/>
      <c r="D274" s="463"/>
      <c r="E274" s="464"/>
      <c r="F274" s="783"/>
      <c r="G274" s="464"/>
      <c r="H274" s="465"/>
      <c r="I274" s="462" t="s">
        <v>231</v>
      </c>
      <c r="J274" s="669">
        <f>SUM(J271:J273)</f>
        <v>0</v>
      </c>
      <c r="K274" s="13"/>
      <c r="L274" s="3"/>
      <c r="M274" s="3"/>
      <c r="N274" s="3"/>
      <c r="O274" s="3"/>
      <c r="P274" s="3"/>
    </row>
    <row r="275" spans="1:16" ht="20.25" customHeight="1">
      <c r="A275" s="686" t="s">
        <v>266</v>
      </c>
      <c r="B275" s="478" t="s">
        <v>267</v>
      </c>
      <c r="C275" s="536"/>
      <c r="D275" s="468"/>
      <c r="E275" s="469"/>
      <c r="F275" s="792"/>
      <c r="G275" s="469"/>
      <c r="H275" s="470"/>
      <c r="I275" s="471"/>
      <c r="J275" s="677"/>
      <c r="K275" s="8"/>
      <c r="L275" s="4"/>
      <c r="M275" s="4"/>
      <c r="N275" s="4"/>
      <c r="O275" s="4"/>
      <c r="P275" s="4"/>
    </row>
    <row r="276" spans="1:16" ht="20.25" customHeight="1">
      <c r="A276" s="636">
        <v>33</v>
      </c>
      <c r="B276" s="269" t="s">
        <v>268</v>
      </c>
      <c r="C276" s="678"/>
      <c r="D276" s="649" t="s">
        <v>269</v>
      </c>
      <c r="E276" s="650" t="s">
        <v>34</v>
      </c>
      <c r="F276" s="539" t="s">
        <v>28</v>
      </c>
      <c r="G276" s="146">
        <v>24</v>
      </c>
      <c r="H276" s="147" t="s">
        <v>136</v>
      </c>
      <c r="I276" s="145"/>
      <c r="J276" s="641">
        <f t="shared" ref="J276:J291" si="29">+I276*G276</f>
        <v>0</v>
      </c>
      <c r="K276" s="8"/>
      <c r="L276" s="4"/>
      <c r="M276" s="4"/>
      <c r="N276" s="4"/>
      <c r="O276" s="4"/>
      <c r="P276" s="4"/>
    </row>
    <row r="277" spans="1:16" ht="20.25" customHeight="1">
      <c r="A277" s="636"/>
      <c r="B277" s="269"/>
      <c r="C277" s="678"/>
      <c r="D277" s="649" t="s">
        <v>270</v>
      </c>
      <c r="E277" s="650" t="s">
        <v>34</v>
      </c>
      <c r="F277" s="539" t="s">
        <v>28</v>
      </c>
      <c r="G277" s="146">
        <v>10</v>
      </c>
      <c r="H277" s="147" t="s">
        <v>136</v>
      </c>
      <c r="I277" s="145"/>
      <c r="J277" s="641">
        <f t="shared" si="29"/>
        <v>0</v>
      </c>
      <c r="K277" s="8"/>
      <c r="L277" s="4"/>
      <c r="M277" s="4"/>
      <c r="N277" s="4"/>
      <c r="O277" s="4"/>
      <c r="P277" s="4"/>
    </row>
    <row r="278" spans="1:16" ht="20.25" customHeight="1">
      <c r="A278" s="636"/>
      <c r="B278" s="269"/>
      <c r="C278" s="678"/>
      <c r="D278" s="638" t="s">
        <v>271</v>
      </c>
      <c r="E278" s="650" t="s">
        <v>34</v>
      </c>
      <c r="F278" s="539" t="s">
        <v>28</v>
      </c>
      <c r="G278" s="146">
        <v>30</v>
      </c>
      <c r="H278" s="147" t="s">
        <v>136</v>
      </c>
      <c r="I278" s="145"/>
      <c r="J278" s="641">
        <f t="shared" si="29"/>
        <v>0</v>
      </c>
      <c r="K278" s="8"/>
      <c r="L278" s="4"/>
      <c r="M278" s="4"/>
      <c r="N278" s="4"/>
      <c r="O278" s="4"/>
      <c r="P278" s="4"/>
    </row>
    <row r="279" spans="1:16" ht="20.25" customHeight="1">
      <c r="A279" s="636"/>
      <c r="B279" s="269"/>
      <c r="C279" s="678"/>
      <c r="D279" s="649" t="s">
        <v>272</v>
      </c>
      <c r="E279" s="650" t="s">
        <v>34</v>
      </c>
      <c r="F279" s="539" t="s">
        <v>28</v>
      </c>
      <c r="G279" s="146">
        <v>15</v>
      </c>
      <c r="H279" s="147" t="s">
        <v>136</v>
      </c>
      <c r="I279" s="145"/>
      <c r="J279" s="641">
        <f t="shared" si="29"/>
        <v>0</v>
      </c>
      <c r="K279" s="8"/>
      <c r="L279" s="4"/>
      <c r="M279" s="4"/>
      <c r="N279" s="4"/>
      <c r="O279" s="4"/>
      <c r="P279" s="4"/>
    </row>
    <row r="280" spans="1:16" ht="20.25" customHeight="1">
      <c r="A280" s="636"/>
      <c r="B280" s="269"/>
      <c r="C280" s="678"/>
      <c r="D280" s="649" t="s">
        <v>273</v>
      </c>
      <c r="E280" s="650" t="s">
        <v>34</v>
      </c>
      <c r="F280" s="539" t="s">
        <v>28</v>
      </c>
      <c r="G280" s="146">
        <v>50</v>
      </c>
      <c r="H280" s="147" t="s">
        <v>136</v>
      </c>
      <c r="I280" s="145"/>
      <c r="J280" s="641">
        <f t="shared" si="29"/>
        <v>0</v>
      </c>
      <c r="K280" s="8"/>
      <c r="L280" s="4"/>
      <c r="M280" s="4"/>
      <c r="N280" s="4"/>
      <c r="O280" s="4"/>
      <c r="P280" s="4"/>
    </row>
    <row r="281" spans="1:16" ht="20.25" customHeight="1">
      <c r="A281" s="636"/>
      <c r="B281" s="269"/>
      <c r="C281" s="678"/>
      <c r="D281" s="649" t="s">
        <v>274</v>
      </c>
      <c r="E281" s="650" t="s">
        <v>34</v>
      </c>
      <c r="F281" s="539" t="s">
        <v>28</v>
      </c>
      <c r="G281" s="146">
        <v>30</v>
      </c>
      <c r="H281" s="147" t="s">
        <v>136</v>
      </c>
      <c r="I281" s="145"/>
      <c r="J281" s="641">
        <f t="shared" si="29"/>
        <v>0</v>
      </c>
      <c r="K281" s="8"/>
      <c r="L281" s="4"/>
      <c r="M281" s="4"/>
      <c r="N281" s="4"/>
      <c r="O281" s="4"/>
      <c r="P281" s="4"/>
    </row>
    <row r="282" spans="1:16" ht="20.25" customHeight="1">
      <c r="A282" s="636"/>
      <c r="B282" s="269"/>
      <c r="C282" s="678"/>
      <c r="D282" s="649" t="s">
        <v>275</v>
      </c>
      <c r="E282" s="650" t="s">
        <v>34</v>
      </c>
      <c r="F282" s="539" t="s">
        <v>28</v>
      </c>
      <c r="G282" s="146">
        <v>10</v>
      </c>
      <c r="H282" s="147" t="s">
        <v>136</v>
      </c>
      <c r="I282" s="145"/>
      <c r="J282" s="641">
        <f t="shared" si="29"/>
        <v>0</v>
      </c>
      <c r="K282" s="8"/>
      <c r="L282" s="4"/>
      <c r="M282" s="4"/>
      <c r="N282" s="4"/>
      <c r="O282" s="4"/>
      <c r="P282" s="4"/>
    </row>
    <row r="283" spans="1:16" ht="20.25" customHeight="1">
      <c r="A283" s="636"/>
      <c r="B283" s="269"/>
      <c r="C283" s="678"/>
      <c r="D283" s="649" t="s">
        <v>276</v>
      </c>
      <c r="E283" s="650" t="s">
        <v>34</v>
      </c>
      <c r="F283" s="539" t="s">
        <v>28</v>
      </c>
      <c r="G283" s="146">
        <v>4</v>
      </c>
      <c r="H283" s="147" t="s">
        <v>136</v>
      </c>
      <c r="I283" s="145"/>
      <c r="J283" s="641">
        <f t="shared" si="29"/>
        <v>0</v>
      </c>
      <c r="K283" s="8"/>
      <c r="L283" s="4"/>
      <c r="M283" s="4"/>
      <c r="N283" s="4"/>
      <c r="O283" s="4"/>
      <c r="P283" s="4"/>
    </row>
    <row r="284" spans="1:16" ht="20.25" customHeight="1">
      <c r="A284" s="636"/>
      <c r="B284" s="269"/>
      <c r="C284" s="678"/>
      <c r="D284" s="701" t="s">
        <v>277</v>
      </c>
      <c r="E284" s="650" t="s">
        <v>34</v>
      </c>
      <c r="F284" s="539" t="s">
        <v>28</v>
      </c>
      <c r="G284" s="146">
        <v>6</v>
      </c>
      <c r="H284" s="147" t="s">
        <v>26</v>
      </c>
      <c r="I284" s="145"/>
      <c r="J284" s="641">
        <f t="shared" si="29"/>
        <v>0</v>
      </c>
      <c r="K284" s="8"/>
      <c r="L284" s="4"/>
      <c r="M284" s="4"/>
      <c r="N284" s="4"/>
      <c r="O284" s="4"/>
      <c r="P284" s="4"/>
    </row>
    <row r="285" spans="1:16" ht="20.25" customHeight="1">
      <c r="A285" s="636"/>
      <c r="B285" s="269"/>
      <c r="C285" s="678"/>
      <c r="D285" s="725" t="s">
        <v>278</v>
      </c>
      <c r="E285" s="650" t="s">
        <v>34</v>
      </c>
      <c r="F285" s="539" t="s">
        <v>28</v>
      </c>
      <c r="G285" s="146">
        <v>750</v>
      </c>
      <c r="H285" s="147" t="s">
        <v>258</v>
      </c>
      <c r="I285" s="145"/>
      <c r="J285" s="641">
        <f t="shared" si="29"/>
        <v>0</v>
      </c>
      <c r="K285" s="8"/>
      <c r="L285" s="4"/>
      <c r="M285" s="4"/>
      <c r="N285" s="4"/>
      <c r="O285" s="4"/>
      <c r="P285" s="4"/>
    </row>
    <row r="286" spans="1:16" ht="20.25" customHeight="1">
      <c r="A286" s="636"/>
      <c r="B286" s="269"/>
      <c r="C286" s="678"/>
      <c r="D286" s="725" t="s">
        <v>279</v>
      </c>
      <c r="E286" s="650" t="s">
        <v>34</v>
      </c>
      <c r="F286" s="539" t="s">
        <v>28</v>
      </c>
      <c r="G286" s="146">
        <v>100</v>
      </c>
      <c r="H286" s="147" t="s">
        <v>258</v>
      </c>
      <c r="I286" s="145"/>
      <c r="J286" s="641">
        <f t="shared" si="29"/>
        <v>0</v>
      </c>
      <c r="K286" s="8"/>
      <c r="L286" s="4"/>
      <c r="M286" s="4"/>
      <c r="N286" s="4"/>
      <c r="O286" s="4"/>
      <c r="P286" s="4"/>
    </row>
    <row r="287" spans="1:16" ht="20.25" customHeight="1">
      <c r="A287" s="636"/>
      <c r="B287" s="269"/>
      <c r="C287" s="678"/>
      <c r="D287" s="725" t="s">
        <v>280</v>
      </c>
      <c r="E287" s="650" t="s">
        <v>34</v>
      </c>
      <c r="F287" s="539" t="s">
        <v>28</v>
      </c>
      <c r="G287" s="146">
        <v>0</v>
      </c>
      <c r="H287" s="147" t="s">
        <v>258</v>
      </c>
      <c r="I287" s="145"/>
      <c r="J287" s="641">
        <f t="shared" si="29"/>
        <v>0</v>
      </c>
      <c r="K287" s="8"/>
      <c r="L287" s="4"/>
      <c r="M287" s="4"/>
      <c r="N287" s="4"/>
      <c r="O287" s="4"/>
      <c r="P287" s="4"/>
    </row>
    <row r="288" spans="1:16" ht="20.25" customHeight="1">
      <c r="A288" s="636"/>
      <c r="B288" s="269"/>
      <c r="C288" s="678"/>
      <c r="D288" s="725" t="s">
        <v>281</v>
      </c>
      <c r="E288" s="650" t="s">
        <v>34</v>
      </c>
      <c r="F288" s="539" t="s">
        <v>28</v>
      </c>
      <c r="G288" s="146">
        <v>500</v>
      </c>
      <c r="H288" s="147" t="s">
        <v>282</v>
      </c>
      <c r="I288" s="145"/>
      <c r="J288" s="641">
        <f t="shared" si="29"/>
        <v>0</v>
      </c>
      <c r="K288" s="8"/>
      <c r="L288" s="4"/>
      <c r="M288" s="4"/>
      <c r="N288" s="4"/>
      <c r="O288" s="4"/>
      <c r="P288" s="4"/>
    </row>
    <row r="289" spans="1:16" ht="20.25" customHeight="1">
      <c r="A289" s="636"/>
      <c r="B289" s="269"/>
      <c r="C289" s="678"/>
      <c r="D289" s="725" t="s">
        <v>283</v>
      </c>
      <c r="E289" s="650" t="s">
        <v>34</v>
      </c>
      <c r="F289" s="539" t="s">
        <v>28</v>
      </c>
      <c r="G289" s="146">
        <v>600</v>
      </c>
      <c r="H289" s="147" t="s">
        <v>258</v>
      </c>
      <c r="I289" s="145"/>
      <c r="J289" s="641">
        <f t="shared" si="29"/>
        <v>0</v>
      </c>
      <c r="K289" s="8"/>
      <c r="L289" s="4"/>
      <c r="M289" s="4"/>
      <c r="N289" s="4"/>
      <c r="O289" s="4"/>
      <c r="P289" s="4"/>
    </row>
    <row r="290" spans="1:16" ht="20.25" customHeight="1">
      <c r="A290" s="636"/>
      <c r="B290" s="269"/>
      <c r="C290" s="678"/>
      <c r="D290" s="725" t="s">
        <v>284</v>
      </c>
      <c r="E290" s="650" t="s">
        <v>34</v>
      </c>
      <c r="F290" s="539" t="s">
        <v>28</v>
      </c>
      <c r="G290" s="146">
        <v>600</v>
      </c>
      <c r="H290" s="147" t="s">
        <v>258</v>
      </c>
      <c r="I290" s="145"/>
      <c r="J290" s="641">
        <f t="shared" si="29"/>
        <v>0</v>
      </c>
      <c r="K290" s="8"/>
      <c r="L290" s="4"/>
      <c r="M290" s="4"/>
      <c r="N290" s="4"/>
      <c r="O290" s="4"/>
      <c r="P290" s="4"/>
    </row>
    <row r="291" spans="1:16" ht="20.25" customHeight="1">
      <c r="A291" s="692"/>
      <c r="B291" s="473"/>
      <c r="C291" s="681"/>
      <c r="D291" s="726" t="s">
        <v>285</v>
      </c>
      <c r="E291" s="684" t="s">
        <v>34</v>
      </c>
      <c r="F291" s="539" t="s">
        <v>28</v>
      </c>
      <c r="G291" s="146">
        <v>14</v>
      </c>
      <c r="H291" s="147" t="s">
        <v>136</v>
      </c>
      <c r="I291" s="145"/>
      <c r="J291" s="641">
        <f t="shared" si="29"/>
        <v>0</v>
      </c>
      <c r="K291" s="8"/>
      <c r="L291" s="4"/>
      <c r="M291" s="4"/>
      <c r="N291" s="4"/>
      <c r="O291" s="4"/>
      <c r="P291" s="4"/>
    </row>
    <row r="292" spans="1:16" ht="20.25" customHeight="1">
      <c r="A292" s="668"/>
      <c r="B292" s="457"/>
      <c r="C292" s="458"/>
      <c r="D292" s="463"/>
      <c r="E292" s="464"/>
      <c r="F292" s="783"/>
      <c r="G292" s="464"/>
      <c r="H292" s="465"/>
      <c r="I292" s="462" t="s">
        <v>287</v>
      </c>
      <c r="J292" s="669">
        <f>SUM(J276:J291)</f>
        <v>0</v>
      </c>
      <c r="K292" s="13"/>
      <c r="L292" s="3"/>
      <c r="M292" s="3"/>
      <c r="N292" s="3"/>
      <c r="O292" s="3"/>
      <c r="P292" s="3"/>
    </row>
    <row r="293" spans="1:16" ht="20.25" customHeight="1">
      <c r="A293" s="709">
        <v>34</v>
      </c>
      <c r="B293" s="542" t="s">
        <v>288</v>
      </c>
      <c r="C293" s="543"/>
      <c r="D293" s="544" t="s">
        <v>289</v>
      </c>
      <c r="E293" s="545" t="s">
        <v>69</v>
      </c>
      <c r="F293" s="539" t="s">
        <v>28</v>
      </c>
      <c r="G293" s="472">
        <v>2</v>
      </c>
      <c r="H293" s="546" t="s">
        <v>26</v>
      </c>
      <c r="I293" s="547"/>
      <c r="J293" s="677">
        <f t="shared" ref="J293:J307" si="30">G293*I293</f>
        <v>0</v>
      </c>
      <c r="K293" s="8"/>
      <c r="L293" s="4"/>
      <c r="M293" s="4"/>
      <c r="N293" s="4"/>
      <c r="O293" s="4"/>
      <c r="P293" s="4"/>
    </row>
    <row r="294" spans="1:16" ht="20.25" customHeight="1">
      <c r="A294" s="636"/>
      <c r="B294" s="548"/>
      <c r="C294" s="637"/>
      <c r="D294" s="638" t="s">
        <v>290</v>
      </c>
      <c r="E294" s="639" t="s">
        <v>69</v>
      </c>
      <c r="F294" s="539" t="s">
        <v>28</v>
      </c>
      <c r="G294" s="146">
        <v>2</v>
      </c>
      <c r="H294" s="640" t="s">
        <v>26</v>
      </c>
      <c r="I294" s="272"/>
      <c r="J294" s="641">
        <f t="shared" si="30"/>
        <v>0</v>
      </c>
      <c r="K294" s="8"/>
      <c r="L294" s="4"/>
      <c r="M294" s="4"/>
      <c r="N294" s="4"/>
      <c r="O294" s="4"/>
      <c r="P294" s="4"/>
    </row>
    <row r="295" spans="1:16" ht="20.25" customHeight="1">
      <c r="A295" s="636"/>
      <c r="B295" s="548"/>
      <c r="C295" s="637"/>
      <c r="D295" s="638" t="s">
        <v>291</v>
      </c>
      <c r="E295" s="639" t="s">
        <v>69</v>
      </c>
      <c r="F295" s="539" t="s">
        <v>28</v>
      </c>
      <c r="G295" s="146">
        <v>10</v>
      </c>
      <c r="H295" s="640" t="s">
        <v>26</v>
      </c>
      <c r="I295" s="272"/>
      <c r="J295" s="641">
        <f t="shared" si="30"/>
        <v>0</v>
      </c>
      <c r="K295" s="8"/>
      <c r="L295" s="4"/>
      <c r="M295" s="4"/>
      <c r="N295" s="4"/>
      <c r="O295" s="4"/>
      <c r="P295" s="4"/>
    </row>
    <row r="296" spans="1:16" ht="20.25" customHeight="1">
      <c r="A296" s="636"/>
      <c r="B296" s="548"/>
      <c r="C296" s="637"/>
      <c r="D296" s="638" t="s">
        <v>292</v>
      </c>
      <c r="E296" s="639" t="s">
        <v>69</v>
      </c>
      <c r="F296" s="539" t="s">
        <v>28</v>
      </c>
      <c r="G296" s="146">
        <v>1</v>
      </c>
      <c r="H296" s="640" t="s">
        <v>26</v>
      </c>
      <c r="I296" s="272"/>
      <c r="J296" s="641">
        <f t="shared" si="30"/>
        <v>0</v>
      </c>
      <c r="K296" s="8"/>
      <c r="L296" s="4"/>
      <c r="M296" s="4"/>
      <c r="N296" s="4"/>
      <c r="O296" s="4"/>
      <c r="P296" s="4"/>
    </row>
    <row r="297" spans="1:16" ht="20.25" customHeight="1">
      <c r="A297" s="636"/>
      <c r="B297" s="548"/>
      <c r="C297" s="637"/>
      <c r="D297" s="638" t="s">
        <v>293</v>
      </c>
      <c r="E297" s="639" t="s">
        <v>69</v>
      </c>
      <c r="F297" s="539" t="s">
        <v>28</v>
      </c>
      <c r="G297" s="146">
        <v>0</v>
      </c>
      <c r="H297" s="640" t="s">
        <v>26</v>
      </c>
      <c r="I297" s="272"/>
      <c r="J297" s="641">
        <f t="shared" si="30"/>
        <v>0</v>
      </c>
      <c r="K297" s="8"/>
      <c r="L297" s="4"/>
      <c r="M297" s="4"/>
      <c r="N297" s="4"/>
      <c r="O297" s="4"/>
      <c r="P297" s="4"/>
    </row>
    <row r="298" spans="1:16" ht="20.25" customHeight="1">
      <c r="A298" s="636"/>
      <c r="B298" s="269"/>
      <c r="C298" s="637"/>
      <c r="D298" s="702" t="s">
        <v>294</v>
      </c>
      <c r="E298" s="639" t="s">
        <v>69</v>
      </c>
      <c r="F298" s="539" t="s">
        <v>28</v>
      </c>
      <c r="G298" s="146">
        <v>2</v>
      </c>
      <c r="H298" s="640" t="s">
        <v>26</v>
      </c>
      <c r="I298" s="272"/>
      <c r="J298" s="641">
        <f t="shared" si="30"/>
        <v>0</v>
      </c>
      <c r="K298" s="8"/>
      <c r="L298" s="4"/>
      <c r="M298" s="4"/>
      <c r="N298" s="4"/>
      <c r="O298" s="4"/>
      <c r="P298" s="4"/>
    </row>
    <row r="299" spans="1:16" ht="31.5" customHeight="1">
      <c r="A299" s="636"/>
      <c r="B299" s="269"/>
      <c r="C299" s="637"/>
      <c r="D299" s="702" t="s">
        <v>295</v>
      </c>
      <c r="E299" s="639" t="s">
        <v>69</v>
      </c>
      <c r="F299" s="539" t="s">
        <v>28</v>
      </c>
      <c r="G299" s="146">
        <v>0</v>
      </c>
      <c r="H299" s="640" t="s">
        <v>26</v>
      </c>
      <c r="I299" s="272"/>
      <c r="J299" s="641">
        <f t="shared" si="30"/>
        <v>0</v>
      </c>
      <c r="K299" s="8"/>
      <c r="L299" s="4"/>
      <c r="M299" s="4"/>
      <c r="N299" s="4"/>
      <c r="O299" s="4"/>
      <c r="P299" s="4"/>
    </row>
    <row r="300" spans="1:16" ht="20.25" customHeight="1">
      <c r="A300" s="636"/>
      <c r="B300" s="269"/>
      <c r="C300" s="637"/>
      <c r="D300" s="638" t="s">
        <v>296</v>
      </c>
      <c r="E300" s="639" t="s">
        <v>69</v>
      </c>
      <c r="F300" s="539" t="s">
        <v>28</v>
      </c>
      <c r="G300" s="146">
        <v>6</v>
      </c>
      <c r="H300" s="640" t="s">
        <v>26</v>
      </c>
      <c r="I300" s="272"/>
      <c r="J300" s="641">
        <f t="shared" si="30"/>
        <v>0</v>
      </c>
      <c r="K300" s="8"/>
      <c r="L300" s="4"/>
      <c r="M300" s="4"/>
      <c r="N300" s="4"/>
      <c r="O300" s="4"/>
      <c r="P300" s="4"/>
    </row>
    <row r="301" spans="1:16" ht="34.5" customHeight="1">
      <c r="A301" s="636"/>
      <c r="B301" s="269"/>
      <c r="C301" s="637"/>
      <c r="D301" s="702" t="s">
        <v>297</v>
      </c>
      <c r="E301" s="639" t="s">
        <v>69</v>
      </c>
      <c r="F301" s="539" t="s">
        <v>28</v>
      </c>
      <c r="G301" s="146">
        <v>1</v>
      </c>
      <c r="H301" s="640" t="s">
        <v>47</v>
      </c>
      <c r="I301" s="272"/>
      <c r="J301" s="641">
        <f t="shared" si="30"/>
        <v>0</v>
      </c>
      <c r="K301" s="148"/>
      <c r="L301" s="149"/>
      <c r="M301" s="149"/>
      <c r="N301" s="149"/>
      <c r="O301" s="149"/>
      <c r="P301" s="149"/>
    </row>
    <row r="302" spans="1:16" ht="20.25" customHeight="1">
      <c r="A302" s="636"/>
      <c r="B302" s="269"/>
      <c r="C302" s="637"/>
      <c r="D302" s="702" t="s">
        <v>298</v>
      </c>
      <c r="E302" s="639" t="s">
        <v>69</v>
      </c>
      <c r="F302" s="539" t="s">
        <v>28</v>
      </c>
      <c r="G302" s="146">
        <v>1</v>
      </c>
      <c r="H302" s="640" t="s">
        <v>23</v>
      </c>
      <c r="I302" s="272"/>
      <c r="J302" s="641">
        <f t="shared" si="30"/>
        <v>0</v>
      </c>
      <c r="K302" s="8"/>
      <c r="L302" s="4"/>
      <c r="M302" s="4"/>
      <c r="N302" s="4"/>
      <c r="O302" s="4"/>
      <c r="P302" s="4"/>
    </row>
    <row r="303" spans="1:16" ht="20.25" customHeight="1">
      <c r="A303" s="636"/>
      <c r="B303" s="269"/>
      <c r="C303" s="637"/>
      <c r="D303" s="638" t="s">
        <v>299</v>
      </c>
      <c r="E303" s="639" t="s">
        <v>69</v>
      </c>
      <c r="F303" s="539" t="s">
        <v>28</v>
      </c>
      <c r="G303" s="146">
        <v>15</v>
      </c>
      <c r="H303" s="146" t="s">
        <v>26</v>
      </c>
      <c r="I303" s="145"/>
      <c r="J303" s="641">
        <f t="shared" si="30"/>
        <v>0</v>
      </c>
      <c r="K303" s="8"/>
      <c r="L303" s="4"/>
      <c r="M303" s="4"/>
      <c r="N303" s="4"/>
      <c r="O303" s="4"/>
      <c r="P303" s="4"/>
    </row>
    <row r="304" spans="1:16" ht="20.25" customHeight="1">
      <c r="A304" s="636"/>
      <c r="B304" s="269"/>
      <c r="C304" s="637"/>
      <c r="D304" s="638" t="s">
        <v>300</v>
      </c>
      <c r="E304" s="639" t="s">
        <v>69</v>
      </c>
      <c r="F304" s="539" t="s">
        <v>28</v>
      </c>
      <c r="G304" s="146">
        <v>2</v>
      </c>
      <c r="H304" s="640" t="s">
        <v>26</v>
      </c>
      <c r="I304" s="145"/>
      <c r="J304" s="641">
        <f t="shared" si="30"/>
        <v>0</v>
      </c>
      <c r="K304" s="8"/>
      <c r="L304" s="4"/>
      <c r="M304" s="4"/>
      <c r="N304" s="4"/>
      <c r="O304" s="4"/>
      <c r="P304" s="4"/>
    </row>
    <row r="305" spans="1:16" ht="20.25" customHeight="1">
      <c r="A305" s="636"/>
      <c r="B305" s="269"/>
      <c r="C305" s="637"/>
      <c r="D305" s="638" t="s">
        <v>301</v>
      </c>
      <c r="E305" s="639" t="s">
        <v>69</v>
      </c>
      <c r="F305" s="539" t="s">
        <v>28</v>
      </c>
      <c r="G305" s="146">
        <v>2</v>
      </c>
      <c r="H305" s="146" t="s">
        <v>26</v>
      </c>
      <c r="I305" s="145"/>
      <c r="J305" s="641">
        <f t="shared" si="30"/>
        <v>0</v>
      </c>
      <c r="K305" s="8"/>
      <c r="L305" s="4"/>
      <c r="M305" s="4"/>
      <c r="N305" s="4"/>
      <c r="O305" s="4"/>
      <c r="P305" s="4"/>
    </row>
    <row r="306" spans="1:16" ht="20.25" customHeight="1">
      <c r="A306" s="636"/>
      <c r="B306" s="269"/>
      <c r="C306" s="637"/>
      <c r="D306" s="638" t="s">
        <v>302</v>
      </c>
      <c r="E306" s="639" t="s">
        <v>69</v>
      </c>
      <c r="F306" s="539" t="s">
        <v>28</v>
      </c>
      <c r="G306" s="146">
        <v>10</v>
      </c>
      <c r="H306" s="146" t="s">
        <v>26</v>
      </c>
      <c r="I306" s="145"/>
      <c r="J306" s="641">
        <f t="shared" si="30"/>
        <v>0</v>
      </c>
      <c r="K306" s="8"/>
      <c r="L306" s="4"/>
      <c r="M306" s="4"/>
      <c r="N306" s="4"/>
      <c r="O306" s="4"/>
      <c r="P306" s="4"/>
    </row>
    <row r="307" spans="1:16" ht="20.25" customHeight="1">
      <c r="A307" s="692"/>
      <c r="B307" s="473"/>
      <c r="C307" s="549"/>
      <c r="D307" s="693" t="s">
        <v>303</v>
      </c>
      <c r="E307" s="639" t="s">
        <v>69</v>
      </c>
      <c r="F307" s="539" t="s">
        <v>28</v>
      </c>
      <c r="G307" s="477">
        <v>10</v>
      </c>
      <c r="H307" s="477" t="s">
        <v>26</v>
      </c>
      <c r="I307" s="475"/>
      <c r="J307" s="685">
        <f t="shared" si="30"/>
        <v>0</v>
      </c>
      <c r="K307" s="8"/>
      <c r="L307" s="4"/>
      <c r="M307" s="4"/>
      <c r="N307" s="4"/>
      <c r="O307" s="4"/>
      <c r="P307" s="4"/>
    </row>
    <row r="308" spans="1:16" ht="20.25" customHeight="1">
      <c r="A308" s="668"/>
      <c r="B308" s="457"/>
      <c r="C308" s="458"/>
      <c r="D308" s="459"/>
      <c r="E308" s="460"/>
      <c r="F308" s="782"/>
      <c r="G308" s="460"/>
      <c r="H308" s="461"/>
      <c r="I308" s="462" t="s">
        <v>304</v>
      </c>
      <c r="J308" s="669">
        <f>SUM(J293:J307)</f>
        <v>0</v>
      </c>
      <c r="K308" s="13"/>
      <c r="L308" s="3"/>
      <c r="M308" s="3"/>
      <c r="N308" s="3"/>
      <c r="O308" s="3"/>
      <c r="P308" s="3"/>
    </row>
    <row r="309" spans="1:16" ht="20.25" customHeight="1">
      <c r="A309" s="709">
        <v>35</v>
      </c>
      <c r="B309" s="542" t="s">
        <v>305</v>
      </c>
      <c r="C309" s="467"/>
      <c r="D309" s="544" t="s">
        <v>306</v>
      </c>
      <c r="E309" s="545" t="s">
        <v>69</v>
      </c>
      <c r="F309" s="539" t="s">
        <v>28</v>
      </c>
      <c r="G309" s="472">
        <v>10</v>
      </c>
      <c r="H309" s="546" t="s">
        <v>26</v>
      </c>
      <c r="I309" s="471"/>
      <c r="J309" s="677">
        <f t="shared" ref="J309:J311" si="31">G309*I309</f>
        <v>0</v>
      </c>
      <c r="K309" s="8"/>
      <c r="L309" s="4"/>
      <c r="M309" s="4"/>
      <c r="N309" s="4"/>
      <c r="O309" s="4"/>
      <c r="P309" s="4"/>
    </row>
    <row r="310" spans="1:16" ht="20.25" customHeight="1">
      <c r="A310" s="636"/>
      <c r="B310" s="548"/>
      <c r="C310" s="678"/>
      <c r="D310" s="638" t="s">
        <v>296</v>
      </c>
      <c r="E310" s="639" t="s">
        <v>69</v>
      </c>
      <c r="F310" s="539" t="s">
        <v>28</v>
      </c>
      <c r="G310" s="146">
        <v>6</v>
      </c>
      <c r="H310" s="640" t="s">
        <v>26</v>
      </c>
      <c r="I310" s="145"/>
      <c r="J310" s="641">
        <f t="shared" si="31"/>
        <v>0</v>
      </c>
      <c r="K310" s="8"/>
      <c r="L310" s="4"/>
      <c r="M310" s="4"/>
      <c r="N310" s="4"/>
      <c r="O310" s="4"/>
      <c r="P310" s="4"/>
    </row>
    <row r="311" spans="1:16" ht="20.25" customHeight="1">
      <c r="A311" s="692"/>
      <c r="B311" s="550"/>
      <c r="C311" s="681"/>
      <c r="D311" s="693" t="s">
        <v>307</v>
      </c>
      <c r="E311" s="683" t="s">
        <v>69</v>
      </c>
      <c r="F311" s="539" t="s">
        <v>28</v>
      </c>
      <c r="G311" s="477">
        <v>9</v>
      </c>
      <c r="H311" s="727" t="s">
        <v>26</v>
      </c>
      <c r="I311" s="475"/>
      <c r="J311" s="685">
        <f t="shared" si="31"/>
        <v>0</v>
      </c>
      <c r="K311" s="8"/>
      <c r="L311" s="4"/>
      <c r="M311" s="4"/>
      <c r="N311" s="4"/>
      <c r="O311" s="4"/>
      <c r="P311" s="4"/>
    </row>
    <row r="312" spans="1:16" ht="20.25" customHeight="1">
      <c r="A312" s="668"/>
      <c r="B312" s="530"/>
      <c r="C312" s="458"/>
      <c r="D312" s="459"/>
      <c r="E312" s="460"/>
      <c r="F312" s="782"/>
      <c r="G312" s="460"/>
      <c r="H312" s="461"/>
      <c r="I312" s="462" t="s">
        <v>308</v>
      </c>
      <c r="J312" s="669">
        <f>SUM(J309:J311)</f>
        <v>0</v>
      </c>
      <c r="K312" s="13"/>
      <c r="L312" s="3"/>
      <c r="M312" s="3"/>
      <c r="N312" s="3"/>
      <c r="O312" s="3"/>
      <c r="P312" s="3"/>
    </row>
    <row r="313" spans="1:16" ht="20.25" customHeight="1">
      <c r="A313" s="676"/>
      <c r="B313" s="551"/>
      <c r="C313" s="509"/>
      <c r="D313" s="706"/>
      <c r="E313" s="707"/>
      <c r="F313" s="789"/>
      <c r="G313" s="707"/>
      <c r="H313" s="710"/>
      <c r="I313" s="471"/>
      <c r="J313" s="677"/>
      <c r="K313" s="8"/>
      <c r="L313" s="4"/>
      <c r="M313" s="4"/>
      <c r="N313" s="4"/>
      <c r="O313" s="4"/>
      <c r="P313" s="4"/>
    </row>
    <row r="314" spans="1:16" ht="20.25" customHeight="1">
      <c r="A314" s="636">
        <v>36</v>
      </c>
      <c r="B314" s="451" t="s">
        <v>309</v>
      </c>
      <c r="C314" s="678"/>
      <c r="D314" s="638" t="s">
        <v>310</v>
      </c>
      <c r="E314" s="639" t="s">
        <v>20</v>
      </c>
      <c r="F314" s="539" t="s">
        <v>28</v>
      </c>
      <c r="G314" s="146">
        <v>4</v>
      </c>
      <c r="H314" s="146" t="s">
        <v>26</v>
      </c>
      <c r="I314" s="145"/>
      <c r="J314" s="641">
        <f t="shared" ref="J314:J322" si="32">G314*I314</f>
        <v>0</v>
      </c>
      <c r="K314" s="8"/>
      <c r="L314" s="4"/>
      <c r="M314" s="4"/>
      <c r="N314" s="4"/>
      <c r="O314" s="4"/>
      <c r="P314" s="4"/>
    </row>
    <row r="315" spans="1:16" ht="20.25" customHeight="1">
      <c r="A315" s="636"/>
      <c r="B315" s="548"/>
      <c r="C315" s="678"/>
      <c r="D315" s="638" t="s">
        <v>311</v>
      </c>
      <c r="E315" s="639" t="s">
        <v>20</v>
      </c>
      <c r="F315" s="539" t="s">
        <v>28</v>
      </c>
      <c r="G315" s="146">
        <v>40</v>
      </c>
      <c r="H315" s="146" t="s">
        <v>26</v>
      </c>
      <c r="I315" s="145"/>
      <c r="J315" s="641">
        <f t="shared" si="32"/>
        <v>0</v>
      </c>
      <c r="K315" s="8"/>
      <c r="L315" s="4"/>
      <c r="M315" s="4"/>
      <c r="N315" s="4"/>
      <c r="O315" s="4"/>
      <c r="P315" s="4"/>
    </row>
    <row r="316" spans="1:16" ht="20.25" customHeight="1">
      <c r="A316" s="636"/>
      <c r="B316" s="548"/>
      <c r="C316" s="678"/>
      <c r="D316" s="638" t="s">
        <v>296</v>
      </c>
      <c r="E316" s="639" t="s">
        <v>20</v>
      </c>
      <c r="F316" s="539" t="s">
        <v>28</v>
      </c>
      <c r="G316" s="146">
        <v>6</v>
      </c>
      <c r="H316" s="146" t="s">
        <v>26</v>
      </c>
      <c r="I316" s="145"/>
      <c r="J316" s="641">
        <f t="shared" si="32"/>
        <v>0</v>
      </c>
      <c r="K316" s="8"/>
      <c r="L316" s="4"/>
      <c r="M316" s="4"/>
      <c r="N316" s="4"/>
      <c r="O316" s="4"/>
      <c r="P316" s="4"/>
    </row>
    <row r="317" spans="1:16" ht="20.25" customHeight="1">
      <c r="A317" s="636"/>
      <c r="B317" s="548"/>
      <c r="C317" s="678"/>
      <c r="D317" s="638" t="s">
        <v>312</v>
      </c>
      <c r="E317" s="639" t="s">
        <v>20</v>
      </c>
      <c r="F317" s="539" t="s">
        <v>28</v>
      </c>
      <c r="G317" s="146">
        <v>1</v>
      </c>
      <c r="H317" s="146" t="s">
        <v>26</v>
      </c>
      <c r="I317" s="145"/>
      <c r="J317" s="641">
        <f t="shared" si="32"/>
        <v>0</v>
      </c>
      <c r="K317" s="8"/>
      <c r="L317" s="4"/>
      <c r="M317" s="4"/>
      <c r="N317" s="4"/>
      <c r="O317" s="4"/>
      <c r="P317" s="4"/>
    </row>
    <row r="318" spans="1:16" ht="20.25" customHeight="1">
      <c r="A318" s="636"/>
      <c r="B318" s="548"/>
      <c r="C318" s="678"/>
      <c r="D318" s="638" t="s">
        <v>313</v>
      </c>
      <c r="E318" s="639" t="s">
        <v>20</v>
      </c>
      <c r="F318" s="539" t="s">
        <v>28</v>
      </c>
      <c r="G318" s="146">
        <v>2</v>
      </c>
      <c r="H318" s="640" t="s">
        <v>26</v>
      </c>
      <c r="I318" s="145"/>
      <c r="J318" s="641">
        <f t="shared" si="32"/>
        <v>0</v>
      </c>
      <c r="K318" s="8"/>
      <c r="L318" s="4"/>
      <c r="M318" s="4"/>
      <c r="N318" s="4"/>
      <c r="O318" s="4"/>
      <c r="P318" s="4"/>
    </row>
    <row r="319" spans="1:16" ht="20.25" customHeight="1">
      <c r="A319" s="636"/>
      <c r="B319" s="548"/>
      <c r="C319" s="678"/>
      <c r="D319" s="702" t="s">
        <v>314</v>
      </c>
      <c r="E319" s="639" t="s">
        <v>20</v>
      </c>
      <c r="F319" s="539" t="s">
        <v>28</v>
      </c>
      <c r="G319" s="146">
        <v>0</v>
      </c>
      <c r="H319" s="640" t="s">
        <v>258</v>
      </c>
      <c r="I319" s="145"/>
      <c r="J319" s="641">
        <f t="shared" si="32"/>
        <v>0</v>
      </c>
      <c r="K319" s="8"/>
      <c r="L319" s="4"/>
      <c r="M319" s="4"/>
      <c r="N319" s="4"/>
      <c r="O319" s="4"/>
      <c r="P319" s="4"/>
    </row>
    <row r="320" spans="1:16" ht="20.25" customHeight="1">
      <c r="A320" s="636"/>
      <c r="B320" s="548"/>
      <c r="C320" s="678"/>
      <c r="D320" s="702" t="s">
        <v>315</v>
      </c>
      <c r="E320" s="639" t="s">
        <v>20</v>
      </c>
      <c r="F320" s="539" t="s">
        <v>28</v>
      </c>
      <c r="G320" s="146">
        <v>0</v>
      </c>
      <c r="H320" s="640" t="s">
        <v>51</v>
      </c>
      <c r="I320" s="145"/>
      <c r="J320" s="641">
        <f t="shared" si="32"/>
        <v>0</v>
      </c>
      <c r="K320" s="8"/>
      <c r="L320" s="4"/>
      <c r="M320" s="4"/>
      <c r="N320" s="4"/>
      <c r="O320" s="4"/>
      <c r="P320" s="4"/>
    </row>
    <row r="321" spans="1:16" ht="20.25" customHeight="1">
      <c r="A321" s="636"/>
      <c r="B321" s="548"/>
      <c r="C321" s="678"/>
      <c r="D321" s="702" t="s">
        <v>292</v>
      </c>
      <c r="E321" s="639" t="s">
        <v>20</v>
      </c>
      <c r="F321" s="539" t="s">
        <v>28</v>
      </c>
      <c r="G321" s="146">
        <v>0</v>
      </c>
      <c r="H321" s="640" t="s">
        <v>26</v>
      </c>
      <c r="I321" s="145"/>
      <c r="J321" s="641">
        <f t="shared" si="32"/>
        <v>0</v>
      </c>
      <c r="K321" s="8"/>
      <c r="L321" s="4"/>
      <c r="M321" s="4"/>
      <c r="N321" s="4"/>
      <c r="O321" s="4"/>
      <c r="P321" s="4"/>
    </row>
    <row r="322" spans="1:16" ht="20.25" customHeight="1">
      <c r="A322" s="704"/>
      <c r="B322" s="552"/>
      <c r="C322" s="505"/>
      <c r="D322" s="506" t="s">
        <v>316</v>
      </c>
      <c r="E322" s="507" t="s">
        <v>20</v>
      </c>
      <c r="F322" s="539" t="s">
        <v>28</v>
      </c>
      <c r="G322" s="146">
        <v>20</v>
      </c>
      <c r="H322" s="640" t="s">
        <v>258</v>
      </c>
      <c r="I322" s="145"/>
      <c r="J322" s="641">
        <f t="shared" si="32"/>
        <v>0</v>
      </c>
      <c r="K322" s="8"/>
      <c r="L322" s="4"/>
      <c r="M322" s="4"/>
      <c r="N322" s="4"/>
      <c r="O322" s="4"/>
      <c r="P322" s="4"/>
    </row>
    <row r="323" spans="1:16" ht="20.25" customHeight="1">
      <c r="A323" s="668"/>
      <c r="B323" s="553"/>
      <c r="C323" s="458"/>
      <c r="D323" s="459"/>
      <c r="E323" s="460"/>
      <c r="F323" s="782"/>
      <c r="G323" s="460"/>
      <c r="H323" s="461"/>
      <c r="I323" s="462" t="s">
        <v>317</v>
      </c>
      <c r="J323" s="669">
        <f>SUM(J314:J322)</f>
        <v>0</v>
      </c>
      <c r="K323" s="13"/>
      <c r="L323" s="3"/>
      <c r="M323" s="3"/>
      <c r="N323" s="3"/>
      <c r="O323" s="3"/>
      <c r="P323" s="3"/>
    </row>
    <row r="324" spans="1:16" ht="20.25" customHeight="1">
      <c r="A324" s="686" t="s">
        <v>318</v>
      </c>
      <c r="B324" s="478" t="s">
        <v>319</v>
      </c>
      <c r="C324" s="554"/>
      <c r="D324" s="468"/>
      <c r="E324" s="469"/>
      <c r="F324" s="792"/>
      <c r="G324" s="146"/>
      <c r="H324" s="640"/>
      <c r="I324" s="145"/>
      <c r="J324" s="641"/>
      <c r="K324" s="8"/>
      <c r="L324" s="4"/>
      <c r="M324" s="4"/>
      <c r="N324" s="4"/>
      <c r="O324" s="4"/>
      <c r="P324" s="4"/>
    </row>
    <row r="325" spans="1:16" ht="20.25" customHeight="1">
      <c r="A325" s="636">
        <v>37</v>
      </c>
      <c r="B325" s="269" t="s">
        <v>320</v>
      </c>
      <c r="C325" s="637"/>
      <c r="D325" s="638" t="s">
        <v>321</v>
      </c>
      <c r="E325" s="639" t="s">
        <v>50</v>
      </c>
      <c r="F325" s="539" t="s">
        <v>22</v>
      </c>
      <c r="G325" s="146">
        <v>0</v>
      </c>
      <c r="H325" s="640" t="s">
        <v>23</v>
      </c>
      <c r="I325" s="145"/>
      <c r="J325" s="641">
        <f>G325*I325</f>
        <v>0</v>
      </c>
      <c r="K325" s="8"/>
      <c r="L325" s="4"/>
      <c r="M325" s="4"/>
      <c r="N325" s="4"/>
      <c r="O325" s="4"/>
      <c r="P325" s="4"/>
    </row>
    <row r="326" spans="1:16" ht="20.25" customHeight="1">
      <c r="A326" s="668"/>
      <c r="B326" s="457"/>
      <c r="C326" s="458"/>
      <c r="D326" s="459"/>
      <c r="E326" s="460"/>
      <c r="F326" s="782"/>
      <c r="G326" s="460"/>
      <c r="H326" s="461"/>
      <c r="I326" s="462" t="s">
        <v>322</v>
      </c>
      <c r="J326" s="669">
        <f>SUM(J324:J325)</f>
        <v>0</v>
      </c>
      <c r="K326" s="13"/>
      <c r="L326" s="3"/>
      <c r="M326" s="3"/>
      <c r="N326" s="3"/>
      <c r="O326" s="3"/>
      <c r="P326" s="3"/>
    </row>
    <row r="327" spans="1:16" ht="20.25" customHeight="1">
      <c r="A327" s="686" t="s">
        <v>323</v>
      </c>
      <c r="B327" s="478" t="s">
        <v>324</v>
      </c>
      <c r="C327" s="554"/>
      <c r="D327" s="468"/>
      <c r="E327" s="469"/>
      <c r="F327" s="792"/>
      <c r="G327" s="146"/>
      <c r="H327" s="640"/>
      <c r="I327" s="145"/>
      <c r="J327" s="641"/>
      <c r="K327" s="8"/>
      <c r="L327" s="4"/>
      <c r="M327" s="4"/>
      <c r="N327" s="4"/>
      <c r="O327" s="4"/>
      <c r="P327" s="4"/>
    </row>
    <row r="328" spans="1:16" ht="20.25" customHeight="1">
      <c r="A328" s="692">
        <v>38</v>
      </c>
      <c r="B328" s="473" t="s">
        <v>325</v>
      </c>
      <c r="C328" s="549"/>
      <c r="D328" s="728" t="s">
        <v>326</v>
      </c>
      <c r="E328" s="683" t="s">
        <v>50</v>
      </c>
      <c r="F328" s="539" t="s">
        <v>22</v>
      </c>
      <c r="G328" s="477">
        <v>1</v>
      </c>
      <c r="H328" s="727">
        <v>0</v>
      </c>
      <c r="I328" s="475"/>
      <c r="J328" s="685">
        <f>G328*I328</f>
        <v>0</v>
      </c>
      <c r="K328" s="8"/>
      <c r="L328" s="4"/>
      <c r="M328" s="4"/>
      <c r="N328" s="4"/>
      <c r="O328" s="4"/>
      <c r="P328" s="4"/>
    </row>
    <row r="329" spans="1:16" ht="20.25" customHeight="1">
      <c r="A329" s="668"/>
      <c r="B329" s="457"/>
      <c r="C329" s="458"/>
      <c r="D329" s="459"/>
      <c r="E329" s="460"/>
      <c r="F329" s="782"/>
      <c r="G329" s="460"/>
      <c r="H329" s="461"/>
      <c r="I329" s="462" t="s">
        <v>322</v>
      </c>
      <c r="J329" s="669">
        <f>SUM(J328)</f>
        <v>0</v>
      </c>
      <c r="K329" s="13"/>
      <c r="L329" s="3"/>
      <c r="M329" s="3"/>
      <c r="N329" s="3"/>
      <c r="O329" s="3"/>
      <c r="P329" s="3"/>
    </row>
    <row r="330" spans="1:16" ht="20.25" customHeight="1">
      <c r="A330" s="670">
        <v>39</v>
      </c>
      <c r="B330" s="729" t="s">
        <v>327</v>
      </c>
      <c r="C330" s="672"/>
      <c r="D330" s="730" t="s">
        <v>328</v>
      </c>
      <c r="E330" s="731" t="s">
        <v>50</v>
      </c>
      <c r="F330" s="539" t="s">
        <v>22</v>
      </c>
      <c r="G330" s="731">
        <v>1</v>
      </c>
      <c r="H330" s="732" t="s">
        <v>23</v>
      </c>
      <c r="I330" s="733"/>
      <c r="J330" s="685">
        <f>+I330*G330</f>
        <v>0</v>
      </c>
      <c r="K330" s="8"/>
      <c r="L330" s="4"/>
      <c r="M330" s="4"/>
      <c r="N330" s="4"/>
      <c r="O330" s="4"/>
      <c r="P330" s="4"/>
    </row>
    <row r="331" spans="1:16" ht="20.25" customHeight="1">
      <c r="A331" s="668"/>
      <c r="B331" s="530"/>
      <c r="C331" s="458"/>
      <c r="D331" s="459"/>
      <c r="E331" s="460"/>
      <c r="F331" s="782"/>
      <c r="G331" s="460"/>
      <c r="H331" s="461"/>
      <c r="I331" s="462" t="s">
        <v>329</v>
      </c>
      <c r="J331" s="669">
        <f>J330</f>
        <v>0</v>
      </c>
      <c r="K331" s="13"/>
      <c r="L331" s="3"/>
      <c r="M331" s="3"/>
      <c r="N331" s="3"/>
      <c r="O331" s="3"/>
      <c r="P331" s="3"/>
    </row>
    <row r="332" spans="1:16" ht="29.25" customHeight="1">
      <c r="A332" s="709">
        <v>40</v>
      </c>
      <c r="B332" s="555" t="s">
        <v>330</v>
      </c>
      <c r="C332" s="467"/>
      <c r="D332" s="556" t="s">
        <v>331</v>
      </c>
      <c r="E332" s="545" t="s">
        <v>50</v>
      </c>
      <c r="F332" s="539" t="s">
        <v>22</v>
      </c>
      <c r="G332" s="545">
        <v>1</v>
      </c>
      <c r="H332" s="546" t="s">
        <v>23</v>
      </c>
      <c r="I332" s="557"/>
      <c r="J332" s="677">
        <f t="shared" ref="J332:J333" si="33">G332*I332</f>
        <v>0</v>
      </c>
      <c r="K332" s="8"/>
      <c r="L332" s="4"/>
      <c r="M332" s="4"/>
      <c r="N332" s="4"/>
      <c r="O332" s="4"/>
      <c r="P332" s="4"/>
    </row>
    <row r="333" spans="1:16" ht="20.25" customHeight="1">
      <c r="A333" s="692"/>
      <c r="B333" s="532"/>
      <c r="C333" s="681"/>
      <c r="D333" s="693" t="s">
        <v>332</v>
      </c>
      <c r="E333" s="683" t="s">
        <v>50</v>
      </c>
      <c r="F333" s="539" t="s">
        <v>22</v>
      </c>
      <c r="G333" s="683">
        <v>1</v>
      </c>
      <c r="H333" s="727" t="s">
        <v>23</v>
      </c>
      <c r="I333" s="734"/>
      <c r="J333" s="685">
        <f t="shared" si="33"/>
        <v>0</v>
      </c>
      <c r="K333" s="8"/>
      <c r="L333" s="4"/>
      <c r="M333" s="4"/>
      <c r="N333" s="4"/>
      <c r="O333" s="4"/>
      <c r="P333" s="4"/>
    </row>
    <row r="334" spans="1:16" ht="20.25" customHeight="1">
      <c r="A334" s="715"/>
      <c r="B334" s="558"/>
      <c r="C334" s="559"/>
      <c r="D334" s="560"/>
      <c r="E334" s="561"/>
      <c r="F334" s="793"/>
      <c r="G334" s="561"/>
      <c r="H334" s="562"/>
      <c r="I334" s="462" t="s">
        <v>333</v>
      </c>
      <c r="J334" s="669">
        <f>SUM(J332:J333)</f>
        <v>0</v>
      </c>
      <c r="K334" s="13"/>
      <c r="L334" s="3"/>
      <c r="M334" s="3"/>
      <c r="N334" s="3"/>
      <c r="O334" s="3"/>
      <c r="P334" s="3"/>
    </row>
    <row r="335" spans="1:16" ht="20.25" customHeight="1">
      <c r="A335" s="709">
        <v>41</v>
      </c>
      <c r="B335" s="542" t="s">
        <v>334</v>
      </c>
      <c r="C335" s="467"/>
      <c r="D335" s="468" t="s">
        <v>335</v>
      </c>
      <c r="E335" s="469" t="s">
        <v>50</v>
      </c>
      <c r="F335" s="539" t="s">
        <v>22</v>
      </c>
      <c r="G335" s="472">
        <v>1</v>
      </c>
      <c r="H335" s="470" t="s">
        <v>23</v>
      </c>
      <c r="I335" s="471"/>
      <c r="J335" s="677">
        <f>G335*I335</f>
        <v>0</v>
      </c>
      <c r="K335" s="8"/>
      <c r="L335" s="4"/>
      <c r="M335" s="4"/>
      <c r="N335" s="4"/>
      <c r="O335" s="4"/>
      <c r="P335" s="4"/>
    </row>
    <row r="336" spans="1:16" ht="20.25" customHeight="1">
      <c r="A336" s="668"/>
      <c r="B336" s="457"/>
      <c r="C336" s="458"/>
      <c r="D336" s="459"/>
      <c r="E336" s="460"/>
      <c r="F336" s="782"/>
      <c r="G336" s="460"/>
      <c r="H336" s="461"/>
      <c r="I336" s="462" t="s">
        <v>157</v>
      </c>
      <c r="J336" s="669">
        <f>SUM(J335)</f>
        <v>0</v>
      </c>
      <c r="K336" s="13"/>
      <c r="L336" s="3"/>
      <c r="M336" s="3"/>
      <c r="N336" s="3"/>
      <c r="O336" s="3"/>
      <c r="P336" s="3"/>
    </row>
    <row r="337" spans="1:16" ht="27" customHeight="1">
      <c r="A337" s="709">
        <v>42</v>
      </c>
      <c r="B337" s="563" t="s">
        <v>337</v>
      </c>
      <c r="C337" s="467"/>
      <c r="D337" s="468" t="s">
        <v>338</v>
      </c>
      <c r="E337" s="469" t="s">
        <v>50</v>
      </c>
      <c r="F337" s="539" t="s">
        <v>22</v>
      </c>
      <c r="G337" s="472">
        <v>1</v>
      </c>
      <c r="H337" s="470" t="s">
        <v>23</v>
      </c>
      <c r="I337" s="471"/>
      <c r="J337" s="677">
        <f>G337*I337</f>
        <v>0</v>
      </c>
      <c r="K337" s="8"/>
      <c r="L337" s="4"/>
      <c r="M337" s="4"/>
      <c r="N337" s="4"/>
      <c r="O337" s="4"/>
      <c r="P337" s="4"/>
    </row>
    <row r="338" spans="1:16" ht="20.25" customHeight="1">
      <c r="A338" s="668"/>
      <c r="B338" s="457"/>
      <c r="C338" s="458"/>
      <c r="D338" s="459"/>
      <c r="E338" s="460"/>
      <c r="F338" s="782"/>
      <c r="G338" s="460"/>
      <c r="H338" s="461"/>
      <c r="I338" s="462" t="s">
        <v>157</v>
      </c>
      <c r="J338" s="669">
        <f>SUM(J337)</f>
        <v>0</v>
      </c>
      <c r="K338" s="13"/>
      <c r="L338" s="3"/>
      <c r="M338" s="3"/>
      <c r="N338" s="3"/>
      <c r="O338" s="3"/>
      <c r="P338" s="3"/>
    </row>
    <row r="339" spans="1:16" ht="20.25" customHeight="1">
      <c r="A339" s="715" t="s">
        <v>340</v>
      </c>
      <c r="B339" s="521" t="s">
        <v>341</v>
      </c>
      <c r="C339" s="608"/>
      <c r="D339" s="523"/>
      <c r="E339" s="524"/>
      <c r="F339" s="794"/>
      <c r="G339" s="564"/>
      <c r="H339" s="565"/>
      <c r="I339" s="525"/>
      <c r="J339" s="735"/>
      <c r="K339" s="8"/>
      <c r="L339" s="4"/>
      <c r="M339" s="4"/>
      <c r="N339" s="4"/>
      <c r="O339" s="4"/>
      <c r="P339" s="4"/>
    </row>
    <row r="340" spans="1:16" ht="20.25" customHeight="1">
      <c r="A340" s="736">
        <v>43</v>
      </c>
      <c r="B340" s="609" t="s">
        <v>342</v>
      </c>
      <c r="C340" s="610"/>
      <c r="D340" s="611" t="s">
        <v>343</v>
      </c>
      <c r="E340" s="612" t="s">
        <v>344</v>
      </c>
      <c r="F340" s="795" t="s">
        <v>22</v>
      </c>
      <c r="G340" s="612">
        <v>1</v>
      </c>
      <c r="H340" s="613" t="s">
        <v>23</v>
      </c>
      <c r="I340" s="614"/>
      <c r="J340" s="737">
        <f t="shared" ref="J340:J344" si="34">G340*I340</f>
        <v>0</v>
      </c>
      <c r="K340" s="313"/>
      <c r="L340" s="314"/>
      <c r="M340" s="314"/>
      <c r="N340" s="314"/>
      <c r="O340" s="314"/>
      <c r="P340" s="314"/>
    </row>
    <row r="341" spans="1:16" ht="20.25" customHeight="1">
      <c r="A341" s="738">
        <v>44</v>
      </c>
      <c r="B341" s="566" t="s">
        <v>345</v>
      </c>
      <c r="C341" s="739"/>
      <c r="D341" s="740" t="s">
        <v>346</v>
      </c>
      <c r="E341" s="741" t="s">
        <v>344</v>
      </c>
      <c r="F341" s="796" t="s">
        <v>22</v>
      </c>
      <c r="G341" s="742">
        <v>700</v>
      </c>
      <c r="H341" s="743" t="s">
        <v>23</v>
      </c>
      <c r="I341" s="356"/>
      <c r="J341" s="744">
        <f t="shared" si="34"/>
        <v>0</v>
      </c>
      <c r="K341" s="313"/>
      <c r="L341" s="314"/>
      <c r="M341" s="314"/>
      <c r="N341" s="314"/>
      <c r="O341" s="314"/>
      <c r="P341" s="314"/>
    </row>
    <row r="342" spans="1:16" ht="20.25" customHeight="1">
      <c r="A342" s="738"/>
      <c r="B342" s="566"/>
      <c r="C342" s="739"/>
      <c r="D342" s="740" t="s">
        <v>347</v>
      </c>
      <c r="E342" s="742" t="s">
        <v>344</v>
      </c>
      <c r="F342" s="796" t="s">
        <v>22</v>
      </c>
      <c r="G342" s="742">
        <v>1950</v>
      </c>
      <c r="H342" s="743" t="s">
        <v>23</v>
      </c>
      <c r="I342" s="356"/>
      <c r="J342" s="744">
        <f t="shared" si="34"/>
        <v>0</v>
      </c>
      <c r="K342" s="313"/>
      <c r="L342" s="314"/>
      <c r="M342" s="314"/>
      <c r="N342" s="314"/>
      <c r="O342" s="314"/>
      <c r="P342" s="314"/>
    </row>
    <row r="343" spans="1:16" ht="20.25" customHeight="1">
      <c r="A343" s="738">
        <v>45</v>
      </c>
      <c r="B343" s="566" t="s">
        <v>348</v>
      </c>
      <c r="C343" s="739"/>
      <c r="D343" s="740" t="s">
        <v>349</v>
      </c>
      <c r="E343" s="742" t="s">
        <v>344</v>
      </c>
      <c r="F343" s="796" t="s">
        <v>22</v>
      </c>
      <c r="G343" s="742">
        <v>700</v>
      </c>
      <c r="H343" s="743" t="s">
        <v>23</v>
      </c>
      <c r="I343" s="356"/>
      <c r="J343" s="744">
        <f t="shared" si="34"/>
        <v>0</v>
      </c>
      <c r="K343" s="313"/>
      <c r="L343" s="314"/>
      <c r="M343" s="314"/>
      <c r="N343" s="314"/>
      <c r="O343" s="314"/>
      <c r="P343" s="314"/>
    </row>
    <row r="344" spans="1:16" ht="20.25" customHeight="1">
      <c r="A344" s="745"/>
      <c r="B344" s="567"/>
      <c r="C344" s="746"/>
      <c r="D344" s="747" t="s">
        <v>350</v>
      </c>
      <c r="E344" s="748" t="s">
        <v>344</v>
      </c>
      <c r="F344" s="796" t="s">
        <v>22</v>
      </c>
      <c r="G344" s="748">
        <v>1500</v>
      </c>
      <c r="H344" s="749" t="s">
        <v>23</v>
      </c>
      <c r="I344" s="360"/>
      <c r="J344" s="750">
        <f t="shared" si="34"/>
        <v>0</v>
      </c>
      <c r="K344" s="313"/>
      <c r="L344" s="314"/>
      <c r="M344" s="314"/>
      <c r="N344" s="314"/>
      <c r="O344" s="314"/>
      <c r="P344" s="314"/>
    </row>
    <row r="345" spans="1:16" ht="20.25" customHeight="1">
      <c r="A345" s="751"/>
      <c r="B345" s="568"/>
      <c r="C345" s="569"/>
      <c r="D345" s="570"/>
      <c r="E345" s="571"/>
      <c r="F345" s="797"/>
      <c r="G345" s="571"/>
      <c r="H345" s="572"/>
      <c r="I345" s="573" t="s">
        <v>336</v>
      </c>
      <c r="J345" s="752">
        <f>SUM(J340:J344)</f>
        <v>0</v>
      </c>
      <c r="K345" s="339"/>
      <c r="L345" s="340"/>
      <c r="M345" s="341"/>
      <c r="N345" s="341"/>
      <c r="O345" s="341"/>
      <c r="P345" s="341"/>
    </row>
    <row r="346" spans="1:16" ht="20.25" customHeight="1">
      <c r="A346" s="753" t="s">
        <v>352</v>
      </c>
      <c r="B346" s="754" t="s">
        <v>353</v>
      </c>
      <c r="C346" s="755"/>
      <c r="D346" s="756"/>
      <c r="E346" s="574"/>
      <c r="F346" s="798"/>
      <c r="G346" s="574"/>
      <c r="H346" s="575"/>
      <c r="I346" s="576"/>
      <c r="J346" s="757"/>
      <c r="K346" s="313"/>
      <c r="L346" s="314"/>
      <c r="M346" s="314"/>
      <c r="N346" s="314"/>
      <c r="O346" s="314"/>
      <c r="P346" s="314"/>
    </row>
    <row r="347" spans="1:16" ht="20.25" customHeight="1">
      <c r="A347" s="758">
        <v>46</v>
      </c>
      <c r="B347" s="596" t="s">
        <v>354</v>
      </c>
      <c r="C347" s="597"/>
      <c r="D347" s="598" t="s">
        <v>355</v>
      </c>
      <c r="E347" s="599" t="s">
        <v>50</v>
      </c>
      <c r="F347" s="799" t="s">
        <v>28</v>
      </c>
      <c r="G347" s="601">
        <v>2</v>
      </c>
      <c r="H347" s="600" t="s">
        <v>51</v>
      </c>
      <c r="I347" s="576"/>
      <c r="J347" s="759">
        <f t="shared" ref="J347:J351" si="35">G347*I347</f>
        <v>0</v>
      </c>
      <c r="K347" s="313"/>
      <c r="L347" s="314"/>
      <c r="M347" s="314"/>
      <c r="N347" s="314"/>
      <c r="O347" s="314"/>
      <c r="P347" s="314"/>
    </row>
    <row r="348" spans="1:16" ht="20.25" customHeight="1">
      <c r="A348" s="760"/>
      <c r="B348" s="602"/>
      <c r="C348" s="603"/>
      <c r="D348" s="604" t="s">
        <v>356</v>
      </c>
      <c r="E348" s="605" t="s">
        <v>50</v>
      </c>
      <c r="F348" s="800" t="s">
        <v>28</v>
      </c>
      <c r="G348" s="607">
        <v>5</v>
      </c>
      <c r="H348" s="606" t="s">
        <v>357</v>
      </c>
      <c r="I348" s="577"/>
      <c r="J348" s="757">
        <f t="shared" si="35"/>
        <v>0</v>
      </c>
      <c r="K348" s="313"/>
      <c r="L348" s="314"/>
      <c r="M348" s="314"/>
      <c r="N348" s="314"/>
      <c r="O348" s="314"/>
      <c r="P348" s="314"/>
    </row>
    <row r="349" spans="1:16" ht="20.25" customHeight="1">
      <c r="A349" s="760"/>
      <c r="B349" s="602"/>
      <c r="C349" s="603"/>
      <c r="D349" s="604" t="s">
        <v>358</v>
      </c>
      <c r="E349" s="605" t="s">
        <v>50</v>
      </c>
      <c r="F349" s="800" t="s">
        <v>28</v>
      </c>
      <c r="G349" s="607">
        <v>20</v>
      </c>
      <c r="H349" s="606" t="s">
        <v>359</v>
      </c>
      <c r="I349" s="577"/>
      <c r="J349" s="757">
        <f t="shared" si="35"/>
        <v>0</v>
      </c>
      <c r="K349" s="313"/>
      <c r="L349" s="314"/>
      <c r="M349" s="314"/>
      <c r="N349" s="314"/>
      <c r="O349" s="314"/>
      <c r="P349" s="314"/>
    </row>
    <row r="350" spans="1:16" ht="20.25" customHeight="1">
      <c r="A350" s="760"/>
      <c r="B350" s="602"/>
      <c r="C350" s="603"/>
      <c r="D350" s="604" t="s">
        <v>360</v>
      </c>
      <c r="E350" s="605" t="s">
        <v>50</v>
      </c>
      <c r="F350" s="800" t="s">
        <v>28</v>
      </c>
      <c r="G350" s="607">
        <v>20</v>
      </c>
      <c r="H350" s="606" t="s">
        <v>361</v>
      </c>
      <c r="I350" s="577"/>
      <c r="J350" s="757">
        <f t="shared" si="35"/>
        <v>0</v>
      </c>
      <c r="K350" s="313"/>
      <c r="L350" s="314"/>
      <c r="M350" s="314"/>
      <c r="N350" s="314"/>
      <c r="O350" s="314"/>
      <c r="P350" s="314"/>
    </row>
    <row r="351" spans="1:16" ht="20.25" customHeight="1">
      <c r="A351" s="760"/>
      <c r="B351" s="602"/>
      <c r="C351" s="603"/>
      <c r="D351" s="604" t="s">
        <v>362</v>
      </c>
      <c r="E351" s="605" t="s">
        <v>50</v>
      </c>
      <c r="F351" s="800" t="s">
        <v>28</v>
      </c>
      <c r="G351" s="607">
        <v>30</v>
      </c>
      <c r="H351" s="606" t="s">
        <v>363</v>
      </c>
      <c r="I351" s="577"/>
      <c r="J351" s="757">
        <f t="shared" si="35"/>
        <v>0</v>
      </c>
      <c r="K351" s="313"/>
      <c r="L351" s="314"/>
      <c r="M351" s="314"/>
      <c r="N351" s="314"/>
      <c r="O351" s="314"/>
      <c r="P351" s="314"/>
    </row>
    <row r="352" spans="1:16" ht="20.25" customHeight="1">
      <c r="A352" s="668"/>
      <c r="B352" s="457"/>
      <c r="C352" s="458"/>
      <c r="D352" s="459"/>
      <c r="E352" s="460"/>
      <c r="F352" s="782"/>
      <c r="G352" s="460"/>
      <c r="H352" s="461"/>
      <c r="I352" s="462" t="s">
        <v>364</v>
      </c>
      <c r="J352" s="669">
        <f>SUM(J347:J351)</f>
        <v>0</v>
      </c>
      <c r="K352" s="13"/>
      <c r="L352" s="11"/>
      <c r="M352" s="3"/>
      <c r="N352" s="3"/>
      <c r="O352" s="3"/>
      <c r="P352" s="3"/>
    </row>
    <row r="353" spans="1:16" ht="20.25" customHeight="1">
      <c r="A353" s="668"/>
      <c r="B353" s="457"/>
      <c r="C353" s="458"/>
      <c r="D353" s="459"/>
      <c r="E353" s="460"/>
      <c r="F353" s="782"/>
      <c r="G353" s="460"/>
      <c r="H353" s="461"/>
      <c r="I353" s="462"/>
      <c r="J353" s="669"/>
      <c r="K353" s="13"/>
      <c r="L353" s="11"/>
      <c r="M353" s="3"/>
      <c r="N353" s="3"/>
      <c r="O353" s="3"/>
      <c r="P353" s="3"/>
    </row>
    <row r="354" spans="1:16" ht="20.25" customHeight="1">
      <c r="A354" s="668"/>
      <c r="B354" s="457"/>
      <c r="C354" s="458"/>
      <c r="D354" s="459"/>
      <c r="E354" s="460"/>
      <c r="F354" s="782"/>
      <c r="G354" s="460"/>
      <c r="H354" s="461"/>
      <c r="I354" s="462" t="s">
        <v>366</v>
      </c>
      <c r="J354" s="669">
        <f>J48+J50+J59+J64+J73+J75+J87+J93+J105+J109+J120+J125+J135+J143+J151+J159+J164+J172+J181+J187+J211+J218+J221+J226+J235+J242+J249+J251+J253+J255+J270+J274+J292+J308+J312+J323+J326+J329+J331+J334+J336+J338+J345+J352</f>
        <v>0</v>
      </c>
      <c r="K354" s="13"/>
      <c r="L354" s="11"/>
      <c r="M354" s="13"/>
      <c r="N354" s="3"/>
      <c r="O354" s="3"/>
      <c r="P354" s="3"/>
    </row>
    <row r="355" spans="1:16" ht="20.25" customHeight="1">
      <c r="A355" s="761"/>
      <c r="B355" s="762"/>
      <c r="C355" s="763"/>
      <c r="D355" s="764"/>
      <c r="E355" s="765"/>
      <c r="F355" s="801"/>
      <c r="G355" s="765"/>
      <c r="H355" s="766"/>
      <c r="I355" s="462" t="s">
        <v>367</v>
      </c>
      <c r="J355" s="669">
        <f>+J354*0.1</f>
        <v>0</v>
      </c>
      <c r="K355" s="13"/>
      <c r="L355" s="3"/>
      <c r="M355" s="3"/>
      <c r="N355" s="3"/>
      <c r="O355" s="3"/>
      <c r="P355" s="3"/>
    </row>
    <row r="356" spans="1:16" ht="20.25" customHeight="1">
      <c r="A356" s="668"/>
      <c r="B356" s="457"/>
      <c r="C356" s="458"/>
      <c r="D356" s="459"/>
      <c r="E356" s="460"/>
      <c r="F356" s="782"/>
      <c r="G356" s="460"/>
      <c r="H356" s="461"/>
      <c r="I356" s="462" t="s">
        <v>368</v>
      </c>
      <c r="J356" s="669">
        <f>+J354+J355</f>
        <v>0</v>
      </c>
      <c r="K356" s="13"/>
      <c r="L356" s="3"/>
      <c r="M356" s="3"/>
      <c r="N356" s="3"/>
      <c r="O356" s="3"/>
      <c r="P356" s="3"/>
    </row>
    <row r="357" spans="1:16" ht="20.25" customHeight="1">
      <c r="A357" s="709"/>
      <c r="B357" s="466"/>
      <c r="C357" s="467"/>
      <c r="D357" s="556"/>
      <c r="E357" s="545"/>
      <c r="F357" s="541"/>
      <c r="G357" s="545"/>
      <c r="H357" s="546"/>
      <c r="I357" s="471"/>
      <c r="J357" s="677"/>
      <c r="K357" s="8"/>
      <c r="L357" s="4"/>
      <c r="M357" s="4"/>
      <c r="N357" s="4"/>
      <c r="O357" s="4"/>
      <c r="P357" s="4"/>
    </row>
    <row r="358" spans="1:16" ht="20.25" customHeight="1">
      <c r="A358" s="636"/>
      <c r="B358" s="269"/>
      <c r="C358" s="678"/>
      <c r="D358" s="702"/>
      <c r="E358" s="639"/>
      <c r="F358" s="680"/>
      <c r="G358" s="639"/>
      <c r="H358" s="640"/>
      <c r="I358" s="145"/>
      <c r="J358" s="641"/>
      <c r="K358" s="8"/>
      <c r="L358" s="4"/>
      <c r="M358" s="4"/>
      <c r="N358" s="4"/>
      <c r="O358" s="4"/>
      <c r="P358" s="4"/>
    </row>
    <row r="359" spans="1:16" ht="20.25" customHeight="1">
      <c r="A359" s="692"/>
      <c r="B359" s="473"/>
      <c r="C359" s="681"/>
      <c r="D359" s="728"/>
      <c r="E359" s="683"/>
      <c r="F359" s="682"/>
      <c r="G359" s="683"/>
      <c r="H359" s="727"/>
      <c r="I359" s="475"/>
      <c r="J359" s="685"/>
      <c r="K359" s="8"/>
      <c r="L359" s="4"/>
      <c r="M359" s="4"/>
      <c r="N359" s="4"/>
      <c r="O359" s="4"/>
      <c r="P359" s="4"/>
    </row>
    <row r="360" spans="1:16" ht="20.25" customHeight="1" thickBot="1">
      <c r="A360" s="767"/>
      <c r="B360" s="768"/>
      <c r="C360" s="769"/>
      <c r="D360" s="770"/>
      <c r="E360" s="771"/>
      <c r="F360" s="802"/>
      <c r="G360" s="771"/>
      <c r="H360" s="772"/>
      <c r="I360" s="773" t="s">
        <v>369</v>
      </c>
      <c r="J360" s="774">
        <f>+J356</f>
        <v>0</v>
      </c>
      <c r="K360" s="13"/>
      <c r="L360" s="13"/>
      <c r="M360" s="3"/>
      <c r="N360" s="3"/>
      <c r="O360" s="3"/>
      <c r="P360" s="3"/>
    </row>
    <row r="361" spans="1:16" ht="20.25" hidden="1" customHeight="1">
      <c r="A361" s="373"/>
      <c r="B361" s="4"/>
      <c r="C361" s="4"/>
      <c r="D361" s="4"/>
      <c r="E361" s="374"/>
      <c r="F361" s="803"/>
      <c r="G361" s="374"/>
      <c r="H361" s="373"/>
      <c r="I361" s="8" t="s">
        <v>370</v>
      </c>
      <c r="J361" s="8">
        <v>92196000000</v>
      </c>
      <c r="K361" s="8"/>
      <c r="L361" s="4"/>
      <c r="M361" s="4"/>
      <c r="N361" s="4"/>
      <c r="O361" s="4"/>
      <c r="P361" s="4"/>
    </row>
    <row r="362" spans="1:16" ht="20.25" hidden="1" customHeight="1">
      <c r="A362" s="373"/>
      <c r="B362" s="4"/>
      <c r="C362" s="4"/>
      <c r="D362" s="4"/>
      <c r="E362" s="374"/>
      <c r="F362" s="803"/>
      <c r="G362" s="374"/>
      <c r="H362" s="373"/>
      <c r="I362" s="8" t="s">
        <v>372</v>
      </c>
      <c r="J362" s="375">
        <f>J361-J360</f>
        <v>92196000000</v>
      </c>
      <c r="K362" s="8"/>
      <c r="L362" s="8"/>
      <c r="M362" s="4"/>
      <c r="N362" s="4"/>
      <c r="O362" s="4"/>
      <c r="P362" s="4"/>
    </row>
    <row r="363" spans="1:16" ht="20.25" customHeight="1">
      <c r="A363" s="373"/>
      <c r="B363" s="4"/>
      <c r="C363" s="4"/>
      <c r="D363" s="4"/>
      <c r="E363" s="374"/>
      <c r="F363" s="803"/>
      <c r="G363" s="374"/>
      <c r="H363" s="373"/>
      <c r="I363" s="8"/>
      <c r="J363" s="8"/>
      <c r="K363" s="8"/>
      <c r="L363" s="8"/>
      <c r="M363" s="4"/>
      <c r="N363" s="4"/>
      <c r="O363" s="4"/>
      <c r="P363" s="4"/>
    </row>
    <row r="364" spans="1:16" ht="20.25" customHeight="1">
      <c r="A364" s="373"/>
      <c r="B364" s="4"/>
      <c r="C364" s="4"/>
      <c r="D364" s="373"/>
      <c r="E364" s="374"/>
      <c r="F364" s="803"/>
      <c r="G364" s="374"/>
      <c r="H364" s="373"/>
      <c r="I364" s="373"/>
      <c r="J364" s="4"/>
      <c r="K364" s="4"/>
      <c r="L364" s="4"/>
      <c r="M364" s="4"/>
      <c r="N364" s="4"/>
      <c r="O364" s="4"/>
      <c r="P364" s="4"/>
    </row>
    <row r="365" spans="1:16" ht="20.25" customHeight="1">
      <c r="A365" s="373"/>
      <c r="B365" s="4"/>
      <c r="C365" s="4"/>
      <c r="D365" s="373"/>
      <c r="E365" s="374"/>
      <c r="F365" s="803"/>
      <c r="G365" s="374"/>
      <c r="H365" s="373"/>
      <c r="I365" s="373"/>
      <c r="J365" s="4"/>
      <c r="K365" s="4"/>
      <c r="L365" s="4"/>
      <c r="M365" s="4"/>
      <c r="N365" s="4"/>
      <c r="O365" s="4"/>
      <c r="P365" s="4"/>
    </row>
    <row r="366" spans="1:16" ht="20.25" customHeight="1">
      <c r="A366" s="373"/>
      <c r="B366" s="4"/>
      <c r="C366" s="4"/>
      <c r="D366" s="373"/>
      <c r="E366" s="374"/>
      <c r="F366" s="803"/>
      <c r="G366" s="374"/>
      <c r="H366" s="373"/>
      <c r="I366" s="373"/>
      <c r="J366" s="4"/>
      <c r="K366" s="4"/>
      <c r="L366" s="4"/>
      <c r="M366" s="4"/>
      <c r="N366" s="4"/>
      <c r="O366" s="4"/>
      <c r="P366" s="4"/>
    </row>
    <row r="367" spans="1:16" ht="20.25" customHeight="1">
      <c r="A367" s="373"/>
      <c r="B367" s="4"/>
      <c r="C367" s="4"/>
      <c r="D367" s="373"/>
      <c r="E367" s="374"/>
      <c r="F367" s="803"/>
      <c r="G367" s="374"/>
      <c r="H367" s="373"/>
      <c r="I367" s="373"/>
      <c r="J367" s="4"/>
      <c r="K367" s="4"/>
      <c r="L367" s="4"/>
      <c r="M367" s="4"/>
      <c r="N367" s="4"/>
      <c r="O367" s="4"/>
      <c r="P367" s="4"/>
    </row>
    <row r="368" spans="1:16" ht="20.25" customHeight="1">
      <c r="A368" s="373"/>
      <c r="B368" s="4"/>
      <c r="C368" s="4"/>
      <c r="D368" s="4"/>
      <c r="E368" s="374"/>
      <c r="F368" s="803"/>
      <c r="G368" s="374"/>
      <c r="H368" s="373"/>
      <c r="I368" s="8"/>
      <c r="J368" s="8"/>
      <c r="K368" s="8"/>
      <c r="L368" s="4"/>
      <c r="M368" s="4"/>
      <c r="N368" s="4"/>
      <c r="O368" s="4"/>
      <c r="P368" s="4"/>
    </row>
    <row r="369" spans="1:16" ht="20.25" customHeight="1">
      <c r="A369" s="373"/>
      <c r="B369" s="4"/>
      <c r="C369" s="4"/>
      <c r="D369" s="4"/>
      <c r="E369" s="374"/>
      <c r="F369" s="803"/>
      <c r="G369" s="374"/>
      <c r="H369" s="373"/>
      <c r="I369" s="8"/>
      <c r="J369" s="8"/>
      <c r="K369" s="8"/>
      <c r="L369" s="4"/>
      <c r="M369" s="4"/>
      <c r="N369" s="4"/>
      <c r="O369" s="4"/>
      <c r="P369" s="4"/>
    </row>
    <row r="370" spans="1:16" ht="20.25" customHeight="1">
      <c r="A370" s="373"/>
      <c r="B370" s="4"/>
      <c r="C370" s="4"/>
      <c r="D370" s="4"/>
      <c r="E370" s="374"/>
      <c r="F370" s="803"/>
      <c r="G370" s="374"/>
      <c r="H370" s="373"/>
      <c r="I370" s="8"/>
      <c r="J370" s="8"/>
      <c r="K370" s="8"/>
      <c r="L370" s="4"/>
      <c r="M370" s="4"/>
      <c r="N370" s="4"/>
      <c r="O370" s="4"/>
      <c r="P370" s="4"/>
    </row>
    <row r="371" spans="1:16" ht="20.25" customHeight="1">
      <c r="A371" s="4"/>
      <c r="B371" s="4"/>
      <c r="C371" s="4"/>
      <c r="D371" s="4"/>
      <c r="E371" s="373"/>
      <c r="F371" s="803"/>
      <c r="G371" s="374"/>
      <c r="H371" s="373"/>
      <c r="I371" s="4"/>
      <c r="J371" s="4"/>
      <c r="K371" s="4"/>
      <c r="L371" s="4"/>
      <c r="M371" s="4"/>
      <c r="N371" s="4"/>
      <c r="O371" s="4"/>
      <c r="P371" s="4"/>
    </row>
    <row r="372" spans="1:16" ht="20.25" customHeight="1">
      <c r="A372" s="4"/>
      <c r="B372" s="4"/>
      <c r="C372" s="4"/>
      <c r="D372" s="4"/>
      <c r="E372" s="373"/>
      <c r="F372" s="803"/>
      <c r="G372" s="374"/>
      <c r="H372" s="373"/>
      <c r="I372" s="4"/>
      <c r="J372" s="4"/>
      <c r="K372" s="4"/>
      <c r="L372" s="4"/>
      <c r="M372" s="4"/>
      <c r="N372" s="4"/>
      <c r="O372" s="4"/>
      <c r="P372" s="4"/>
    </row>
    <row r="373" spans="1:16" ht="20.25" customHeight="1">
      <c r="A373" s="4"/>
      <c r="B373" s="4"/>
      <c r="C373" s="4"/>
      <c r="D373" s="4"/>
      <c r="E373" s="373"/>
      <c r="F373" s="803"/>
      <c r="G373" s="374"/>
      <c r="H373" s="373"/>
      <c r="I373" s="4"/>
      <c r="J373" s="4"/>
      <c r="K373" s="4"/>
      <c r="L373" s="4"/>
      <c r="M373" s="4"/>
      <c r="N373" s="4"/>
      <c r="O373" s="4"/>
      <c r="P373" s="4"/>
    </row>
    <row r="374" spans="1:16" ht="20.25" customHeight="1">
      <c r="A374" s="4"/>
      <c r="B374" s="4"/>
      <c r="C374" s="4"/>
      <c r="D374" s="4"/>
      <c r="E374" s="373"/>
      <c r="F374" s="803"/>
      <c r="G374" s="374"/>
      <c r="H374" s="373"/>
      <c r="I374" s="4"/>
      <c r="J374" s="4"/>
      <c r="K374" s="4"/>
      <c r="L374" s="4"/>
      <c r="M374" s="4"/>
      <c r="N374" s="4"/>
      <c r="O374" s="4"/>
      <c r="P374" s="4"/>
    </row>
    <row r="375" spans="1:16" ht="20.25" customHeight="1">
      <c r="A375" s="4"/>
      <c r="B375" s="4"/>
      <c r="C375" s="4"/>
      <c r="D375" s="4"/>
      <c r="E375" s="373"/>
      <c r="F375" s="803"/>
      <c r="G375" s="374"/>
      <c r="H375" s="373"/>
      <c r="I375" s="4"/>
      <c r="J375" s="4"/>
      <c r="K375" s="4"/>
      <c r="L375" s="4"/>
      <c r="M375" s="4"/>
      <c r="N375" s="4"/>
      <c r="O375" s="4"/>
      <c r="P375" s="4"/>
    </row>
    <row r="376" spans="1:16" ht="20.25" customHeight="1">
      <c r="A376" s="4"/>
      <c r="B376" s="4"/>
      <c r="C376" s="4"/>
      <c r="D376" s="4"/>
      <c r="E376" s="373"/>
      <c r="F376" s="803"/>
      <c r="G376" s="374"/>
      <c r="H376" s="373"/>
      <c r="I376" s="4"/>
      <c r="J376" s="4"/>
      <c r="K376" s="4"/>
      <c r="L376" s="4"/>
      <c r="M376" s="4"/>
      <c r="N376" s="4"/>
      <c r="O376" s="4"/>
      <c r="P376" s="4"/>
    </row>
    <row r="377" spans="1:16" ht="20.25" customHeight="1">
      <c r="A377" s="4"/>
      <c r="B377" s="4"/>
      <c r="C377" s="4"/>
      <c r="D377" s="4"/>
      <c r="E377" s="373"/>
      <c r="F377" s="803"/>
      <c r="G377" s="374"/>
      <c r="H377" s="373"/>
      <c r="I377" s="4"/>
      <c r="J377" s="4"/>
      <c r="K377" s="4"/>
      <c r="L377" s="4"/>
      <c r="M377" s="4"/>
      <c r="N377" s="4"/>
      <c r="O377" s="4"/>
      <c r="P377" s="4"/>
    </row>
    <row r="378" spans="1:16" ht="20.25" customHeight="1">
      <c r="A378" s="4"/>
      <c r="B378" s="4"/>
      <c r="C378" s="4"/>
      <c r="D378" s="4"/>
      <c r="E378" s="373"/>
      <c r="F378" s="803"/>
      <c r="G378" s="374"/>
      <c r="H378" s="373"/>
      <c r="I378" s="4"/>
      <c r="J378" s="4"/>
      <c r="K378" s="4"/>
      <c r="L378" s="4"/>
      <c r="M378" s="4"/>
      <c r="N378" s="4"/>
      <c r="O378" s="4"/>
      <c r="P378" s="4"/>
    </row>
    <row r="379" spans="1:16" ht="20.25" customHeight="1">
      <c r="A379" s="4"/>
      <c r="B379" s="4"/>
      <c r="C379" s="4"/>
      <c r="D379" s="4"/>
      <c r="E379" s="373"/>
      <c r="F379" s="803"/>
      <c r="G379" s="374"/>
      <c r="H379" s="373"/>
      <c r="I379" s="4"/>
      <c r="J379" s="4"/>
      <c r="K379" s="4"/>
      <c r="L379" s="4"/>
      <c r="M379" s="4"/>
      <c r="N379" s="4"/>
      <c r="O379" s="4"/>
      <c r="P379" s="4"/>
    </row>
    <row r="380" spans="1:16" ht="20.25" customHeight="1">
      <c r="A380" s="4"/>
      <c r="B380" s="4"/>
      <c r="C380" s="4"/>
      <c r="D380" s="4"/>
      <c r="E380" s="373"/>
      <c r="F380" s="803"/>
      <c r="G380" s="374"/>
      <c r="H380" s="373"/>
      <c r="I380" s="4"/>
      <c r="J380" s="4"/>
      <c r="K380" s="4"/>
      <c r="L380" s="4"/>
      <c r="M380" s="4"/>
      <c r="N380" s="4"/>
      <c r="O380" s="4"/>
      <c r="P380" s="4"/>
    </row>
    <row r="381" spans="1:16" ht="20.25" customHeight="1">
      <c r="A381" s="4"/>
      <c r="B381" s="4"/>
      <c r="C381" s="4"/>
      <c r="D381" s="4"/>
      <c r="E381" s="373"/>
      <c r="F381" s="803"/>
      <c r="G381" s="374"/>
      <c r="H381" s="373"/>
      <c r="I381" s="4"/>
      <c r="J381" s="4"/>
      <c r="K381" s="4"/>
      <c r="L381" s="4"/>
      <c r="M381" s="4"/>
      <c r="N381" s="4"/>
      <c r="O381" s="4"/>
      <c r="P381" s="4"/>
    </row>
    <row r="382" spans="1:16" ht="20.25" customHeight="1">
      <c r="A382" s="4"/>
      <c r="B382" s="4"/>
      <c r="C382" s="4"/>
      <c r="D382" s="4"/>
      <c r="E382" s="373"/>
      <c r="F382" s="803"/>
      <c r="G382" s="374"/>
      <c r="H382" s="373"/>
      <c r="I382" s="4"/>
      <c r="J382" s="4"/>
      <c r="K382" s="4"/>
      <c r="L382" s="4"/>
      <c r="M382" s="4"/>
      <c r="N382" s="4"/>
      <c r="O382" s="4"/>
      <c r="P382" s="4"/>
    </row>
    <row r="383" spans="1:16" ht="20.25" customHeight="1">
      <c r="A383" s="4"/>
      <c r="B383" s="4"/>
      <c r="C383" s="4"/>
      <c r="D383" s="4"/>
      <c r="E383" s="373"/>
      <c r="F383" s="803"/>
      <c r="G383" s="374"/>
      <c r="H383" s="373"/>
      <c r="I383" s="4"/>
      <c r="J383" s="4"/>
      <c r="K383" s="4"/>
      <c r="L383" s="4"/>
      <c r="M383" s="4"/>
      <c r="N383" s="4"/>
      <c r="O383" s="4"/>
      <c r="P383" s="4"/>
    </row>
    <row r="384" spans="1:16" ht="20.25" customHeight="1">
      <c r="A384" s="4"/>
      <c r="B384" s="4"/>
      <c r="C384" s="4"/>
      <c r="D384" s="4"/>
      <c r="E384" s="373"/>
      <c r="F384" s="803"/>
      <c r="G384" s="374"/>
      <c r="H384" s="373"/>
      <c r="I384" s="4"/>
      <c r="J384" s="4"/>
      <c r="K384" s="4"/>
      <c r="L384" s="4"/>
      <c r="M384" s="4"/>
      <c r="N384" s="4"/>
      <c r="O384" s="4"/>
      <c r="P384" s="4"/>
    </row>
    <row r="385" spans="1:16" ht="20.25" customHeight="1">
      <c r="A385" s="4"/>
      <c r="B385" s="4"/>
      <c r="C385" s="4"/>
      <c r="D385" s="4"/>
      <c r="E385" s="373"/>
      <c r="F385" s="803"/>
      <c r="G385" s="374"/>
      <c r="H385" s="373"/>
      <c r="I385" s="4"/>
      <c r="J385" s="4"/>
      <c r="K385" s="4"/>
      <c r="L385" s="4"/>
      <c r="M385" s="4"/>
      <c r="N385" s="4"/>
      <c r="O385" s="4"/>
      <c r="P385" s="4"/>
    </row>
    <row r="386" spans="1:16" ht="20.25" customHeight="1">
      <c r="A386" s="4"/>
      <c r="B386" s="4"/>
      <c r="C386" s="4"/>
      <c r="D386" s="4"/>
      <c r="E386" s="373"/>
      <c r="F386" s="803"/>
      <c r="G386" s="374"/>
      <c r="H386" s="373"/>
      <c r="I386" s="4"/>
      <c r="J386" s="4"/>
      <c r="K386" s="4"/>
      <c r="L386" s="4"/>
      <c r="M386" s="4"/>
      <c r="N386" s="4"/>
      <c r="O386" s="4"/>
      <c r="P386" s="4"/>
    </row>
    <row r="387" spans="1:16" ht="20.25" customHeight="1">
      <c r="A387" s="4"/>
      <c r="B387" s="4"/>
      <c r="C387" s="4"/>
      <c r="D387" s="4"/>
      <c r="E387" s="373"/>
      <c r="F387" s="803"/>
      <c r="G387" s="374"/>
      <c r="H387" s="373"/>
      <c r="I387" s="4"/>
      <c r="J387" s="4"/>
      <c r="K387" s="4"/>
      <c r="L387" s="4"/>
      <c r="M387" s="4"/>
      <c r="N387" s="4"/>
      <c r="O387" s="4"/>
      <c r="P387" s="4"/>
    </row>
    <row r="388" spans="1:16" ht="20.25" customHeight="1">
      <c r="A388" s="4"/>
      <c r="B388" s="4"/>
      <c r="C388" s="4"/>
      <c r="D388" s="4"/>
      <c r="E388" s="373"/>
      <c r="F388" s="803"/>
      <c r="G388" s="374"/>
      <c r="H388" s="373"/>
      <c r="I388" s="4"/>
      <c r="J388" s="4"/>
      <c r="K388" s="4"/>
      <c r="L388" s="4"/>
      <c r="M388" s="4"/>
      <c r="N388" s="4"/>
      <c r="O388" s="4"/>
      <c r="P388" s="4"/>
    </row>
    <row r="389" spans="1:16" ht="20.25" customHeight="1">
      <c r="A389" s="4"/>
      <c r="B389" s="4"/>
      <c r="C389" s="4"/>
      <c r="D389" s="4"/>
      <c r="E389" s="373"/>
      <c r="F389" s="803"/>
      <c r="G389" s="374"/>
      <c r="H389" s="373"/>
      <c r="I389" s="4"/>
      <c r="J389" s="4"/>
      <c r="K389" s="4"/>
      <c r="L389" s="4"/>
      <c r="M389" s="4"/>
      <c r="N389" s="4"/>
      <c r="O389" s="4"/>
      <c r="P389" s="4"/>
    </row>
    <row r="390" spans="1:16" ht="20.25" customHeight="1">
      <c r="A390" s="4"/>
      <c r="B390" s="4"/>
      <c r="C390" s="4"/>
      <c r="D390" s="4"/>
      <c r="E390" s="373"/>
      <c r="F390" s="803"/>
      <c r="G390" s="374"/>
      <c r="H390" s="373"/>
      <c r="I390" s="4"/>
      <c r="J390" s="4"/>
      <c r="K390" s="4"/>
      <c r="L390" s="4"/>
      <c r="M390" s="4"/>
      <c r="N390" s="4"/>
      <c r="O390" s="4"/>
      <c r="P390" s="4"/>
    </row>
    <row r="391" spans="1:16" ht="20.25" customHeight="1">
      <c r="A391" s="4"/>
      <c r="B391" s="4"/>
      <c r="C391" s="4"/>
      <c r="D391" s="4"/>
      <c r="E391" s="373"/>
      <c r="F391" s="803"/>
      <c r="G391" s="374"/>
      <c r="H391" s="373"/>
      <c r="I391" s="4"/>
      <c r="J391" s="4"/>
      <c r="K391" s="4"/>
      <c r="L391" s="4"/>
      <c r="M391" s="4"/>
      <c r="N391" s="4"/>
      <c r="O391" s="4"/>
      <c r="P391" s="4"/>
    </row>
    <row r="392" spans="1:16" ht="20.25" customHeight="1">
      <c r="A392" s="4"/>
      <c r="B392" s="4"/>
      <c r="C392" s="4"/>
      <c r="D392" s="4"/>
      <c r="E392" s="373"/>
      <c r="F392" s="803"/>
      <c r="G392" s="374"/>
      <c r="H392" s="373"/>
      <c r="I392" s="4"/>
      <c r="J392" s="4"/>
      <c r="K392" s="4"/>
      <c r="L392" s="4"/>
      <c r="M392" s="4"/>
      <c r="N392" s="4"/>
      <c r="O392" s="4"/>
      <c r="P392" s="4"/>
    </row>
    <row r="393" spans="1:16" ht="20.25" customHeight="1">
      <c r="A393" s="4"/>
      <c r="B393" s="4"/>
      <c r="C393" s="4"/>
      <c r="D393" s="4"/>
      <c r="E393" s="373"/>
      <c r="F393" s="803"/>
      <c r="G393" s="374"/>
      <c r="H393" s="373"/>
      <c r="I393" s="4"/>
      <c r="J393" s="4"/>
      <c r="K393" s="4"/>
      <c r="L393" s="4"/>
      <c r="M393" s="4"/>
      <c r="N393" s="4"/>
      <c r="O393" s="4"/>
      <c r="P393" s="4"/>
    </row>
    <row r="394" spans="1:16" ht="20.25" customHeight="1">
      <c r="A394" s="4"/>
      <c r="B394" s="4"/>
      <c r="C394" s="4"/>
      <c r="D394" s="4"/>
      <c r="E394" s="373"/>
      <c r="F394" s="803"/>
      <c r="G394" s="374"/>
      <c r="H394" s="373"/>
      <c r="I394" s="4"/>
      <c r="J394" s="4"/>
      <c r="K394" s="4"/>
      <c r="L394" s="4"/>
      <c r="M394" s="4"/>
      <c r="N394" s="4"/>
      <c r="O394" s="4"/>
      <c r="P394" s="4"/>
    </row>
    <row r="395" spans="1:16" ht="20.25" customHeight="1">
      <c r="A395" s="4"/>
      <c r="B395" s="4"/>
      <c r="C395" s="4"/>
      <c r="D395" s="4"/>
      <c r="E395" s="373"/>
      <c r="F395" s="803"/>
      <c r="G395" s="374"/>
      <c r="H395" s="373"/>
      <c r="I395" s="4"/>
      <c r="J395" s="4"/>
      <c r="K395" s="4"/>
      <c r="L395" s="4"/>
      <c r="M395" s="4"/>
      <c r="N395" s="4"/>
      <c r="O395" s="4"/>
      <c r="P395" s="4"/>
    </row>
    <row r="396" spans="1:16" ht="20.25" customHeight="1">
      <c r="A396" s="4"/>
      <c r="B396" s="4"/>
      <c r="C396" s="4"/>
      <c r="D396" s="4"/>
      <c r="E396" s="373"/>
      <c r="F396" s="803"/>
      <c r="G396" s="374"/>
      <c r="H396" s="373"/>
      <c r="I396" s="4"/>
      <c r="J396" s="4"/>
      <c r="K396" s="4"/>
      <c r="L396" s="4"/>
      <c r="M396" s="4"/>
      <c r="N396" s="4"/>
      <c r="O396" s="4"/>
      <c r="P396" s="4"/>
    </row>
    <row r="397" spans="1:16" ht="20.25" customHeight="1">
      <c r="A397" s="4"/>
      <c r="B397" s="4"/>
      <c r="C397" s="4"/>
      <c r="D397" s="4"/>
      <c r="E397" s="373"/>
      <c r="F397" s="803"/>
      <c r="G397" s="374"/>
      <c r="H397" s="373"/>
      <c r="I397" s="4"/>
      <c r="J397" s="4"/>
      <c r="K397" s="4"/>
      <c r="L397" s="4"/>
      <c r="M397" s="4"/>
      <c r="N397" s="4"/>
      <c r="O397" s="4"/>
      <c r="P397" s="4"/>
    </row>
    <row r="398" spans="1:16" ht="20.25" customHeight="1">
      <c r="A398" s="4"/>
      <c r="B398" s="4"/>
      <c r="C398" s="4"/>
      <c r="D398" s="4"/>
      <c r="E398" s="373"/>
      <c r="F398" s="803"/>
      <c r="G398" s="374"/>
      <c r="H398" s="373"/>
      <c r="I398" s="4"/>
      <c r="J398" s="4"/>
      <c r="K398" s="4"/>
      <c r="L398" s="4"/>
      <c r="M398" s="4"/>
      <c r="N398" s="4"/>
      <c r="O398" s="4"/>
      <c r="P398" s="4"/>
    </row>
    <row r="399" spans="1:16" ht="20.25" customHeight="1">
      <c r="A399" s="4"/>
      <c r="B399" s="4"/>
      <c r="C399" s="4"/>
      <c r="D399" s="4"/>
      <c r="E399" s="373"/>
      <c r="F399" s="803"/>
      <c r="G399" s="374"/>
      <c r="H399" s="373"/>
      <c r="I399" s="4"/>
      <c r="J399" s="4"/>
      <c r="K399" s="4"/>
      <c r="L399" s="4"/>
      <c r="M399" s="4"/>
      <c r="N399" s="4"/>
      <c r="O399" s="4"/>
      <c r="P399" s="4"/>
    </row>
    <row r="400" spans="1:16" ht="20.25" customHeight="1">
      <c r="A400" s="4"/>
      <c r="B400" s="4"/>
      <c r="C400" s="4"/>
      <c r="D400" s="4"/>
      <c r="E400" s="373"/>
      <c r="F400" s="803"/>
      <c r="G400" s="374"/>
      <c r="H400" s="373"/>
      <c r="I400" s="4"/>
      <c r="J400" s="4"/>
      <c r="K400" s="4"/>
      <c r="L400" s="4"/>
      <c r="M400" s="4"/>
      <c r="N400" s="4"/>
      <c r="O400" s="4"/>
      <c r="P400" s="4"/>
    </row>
    <row r="401" spans="1:16" ht="20.25" customHeight="1">
      <c r="A401" s="4"/>
      <c r="B401" s="4"/>
      <c r="C401" s="4"/>
      <c r="D401" s="4"/>
      <c r="E401" s="373"/>
      <c r="F401" s="803"/>
      <c r="G401" s="374"/>
      <c r="H401" s="373"/>
      <c r="I401" s="4"/>
      <c r="J401" s="4"/>
      <c r="K401" s="4"/>
      <c r="L401" s="4"/>
      <c r="M401" s="4"/>
      <c r="N401" s="4"/>
      <c r="O401" s="4"/>
      <c r="P401" s="4"/>
    </row>
    <row r="402" spans="1:16" ht="20.25" customHeight="1">
      <c r="A402" s="4"/>
      <c r="B402" s="4"/>
      <c r="C402" s="4"/>
      <c r="D402" s="4"/>
      <c r="E402" s="373"/>
      <c r="F402" s="803"/>
      <c r="G402" s="374"/>
      <c r="H402" s="373"/>
      <c r="I402" s="4"/>
      <c r="J402" s="4"/>
      <c r="K402" s="4"/>
      <c r="L402" s="4"/>
      <c r="M402" s="4"/>
      <c r="N402" s="4"/>
      <c r="O402" s="4"/>
      <c r="P402" s="4"/>
    </row>
    <row r="403" spans="1:16" ht="20.25" customHeight="1">
      <c r="A403" s="4"/>
      <c r="B403" s="4"/>
      <c r="C403" s="4"/>
      <c r="D403" s="4"/>
      <c r="E403" s="373"/>
      <c r="F403" s="803"/>
      <c r="G403" s="374"/>
      <c r="H403" s="373"/>
      <c r="I403" s="4"/>
      <c r="J403" s="4"/>
      <c r="K403" s="4"/>
      <c r="L403" s="4"/>
      <c r="M403" s="4"/>
      <c r="N403" s="4"/>
      <c r="O403" s="4"/>
      <c r="P403" s="4"/>
    </row>
    <row r="404" spans="1:16" ht="20.25" customHeight="1">
      <c r="A404" s="4"/>
      <c r="B404" s="4"/>
      <c r="C404" s="4"/>
      <c r="D404" s="4"/>
      <c r="E404" s="373"/>
      <c r="F404" s="803"/>
      <c r="G404" s="374"/>
      <c r="H404" s="373"/>
      <c r="I404" s="4"/>
      <c r="J404" s="4"/>
      <c r="K404" s="4"/>
      <c r="L404" s="4"/>
      <c r="M404" s="4"/>
      <c r="N404" s="4"/>
      <c r="O404" s="4"/>
      <c r="P404" s="4"/>
    </row>
    <row r="405" spans="1:16" ht="20.25" customHeight="1">
      <c r="A405" s="4"/>
      <c r="B405" s="4"/>
      <c r="C405" s="4"/>
      <c r="D405" s="4"/>
      <c r="E405" s="373"/>
      <c r="F405" s="803"/>
      <c r="G405" s="374"/>
      <c r="H405" s="373"/>
      <c r="I405" s="4"/>
      <c r="J405" s="4"/>
      <c r="K405" s="4"/>
      <c r="L405" s="4"/>
      <c r="M405" s="4"/>
      <c r="N405" s="4"/>
      <c r="O405" s="4"/>
      <c r="P405" s="4"/>
    </row>
    <row r="406" spans="1:16" ht="20.25" customHeight="1">
      <c r="A406" s="4"/>
      <c r="B406" s="4"/>
      <c r="C406" s="4"/>
      <c r="D406" s="4"/>
      <c r="E406" s="373"/>
      <c r="F406" s="803"/>
      <c r="G406" s="374"/>
      <c r="H406" s="373"/>
      <c r="I406" s="4"/>
      <c r="J406" s="4"/>
      <c r="K406" s="4"/>
      <c r="L406" s="4"/>
      <c r="M406" s="4"/>
      <c r="N406" s="4"/>
      <c r="O406" s="4"/>
      <c r="P406" s="4"/>
    </row>
    <row r="407" spans="1:16" ht="20.25" customHeight="1">
      <c r="A407" s="4"/>
      <c r="B407" s="4"/>
      <c r="C407" s="4"/>
      <c r="D407" s="4"/>
      <c r="E407" s="373"/>
      <c r="F407" s="803"/>
      <c r="G407" s="374"/>
      <c r="H407" s="373"/>
      <c r="I407" s="4"/>
      <c r="J407" s="4"/>
      <c r="K407" s="4"/>
      <c r="L407" s="4"/>
      <c r="M407" s="4"/>
      <c r="N407" s="4"/>
      <c r="O407" s="4"/>
      <c r="P407" s="4"/>
    </row>
    <row r="408" spans="1:16" ht="20.25" customHeight="1">
      <c r="A408" s="4"/>
      <c r="B408" s="4"/>
      <c r="C408" s="4"/>
      <c r="D408" s="4"/>
      <c r="E408" s="373"/>
      <c r="F408" s="803"/>
      <c r="G408" s="374"/>
      <c r="H408" s="373"/>
      <c r="I408" s="4"/>
      <c r="J408" s="4"/>
      <c r="K408" s="4"/>
      <c r="L408" s="4"/>
      <c r="M408" s="4"/>
      <c r="N408" s="4"/>
      <c r="O408" s="4"/>
      <c r="P408" s="4"/>
    </row>
    <row r="409" spans="1:16" ht="20.25" customHeight="1">
      <c r="A409" s="4"/>
      <c r="B409" s="4"/>
      <c r="C409" s="4"/>
      <c r="D409" s="4"/>
      <c r="E409" s="373"/>
      <c r="F409" s="803"/>
      <c r="G409" s="374"/>
      <c r="H409" s="373"/>
      <c r="I409" s="4"/>
      <c r="J409" s="4"/>
      <c r="K409" s="4"/>
      <c r="L409" s="4"/>
      <c r="M409" s="4"/>
      <c r="N409" s="4"/>
      <c r="O409" s="4"/>
      <c r="P409" s="4"/>
    </row>
    <row r="410" spans="1:16" ht="20.25" customHeight="1">
      <c r="A410" s="4"/>
      <c r="B410" s="4"/>
      <c r="C410" s="4"/>
      <c r="D410" s="4"/>
      <c r="E410" s="373"/>
      <c r="F410" s="803"/>
      <c r="G410" s="374"/>
      <c r="H410" s="373"/>
      <c r="I410" s="4"/>
      <c r="J410" s="4"/>
      <c r="K410" s="4"/>
      <c r="L410" s="4"/>
      <c r="M410" s="4"/>
      <c r="N410" s="4"/>
      <c r="O410" s="4"/>
      <c r="P410" s="4"/>
    </row>
    <row r="411" spans="1:16" ht="20.25" customHeight="1">
      <c r="A411" s="4"/>
      <c r="B411" s="4"/>
      <c r="C411" s="4"/>
      <c r="D411" s="4"/>
      <c r="E411" s="373"/>
      <c r="F411" s="803"/>
      <c r="G411" s="374"/>
      <c r="H411" s="373"/>
      <c r="I411" s="4"/>
      <c r="J411" s="4"/>
      <c r="K411" s="4"/>
      <c r="L411" s="4"/>
      <c r="M411" s="4"/>
      <c r="N411" s="4"/>
      <c r="O411" s="4"/>
      <c r="P411" s="4"/>
    </row>
    <row r="412" spans="1:16" ht="20.25" customHeight="1">
      <c r="A412" s="4"/>
      <c r="B412" s="4"/>
      <c r="C412" s="4"/>
      <c r="D412" s="4"/>
      <c r="E412" s="373"/>
      <c r="F412" s="803"/>
      <c r="G412" s="374"/>
      <c r="H412" s="373"/>
      <c r="I412" s="4"/>
      <c r="J412" s="4"/>
      <c r="K412" s="4"/>
      <c r="L412" s="4"/>
      <c r="M412" s="4"/>
      <c r="N412" s="4"/>
      <c r="O412" s="4"/>
      <c r="P412" s="4"/>
    </row>
    <row r="413" spans="1:16" ht="20.25" customHeight="1">
      <c r="A413" s="4"/>
      <c r="B413" s="4"/>
      <c r="C413" s="4"/>
      <c r="D413" s="4"/>
      <c r="E413" s="373"/>
      <c r="F413" s="803"/>
      <c r="G413" s="374"/>
      <c r="H413" s="373"/>
      <c r="I413" s="4"/>
      <c r="J413" s="4"/>
      <c r="K413" s="4"/>
      <c r="L413" s="4"/>
      <c r="M413" s="4"/>
      <c r="N413" s="4"/>
      <c r="O413" s="4"/>
      <c r="P413" s="4"/>
    </row>
    <row r="414" spans="1:16" ht="20.25" customHeight="1">
      <c r="A414" s="4"/>
      <c r="B414" s="4"/>
      <c r="C414" s="4"/>
      <c r="D414" s="4"/>
      <c r="E414" s="373"/>
      <c r="F414" s="803"/>
      <c r="G414" s="374"/>
      <c r="H414" s="373"/>
      <c r="I414" s="4"/>
      <c r="J414" s="4"/>
      <c r="K414" s="4"/>
      <c r="L414" s="4"/>
      <c r="M414" s="4"/>
      <c r="N414" s="4"/>
      <c r="O414" s="4"/>
      <c r="P414" s="4"/>
    </row>
    <row r="415" spans="1:16" ht="20.25" customHeight="1">
      <c r="A415" s="4"/>
      <c r="B415" s="4"/>
      <c r="C415" s="4"/>
      <c r="D415" s="4"/>
      <c r="E415" s="373"/>
      <c r="F415" s="803"/>
      <c r="G415" s="374"/>
      <c r="H415" s="373"/>
      <c r="I415" s="4"/>
      <c r="J415" s="4"/>
      <c r="K415" s="4"/>
      <c r="L415" s="4"/>
      <c r="M415" s="4"/>
      <c r="N415" s="4"/>
      <c r="O415" s="4"/>
      <c r="P415" s="4"/>
    </row>
    <row r="416" spans="1:16" ht="20.25" customHeight="1">
      <c r="A416" s="4"/>
      <c r="B416" s="4"/>
      <c r="C416" s="4"/>
      <c r="D416" s="4"/>
      <c r="E416" s="373"/>
      <c r="F416" s="803"/>
      <c r="G416" s="374"/>
      <c r="H416" s="373"/>
      <c r="I416" s="4"/>
      <c r="J416" s="4"/>
      <c r="K416" s="4"/>
      <c r="L416" s="4"/>
      <c r="M416" s="4"/>
      <c r="N416" s="4"/>
      <c r="O416" s="4"/>
      <c r="P416" s="4"/>
    </row>
    <row r="417" spans="1:16" ht="20.25" customHeight="1">
      <c r="A417" s="4"/>
      <c r="B417" s="4"/>
      <c r="C417" s="4"/>
      <c r="D417" s="4"/>
      <c r="E417" s="373"/>
      <c r="F417" s="803"/>
      <c r="G417" s="374"/>
      <c r="H417" s="373"/>
      <c r="I417" s="4"/>
      <c r="J417" s="4"/>
      <c r="K417" s="4"/>
      <c r="L417" s="4"/>
      <c r="M417" s="4"/>
      <c r="N417" s="4"/>
      <c r="O417" s="4"/>
      <c r="P417" s="4"/>
    </row>
    <row r="418" spans="1:16" ht="20.25" customHeight="1">
      <c r="A418" s="4"/>
      <c r="B418" s="4"/>
      <c r="C418" s="4"/>
      <c r="D418" s="4"/>
      <c r="E418" s="373"/>
      <c r="F418" s="803"/>
      <c r="G418" s="374"/>
      <c r="H418" s="373"/>
      <c r="I418" s="4"/>
      <c r="J418" s="4"/>
      <c r="K418" s="4"/>
      <c r="L418" s="4"/>
      <c r="M418" s="4"/>
      <c r="N418" s="4"/>
      <c r="O418" s="4"/>
      <c r="P418" s="4"/>
    </row>
    <row r="419" spans="1:16" ht="20.25" customHeight="1">
      <c r="A419" s="4"/>
      <c r="B419" s="4"/>
      <c r="C419" s="4"/>
      <c r="D419" s="4"/>
      <c r="E419" s="373"/>
      <c r="F419" s="803"/>
      <c r="G419" s="374"/>
      <c r="H419" s="373"/>
      <c r="I419" s="4"/>
      <c r="J419" s="4"/>
      <c r="K419" s="4"/>
      <c r="L419" s="4"/>
      <c r="M419" s="4"/>
      <c r="N419" s="4"/>
      <c r="O419" s="4"/>
      <c r="P419" s="4"/>
    </row>
    <row r="420" spans="1:16" ht="20.25" customHeight="1">
      <c r="A420" s="4"/>
      <c r="B420" s="4"/>
      <c r="C420" s="4"/>
      <c r="D420" s="4"/>
      <c r="E420" s="373"/>
      <c r="F420" s="803"/>
      <c r="G420" s="374"/>
      <c r="H420" s="373"/>
      <c r="I420" s="4"/>
      <c r="J420" s="4"/>
      <c r="K420" s="4"/>
      <c r="L420" s="4"/>
      <c r="M420" s="4"/>
      <c r="N420" s="4"/>
      <c r="O420" s="4"/>
      <c r="P420" s="4"/>
    </row>
    <row r="421" spans="1:16" ht="20.25" customHeight="1">
      <c r="A421" s="4"/>
      <c r="B421" s="4"/>
      <c r="C421" s="4"/>
      <c r="D421" s="4"/>
      <c r="E421" s="373"/>
      <c r="F421" s="803"/>
      <c r="G421" s="374"/>
      <c r="H421" s="373"/>
      <c r="I421" s="4"/>
      <c r="J421" s="4"/>
      <c r="K421" s="4"/>
      <c r="L421" s="4"/>
      <c r="M421" s="4"/>
      <c r="N421" s="4"/>
      <c r="O421" s="4"/>
      <c r="P421" s="4"/>
    </row>
    <row r="422" spans="1:16" ht="20.25" customHeight="1">
      <c r="A422" s="4"/>
      <c r="B422" s="4"/>
      <c r="C422" s="4"/>
      <c r="D422" s="4"/>
      <c r="E422" s="373"/>
      <c r="F422" s="803"/>
      <c r="G422" s="374"/>
      <c r="H422" s="373"/>
      <c r="I422" s="4"/>
      <c r="J422" s="4"/>
      <c r="K422" s="4"/>
      <c r="L422" s="4"/>
      <c r="M422" s="4"/>
      <c r="N422" s="4"/>
      <c r="O422" s="4"/>
      <c r="P422" s="4"/>
    </row>
    <row r="423" spans="1:16" ht="20.25" customHeight="1">
      <c r="A423" s="4"/>
      <c r="B423" s="4"/>
      <c r="C423" s="4"/>
      <c r="D423" s="4"/>
      <c r="E423" s="373"/>
      <c r="F423" s="803"/>
      <c r="G423" s="374"/>
      <c r="H423" s="373"/>
      <c r="I423" s="4"/>
      <c r="J423" s="4"/>
      <c r="K423" s="4"/>
      <c r="L423" s="4"/>
      <c r="M423" s="4"/>
      <c r="N423" s="4"/>
      <c r="O423" s="4"/>
      <c r="P423" s="4"/>
    </row>
    <row r="424" spans="1:16" ht="20.25" customHeight="1">
      <c r="A424" s="4"/>
      <c r="B424" s="4"/>
      <c r="C424" s="4"/>
      <c r="D424" s="4"/>
      <c r="E424" s="373"/>
      <c r="F424" s="803"/>
      <c r="G424" s="374"/>
      <c r="H424" s="373"/>
      <c r="I424" s="4"/>
      <c r="J424" s="4"/>
      <c r="K424" s="4"/>
      <c r="L424" s="4"/>
      <c r="M424" s="4"/>
      <c r="N424" s="4"/>
      <c r="O424" s="4"/>
      <c r="P424" s="4"/>
    </row>
    <row r="425" spans="1:16" ht="20.25" customHeight="1">
      <c r="A425" s="4"/>
      <c r="B425" s="4"/>
      <c r="C425" s="4"/>
      <c r="D425" s="4"/>
      <c r="E425" s="373"/>
      <c r="F425" s="803"/>
      <c r="G425" s="374"/>
      <c r="H425" s="373"/>
      <c r="I425" s="4"/>
      <c r="J425" s="4"/>
      <c r="K425" s="4"/>
      <c r="L425" s="4"/>
      <c r="M425" s="4"/>
      <c r="N425" s="4"/>
      <c r="O425" s="4"/>
      <c r="P425" s="4"/>
    </row>
    <row r="426" spans="1:16" ht="20.25" customHeight="1">
      <c r="A426" s="4"/>
      <c r="B426" s="4"/>
      <c r="C426" s="4"/>
      <c r="D426" s="4"/>
      <c r="E426" s="373"/>
      <c r="F426" s="803"/>
      <c r="G426" s="374"/>
      <c r="H426" s="373"/>
      <c r="I426" s="4"/>
      <c r="J426" s="4"/>
      <c r="K426" s="4"/>
      <c r="L426" s="4"/>
      <c r="M426" s="4"/>
      <c r="N426" s="4"/>
      <c r="O426" s="4"/>
      <c r="P426" s="4"/>
    </row>
    <row r="427" spans="1:16" ht="20.25" customHeight="1">
      <c r="A427" s="4"/>
      <c r="B427" s="4"/>
      <c r="C427" s="4"/>
      <c r="D427" s="4"/>
      <c r="E427" s="373"/>
      <c r="F427" s="803"/>
      <c r="G427" s="374"/>
      <c r="H427" s="373"/>
      <c r="I427" s="4"/>
      <c r="J427" s="4"/>
      <c r="K427" s="4"/>
      <c r="L427" s="4"/>
      <c r="M427" s="4"/>
      <c r="N427" s="4"/>
      <c r="O427" s="4"/>
      <c r="P427" s="4"/>
    </row>
    <row r="428" spans="1:16" ht="20.25" customHeight="1">
      <c r="A428" s="4"/>
      <c r="B428" s="4"/>
      <c r="C428" s="4"/>
      <c r="D428" s="4"/>
      <c r="E428" s="373"/>
      <c r="F428" s="803"/>
      <c r="G428" s="374"/>
      <c r="H428" s="373"/>
      <c r="I428" s="4"/>
      <c r="J428" s="4"/>
      <c r="K428" s="4"/>
      <c r="L428" s="4"/>
      <c r="M428" s="4"/>
      <c r="N428" s="4"/>
      <c r="O428" s="4"/>
      <c r="P428" s="4"/>
    </row>
    <row r="429" spans="1:16" ht="20.25" customHeight="1">
      <c r="A429" s="4"/>
      <c r="B429" s="4"/>
      <c r="C429" s="4"/>
      <c r="D429" s="4"/>
      <c r="E429" s="373"/>
      <c r="F429" s="803"/>
      <c r="G429" s="374"/>
      <c r="H429" s="373"/>
      <c r="I429" s="4"/>
      <c r="J429" s="4"/>
      <c r="K429" s="4"/>
      <c r="L429" s="4"/>
      <c r="M429" s="4"/>
      <c r="N429" s="4"/>
      <c r="O429" s="4"/>
      <c r="P429" s="4"/>
    </row>
    <row r="430" spans="1:16" ht="20.25" customHeight="1">
      <c r="A430" s="4"/>
      <c r="B430" s="4"/>
      <c r="C430" s="4"/>
      <c r="D430" s="4"/>
      <c r="E430" s="373"/>
      <c r="F430" s="803"/>
      <c r="G430" s="374"/>
      <c r="H430" s="373"/>
      <c r="I430" s="4"/>
      <c r="J430" s="4"/>
      <c r="K430" s="4"/>
      <c r="L430" s="4"/>
      <c r="M430" s="4"/>
      <c r="N430" s="4"/>
      <c r="O430" s="4"/>
      <c r="P430" s="4"/>
    </row>
    <row r="431" spans="1:16" ht="20.25" customHeight="1">
      <c r="A431" s="4"/>
      <c r="B431" s="4"/>
      <c r="C431" s="4"/>
      <c r="D431" s="4"/>
      <c r="E431" s="373"/>
      <c r="F431" s="803"/>
      <c r="G431" s="374"/>
      <c r="H431" s="373"/>
      <c r="I431" s="4"/>
      <c r="J431" s="4"/>
      <c r="K431" s="4"/>
      <c r="L431" s="4"/>
      <c r="M431" s="4"/>
      <c r="N431" s="4"/>
      <c r="O431" s="4"/>
      <c r="P431" s="4"/>
    </row>
    <row r="432" spans="1:16" ht="20.25" customHeight="1">
      <c r="A432" s="4"/>
      <c r="B432" s="4"/>
      <c r="C432" s="4"/>
      <c r="D432" s="4"/>
      <c r="E432" s="373"/>
      <c r="F432" s="803"/>
      <c r="G432" s="374"/>
      <c r="H432" s="373"/>
      <c r="I432" s="4"/>
      <c r="J432" s="4"/>
      <c r="K432" s="4"/>
      <c r="L432" s="4"/>
      <c r="M432" s="4"/>
      <c r="N432" s="4"/>
      <c r="O432" s="4"/>
      <c r="P432" s="4"/>
    </row>
    <row r="433" spans="1:16" ht="20.25" customHeight="1">
      <c r="A433" s="4"/>
      <c r="B433" s="4"/>
      <c r="C433" s="4"/>
      <c r="D433" s="4"/>
      <c r="E433" s="373"/>
      <c r="F433" s="803"/>
      <c r="G433" s="374"/>
      <c r="H433" s="373"/>
      <c r="I433" s="4"/>
      <c r="J433" s="4"/>
      <c r="K433" s="4"/>
      <c r="L433" s="4"/>
      <c r="M433" s="4"/>
      <c r="N433" s="4"/>
      <c r="O433" s="4"/>
      <c r="P433" s="4"/>
    </row>
    <row r="434" spans="1:16" ht="20.25" customHeight="1">
      <c r="A434" s="4"/>
      <c r="B434" s="4"/>
      <c r="C434" s="4"/>
      <c r="D434" s="4"/>
      <c r="E434" s="373"/>
      <c r="F434" s="803"/>
      <c r="G434" s="374"/>
      <c r="H434" s="373"/>
      <c r="I434" s="4"/>
      <c r="J434" s="4"/>
      <c r="K434" s="4"/>
      <c r="L434" s="4"/>
      <c r="M434" s="4"/>
      <c r="N434" s="4"/>
      <c r="O434" s="4"/>
      <c r="P434" s="4"/>
    </row>
    <row r="435" spans="1:16" ht="20.25" customHeight="1">
      <c r="A435" s="4"/>
      <c r="B435" s="4"/>
      <c r="C435" s="4"/>
      <c r="D435" s="4"/>
      <c r="E435" s="373"/>
      <c r="F435" s="803"/>
      <c r="G435" s="374"/>
      <c r="H435" s="373"/>
      <c r="I435" s="4"/>
      <c r="J435" s="4"/>
      <c r="K435" s="4"/>
      <c r="L435" s="4"/>
      <c r="M435" s="4"/>
      <c r="N435" s="4"/>
      <c r="O435" s="4"/>
      <c r="P435" s="4"/>
    </row>
    <row r="436" spans="1:16" ht="20.25" customHeight="1">
      <c r="A436" s="4"/>
      <c r="B436" s="4"/>
      <c r="C436" s="4"/>
      <c r="D436" s="4"/>
      <c r="E436" s="373"/>
      <c r="F436" s="803"/>
      <c r="G436" s="374"/>
      <c r="H436" s="373"/>
      <c r="I436" s="4"/>
      <c r="J436" s="4"/>
      <c r="K436" s="4"/>
      <c r="L436" s="4"/>
      <c r="M436" s="4"/>
      <c r="N436" s="4"/>
      <c r="O436" s="4"/>
      <c r="P436" s="4"/>
    </row>
    <row r="437" spans="1:16" ht="20.25" customHeight="1">
      <c r="A437" s="4"/>
      <c r="B437" s="4"/>
      <c r="C437" s="4"/>
      <c r="D437" s="4"/>
      <c r="E437" s="373"/>
      <c r="F437" s="803"/>
      <c r="G437" s="374"/>
      <c r="H437" s="373"/>
      <c r="I437" s="4"/>
      <c r="J437" s="4"/>
      <c r="K437" s="4"/>
      <c r="L437" s="4"/>
      <c r="M437" s="4"/>
      <c r="N437" s="4"/>
      <c r="O437" s="4"/>
      <c r="P437" s="4"/>
    </row>
    <row r="438" spans="1:16" ht="20.25" customHeight="1">
      <c r="A438" s="4"/>
      <c r="B438" s="4"/>
      <c r="C438" s="4"/>
      <c r="D438" s="4"/>
      <c r="E438" s="373"/>
      <c r="F438" s="803"/>
      <c r="G438" s="374"/>
      <c r="H438" s="373"/>
      <c r="I438" s="4"/>
      <c r="J438" s="4"/>
      <c r="K438" s="4"/>
      <c r="L438" s="4"/>
      <c r="M438" s="4"/>
      <c r="N438" s="4"/>
      <c r="O438" s="4"/>
      <c r="P438" s="4"/>
    </row>
    <row r="439" spans="1:16" ht="20.25" customHeight="1">
      <c r="A439" s="4"/>
      <c r="B439" s="4"/>
      <c r="C439" s="4"/>
      <c r="D439" s="4"/>
      <c r="E439" s="373"/>
      <c r="F439" s="803"/>
      <c r="G439" s="374"/>
      <c r="H439" s="373"/>
      <c r="I439" s="4"/>
      <c r="J439" s="4"/>
      <c r="K439" s="4"/>
      <c r="L439" s="4"/>
      <c r="M439" s="4"/>
      <c r="N439" s="4"/>
      <c r="O439" s="4"/>
      <c r="P439" s="4"/>
    </row>
    <row r="440" spans="1:16" ht="20.25" customHeight="1">
      <c r="A440" s="4"/>
      <c r="B440" s="4"/>
      <c r="C440" s="4"/>
      <c r="D440" s="4"/>
      <c r="E440" s="373"/>
      <c r="F440" s="803"/>
      <c r="G440" s="374"/>
      <c r="H440" s="373"/>
      <c r="I440" s="4"/>
      <c r="J440" s="4"/>
      <c r="K440" s="4"/>
      <c r="L440" s="4"/>
      <c r="M440" s="4"/>
      <c r="N440" s="4"/>
      <c r="O440" s="4"/>
      <c r="P440" s="4"/>
    </row>
    <row r="441" spans="1:16" ht="20.25" customHeight="1">
      <c r="A441" s="4"/>
      <c r="B441" s="4"/>
      <c r="C441" s="4"/>
      <c r="D441" s="4"/>
      <c r="E441" s="373"/>
      <c r="F441" s="803"/>
      <c r="G441" s="374"/>
      <c r="H441" s="373"/>
      <c r="I441" s="4"/>
      <c r="J441" s="4"/>
      <c r="K441" s="4"/>
      <c r="L441" s="4"/>
      <c r="M441" s="4"/>
      <c r="N441" s="4"/>
      <c r="O441" s="4"/>
      <c r="P441" s="4"/>
    </row>
    <row r="442" spans="1:16" ht="20.25" customHeight="1">
      <c r="A442" s="4"/>
      <c r="B442" s="4"/>
      <c r="C442" s="4"/>
      <c r="D442" s="4"/>
      <c r="E442" s="373"/>
      <c r="F442" s="803"/>
      <c r="G442" s="374"/>
      <c r="H442" s="373"/>
      <c r="I442" s="4"/>
      <c r="J442" s="4"/>
      <c r="K442" s="4"/>
      <c r="L442" s="4"/>
      <c r="M442" s="4"/>
      <c r="N442" s="4"/>
      <c r="O442" s="4"/>
      <c r="P442" s="4"/>
    </row>
    <row r="443" spans="1:16" ht="20.25" customHeight="1">
      <c r="A443" s="4"/>
      <c r="B443" s="4"/>
      <c r="C443" s="4"/>
      <c r="D443" s="4"/>
      <c r="E443" s="373"/>
      <c r="F443" s="803"/>
      <c r="G443" s="374"/>
      <c r="H443" s="373"/>
      <c r="I443" s="4"/>
      <c r="J443" s="4"/>
      <c r="K443" s="4"/>
      <c r="L443" s="4"/>
      <c r="M443" s="4"/>
      <c r="N443" s="4"/>
      <c r="O443" s="4"/>
      <c r="P443" s="4"/>
    </row>
    <row r="444" spans="1:16" ht="20.25" customHeight="1">
      <c r="A444" s="4"/>
      <c r="B444" s="4"/>
      <c r="C444" s="4"/>
      <c r="D444" s="4"/>
      <c r="E444" s="373"/>
      <c r="F444" s="803"/>
      <c r="G444" s="374"/>
      <c r="H444" s="373"/>
      <c r="I444" s="4"/>
      <c r="J444" s="4"/>
      <c r="K444" s="4"/>
      <c r="L444" s="4"/>
      <c r="M444" s="4"/>
      <c r="N444" s="4"/>
      <c r="O444" s="4"/>
      <c r="P444" s="4"/>
    </row>
    <row r="445" spans="1:16" ht="20.25" customHeight="1">
      <c r="A445" s="4"/>
      <c r="B445" s="4"/>
      <c r="C445" s="4"/>
      <c r="D445" s="4"/>
      <c r="E445" s="373"/>
      <c r="F445" s="803"/>
      <c r="G445" s="374"/>
      <c r="H445" s="373"/>
      <c r="I445" s="4"/>
      <c r="J445" s="4"/>
      <c r="K445" s="4"/>
      <c r="L445" s="4"/>
      <c r="M445" s="4"/>
      <c r="N445" s="4"/>
      <c r="O445" s="4"/>
      <c r="P445" s="4"/>
    </row>
    <row r="446" spans="1:16" ht="20.25" customHeight="1">
      <c r="A446" s="4"/>
      <c r="B446" s="4"/>
      <c r="C446" s="4"/>
      <c r="D446" s="4"/>
      <c r="E446" s="373"/>
      <c r="F446" s="803"/>
      <c r="G446" s="374"/>
      <c r="H446" s="373"/>
      <c r="I446" s="4"/>
      <c r="J446" s="4"/>
      <c r="K446" s="4"/>
      <c r="L446" s="4"/>
      <c r="M446" s="4"/>
      <c r="N446" s="4"/>
      <c r="O446" s="4"/>
      <c r="P446" s="4"/>
    </row>
    <row r="447" spans="1:16" ht="20.25" customHeight="1">
      <c r="A447" s="4"/>
      <c r="B447" s="4"/>
      <c r="C447" s="4"/>
      <c r="D447" s="4"/>
      <c r="E447" s="373"/>
      <c r="F447" s="803"/>
      <c r="G447" s="374"/>
      <c r="H447" s="373"/>
      <c r="I447" s="4"/>
      <c r="J447" s="4"/>
      <c r="K447" s="4"/>
      <c r="L447" s="4"/>
      <c r="M447" s="4"/>
      <c r="N447" s="4"/>
      <c r="O447" s="4"/>
      <c r="P447" s="4"/>
    </row>
    <row r="448" spans="1:16" ht="20.25" customHeight="1">
      <c r="A448" s="4"/>
      <c r="B448" s="4"/>
      <c r="C448" s="4"/>
      <c r="D448" s="4"/>
      <c r="E448" s="373"/>
      <c r="F448" s="803"/>
      <c r="G448" s="374"/>
      <c r="H448" s="373"/>
      <c r="I448" s="4"/>
      <c r="J448" s="4"/>
      <c r="K448" s="4"/>
      <c r="L448" s="4"/>
      <c r="M448" s="4"/>
      <c r="N448" s="4"/>
      <c r="O448" s="4"/>
      <c r="P448" s="4"/>
    </row>
    <row r="449" spans="1:16" ht="20.25" customHeight="1">
      <c r="A449" s="4"/>
      <c r="B449" s="4"/>
      <c r="C449" s="4"/>
      <c r="D449" s="4"/>
      <c r="E449" s="373"/>
      <c r="F449" s="803"/>
      <c r="G449" s="374"/>
      <c r="H449" s="373"/>
      <c r="I449" s="4"/>
      <c r="J449" s="4"/>
      <c r="K449" s="4"/>
      <c r="L449" s="4"/>
      <c r="M449" s="4"/>
      <c r="N449" s="4"/>
      <c r="O449" s="4"/>
      <c r="P449" s="4"/>
    </row>
    <row r="450" spans="1:16" ht="20.25" customHeight="1">
      <c r="A450" s="4"/>
      <c r="B450" s="4"/>
      <c r="C450" s="4"/>
      <c r="D450" s="4"/>
      <c r="E450" s="373"/>
      <c r="F450" s="803"/>
      <c r="G450" s="374"/>
      <c r="H450" s="373"/>
      <c r="I450" s="4"/>
      <c r="J450" s="4"/>
      <c r="K450" s="4"/>
      <c r="L450" s="4"/>
      <c r="M450" s="4"/>
      <c r="N450" s="4"/>
      <c r="O450" s="4"/>
      <c r="P450" s="4"/>
    </row>
    <row r="451" spans="1:16" ht="20.25" customHeight="1">
      <c r="A451" s="4"/>
      <c r="B451" s="4"/>
      <c r="C451" s="4"/>
      <c r="D451" s="4"/>
      <c r="E451" s="373"/>
      <c r="F451" s="803"/>
      <c r="G451" s="374"/>
      <c r="H451" s="373"/>
      <c r="I451" s="4"/>
      <c r="J451" s="4"/>
      <c r="K451" s="4"/>
      <c r="L451" s="4"/>
      <c r="M451" s="4"/>
      <c r="N451" s="4"/>
      <c r="O451" s="4"/>
      <c r="P451" s="4"/>
    </row>
    <row r="452" spans="1:16" ht="20.25" customHeight="1">
      <c r="A452" s="4"/>
      <c r="B452" s="4"/>
      <c r="C452" s="4"/>
      <c r="D452" s="4"/>
      <c r="E452" s="373"/>
      <c r="F452" s="803"/>
      <c r="G452" s="374"/>
      <c r="H452" s="373"/>
      <c r="I452" s="4"/>
      <c r="J452" s="4"/>
      <c r="K452" s="4"/>
      <c r="L452" s="4"/>
      <c r="M452" s="4"/>
      <c r="N452" s="4"/>
      <c r="O452" s="4"/>
      <c r="P452" s="4"/>
    </row>
    <row r="453" spans="1:16" ht="20.25" customHeight="1">
      <c r="A453" s="4"/>
      <c r="B453" s="4"/>
      <c r="C453" s="4"/>
      <c r="D453" s="4"/>
      <c r="E453" s="373"/>
      <c r="F453" s="803"/>
      <c r="G453" s="374"/>
      <c r="H453" s="373"/>
      <c r="I453" s="4"/>
      <c r="J453" s="4"/>
      <c r="K453" s="4"/>
      <c r="L453" s="4"/>
      <c r="M453" s="4"/>
      <c r="N453" s="4"/>
      <c r="O453" s="4"/>
      <c r="P453" s="4"/>
    </row>
    <row r="454" spans="1:16" ht="20.25" customHeight="1">
      <c r="A454" s="4"/>
      <c r="B454" s="4"/>
      <c r="C454" s="4"/>
      <c r="D454" s="4"/>
      <c r="E454" s="373"/>
      <c r="F454" s="803"/>
      <c r="G454" s="374"/>
      <c r="H454" s="373"/>
      <c r="I454" s="4"/>
      <c r="J454" s="4"/>
      <c r="K454" s="4"/>
      <c r="L454" s="4"/>
      <c r="M454" s="4"/>
      <c r="N454" s="4"/>
      <c r="O454" s="4"/>
      <c r="P454" s="4"/>
    </row>
    <row r="455" spans="1:16" ht="20.25" customHeight="1">
      <c r="A455" s="4"/>
      <c r="B455" s="4"/>
      <c r="C455" s="4"/>
      <c r="D455" s="4"/>
      <c r="E455" s="373"/>
      <c r="F455" s="803"/>
      <c r="G455" s="374"/>
      <c r="H455" s="373"/>
      <c r="I455" s="4"/>
      <c r="J455" s="4"/>
      <c r="K455" s="4"/>
      <c r="L455" s="4"/>
      <c r="M455" s="4"/>
      <c r="N455" s="4"/>
      <c r="O455" s="4"/>
      <c r="P455" s="4"/>
    </row>
    <row r="456" spans="1:16" ht="20.25" customHeight="1">
      <c r="A456" s="4"/>
      <c r="B456" s="4"/>
      <c r="C456" s="4"/>
      <c r="D456" s="4"/>
      <c r="E456" s="373"/>
      <c r="F456" s="803"/>
      <c r="G456" s="374"/>
      <c r="H456" s="373"/>
      <c r="I456" s="4"/>
      <c r="J456" s="4"/>
      <c r="K456" s="4"/>
      <c r="L456" s="4"/>
      <c r="M456" s="4"/>
      <c r="N456" s="4"/>
      <c r="O456" s="4"/>
      <c r="P456" s="4"/>
    </row>
    <row r="457" spans="1:16" ht="20.25" customHeight="1">
      <c r="A457" s="4"/>
      <c r="B457" s="4"/>
      <c r="C457" s="4"/>
      <c r="D457" s="4"/>
      <c r="E457" s="373"/>
      <c r="F457" s="803"/>
      <c r="G457" s="374"/>
      <c r="H457" s="373"/>
      <c r="I457" s="4"/>
      <c r="J457" s="4"/>
      <c r="K457" s="4"/>
      <c r="L457" s="4"/>
      <c r="M457" s="4"/>
      <c r="N457" s="4"/>
      <c r="O457" s="4"/>
      <c r="P457" s="4"/>
    </row>
    <row r="458" spans="1:16" ht="20.25" customHeight="1">
      <c r="A458" s="4"/>
      <c r="B458" s="4"/>
      <c r="C458" s="4"/>
      <c r="D458" s="4"/>
      <c r="E458" s="373"/>
      <c r="F458" s="803"/>
      <c r="G458" s="374"/>
      <c r="H458" s="373"/>
      <c r="I458" s="4"/>
      <c r="J458" s="4"/>
      <c r="K458" s="4"/>
      <c r="L458" s="4"/>
      <c r="M458" s="4"/>
      <c r="N458" s="4"/>
      <c r="O458" s="4"/>
      <c r="P458" s="4"/>
    </row>
    <row r="459" spans="1:16" ht="20.25" customHeight="1">
      <c r="A459" s="4"/>
      <c r="B459" s="4"/>
      <c r="C459" s="4"/>
      <c r="D459" s="4"/>
      <c r="E459" s="373"/>
      <c r="F459" s="803"/>
      <c r="G459" s="374"/>
      <c r="H459" s="373"/>
      <c r="I459" s="4"/>
      <c r="J459" s="4"/>
      <c r="K459" s="4"/>
      <c r="L459" s="4"/>
      <c r="M459" s="4"/>
      <c r="N459" s="4"/>
      <c r="O459" s="4"/>
      <c r="P459" s="4"/>
    </row>
    <row r="460" spans="1:16" ht="20.25" customHeight="1">
      <c r="A460" s="4"/>
      <c r="B460" s="4"/>
      <c r="C460" s="4"/>
      <c r="D460" s="4"/>
      <c r="E460" s="373"/>
      <c r="F460" s="803"/>
      <c r="G460" s="374"/>
      <c r="H460" s="373"/>
      <c r="I460" s="4"/>
      <c r="J460" s="4"/>
      <c r="K460" s="4"/>
      <c r="L460" s="4"/>
      <c r="M460" s="4"/>
      <c r="N460" s="4"/>
      <c r="O460" s="4"/>
      <c r="P460" s="4"/>
    </row>
    <row r="461" spans="1:16" ht="20.25" customHeight="1">
      <c r="A461" s="4"/>
      <c r="B461" s="4"/>
      <c r="C461" s="4"/>
      <c r="D461" s="4"/>
      <c r="E461" s="373"/>
      <c r="F461" s="803"/>
      <c r="G461" s="374"/>
      <c r="H461" s="373"/>
      <c r="I461" s="4"/>
      <c r="J461" s="4"/>
      <c r="K461" s="4"/>
      <c r="L461" s="4"/>
      <c r="M461" s="4"/>
      <c r="N461" s="4"/>
      <c r="O461" s="4"/>
      <c r="P461" s="4"/>
    </row>
    <row r="462" spans="1:16" ht="20.25" customHeight="1">
      <c r="A462" s="4"/>
      <c r="B462" s="4"/>
      <c r="C462" s="4"/>
      <c r="D462" s="4"/>
      <c r="E462" s="373"/>
      <c r="F462" s="803"/>
      <c r="G462" s="374"/>
      <c r="H462" s="373"/>
      <c r="I462" s="4"/>
      <c r="J462" s="4"/>
      <c r="K462" s="4"/>
      <c r="L462" s="4"/>
      <c r="M462" s="4"/>
      <c r="N462" s="4"/>
      <c r="O462" s="4"/>
      <c r="P462" s="4"/>
    </row>
    <row r="463" spans="1:16" ht="20.25" customHeight="1">
      <c r="A463" s="4"/>
      <c r="B463" s="4"/>
      <c r="C463" s="4"/>
      <c r="D463" s="4"/>
      <c r="E463" s="373"/>
      <c r="F463" s="803"/>
      <c r="G463" s="374"/>
      <c r="H463" s="373"/>
      <c r="I463" s="4"/>
      <c r="J463" s="4"/>
      <c r="K463" s="4"/>
      <c r="L463" s="4"/>
      <c r="M463" s="4"/>
      <c r="N463" s="4"/>
      <c r="O463" s="4"/>
      <c r="P463" s="4"/>
    </row>
    <row r="464" spans="1:16" ht="20.25" customHeight="1">
      <c r="A464" s="4"/>
      <c r="B464" s="4"/>
      <c r="C464" s="4"/>
      <c r="D464" s="4"/>
      <c r="E464" s="373"/>
      <c r="F464" s="803"/>
      <c r="G464" s="374"/>
      <c r="H464" s="373"/>
      <c r="I464" s="4"/>
      <c r="J464" s="4"/>
      <c r="K464" s="4"/>
      <c r="L464" s="4"/>
      <c r="M464" s="4"/>
      <c r="N464" s="4"/>
      <c r="O464" s="4"/>
      <c r="P464" s="4"/>
    </row>
    <row r="465" spans="1:16" ht="20.25" customHeight="1">
      <c r="A465" s="4"/>
      <c r="B465" s="4"/>
      <c r="C465" s="4"/>
      <c r="D465" s="4"/>
      <c r="E465" s="373"/>
      <c r="F465" s="803"/>
      <c r="G465" s="374"/>
      <c r="H465" s="373"/>
      <c r="I465" s="4"/>
      <c r="J465" s="4"/>
      <c r="K465" s="4"/>
      <c r="L465" s="4"/>
      <c r="M465" s="4"/>
      <c r="N465" s="4"/>
      <c r="O465" s="4"/>
      <c r="P465" s="4"/>
    </row>
    <row r="466" spans="1:16" ht="20.25" customHeight="1">
      <c r="A466" s="4"/>
      <c r="B466" s="4"/>
      <c r="C466" s="4"/>
      <c r="D466" s="4"/>
      <c r="E466" s="373"/>
      <c r="F466" s="803"/>
      <c r="G466" s="374"/>
      <c r="H466" s="373"/>
      <c r="I466" s="4"/>
      <c r="J466" s="4"/>
      <c r="K466" s="4"/>
      <c r="L466" s="4"/>
      <c r="M466" s="4"/>
      <c r="N466" s="4"/>
      <c r="O466" s="4"/>
      <c r="P466" s="4"/>
    </row>
    <row r="467" spans="1:16" ht="20.25" customHeight="1">
      <c r="A467" s="4"/>
      <c r="B467" s="4"/>
      <c r="C467" s="4"/>
      <c r="D467" s="4"/>
      <c r="E467" s="374"/>
      <c r="F467" s="803"/>
      <c r="G467" s="374"/>
      <c r="H467" s="373"/>
      <c r="I467" s="4"/>
      <c r="J467" s="4"/>
      <c r="K467" s="4"/>
      <c r="L467" s="4"/>
      <c r="M467" s="4"/>
      <c r="N467" s="4"/>
      <c r="O467" s="4"/>
      <c r="P467" s="4"/>
    </row>
    <row r="468" spans="1:16" ht="20.25" customHeight="1">
      <c r="A468" s="373"/>
      <c r="B468" s="4"/>
      <c r="C468" s="4"/>
      <c r="D468" s="4"/>
      <c r="E468" s="374"/>
      <c r="F468" s="803"/>
      <c r="G468" s="374"/>
      <c r="H468" s="373"/>
      <c r="I468" s="8"/>
      <c r="J468" s="8"/>
      <c r="K468" s="8"/>
      <c r="L468" s="4"/>
      <c r="M468" s="4"/>
      <c r="N468" s="4"/>
      <c r="O468" s="4"/>
      <c r="P468" s="4"/>
    </row>
    <row r="469" spans="1:16" ht="20.25" customHeight="1">
      <c r="A469" s="373"/>
      <c r="B469" s="4"/>
      <c r="C469" s="4"/>
      <c r="D469" s="4"/>
      <c r="E469" s="374"/>
      <c r="F469" s="803"/>
      <c r="G469" s="374"/>
      <c r="H469" s="373"/>
      <c r="I469" s="8"/>
      <c r="J469" s="8"/>
      <c r="K469" s="8"/>
      <c r="L469" s="4"/>
      <c r="M469" s="4"/>
      <c r="N469" s="4"/>
      <c r="O469" s="4"/>
      <c r="P469" s="4"/>
    </row>
    <row r="470" spans="1:16" ht="20.25" customHeight="1">
      <c r="A470" s="373"/>
      <c r="B470" s="4"/>
      <c r="C470" s="4"/>
      <c r="D470" s="4"/>
      <c r="E470" s="374"/>
      <c r="F470" s="803"/>
      <c r="G470" s="374"/>
      <c r="H470" s="373"/>
      <c r="I470" s="8"/>
      <c r="J470" s="8"/>
      <c r="K470" s="8"/>
      <c r="L470" s="4"/>
      <c r="M470" s="4"/>
      <c r="N470" s="4"/>
      <c r="O470" s="4"/>
      <c r="P470" s="4"/>
    </row>
    <row r="471" spans="1:16" ht="20.25" customHeight="1">
      <c r="A471" s="4"/>
      <c r="B471" s="3" t="s">
        <v>373</v>
      </c>
      <c r="C471" s="4"/>
      <c r="D471" s="4"/>
      <c r="E471" s="374"/>
      <c r="F471" s="803"/>
      <c r="G471" s="374"/>
      <c r="H471" s="373"/>
      <c r="I471" s="8"/>
      <c r="J471" s="8"/>
      <c r="K471" s="8"/>
      <c r="L471" s="4"/>
      <c r="M471" s="4"/>
      <c r="N471" s="4"/>
      <c r="O471" s="4"/>
      <c r="P471" s="4"/>
    </row>
    <row r="472" spans="1:16" ht="20.25" customHeight="1">
      <c r="A472" s="4"/>
      <c r="B472" s="4" t="s">
        <v>374</v>
      </c>
      <c r="C472" s="4"/>
      <c r="D472" s="8" t="e">
        <f>+#REF!</f>
        <v>#REF!</v>
      </c>
      <c r="E472" s="374"/>
      <c r="F472" s="803"/>
      <c r="G472" s="374"/>
      <c r="H472" s="373"/>
      <c r="I472" s="8"/>
      <c r="J472" s="8"/>
      <c r="K472" s="8"/>
      <c r="L472" s="4"/>
      <c r="M472" s="4"/>
      <c r="N472" s="4"/>
      <c r="O472" s="4"/>
      <c r="P472" s="4"/>
    </row>
    <row r="473" spans="1:16" ht="20.25" customHeight="1">
      <c r="A473" s="4"/>
      <c r="B473" s="4" t="s">
        <v>375</v>
      </c>
      <c r="C473" s="4"/>
      <c r="D473" s="8" t="e">
        <f>+#REF!</f>
        <v>#REF!</v>
      </c>
      <c r="E473" s="374"/>
      <c r="F473" s="803"/>
      <c r="G473" s="374"/>
      <c r="H473" s="373"/>
      <c r="I473" s="8"/>
      <c r="J473" s="8"/>
      <c r="K473" s="8"/>
      <c r="L473" s="4"/>
      <c r="M473" s="4"/>
      <c r="N473" s="4"/>
      <c r="O473" s="4"/>
      <c r="P473" s="4"/>
    </row>
    <row r="474" spans="1:16" ht="20.25" customHeight="1">
      <c r="A474" s="4"/>
      <c r="B474" s="4" t="s">
        <v>376</v>
      </c>
      <c r="C474" s="4"/>
      <c r="D474" s="8" t="e">
        <f>+#REF!+#REF!+#REF!+#REF!+#REF!+#REF!+#REF!</f>
        <v>#REF!</v>
      </c>
      <c r="E474" s="374"/>
      <c r="F474" s="803"/>
      <c r="G474" s="374"/>
      <c r="H474" s="373"/>
      <c r="I474" s="8"/>
      <c r="J474" s="8"/>
      <c r="K474" s="8"/>
      <c r="L474" s="4"/>
      <c r="M474" s="4"/>
      <c r="N474" s="4"/>
      <c r="O474" s="4"/>
      <c r="P474" s="4"/>
    </row>
    <row r="475" spans="1:16" ht="20.25" customHeight="1">
      <c r="A475" s="4"/>
      <c r="B475" s="4" t="s">
        <v>377</v>
      </c>
      <c r="C475" s="4"/>
      <c r="D475" s="8" t="e">
        <f>+#REF!+#REF!+#REF!+#REF!+#REF!+#REF!+#REF!+#REF!+#REF!+#REF!+#REF!+#REF!+#REF!+#REF!</f>
        <v>#REF!</v>
      </c>
      <c r="E475" s="374"/>
      <c r="F475" s="803"/>
      <c r="G475" s="374"/>
      <c r="H475" s="373"/>
      <c r="I475" s="8"/>
      <c r="J475" s="8"/>
      <c r="K475" s="8"/>
      <c r="L475" s="4"/>
      <c r="M475" s="4"/>
      <c r="N475" s="4"/>
      <c r="O475" s="4"/>
      <c r="P475" s="4"/>
    </row>
    <row r="476" spans="1:16" ht="20.25" customHeight="1">
      <c r="A476" s="4"/>
      <c r="B476" s="4" t="s">
        <v>378</v>
      </c>
      <c r="C476" s="4"/>
      <c r="D476" s="8" t="e">
        <f>+#REF!+#REF!+#REF!+#REF!+#REF!+#REF!+#REF!</f>
        <v>#REF!</v>
      </c>
      <c r="E476" s="374"/>
      <c r="F476" s="803"/>
      <c r="G476" s="374"/>
      <c r="H476" s="373"/>
      <c r="I476" s="8"/>
      <c r="J476" s="8"/>
      <c r="K476" s="8"/>
      <c r="L476" s="4"/>
      <c r="M476" s="4"/>
      <c r="N476" s="4"/>
      <c r="O476" s="4"/>
      <c r="P476" s="4"/>
    </row>
    <row r="477" spans="1:16" ht="20.25" customHeight="1">
      <c r="A477" s="4"/>
      <c r="B477" s="4" t="s">
        <v>379</v>
      </c>
      <c r="C477" s="4"/>
      <c r="D477" s="8" t="e">
        <f>+#REF!+#REF!</f>
        <v>#REF!</v>
      </c>
      <c r="E477" s="374"/>
      <c r="F477" s="803"/>
      <c r="G477" s="374"/>
      <c r="H477" s="373"/>
      <c r="I477" s="8"/>
      <c r="J477" s="8"/>
      <c r="K477" s="8"/>
      <c r="L477" s="4"/>
      <c r="M477" s="4"/>
      <c r="N477" s="4"/>
      <c r="O477" s="4"/>
      <c r="P477" s="4"/>
    </row>
    <row r="478" spans="1:16" ht="20.25" customHeight="1">
      <c r="A478" s="4"/>
      <c r="B478" s="4" t="s">
        <v>380</v>
      </c>
      <c r="C478" s="4"/>
      <c r="D478" s="8" t="e">
        <f>SUM(D471:D477)</f>
        <v>#REF!</v>
      </c>
      <c r="E478" s="374"/>
      <c r="F478" s="803"/>
      <c r="G478" s="374"/>
      <c r="H478" s="373"/>
      <c r="I478" s="8"/>
      <c r="J478" s="8"/>
      <c r="K478" s="8"/>
      <c r="L478" s="4"/>
      <c r="M478" s="4"/>
      <c r="N478" s="4"/>
      <c r="O478" s="4"/>
      <c r="P478" s="4"/>
    </row>
    <row r="479" spans="1:16" ht="20.25" customHeight="1">
      <c r="A479" s="4"/>
      <c r="B479" s="4" t="s">
        <v>367</v>
      </c>
      <c r="C479" s="4"/>
      <c r="D479" s="8" t="e">
        <f>+D478*10/100</f>
        <v>#REF!</v>
      </c>
      <c r="E479" s="374"/>
      <c r="F479" s="803"/>
      <c r="G479" s="374"/>
      <c r="H479" s="373"/>
      <c r="I479" s="8"/>
      <c r="J479" s="8"/>
      <c r="K479" s="8"/>
      <c r="L479" s="4"/>
      <c r="M479" s="4"/>
      <c r="N479" s="4"/>
      <c r="O479" s="4"/>
      <c r="P479" s="4"/>
    </row>
    <row r="480" spans="1:16" ht="20.25" customHeight="1">
      <c r="A480" s="4"/>
      <c r="B480" s="4" t="s">
        <v>381</v>
      </c>
      <c r="C480" s="4"/>
      <c r="D480" s="8" t="e">
        <f t="shared" ref="D480:D482" si="36">+#REF!</f>
        <v>#REF!</v>
      </c>
      <c r="E480" s="374"/>
      <c r="F480" s="803"/>
      <c r="G480" s="374"/>
      <c r="H480" s="373"/>
      <c r="I480" s="8"/>
      <c r="J480" s="8"/>
      <c r="K480" s="8"/>
      <c r="L480" s="4"/>
      <c r="M480" s="4"/>
      <c r="N480" s="4"/>
      <c r="O480" s="4"/>
      <c r="P480" s="4"/>
    </row>
    <row r="481" spans="1:16" ht="20.25" customHeight="1">
      <c r="A481" s="4"/>
      <c r="B481" s="4" t="s">
        <v>382</v>
      </c>
      <c r="C481" s="4"/>
      <c r="D481" s="8" t="e">
        <f t="shared" si="36"/>
        <v>#REF!</v>
      </c>
      <c r="E481" s="374"/>
      <c r="F481" s="803"/>
      <c r="G481" s="374"/>
      <c r="H481" s="373"/>
      <c r="I481" s="8"/>
      <c r="J481" s="8"/>
      <c r="K481" s="8"/>
      <c r="L481" s="4"/>
      <c r="M481" s="4"/>
      <c r="N481" s="4"/>
      <c r="O481" s="4"/>
      <c r="P481" s="4"/>
    </row>
    <row r="482" spans="1:16" ht="20.25" customHeight="1">
      <c r="A482" s="4"/>
      <c r="B482" s="4" t="s">
        <v>383</v>
      </c>
      <c r="C482" s="4"/>
      <c r="D482" s="8" t="e">
        <f t="shared" si="36"/>
        <v>#REF!</v>
      </c>
      <c r="E482" s="374"/>
      <c r="F482" s="803"/>
      <c r="G482" s="374"/>
      <c r="H482" s="373"/>
      <c r="I482" s="8"/>
      <c r="J482" s="8"/>
      <c r="K482" s="8"/>
      <c r="L482" s="4"/>
      <c r="M482" s="4"/>
      <c r="N482" s="4"/>
      <c r="O482" s="4"/>
      <c r="P482" s="4"/>
    </row>
    <row r="483" spans="1:16" ht="20.25" customHeight="1">
      <c r="A483" s="4"/>
      <c r="B483" s="4" t="s">
        <v>380</v>
      </c>
      <c r="C483" s="4"/>
      <c r="D483" s="8" t="e">
        <f>SUM(D478:D482)</f>
        <v>#REF!</v>
      </c>
      <c r="E483" s="373"/>
      <c r="F483" s="803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ht="20.25" customHeight="1">
      <c r="A484" s="373"/>
      <c r="B484" s="4"/>
      <c r="C484" s="4"/>
      <c r="D484" s="4"/>
      <c r="E484" s="374"/>
      <c r="F484" s="803"/>
      <c r="G484" s="374"/>
      <c r="H484" s="373"/>
      <c r="I484" s="8"/>
      <c r="J484" s="8"/>
      <c r="K484" s="8"/>
      <c r="L484" s="4"/>
      <c r="M484" s="4"/>
      <c r="N484" s="4"/>
      <c r="O484" s="4"/>
      <c r="P484" s="4"/>
    </row>
    <row r="485" spans="1:16" ht="20.25" customHeight="1">
      <c r="A485" s="373"/>
      <c r="B485" s="4"/>
      <c r="C485" s="4"/>
      <c r="D485" s="4"/>
      <c r="E485" s="374"/>
      <c r="F485" s="803"/>
      <c r="G485" s="374"/>
      <c r="H485" s="373"/>
      <c r="I485" s="8"/>
      <c r="J485" s="8"/>
      <c r="K485" s="8"/>
      <c r="L485" s="4"/>
      <c r="M485" s="4"/>
      <c r="N485" s="4"/>
      <c r="O485" s="4"/>
      <c r="P485" s="4"/>
    </row>
    <row r="486" spans="1:16" ht="20.25" customHeight="1">
      <c r="A486" s="373"/>
      <c r="B486" s="4"/>
      <c r="C486" s="4"/>
      <c r="D486" s="4"/>
      <c r="E486" s="374"/>
      <c r="F486" s="803"/>
      <c r="G486" s="374"/>
      <c r="H486" s="373"/>
      <c r="I486" s="8"/>
      <c r="J486" s="8"/>
      <c r="K486" s="8"/>
      <c r="L486" s="4"/>
      <c r="M486" s="4"/>
      <c r="N486" s="4"/>
      <c r="O486" s="4"/>
      <c r="P486" s="4"/>
    </row>
    <row r="487" spans="1:16" ht="20.25" customHeight="1">
      <c r="A487" s="373"/>
      <c r="B487" s="4"/>
      <c r="C487" s="4"/>
      <c r="D487" s="4"/>
      <c r="E487" s="374"/>
      <c r="F487" s="803"/>
      <c r="G487" s="374"/>
      <c r="H487" s="373"/>
      <c r="I487" s="8"/>
      <c r="J487" s="8"/>
      <c r="K487" s="8"/>
      <c r="L487" s="4"/>
      <c r="M487" s="4"/>
      <c r="N487" s="4"/>
      <c r="O487" s="4"/>
      <c r="P487" s="4"/>
    </row>
    <row r="488" spans="1:16" ht="20.25" customHeight="1">
      <c r="A488" s="373"/>
      <c r="B488" s="4"/>
      <c r="C488" s="4"/>
      <c r="D488" s="4"/>
      <c r="E488" s="374"/>
      <c r="F488" s="803"/>
      <c r="G488" s="374"/>
      <c r="H488" s="373"/>
      <c r="I488" s="8"/>
      <c r="J488" s="8"/>
      <c r="K488" s="8"/>
      <c r="L488" s="4"/>
      <c r="M488" s="4"/>
      <c r="N488" s="4"/>
      <c r="O488" s="4"/>
      <c r="P488" s="4"/>
    </row>
    <row r="489" spans="1:16" ht="20.25" customHeight="1">
      <c r="A489" s="373"/>
      <c r="B489" s="4"/>
      <c r="C489" s="4"/>
      <c r="D489" s="4"/>
      <c r="E489" s="374"/>
      <c r="F489" s="803"/>
      <c r="G489" s="374"/>
      <c r="H489" s="373"/>
      <c r="I489" s="8"/>
      <c r="J489" s="8"/>
      <c r="K489" s="8"/>
      <c r="L489" s="4"/>
      <c r="M489" s="4"/>
      <c r="N489" s="4"/>
      <c r="O489" s="4"/>
      <c r="P489" s="4"/>
    </row>
    <row r="490" spans="1:16" ht="20.25" customHeight="1">
      <c r="A490" s="373"/>
      <c r="B490" s="4"/>
      <c r="C490" s="4"/>
      <c r="D490" s="4"/>
      <c r="E490" s="374"/>
      <c r="F490" s="803"/>
      <c r="G490" s="374"/>
      <c r="H490" s="373"/>
      <c r="I490" s="8"/>
      <c r="J490" s="8"/>
      <c r="K490" s="8"/>
      <c r="L490" s="4"/>
      <c r="M490" s="4"/>
      <c r="N490" s="4"/>
      <c r="O490" s="4"/>
      <c r="P490" s="4"/>
    </row>
    <row r="491" spans="1:16" ht="20.25" customHeight="1">
      <c r="A491" s="373"/>
      <c r="B491" s="4"/>
      <c r="C491" s="4"/>
      <c r="D491" s="4"/>
      <c r="E491" s="374"/>
      <c r="F491" s="803"/>
      <c r="G491" s="374"/>
      <c r="H491" s="373"/>
      <c r="I491" s="8"/>
      <c r="J491" s="8"/>
      <c r="K491" s="8"/>
      <c r="L491" s="4"/>
      <c r="M491" s="4"/>
      <c r="N491" s="4"/>
      <c r="O491" s="4"/>
      <c r="P491" s="4"/>
    </row>
    <row r="492" spans="1:16" ht="20.25" customHeight="1">
      <c r="A492" s="373"/>
      <c r="B492" s="4"/>
      <c r="C492" s="4"/>
      <c r="D492" s="4"/>
      <c r="E492" s="374"/>
      <c r="F492" s="803"/>
      <c r="G492" s="374"/>
      <c r="H492" s="373"/>
      <c r="I492" s="8"/>
      <c r="J492" s="8"/>
      <c r="K492" s="8"/>
      <c r="L492" s="4"/>
      <c r="M492" s="4"/>
      <c r="N492" s="4"/>
      <c r="O492" s="4"/>
      <c r="P492" s="4"/>
    </row>
    <row r="493" spans="1:16" ht="20.25" customHeight="1">
      <c r="A493" s="373"/>
      <c r="B493" s="4"/>
      <c r="C493" s="4"/>
      <c r="D493" s="4"/>
      <c r="E493" s="374"/>
      <c r="F493" s="803"/>
      <c r="G493" s="374"/>
      <c r="H493" s="373"/>
      <c r="I493" s="8"/>
      <c r="J493" s="8"/>
      <c r="K493" s="8"/>
      <c r="L493" s="4"/>
      <c r="M493" s="4"/>
      <c r="N493" s="4"/>
      <c r="O493" s="4"/>
      <c r="P493" s="4"/>
    </row>
    <row r="494" spans="1:16" ht="20.25" customHeight="1">
      <c r="A494" s="373"/>
      <c r="B494" s="4"/>
      <c r="C494" s="4"/>
      <c r="D494" s="4"/>
      <c r="E494" s="374"/>
      <c r="F494" s="803"/>
      <c r="G494" s="374"/>
      <c r="H494" s="373"/>
      <c r="I494" s="8"/>
      <c r="J494" s="8"/>
      <c r="K494" s="8"/>
      <c r="L494" s="4"/>
      <c r="M494" s="4"/>
      <c r="N494" s="4"/>
      <c r="O494" s="4"/>
      <c r="P494" s="4"/>
    </row>
    <row r="495" spans="1:16" ht="20.25" customHeight="1">
      <c r="A495" s="373"/>
      <c r="B495" s="4"/>
      <c r="C495" s="4"/>
      <c r="D495" s="4"/>
      <c r="E495" s="374"/>
      <c r="F495" s="803"/>
      <c r="G495" s="374"/>
      <c r="H495" s="373"/>
      <c r="I495" s="8"/>
      <c r="J495" s="8"/>
      <c r="K495" s="8"/>
      <c r="L495" s="4"/>
      <c r="M495" s="4"/>
      <c r="N495" s="4"/>
      <c r="O495" s="4"/>
      <c r="P495" s="4"/>
    </row>
    <row r="496" spans="1:16" ht="20.25" customHeight="1">
      <c r="A496" s="373"/>
      <c r="B496" s="4"/>
      <c r="C496" s="4"/>
      <c r="D496" s="4"/>
      <c r="E496" s="374"/>
      <c r="F496" s="803"/>
      <c r="G496" s="374"/>
      <c r="H496" s="373"/>
      <c r="I496" s="8"/>
      <c r="J496" s="8"/>
      <c r="K496" s="8"/>
      <c r="L496" s="4"/>
      <c r="M496" s="4"/>
      <c r="N496" s="4"/>
      <c r="O496" s="4"/>
      <c r="P496" s="4"/>
    </row>
    <row r="497" spans="1:16" ht="20.25" customHeight="1">
      <c r="A497" s="373"/>
      <c r="B497" s="4"/>
      <c r="C497" s="4"/>
      <c r="D497" s="4"/>
      <c r="E497" s="374"/>
      <c r="F497" s="803"/>
      <c r="G497" s="374"/>
      <c r="H497" s="373"/>
      <c r="I497" s="8"/>
      <c r="J497" s="8"/>
      <c r="K497" s="8"/>
      <c r="L497" s="4"/>
      <c r="M497" s="4"/>
      <c r="N497" s="4"/>
      <c r="O497" s="4"/>
      <c r="P497" s="4"/>
    </row>
    <row r="498" spans="1:16" ht="20.25" customHeight="1">
      <c r="A498" s="373"/>
      <c r="B498" s="4"/>
      <c r="C498" s="4"/>
      <c r="D498" s="4"/>
      <c r="E498" s="374"/>
      <c r="F498" s="803"/>
      <c r="G498" s="374"/>
      <c r="H498" s="373"/>
      <c r="I498" s="8"/>
      <c r="J498" s="8"/>
      <c r="K498" s="8"/>
      <c r="L498" s="4"/>
      <c r="M498" s="4"/>
      <c r="N498" s="4"/>
      <c r="O498" s="4"/>
      <c r="P498" s="4"/>
    </row>
    <row r="499" spans="1:16" ht="20.25" customHeight="1">
      <c r="A499" s="373"/>
      <c r="B499" s="4"/>
      <c r="C499" s="4"/>
      <c r="D499" s="4"/>
      <c r="E499" s="374"/>
      <c r="F499" s="803"/>
      <c r="G499" s="374"/>
      <c r="H499" s="373"/>
      <c r="I499" s="8"/>
      <c r="J499" s="8"/>
      <c r="K499" s="8"/>
      <c r="L499" s="4"/>
      <c r="M499" s="4"/>
      <c r="N499" s="4"/>
      <c r="O499" s="4"/>
      <c r="P499" s="4"/>
    </row>
    <row r="500" spans="1:16" ht="20.25" customHeight="1">
      <c r="A500" s="373"/>
      <c r="B500" s="4"/>
      <c r="C500" s="4"/>
      <c r="D500" s="4"/>
      <c r="E500" s="374"/>
      <c r="F500" s="803"/>
      <c r="G500" s="374"/>
      <c r="H500" s="373"/>
      <c r="I500" s="8"/>
      <c r="J500" s="8"/>
      <c r="K500" s="8"/>
      <c r="L500" s="4"/>
      <c r="M500" s="4"/>
      <c r="N500" s="4"/>
      <c r="O500" s="4"/>
      <c r="P500" s="4"/>
    </row>
    <row r="501" spans="1:16" ht="20.25" customHeight="1">
      <c r="A501" s="373"/>
      <c r="B501" s="4"/>
      <c r="C501" s="4"/>
      <c r="D501" s="4"/>
      <c r="E501" s="374"/>
      <c r="F501" s="803"/>
      <c r="G501" s="374"/>
      <c r="H501" s="373"/>
      <c r="I501" s="8"/>
      <c r="J501" s="8"/>
      <c r="K501" s="8"/>
      <c r="L501" s="4"/>
      <c r="M501" s="4"/>
      <c r="N501" s="4"/>
      <c r="O501" s="4"/>
      <c r="P501" s="4"/>
    </row>
    <row r="502" spans="1:16" ht="20.25" customHeight="1">
      <c r="A502" s="373"/>
      <c r="B502" s="4"/>
      <c r="C502" s="4"/>
      <c r="D502" s="4"/>
      <c r="E502" s="374"/>
      <c r="F502" s="803"/>
      <c r="G502" s="374"/>
      <c r="H502" s="373"/>
      <c r="I502" s="8"/>
      <c r="J502" s="8"/>
      <c r="K502" s="8"/>
      <c r="L502" s="4"/>
      <c r="M502" s="4"/>
      <c r="N502" s="4"/>
      <c r="O502" s="4"/>
      <c r="P502" s="4"/>
    </row>
    <row r="503" spans="1:16" ht="20.25" customHeight="1">
      <c r="A503" s="373"/>
      <c r="B503" s="4"/>
      <c r="C503" s="4"/>
      <c r="D503" s="4"/>
      <c r="E503" s="374"/>
      <c r="F503" s="803"/>
      <c r="G503" s="374"/>
      <c r="H503" s="373"/>
      <c r="I503" s="8"/>
      <c r="J503" s="8"/>
      <c r="K503" s="8"/>
      <c r="L503" s="4"/>
      <c r="M503" s="4"/>
      <c r="N503" s="4"/>
      <c r="O503" s="4"/>
      <c r="P503" s="4"/>
    </row>
    <row r="504" spans="1:16" ht="20.25" customHeight="1">
      <c r="A504" s="373"/>
      <c r="B504" s="4"/>
      <c r="C504" s="4"/>
      <c r="D504" s="4"/>
      <c r="E504" s="374"/>
      <c r="F504" s="803"/>
      <c r="G504" s="374"/>
      <c r="H504" s="373"/>
      <c r="I504" s="8"/>
      <c r="J504" s="8"/>
      <c r="K504" s="8"/>
      <c r="L504" s="4"/>
      <c r="M504" s="4"/>
      <c r="N504" s="4"/>
      <c r="O504" s="4"/>
      <c r="P504" s="4"/>
    </row>
    <row r="505" spans="1:16" ht="20.25" customHeight="1">
      <c r="A505" s="373"/>
      <c r="B505" s="4"/>
      <c r="C505" s="4"/>
      <c r="D505" s="4"/>
      <c r="E505" s="374"/>
      <c r="F505" s="803"/>
      <c r="G505" s="374"/>
      <c r="H505" s="373"/>
      <c r="I505" s="8"/>
      <c r="J505" s="8"/>
      <c r="K505" s="8"/>
      <c r="L505" s="4"/>
      <c r="M505" s="4"/>
      <c r="N505" s="4"/>
      <c r="O505" s="4"/>
      <c r="P505" s="4"/>
    </row>
    <row r="506" spans="1:16" ht="20.25" customHeight="1">
      <c r="A506" s="373"/>
      <c r="B506" s="4"/>
      <c r="C506" s="4"/>
      <c r="D506" s="4"/>
      <c r="E506" s="374"/>
      <c r="F506" s="803"/>
      <c r="G506" s="374"/>
      <c r="H506" s="373"/>
      <c r="I506" s="8"/>
      <c r="J506" s="8"/>
      <c r="K506" s="8"/>
      <c r="L506" s="4"/>
      <c r="M506" s="4"/>
      <c r="N506" s="4"/>
      <c r="O506" s="4"/>
      <c r="P506" s="4"/>
    </row>
    <row r="507" spans="1:16" ht="20.25" customHeight="1">
      <c r="A507" s="373"/>
      <c r="B507" s="4"/>
      <c r="C507" s="4"/>
      <c r="D507" s="4"/>
      <c r="E507" s="374"/>
      <c r="F507" s="803"/>
      <c r="G507" s="374"/>
      <c r="H507" s="373"/>
      <c r="I507" s="8"/>
      <c r="J507" s="8"/>
      <c r="K507" s="8"/>
      <c r="L507" s="4"/>
      <c r="M507" s="4"/>
      <c r="N507" s="4"/>
      <c r="O507" s="4"/>
      <c r="P507" s="4"/>
    </row>
    <row r="508" spans="1:16" ht="20.25" customHeight="1">
      <c r="A508" s="373"/>
      <c r="B508" s="4"/>
      <c r="C508" s="4"/>
      <c r="D508" s="4"/>
      <c r="E508" s="374"/>
      <c r="F508" s="803"/>
      <c r="G508" s="374"/>
      <c r="H508" s="373"/>
      <c r="I508" s="8"/>
      <c r="J508" s="8"/>
      <c r="K508" s="8"/>
      <c r="L508" s="4"/>
      <c r="M508" s="4"/>
      <c r="N508" s="4"/>
      <c r="O508" s="4"/>
      <c r="P508" s="4"/>
    </row>
    <row r="509" spans="1:16" ht="20.25" customHeight="1">
      <c r="A509" s="373"/>
      <c r="B509" s="4"/>
      <c r="C509" s="4"/>
      <c r="D509" s="4"/>
      <c r="E509" s="374"/>
      <c r="F509" s="803"/>
      <c r="G509" s="374"/>
      <c r="H509" s="373"/>
      <c r="I509" s="8"/>
      <c r="J509" s="8"/>
      <c r="K509" s="8"/>
      <c r="L509" s="4"/>
      <c r="M509" s="4"/>
      <c r="N509" s="4"/>
      <c r="O509" s="4"/>
      <c r="P509" s="4"/>
    </row>
    <row r="510" spans="1:16" ht="20.25" customHeight="1">
      <c r="A510" s="373"/>
      <c r="B510" s="4"/>
      <c r="C510" s="4"/>
      <c r="D510" s="4"/>
      <c r="E510" s="374"/>
      <c r="F510" s="803"/>
      <c r="G510" s="374"/>
      <c r="H510" s="373"/>
      <c r="I510" s="8"/>
      <c r="J510" s="8"/>
      <c r="K510" s="8"/>
      <c r="L510" s="4"/>
      <c r="M510" s="4"/>
      <c r="N510" s="4"/>
      <c r="O510" s="4"/>
      <c r="P510" s="4"/>
    </row>
    <row r="511" spans="1:16" ht="20.25" customHeight="1">
      <c r="A511" s="373"/>
      <c r="B511" s="4"/>
      <c r="C511" s="4"/>
      <c r="D511" s="4"/>
      <c r="E511" s="374"/>
      <c r="F511" s="803"/>
      <c r="G511" s="374"/>
      <c r="H511" s="373"/>
      <c r="I511" s="8"/>
      <c r="J511" s="8"/>
      <c r="K511" s="8"/>
      <c r="L511" s="4"/>
      <c r="M511" s="4"/>
      <c r="N511" s="4"/>
      <c r="O511" s="4"/>
      <c r="P511" s="4"/>
    </row>
    <row r="512" spans="1:16" ht="20.25" customHeight="1">
      <c r="A512" s="373"/>
      <c r="B512" s="4"/>
      <c r="C512" s="4"/>
      <c r="D512" s="4"/>
      <c r="E512" s="374"/>
      <c r="F512" s="803"/>
      <c r="G512" s="374"/>
      <c r="H512" s="373"/>
      <c r="I512" s="8"/>
      <c r="J512" s="8"/>
      <c r="K512" s="8"/>
      <c r="L512" s="4"/>
      <c r="M512" s="4"/>
      <c r="N512" s="4"/>
      <c r="O512" s="4"/>
      <c r="P512" s="4"/>
    </row>
    <row r="513" spans="1:16" ht="20.25" customHeight="1">
      <c r="A513" s="373"/>
      <c r="B513" s="4"/>
      <c r="C513" s="4"/>
      <c r="D513" s="4"/>
      <c r="E513" s="374"/>
      <c r="F513" s="803"/>
      <c r="G513" s="374"/>
      <c r="H513" s="373"/>
      <c r="I513" s="8"/>
      <c r="J513" s="8"/>
      <c r="K513" s="8"/>
      <c r="L513" s="4"/>
      <c r="M513" s="4"/>
      <c r="N513" s="4"/>
      <c r="O513" s="4"/>
      <c r="P513" s="4"/>
    </row>
    <row r="514" spans="1:16" ht="20.25" customHeight="1">
      <c r="A514" s="373"/>
      <c r="B514" s="4"/>
      <c r="C514" s="4"/>
      <c r="D514" s="4"/>
      <c r="E514" s="374"/>
      <c r="F514" s="803"/>
      <c r="G514" s="374"/>
      <c r="H514" s="373"/>
      <c r="I514" s="8"/>
      <c r="J514" s="8"/>
      <c r="K514" s="8"/>
      <c r="L514" s="4"/>
      <c r="M514" s="4"/>
      <c r="N514" s="4"/>
      <c r="O514" s="4"/>
      <c r="P514" s="4"/>
    </row>
    <row r="515" spans="1:16" ht="20.25" customHeight="1">
      <c r="A515" s="373"/>
      <c r="B515" s="4"/>
      <c r="C515" s="4"/>
      <c r="D515" s="4"/>
      <c r="E515" s="374"/>
      <c r="F515" s="803"/>
      <c r="G515" s="374"/>
      <c r="H515" s="373"/>
      <c r="I515" s="8"/>
      <c r="J515" s="8"/>
      <c r="K515" s="8"/>
      <c r="L515" s="4"/>
      <c r="M515" s="4"/>
      <c r="N515" s="4"/>
      <c r="O515" s="4"/>
      <c r="P515" s="4"/>
    </row>
    <row r="516" spans="1:16" ht="20.25" customHeight="1">
      <c r="A516" s="373"/>
      <c r="B516" s="4"/>
      <c r="C516" s="4"/>
      <c r="D516" s="4"/>
      <c r="E516" s="374"/>
      <c r="F516" s="803"/>
      <c r="G516" s="374"/>
      <c r="H516" s="373"/>
      <c r="I516" s="8"/>
      <c r="J516" s="8"/>
      <c r="K516" s="8"/>
      <c r="L516" s="4"/>
      <c r="M516" s="4"/>
      <c r="N516" s="4"/>
      <c r="O516" s="4"/>
      <c r="P516" s="4"/>
    </row>
    <row r="517" spans="1:16" ht="20.25" customHeight="1">
      <c r="A517" s="373"/>
      <c r="B517" s="4"/>
      <c r="C517" s="4"/>
      <c r="D517" s="4"/>
      <c r="E517" s="374"/>
      <c r="F517" s="803"/>
      <c r="G517" s="374"/>
      <c r="H517" s="373"/>
      <c r="I517" s="8"/>
      <c r="J517" s="8"/>
      <c r="K517" s="8"/>
      <c r="L517" s="4"/>
      <c r="M517" s="4"/>
      <c r="N517" s="4"/>
      <c r="O517" s="4"/>
      <c r="P517" s="4"/>
    </row>
    <row r="518" spans="1:16" ht="20.25" customHeight="1">
      <c r="A518" s="373"/>
      <c r="B518" s="4"/>
      <c r="C518" s="4"/>
      <c r="D518" s="4"/>
      <c r="E518" s="374"/>
      <c r="F518" s="803"/>
      <c r="G518" s="374"/>
      <c r="H518" s="373"/>
      <c r="I518" s="8"/>
      <c r="J518" s="8"/>
      <c r="K518" s="8"/>
      <c r="L518" s="4"/>
      <c r="M518" s="4"/>
      <c r="N518" s="4"/>
      <c r="O518" s="4"/>
      <c r="P518" s="4"/>
    </row>
    <row r="519" spans="1:16" ht="20.25" customHeight="1">
      <c r="A519" s="373"/>
      <c r="B519" s="4"/>
      <c r="C519" s="4"/>
      <c r="D519" s="4"/>
      <c r="E519" s="374"/>
      <c r="F519" s="803"/>
      <c r="G519" s="374"/>
      <c r="H519" s="373"/>
      <c r="I519" s="8"/>
      <c r="J519" s="8"/>
      <c r="K519" s="8"/>
      <c r="L519" s="4"/>
      <c r="M519" s="4"/>
      <c r="N519" s="4"/>
      <c r="O519" s="4"/>
      <c r="P519" s="4"/>
    </row>
    <row r="520" spans="1:16" ht="20.25" customHeight="1">
      <c r="A520" s="373"/>
      <c r="B520" s="4"/>
      <c r="C520" s="4"/>
      <c r="D520" s="4"/>
      <c r="E520" s="374"/>
      <c r="F520" s="803"/>
      <c r="G520" s="374"/>
      <c r="H520" s="373"/>
      <c r="I520" s="8"/>
      <c r="J520" s="8"/>
      <c r="K520" s="8"/>
      <c r="L520" s="4"/>
      <c r="M520" s="4"/>
      <c r="N520" s="4"/>
      <c r="O520" s="4"/>
      <c r="P520" s="4"/>
    </row>
    <row r="521" spans="1:16" ht="20.25" customHeight="1">
      <c r="A521" s="373"/>
      <c r="B521" s="4"/>
      <c r="C521" s="4"/>
      <c r="D521" s="4"/>
      <c r="E521" s="374"/>
      <c r="F521" s="803"/>
      <c r="G521" s="374"/>
      <c r="H521" s="373"/>
      <c r="I521" s="8"/>
      <c r="J521" s="8"/>
      <c r="K521" s="8"/>
      <c r="L521" s="4"/>
      <c r="M521" s="4"/>
      <c r="N521" s="4"/>
      <c r="O521" s="4"/>
      <c r="P521" s="4"/>
    </row>
    <row r="522" spans="1:16" ht="20.25" customHeight="1">
      <c r="A522" s="373"/>
      <c r="B522" s="4"/>
      <c r="C522" s="4"/>
      <c r="D522" s="4"/>
      <c r="E522" s="374"/>
      <c r="F522" s="803"/>
      <c r="G522" s="374"/>
      <c r="H522" s="373"/>
      <c r="I522" s="8"/>
      <c r="J522" s="8"/>
      <c r="K522" s="8"/>
      <c r="L522" s="4"/>
      <c r="M522" s="4"/>
      <c r="N522" s="4"/>
      <c r="O522" s="4"/>
      <c r="P522" s="4"/>
    </row>
    <row r="523" spans="1:16" ht="20.25" customHeight="1">
      <c r="A523" s="373"/>
      <c r="B523" s="4"/>
      <c r="C523" s="4"/>
      <c r="D523" s="4"/>
      <c r="E523" s="374"/>
      <c r="F523" s="803"/>
      <c r="G523" s="374"/>
      <c r="H523" s="373"/>
      <c r="I523" s="8"/>
      <c r="J523" s="8"/>
      <c r="K523" s="8"/>
      <c r="L523" s="4"/>
      <c r="M523" s="4"/>
      <c r="N523" s="4"/>
      <c r="O523" s="4"/>
      <c r="P523" s="4"/>
    </row>
    <row r="524" spans="1:16" ht="20.25" customHeight="1">
      <c r="A524" s="373"/>
      <c r="B524" s="4"/>
      <c r="C524" s="4"/>
      <c r="D524" s="4"/>
      <c r="E524" s="374"/>
      <c r="F524" s="803"/>
      <c r="G524" s="374"/>
      <c r="H524" s="373"/>
      <c r="I524" s="8"/>
      <c r="J524" s="8"/>
      <c r="K524" s="8"/>
      <c r="L524" s="4"/>
      <c r="M524" s="4"/>
      <c r="N524" s="4"/>
      <c r="O524" s="4"/>
      <c r="P524" s="4"/>
    </row>
    <row r="525" spans="1:16" ht="20.25" customHeight="1">
      <c r="A525" s="373"/>
      <c r="B525" s="4"/>
      <c r="C525" s="4"/>
      <c r="D525" s="4"/>
      <c r="E525" s="374"/>
      <c r="F525" s="803"/>
      <c r="G525" s="374"/>
      <c r="H525" s="373"/>
      <c r="I525" s="8"/>
      <c r="J525" s="8"/>
      <c r="K525" s="8"/>
      <c r="L525" s="4"/>
      <c r="M525" s="4"/>
      <c r="N525" s="4"/>
      <c r="O525" s="4"/>
      <c r="P525" s="4"/>
    </row>
    <row r="526" spans="1:16" ht="20.25" customHeight="1">
      <c r="A526" s="373"/>
      <c r="B526" s="4"/>
      <c r="C526" s="4"/>
      <c r="D526" s="4"/>
      <c r="E526" s="374"/>
      <c r="F526" s="803"/>
      <c r="G526" s="374"/>
      <c r="H526" s="373"/>
      <c r="I526" s="8"/>
      <c r="J526" s="8"/>
      <c r="K526" s="8"/>
      <c r="L526" s="4"/>
      <c r="M526" s="4"/>
      <c r="N526" s="4"/>
      <c r="O526" s="4"/>
      <c r="P526" s="4"/>
    </row>
    <row r="527" spans="1:16" ht="20.25" customHeight="1">
      <c r="A527" s="373"/>
      <c r="B527" s="4"/>
      <c r="C527" s="4"/>
      <c r="D527" s="4"/>
      <c r="E527" s="374"/>
      <c r="F527" s="803"/>
      <c r="G527" s="374"/>
      <c r="H527" s="373"/>
      <c r="I527" s="8"/>
      <c r="J527" s="8"/>
      <c r="K527" s="8"/>
      <c r="L527" s="4"/>
      <c r="M527" s="4"/>
      <c r="N527" s="4"/>
      <c r="O527" s="4"/>
      <c r="P527" s="4"/>
    </row>
    <row r="528" spans="1:16" ht="20.25" customHeight="1">
      <c r="A528" s="373"/>
      <c r="B528" s="4"/>
      <c r="C528" s="4"/>
      <c r="D528" s="4"/>
      <c r="E528" s="374"/>
      <c r="F528" s="803"/>
      <c r="G528" s="374"/>
      <c r="H528" s="373"/>
      <c r="I528" s="8"/>
      <c r="J528" s="8"/>
      <c r="K528" s="8"/>
      <c r="L528" s="4"/>
      <c r="M528" s="4"/>
      <c r="N528" s="4"/>
      <c r="O528" s="4"/>
      <c r="P528" s="4"/>
    </row>
    <row r="529" spans="1:16" ht="20.25" customHeight="1">
      <c r="A529" s="373"/>
      <c r="B529" s="4"/>
      <c r="C529" s="4"/>
      <c r="D529" s="4"/>
      <c r="E529" s="374"/>
      <c r="F529" s="803"/>
      <c r="G529" s="374"/>
      <c r="H529" s="373"/>
      <c r="I529" s="8"/>
      <c r="J529" s="8"/>
      <c r="K529" s="8"/>
      <c r="L529" s="4"/>
      <c r="M529" s="4"/>
      <c r="N529" s="4"/>
      <c r="O529" s="4"/>
      <c r="P529" s="4"/>
    </row>
    <row r="530" spans="1:16" ht="20.25" customHeight="1">
      <c r="A530" s="373"/>
      <c r="B530" s="4"/>
      <c r="C530" s="4"/>
      <c r="D530" s="4"/>
      <c r="E530" s="374"/>
      <c r="F530" s="803"/>
      <c r="G530" s="374"/>
      <c r="H530" s="373"/>
      <c r="I530" s="8"/>
      <c r="J530" s="8"/>
      <c r="K530" s="8"/>
      <c r="L530" s="4"/>
      <c r="M530" s="4"/>
      <c r="N530" s="4"/>
      <c r="O530" s="4"/>
      <c r="P530" s="4"/>
    </row>
    <row r="531" spans="1:16" ht="20.25" customHeight="1">
      <c r="A531" s="373"/>
      <c r="B531" s="4"/>
      <c r="C531" s="4"/>
      <c r="D531" s="4"/>
      <c r="E531" s="374"/>
      <c r="F531" s="803"/>
      <c r="G531" s="374"/>
      <c r="H531" s="373"/>
      <c r="I531" s="8"/>
      <c r="J531" s="8"/>
      <c r="K531" s="8"/>
      <c r="L531" s="4"/>
      <c r="M531" s="4"/>
      <c r="N531" s="4"/>
      <c r="O531" s="4"/>
      <c r="P531" s="4"/>
    </row>
    <row r="532" spans="1:16" ht="20.25" customHeight="1">
      <c r="A532" s="373"/>
      <c r="B532" s="4"/>
      <c r="C532" s="4"/>
      <c r="D532" s="4"/>
      <c r="E532" s="374"/>
      <c r="F532" s="803"/>
      <c r="G532" s="374"/>
      <c r="H532" s="373"/>
      <c r="I532" s="8"/>
      <c r="J532" s="8"/>
      <c r="K532" s="8"/>
      <c r="L532" s="4"/>
      <c r="M532" s="4"/>
      <c r="N532" s="4"/>
      <c r="O532" s="4"/>
      <c r="P532" s="4"/>
    </row>
    <row r="533" spans="1:16" ht="20.25" customHeight="1">
      <c r="A533" s="373"/>
      <c r="B533" s="4"/>
      <c r="C533" s="4"/>
      <c r="D533" s="4"/>
      <c r="E533" s="374"/>
      <c r="F533" s="803"/>
      <c r="G533" s="374"/>
      <c r="H533" s="373"/>
      <c r="I533" s="8"/>
      <c r="J533" s="8"/>
      <c r="K533" s="8"/>
      <c r="L533" s="4"/>
      <c r="M533" s="4"/>
      <c r="N533" s="4"/>
      <c r="O533" s="4"/>
      <c r="P533" s="4"/>
    </row>
    <row r="534" spans="1:16" ht="20.25" customHeight="1">
      <c r="A534" s="373"/>
      <c r="B534" s="4"/>
      <c r="C534" s="4"/>
      <c r="D534" s="4"/>
      <c r="E534" s="374"/>
      <c r="F534" s="803"/>
      <c r="G534" s="374"/>
      <c r="H534" s="373"/>
      <c r="I534" s="8"/>
      <c r="J534" s="8"/>
      <c r="K534" s="8"/>
      <c r="L534" s="4"/>
      <c r="M534" s="4"/>
      <c r="N534" s="4"/>
      <c r="O534" s="4"/>
      <c r="P534" s="4"/>
    </row>
    <row r="535" spans="1:16" ht="20.25" customHeight="1">
      <c r="A535" s="373"/>
      <c r="B535" s="4"/>
      <c r="C535" s="4"/>
      <c r="D535" s="4"/>
      <c r="E535" s="374"/>
      <c r="F535" s="803"/>
      <c r="G535" s="374"/>
      <c r="H535" s="373"/>
      <c r="I535" s="8"/>
      <c r="J535" s="8"/>
      <c r="K535" s="8"/>
      <c r="L535" s="4"/>
      <c r="M535" s="4"/>
      <c r="N535" s="4"/>
      <c r="O535" s="4"/>
      <c r="P535" s="4"/>
    </row>
    <row r="536" spans="1:16" ht="20.25" customHeight="1">
      <c r="A536" s="373"/>
      <c r="B536" s="4"/>
      <c r="C536" s="4"/>
      <c r="D536" s="4"/>
      <c r="E536" s="374"/>
      <c r="F536" s="803"/>
      <c r="G536" s="374"/>
      <c r="H536" s="373"/>
      <c r="I536" s="8"/>
      <c r="J536" s="8"/>
      <c r="K536" s="8"/>
      <c r="L536" s="4"/>
      <c r="M536" s="4"/>
      <c r="N536" s="4"/>
      <c r="O536" s="4"/>
      <c r="P536" s="4"/>
    </row>
    <row r="537" spans="1:16" ht="20.25" customHeight="1">
      <c r="A537" s="373"/>
      <c r="B537" s="4"/>
      <c r="C537" s="4"/>
      <c r="D537" s="4"/>
      <c r="E537" s="374"/>
      <c r="F537" s="803"/>
      <c r="G537" s="374"/>
      <c r="H537" s="373"/>
      <c r="I537" s="8"/>
      <c r="J537" s="8"/>
      <c r="K537" s="8"/>
      <c r="L537" s="4"/>
      <c r="M537" s="4"/>
      <c r="N537" s="4"/>
      <c r="O537" s="4"/>
      <c r="P537" s="4"/>
    </row>
    <row r="538" spans="1:16" ht="20.25" customHeight="1">
      <c r="A538" s="373"/>
      <c r="B538" s="4"/>
      <c r="C538" s="4"/>
      <c r="D538" s="4"/>
      <c r="E538" s="374"/>
      <c r="F538" s="803"/>
      <c r="G538" s="374"/>
      <c r="H538" s="373"/>
      <c r="I538" s="8"/>
      <c r="J538" s="8"/>
      <c r="K538" s="8"/>
      <c r="L538" s="4"/>
      <c r="M538" s="4"/>
      <c r="N538" s="4"/>
      <c r="O538" s="4"/>
      <c r="P538" s="4"/>
    </row>
    <row r="539" spans="1:16" ht="20.25" customHeight="1">
      <c r="A539" s="373"/>
      <c r="B539" s="4"/>
      <c r="C539" s="4"/>
      <c r="D539" s="4"/>
      <c r="E539" s="374"/>
      <c r="F539" s="803"/>
      <c r="G539" s="374"/>
      <c r="H539" s="373"/>
      <c r="I539" s="8"/>
      <c r="J539" s="8"/>
      <c r="K539" s="8"/>
      <c r="L539" s="4"/>
      <c r="M539" s="4"/>
      <c r="N539" s="4"/>
      <c r="O539" s="4"/>
      <c r="P539" s="4"/>
    </row>
    <row r="540" spans="1:16" ht="20.25" customHeight="1">
      <c r="A540" s="373"/>
      <c r="B540" s="4"/>
      <c r="C540" s="4"/>
      <c r="D540" s="4"/>
      <c r="E540" s="374"/>
      <c r="F540" s="803"/>
      <c r="G540" s="374"/>
      <c r="H540" s="373"/>
      <c r="I540" s="8"/>
      <c r="J540" s="8"/>
      <c r="K540" s="8"/>
      <c r="L540" s="4"/>
      <c r="M540" s="4"/>
      <c r="N540" s="4"/>
      <c r="O540" s="4"/>
      <c r="P540" s="4"/>
    </row>
    <row r="541" spans="1:16" ht="20.25" customHeight="1">
      <c r="A541" s="373"/>
      <c r="B541" s="4"/>
      <c r="C541" s="4"/>
      <c r="D541" s="4"/>
      <c r="E541" s="374"/>
      <c r="F541" s="803"/>
      <c r="G541" s="374"/>
      <c r="H541" s="373"/>
      <c r="I541" s="8"/>
      <c r="J541" s="8"/>
      <c r="K541" s="8"/>
      <c r="L541" s="4"/>
      <c r="M541" s="4"/>
      <c r="N541" s="4"/>
      <c r="O541" s="4"/>
      <c r="P541" s="4"/>
    </row>
    <row r="542" spans="1:16" ht="20.25" customHeight="1">
      <c r="A542" s="373"/>
      <c r="B542" s="4"/>
      <c r="C542" s="4"/>
      <c r="D542" s="4"/>
      <c r="E542" s="374"/>
      <c r="F542" s="803"/>
      <c r="G542" s="374"/>
      <c r="H542" s="373"/>
      <c r="I542" s="8"/>
      <c r="J542" s="8"/>
      <c r="K542" s="8"/>
      <c r="L542" s="4"/>
      <c r="M542" s="4"/>
      <c r="N542" s="4"/>
      <c r="O542" s="4"/>
      <c r="P542" s="4"/>
    </row>
    <row r="543" spans="1:16" ht="20.25" customHeight="1">
      <c r="A543" s="373"/>
      <c r="B543" s="4"/>
      <c r="C543" s="4"/>
      <c r="D543" s="4"/>
      <c r="E543" s="374"/>
      <c r="F543" s="803"/>
      <c r="G543" s="374"/>
      <c r="H543" s="373"/>
      <c r="I543" s="8"/>
      <c r="J543" s="8"/>
      <c r="K543" s="8"/>
      <c r="L543" s="4"/>
      <c r="M543" s="4"/>
      <c r="N543" s="4"/>
      <c r="O543" s="4"/>
      <c r="P543" s="4"/>
    </row>
    <row r="544" spans="1:16" ht="20.25" customHeight="1">
      <c r="A544" s="373"/>
      <c r="B544" s="4"/>
      <c r="C544" s="4"/>
      <c r="D544" s="4"/>
      <c r="E544" s="374"/>
      <c r="F544" s="803"/>
      <c r="G544" s="374"/>
      <c r="H544" s="373"/>
      <c r="I544" s="8"/>
      <c r="J544" s="8"/>
      <c r="K544" s="8"/>
      <c r="L544" s="4"/>
      <c r="M544" s="4"/>
      <c r="N544" s="4"/>
      <c r="O544" s="4"/>
      <c r="P544" s="4"/>
    </row>
    <row r="545" spans="1:16" ht="20.25" customHeight="1">
      <c r="A545" s="373"/>
      <c r="B545" s="4"/>
      <c r="C545" s="4"/>
      <c r="D545" s="4"/>
      <c r="E545" s="374"/>
      <c r="F545" s="803"/>
      <c r="G545" s="374"/>
      <c r="H545" s="373"/>
      <c r="I545" s="8"/>
      <c r="J545" s="8"/>
      <c r="K545" s="8"/>
      <c r="L545" s="4"/>
      <c r="M545" s="4"/>
      <c r="N545" s="4"/>
      <c r="O545" s="4"/>
      <c r="P545" s="4"/>
    </row>
    <row r="546" spans="1:16" ht="20.25" customHeight="1">
      <c r="A546" s="373"/>
      <c r="B546" s="4"/>
      <c r="C546" s="4"/>
      <c r="D546" s="4"/>
      <c r="E546" s="374"/>
      <c r="F546" s="803"/>
      <c r="G546" s="374"/>
      <c r="H546" s="373"/>
      <c r="I546" s="8"/>
      <c r="J546" s="8"/>
      <c r="K546" s="8"/>
      <c r="L546" s="4"/>
      <c r="M546" s="4"/>
      <c r="N546" s="4"/>
      <c r="O546" s="4"/>
      <c r="P546" s="4"/>
    </row>
    <row r="547" spans="1:16" ht="20.25" customHeight="1">
      <c r="A547" s="373"/>
      <c r="B547" s="4"/>
      <c r="C547" s="4"/>
      <c r="D547" s="4"/>
      <c r="E547" s="374"/>
      <c r="F547" s="803"/>
      <c r="G547" s="374"/>
      <c r="H547" s="373"/>
      <c r="I547" s="8"/>
      <c r="J547" s="8"/>
      <c r="K547" s="8"/>
      <c r="L547" s="4"/>
      <c r="M547" s="4"/>
      <c r="N547" s="4"/>
      <c r="O547" s="4"/>
      <c r="P547" s="4"/>
    </row>
    <row r="548" spans="1:16" ht="20.25" customHeight="1">
      <c r="A548" s="373"/>
      <c r="B548" s="4"/>
      <c r="C548" s="4"/>
      <c r="D548" s="4"/>
      <c r="E548" s="374"/>
      <c r="F548" s="803"/>
      <c r="G548" s="374"/>
      <c r="H548" s="373"/>
      <c r="I548" s="8"/>
      <c r="J548" s="8"/>
      <c r="K548" s="8"/>
      <c r="L548" s="4"/>
      <c r="M548" s="4"/>
      <c r="N548" s="4"/>
      <c r="O548" s="4"/>
      <c r="P548" s="4"/>
    </row>
    <row r="549" spans="1:16" ht="20.25" customHeight="1">
      <c r="A549" s="373"/>
      <c r="B549" s="4"/>
      <c r="C549" s="4"/>
      <c r="D549" s="4"/>
      <c r="E549" s="374"/>
      <c r="F549" s="803"/>
      <c r="G549" s="374"/>
      <c r="H549" s="373"/>
      <c r="I549" s="8"/>
      <c r="J549" s="8"/>
      <c r="K549" s="8"/>
      <c r="L549" s="4"/>
      <c r="M549" s="4"/>
      <c r="N549" s="4"/>
      <c r="O549" s="4"/>
      <c r="P549" s="4"/>
    </row>
    <row r="550" spans="1:16" ht="20.25" customHeight="1">
      <c r="A550" s="373"/>
      <c r="B550" s="4"/>
      <c r="C550" s="4"/>
      <c r="D550" s="4"/>
      <c r="E550" s="374"/>
      <c r="F550" s="803"/>
      <c r="G550" s="374"/>
      <c r="H550" s="373"/>
      <c r="I550" s="8"/>
      <c r="J550" s="8"/>
      <c r="K550" s="8"/>
      <c r="L550" s="4"/>
      <c r="M550" s="4"/>
      <c r="N550" s="4"/>
      <c r="O550" s="4"/>
      <c r="P550" s="4"/>
    </row>
    <row r="551" spans="1:16" ht="20.25" customHeight="1">
      <c r="A551" s="373"/>
      <c r="B551" s="4"/>
      <c r="C551" s="4"/>
      <c r="D551" s="4"/>
      <c r="E551" s="374"/>
      <c r="F551" s="803"/>
      <c r="G551" s="374"/>
      <c r="H551" s="373"/>
      <c r="I551" s="8"/>
      <c r="J551" s="8"/>
      <c r="K551" s="8"/>
      <c r="L551" s="4"/>
      <c r="M551" s="4"/>
      <c r="N551" s="4"/>
      <c r="O551" s="4"/>
      <c r="P551" s="4"/>
    </row>
    <row r="552" spans="1:16" ht="20.25" customHeight="1">
      <c r="A552" s="373"/>
      <c r="B552" s="4"/>
      <c r="C552" s="4"/>
      <c r="D552" s="4"/>
      <c r="E552" s="374"/>
      <c r="F552" s="803"/>
      <c r="G552" s="374"/>
      <c r="H552" s="373"/>
      <c r="I552" s="8"/>
      <c r="J552" s="8"/>
      <c r="K552" s="8"/>
      <c r="L552" s="4"/>
      <c r="M552" s="4"/>
      <c r="N552" s="4"/>
      <c r="O552" s="4"/>
      <c r="P552" s="4"/>
    </row>
    <row r="553" spans="1:16" ht="20.25" customHeight="1">
      <c r="A553" s="373"/>
      <c r="B553" s="4"/>
      <c r="C553" s="4"/>
      <c r="D553" s="4"/>
      <c r="E553" s="374"/>
      <c r="F553" s="803"/>
      <c r="G553" s="374"/>
      <c r="H553" s="373"/>
      <c r="I553" s="8"/>
      <c r="J553" s="8"/>
      <c r="K553" s="8"/>
      <c r="L553" s="4"/>
      <c r="M553" s="4"/>
      <c r="N553" s="4"/>
      <c r="O553" s="4"/>
      <c r="P553" s="4"/>
    </row>
    <row r="554" spans="1:16" ht="20.25" customHeight="1">
      <c r="A554" s="373"/>
      <c r="B554" s="4"/>
      <c r="C554" s="4"/>
      <c r="D554" s="4"/>
      <c r="E554" s="374"/>
      <c r="F554" s="803"/>
      <c r="G554" s="374"/>
      <c r="H554" s="373"/>
      <c r="I554" s="8"/>
      <c r="J554" s="8"/>
      <c r="K554" s="8"/>
      <c r="L554" s="4"/>
      <c r="M554" s="4"/>
      <c r="N554" s="4"/>
      <c r="O554" s="4"/>
      <c r="P554" s="4"/>
    </row>
    <row r="555" spans="1:16" ht="20.25" customHeight="1">
      <c r="A555" s="373"/>
      <c r="B555" s="4"/>
      <c r="C555" s="4"/>
      <c r="D555" s="4"/>
      <c r="E555" s="374"/>
      <c r="F555" s="803"/>
      <c r="G555" s="374"/>
      <c r="H555" s="373"/>
      <c r="I555" s="8"/>
      <c r="J555" s="8"/>
      <c r="K555" s="8"/>
      <c r="L555" s="4"/>
      <c r="M555" s="4"/>
      <c r="N555" s="4"/>
      <c r="O555" s="4"/>
      <c r="P555" s="4"/>
    </row>
    <row r="556" spans="1:16" ht="20.25" customHeight="1">
      <c r="A556" s="373"/>
      <c r="B556" s="4"/>
      <c r="C556" s="4"/>
      <c r="D556" s="4"/>
      <c r="E556" s="374"/>
      <c r="F556" s="803"/>
      <c r="G556" s="374"/>
      <c r="H556" s="373"/>
      <c r="I556" s="8"/>
      <c r="J556" s="8"/>
      <c r="K556" s="8"/>
      <c r="L556" s="4"/>
      <c r="M556" s="4"/>
      <c r="N556" s="4"/>
      <c r="O556" s="4"/>
      <c r="P556" s="4"/>
    </row>
    <row r="557" spans="1:16" ht="20.25" customHeight="1">
      <c r="A557" s="373"/>
      <c r="B557" s="4"/>
      <c r="C557" s="4"/>
      <c r="D557" s="4"/>
      <c r="E557" s="374"/>
      <c r="F557" s="803"/>
      <c r="G557" s="374"/>
      <c r="H557" s="373"/>
      <c r="I557" s="8"/>
      <c r="J557" s="8"/>
      <c r="K557" s="8"/>
      <c r="L557" s="4"/>
      <c r="M557" s="4"/>
      <c r="N557" s="4"/>
      <c r="O557" s="4"/>
      <c r="P557" s="4"/>
    </row>
    <row r="558" spans="1:16" ht="20.25" customHeight="1">
      <c r="A558" s="373"/>
      <c r="B558" s="4"/>
      <c r="C558" s="4"/>
      <c r="D558" s="4"/>
      <c r="E558" s="374"/>
      <c r="F558" s="803"/>
      <c r="G558" s="374"/>
      <c r="H558" s="373"/>
      <c r="I558" s="8"/>
      <c r="J558" s="8"/>
      <c r="K558" s="8"/>
      <c r="L558" s="4"/>
      <c r="M558" s="4"/>
      <c r="N558" s="4"/>
      <c r="O558" s="4"/>
      <c r="P558" s="4"/>
    </row>
    <row r="559" spans="1:16" ht="20.25" customHeight="1">
      <c r="A559" s="373"/>
      <c r="B559" s="4"/>
      <c r="C559" s="4"/>
      <c r="D559" s="4"/>
      <c r="E559" s="374"/>
      <c r="F559" s="803"/>
      <c r="G559" s="374"/>
      <c r="H559" s="373"/>
      <c r="I559" s="8"/>
      <c r="J559" s="8"/>
      <c r="K559" s="8"/>
      <c r="L559" s="4"/>
      <c r="M559" s="4"/>
      <c r="N559" s="4"/>
      <c r="O559" s="4"/>
      <c r="P559" s="4"/>
    </row>
    <row r="560" spans="1:16" ht="20.25" customHeight="1">
      <c r="A560" s="373"/>
      <c r="B560" s="4"/>
      <c r="C560" s="4"/>
      <c r="D560" s="4"/>
      <c r="E560" s="374"/>
      <c r="F560" s="803"/>
      <c r="G560" s="374"/>
      <c r="H560" s="373"/>
      <c r="I560" s="8"/>
      <c r="J560" s="8"/>
      <c r="K560" s="8"/>
      <c r="L560" s="4"/>
      <c r="M560" s="4"/>
      <c r="N560" s="4"/>
      <c r="O560" s="4"/>
      <c r="P560" s="4"/>
    </row>
    <row r="561" spans="1:16" ht="20.25" customHeight="1">
      <c r="A561" s="373"/>
      <c r="B561" s="4"/>
      <c r="C561" s="4"/>
      <c r="D561" s="4"/>
      <c r="E561" s="374"/>
      <c r="F561" s="803"/>
      <c r="G561" s="374"/>
      <c r="H561" s="373"/>
      <c r="I561" s="8"/>
      <c r="J561" s="8"/>
      <c r="K561" s="8"/>
      <c r="L561" s="4"/>
      <c r="M561" s="4"/>
      <c r="N561" s="4"/>
      <c r="O561" s="4"/>
      <c r="P561" s="4"/>
    </row>
    <row r="562" spans="1:16" ht="20.25" customHeight="1">
      <c r="A562" s="373"/>
      <c r="B562" s="4"/>
      <c r="C562" s="4"/>
      <c r="D562" s="4"/>
      <c r="E562" s="374"/>
      <c r="F562" s="803"/>
      <c r="G562" s="374"/>
      <c r="H562" s="373"/>
      <c r="I562" s="8"/>
      <c r="J562" s="8"/>
      <c r="K562" s="8"/>
      <c r="L562" s="4"/>
      <c r="M562" s="4"/>
      <c r="N562" s="4"/>
      <c r="O562" s="4"/>
      <c r="P562" s="4"/>
    </row>
    <row r="563" spans="1:16" ht="20.25" customHeight="1">
      <c r="A563" s="373"/>
      <c r="B563" s="4"/>
      <c r="C563" s="4"/>
      <c r="D563" s="4"/>
      <c r="E563" s="374"/>
      <c r="F563" s="803"/>
      <c r="G563" s="374"/>
      <c r="H563" s="373"/>
      <c r="I563" s="8"/>
      <c r="J563" s="8"/>
      <c r="K563" s="8"/>
      <c r="L563" s="4"/>
      <c r="M563" s="4"/>
      <c r="N563" s="4"/>
      <c r="O563" s="4"/>
      <c r="P563" s="4"/>
    </row>
    <row r="564" spans="1:16" ht="20.25" customHeight="1">
      <c r="A564" s="373"/>
      <c r="B564" s="4"/>
      <c r="C564" s="4"/>
      <c r="D564" s="4"/>
      <c r="E564" s="374"/>
      <c r="F564" s="803"/>
      <c r="G564" s="374"/>
      <c r="H564" s="373"/>
      <c r="I564" s="8"/>
      <c r="J564" s="8"/>
      <c r="K564" s="8"/>
      <c r="L564" s="4"/>
      <c r="M564" s="4"/>
      <c r="N564" s="4"/>
      <c r="O564" s="4"/>
      <c r="P564" s="4"/>
    </row>
    <row r="565" spans="1:16" ht="20.25" customHeight="1">
      <c r="A565" s="373"/>
      <c r="B565" s="4"/>
      <c r="C565" s="4"/>
      <c r="D565" s="4"/>
      <c r="E565" s="374"/>
      <c r="F565" s="803"/>
      <c r="G565" s="374"/>
      <c r="H565" s="373"/>
      <c r="I565" s="8"/>
      <c r="J565" s="8"/>
      <c r="K565" s="8"/>
      <c r="L565" s="4"/>
      <c r="M565" s="4"/>
      <c r="N565" s="4"/>
      <c r="O565" s="4"/>
      <c r="P565" s="4"/>
    </row>
    <row r="566" spans="1:16" ht="20.25" customHeight="1">
      <c r="A566" s="373"/>
      <c r="B566" s="4"/>
      <c r="C566" s="4"/>
      <c r="D566" s="4"/>
      <c r="E566" s="374"/>
      <c r="F566" s="803"/>
      <c r="G566" s="374"/>
      <c r="H566" s="373"/>
      <c r="I566" s="8"/>
      <c r="J566" s="8"/>
      <c r="K566" s="8"/>
      <c r="L566" s="4"/>
      <c r="M566" s="4"/>
      <c r="N566" s="4"/>
      <c r="O566" s="4"/>
      <c r="P566" s="4"/>
    </row>
    <row r="567" spans="1:16" ht="20.25" customHeight="1">
      <c r="A567" s="373"/>
      <c r="B567" s="4"/>
      <c r="C567" s="4"/>
      <c r="D567" s="4"/>
      <c r="E567" s="374"/>
      <c r="F567" s="803"/>
      <c r="G567" s="374"/>
      <c r="H567" s="373"/>
      <c r="I567" s="8"/>
      <c r="J567" s="8"/>
      <c r="K567" s="8"/>
      <c r="L567" s="4"/>
      <c r="M567" s="4"/>
      <c r="N567" s="4"/>
      <c r="O567" s="4"/>
      <c r="P567" s="4"/>
    </row>
    <row r="568" spans="1:16" ht="20.25" customHeight="1">
      <c r="A568" s="373"/>
      <c r="B568" s="4"/>
      <c r="C568" s="4"/>
      <c r="D568" s="4"/>
      <c r="E568" s="374"/>
      <c r="F568" s="803"/>
      <c r="G568" s="374"/>
      <c r="H568" s="373"/>
      <c r="I568" s="8"/>
      <c r="J568" s="8"/>
      <c r="K568" s="8"/>
      <c r="L568" s="4"/>
      <c r="M568" s="4"/>
      <c r="N568" s="4"/>
      <c r="O568" s="4"/>
      <c r="P568" s="4"/>
    </row>
    <row r="569" spans="1:16" ht="20.25" customHeight="1">
      <c r="A569" s="373"/>
      <c r="B569" s="4"/>
      <c r="C569" s="4"/>
      <c r="D569" s="4"/>
      <c r="E569" s="374"/>
      <c r="F569" s="803"/>
      <c r="G569" s="374"/>
      <c r="H569" s="373"/>
      <c r="I569" s="8"/>
      <c r="J569" s="8"/>
      <c r="K569" s="8"/>
      <c r="L569" s="4"/>
      <c r="M569" s="4"/>
      <c r="N569" s="4"/>
      <c r="O569" s="4"/>
      <c r="P569" s="4"/>
    </row>
    <row r="570" spans="1:16" ht="20.25" customHeight="1">
      <c r="A570" s="373"/>
      <c r="B570" s="4"/>
      <c r="C570" s="4"/>
      <c r="D570" s="4"/>
      <c r="E570" s="374"/>
      <c r="F570" s="803"/>
      <c r="G570" s="374"/>
      <c r="H570" s="373"/>
      <c r="I570" s="8"/>
      <c r="J570" s="8"/>
      <c r="K570" s="8"/>
      <c r="L570" s="4"/>
      <c r="M570" s="4"/>
      <c r="N570" s="4"/>
      <c r="O570" s="4"/>
      <c r="P570" s="4"/>
    </row>
    <row r="571" spans="1:16" ht="20.25" customHeight="1">
      <c r="A571" s="373"/>
      <c r="B571" s="4"/>
      <c r="C571" s="4"/>
      <c r="D571" s="4"/>
      <c r="E571" s="374"/>
      <c r="F571" s="803"/>
      <c r="G571" s="374"/>
      <c r="H571" s="373"/>
      <c r="I571" s="8"/>
      <c r="J571" s="8"/>
      <c r="K571" s="8"/>
      <c r="L571" s="4"/>
      <c r="M571" s="4"/>
      <c r="N571" s="4"/>
      <c r="O571" s="4"/>
      <c r="P571" s="4"/>
    </row>
    <row r="572" spans="1:16" ht="20.25" customHeight="1">
      <c r="A572" s="373"/>
      <c r="B572" s="4"/>
      <c r="C572" s="4"/>
      <c r="D572" s="4"/>
      <c r="E572" s="374"/>
      <c r="F572" s="803"/>
      <c r="G572" s="374"/>
      <c r="H572" s="373"/>
      <c r="I572" s="8"/>
      <c r="J572" s="8"/>
      <c r="K572" s="8"/>
      <c r="L572" s="4"/>
      <c r="M572" s="4"/>
      <c r="N572" s="4"/>
      <c r="O572" s="4"/>
      <c r="P572" s="4"/>
    </row>
    <row r="573" spans="1:16" ht="20.25" customHeight="1">
      <c r="A573" s="373"/>
      <c r="B573" s="4"/>
      <c r="C573" s="4"/>
      <c r="D573" s="4"/>
      <c r="E573" s="374"/>
      <c r="F573" s="803"/>
      <c r="G573" s="374"/>
      <c r="H573" s="373"/>
      <c r="I573" s="8"/>
      <c r="J573" s="8"/>
      <c r="K573" s="8"/>
      <c r="L573" s="4"/>
      <c r="M573" s="4"/>
      <c r="N573" s="4"/>
      <c r="O573" s="4"/>
      <c r="P573" s="4"/>
    </row>
    <row r="574" spans="1:16" ht="20.25" customHeight="1">
      <c r="A574" s="373"/>
      <c r="B574" s="4"/>
      <c r="C574" s="4"/>
      <c r="D574" s="4"/>
      <c r="E574" s="374"/>
      <c r="F574" s="803"/>
      <c r="G574" s="374"/>
      <c r="H574" s="373"/>
      <c r="I574" s="8"/>
      <c r="J574" s="8"/>
      <c r="K574" s="8"/>
      <c r="L574" s="4"/>
      <c r="M574" s="4"/>
      <c r="N574" s="4"/>
      <c r="O574" s="4"/>
      <c r="P574" s="4"/>
    </row>
    <row r="575" spans="1:16" ht="20.25" customHeight="1">
      <c r="A575" s="373"/>
      <c r="B575" s="4"/>
      <c r="C575" s="4"/>
      <c r="D575" s="4"/>
      <c r="E575" s="374"/>
      <c r="F575" s="803"/>
      <c r="G575" s="374"/>
      <c r="H575" s="373"/>
      <c r="I575" s="8"/>
      <c r="J575" s="8"/>
      <c r="K575" s="8"/>
      <c r="L575" s="4"/>
      <c r="M575" s="4"/>
      <c r="N575" s="4"/>
      <c r="O575" s="4"/>
      <c r="P575" s="4"/>
    </row>
    <row r="576" spans="1:16" ht="20.25" customHeight="1">
      <c r="A576" s="373"/>
      <c r="B576" s="4"/>
      <c r="C576" s="4"/>
      <c r="D576" s="4"/>
      <c r="E576" s="374"/>
      <c r="F576" s="803"/>
      <c r="G576" s="374"/>
      <c r="H576" s="373"/>
      <c r="I576" s="8"/>
      <c r="J576" s="8"/>
      <c r="K576" s="8"/>
      <c r="L576" s="4"/>
      <c r="M576" s="4"/>
      <c r="N576" s="4"/>
      <c r="O576" s="4"/>
      <c r="P576" s="4"/>
    </row>
    <row r="577" spans="1:16" ht="20.25" customHeight="1">
      <c r="A577" s="373"/>
      <c r="B577" s="4"/>
      <c r="C577" s="4"/>
      <c r="D577" s="4"/>
      <c r="E577" s="374"/>
      <c r="F577" s="803"/>
      <c r="G577" s="374"/>
      <c r="H577" s="373"/>
      <c r="I577" s="8"/>
      <c r="J577" s="8"/>
      <c r="K577" s="8"/>
      <c r="L577" s="4"/>
      <c r="M577" s="4"/>
      <c r="N577" s="4"/>
      <c r="O577" s="4"/>
      <c r="P577" s="4"/>
    </row>
    <row r="578" spans="1:16" ht="20.25" customHeight="1">
      <c r="A578" s="373"/>
      <c r="B578" s="4"/>
      <c r="C578" s="4"/>
      <c r="D578" s="4"/>
      <c r="E578" s="374"/>
      <c r="F578" s="803"/>
      <c r="G578" s="374"/>
      <c r="H578" s="373"/>
      <c r="I578" s="8"/>
      <c r="J578" s="8"/>
      <c r="K578" s="8"/>
      <c r="L578" s="4"/>
      <c r="M578" s="4"/>
      <c r="N578" s="4"/>
      <c r="O578" s="4"/>
      <c r="P578" s="4"/>
    </row>
    <row r="579" spans="1:16" ht="20.25" customHeight="1">
      <c r="A579" s="373"/>
      <c r="B579" s="4"/>
      <c r="C579" s="4"/>
      <c r="D579" s="4"/>
      <c r="E579" s="374"/>
      <c r="F579" s="803"/>
      <c r="G579" s="374"/>
      <c r="H579" s="373"/>
      <c r="I579" s="8"/>
      <c r="J579" s="8"/>
      <c r="K579" s="8"/>
      <c r="L579" s="4"/>
      <c r="M579" s="4"/>
      <c r="N579" s="4"/>
      <c r="O579" s="4"/>
      <c r="P579" s="4"/>
    </row>
    <row r="580" spans="1:16" ht="20.25" customHeight="1">
      <c r="A580" s="373"/>
      <c r="B580" s="4"/>
      <c r="C580" s="4"/>
      <c r="D580" s="4"/>
      <c r="E580" s="374"/>
      <c r="F580" s="803"/>
      <c r="G580" s="374"/>
      <c r="H580" s="373"/>
      <c r="I580" s="8"/>
      <c r="J580" s="8"/>
      <c r="K580" s="8"/>
      <c r="L580" s="4"/>
      <c r="M580" s="4"/>
      <c r="N580" s="4"/>
      <c r="O580" s="4"/>
      <c r="P580" s="4"/>
    </row>
    <row r="581" spans="1:16" ht="20.25" customHeight="1">
      <c r="A581" s="373"/>
      <c r="B581" s="4"/>
      <c r="C581" s="4"/>
      <c r="D581" s="4"/>
      <c r="E581" s="374"/>
      <c r="F581" s="803"/>
      <c r="G581" s="374"/>
      <c r="H581" s="373"/>
      <c r="I581" s="8"/>
      <c r="J581" s="8"/>
      <c r="K581" s="8"/>
      <c r="L581" s="4"/>
      <c r="M581" s="4"/>
      <c r="N581" s="4"/>
      <c r="O581" s="4"/>
      <c r="P581" s="4"/>
    </row>
    <row r="582" spans="1:16" ht="20.25" customHeight="1">
      <c r="A582" s="373"/>
      <c r="B582" s="4"/>
      <c r="C582" s="4"/>
      <c r="D582" s="4"/>
      <c r="E582" s="374"/>
      <c r="F582" s="803"/>
      <c r="G582" s="374"/>
      <c r="H582" s="373"/>
      <c r="I582" s="8"/>
      <c r="J582" s="8"/>
      <c r="K582" s="8"/>
      <c r="L582" s="4"/>
      <c r="M582" s="4"/>
      <c r="N582" s="4"/>
      <c r="O582" s="4"/>
      <c r="P582" s="4"/>
    </row>
    <row r="583" spans="1:16" ht="20.25" customHeight="1">
      <c r="A583" s="373"/>
      <c r="B583" s="4"/>
      <c r="C583" s="4"/>
      <c r="D583" s="4"/>
      <c r="E583" s="374"/>
      <c r="F583" s="803"/>
      <c r="G583" s="374"/>
      <c r="H583" s="373"/>
      <c r="I583" s="8"/>
      <c r="J583" s="8"/>
      <c r="K583" s="8"/>
      <c r="L583" s="4"/>
      <c r="M583" s="4"/>
      <c r="N583" s="4"/>
      <c r="O583" s="4"/>
      <c r="P583" s="4"/>
    </row>
    <row r="584" spans="1:16" ht="20.25" customHeight="1">
      <c r="A584" s="373"/>
      <c r="B584" s="4"/>
      <c r="C584" s="4"/>
      <c r="D584" s="4"/>
      <c r="E584" s="374"/>
      <c r="F584" s="803"/>
      <c r="G584" s="374"/>
      <c r="H584" s="373"/>
      <c r="I584" s="8"/>
      <c r="J584" s="8"/>
      <c r="K584" s="8"/>
      <c r="L584" s="4"/>
      <c r="M584" s="4"/>
      <c r="N584" s="4"/>
      <c r="O584" s="4"/>
      <c r="P584" s="4"/>
    </row>
    <row r="585" spans="1:16" ht="20.25" customHeight="1">
      <c r="A585" s="373"/>
      <c r="B585" s="4"/>
      <c r="C585" s="4"/>
      <c r="D585" s="4"/>
      <c r="E585" s="374"/>
      <c r="F585" s="803"/>
      <c r="G585" s="374"/>
      <c r="H585" s="373"/>
      <c r="I585" s="8"/>
      <c r="J585" s="8"/>
      <c r="K585" s="8"/>
      <c r="L585" s="4"/>
      <c r="M585" s="4"/>
      <c r="N585" s="4"/>
      <c r="O585" s="4"/>
      <c r="P585" s="4"/>
    </row>
    <row r="586" spans="1:16" ht="20.25" customHeight="1">
      <c r="A586" s="373"/>
      <c r="B586" s="4"/>
      <c r="C586" s="4"/>
      <c r="D586" s="4"/>
      <c r="E586" s="374"/>
      <c r="F586" s="803"/>
      <c r="G586" s="374"/>
      <c r="H586" s="373"/>
      <c r="I586" s="8"/>
      <c r="J586" s="8"/>
      <c r="K586" s="8"/>
      <c r="L586" s="4"/>
      <c r="M586" s="4"/>
      <c r="N586" s="4"/>
      <c r="O586" s="4"/>
      <c r="P586" s="4"/>
    </row>
    <row r="587" spans="1:16" ht="20.25" customHeight="1">
      <c r="A587" s="373"/>
      <c r="B587" s="4"/>
      <c r="C587" s="4"/>
      <c r="D587" s="4"/>
      <c r="E587" s="374"/>
      <c r="F587" s="803"/>
      <c r="G587" s="374"/>
      <c r="H587" s="373"/>
      <c r="I587" s="8"/>
      <c r="J587" s="8"/>
      <c r="K587" s="8"/>
      <c r="L587" s="4"/>
      <c r="M587" s="4"/>
      <c r="N587" s="4"/>
      <c r="O587" s="4"/>
      <c r="P587" s="4"/>
    </row>
    <row r="588" spans="1:16" ht="20.25" customHeight="1">
      <c r="A588" s="373"/>
      <c r="B588" s="4"/>
      <c r="C588" s="4"/>
      <c r="D588" s="4"/>
      <c r="E588" s="374"/>
      <c r="F588" s="803"/>
      <c r="G588" s="374"/>
      <c r="H588" s="373"/>
      <c r="I588" s="8"/>
      <c r="J588" s="8"/>
      <c r="K588" s="8"/>
      <c r="L588" s="4"/>
      <c r="M588" s="4"/>
      <c r="N588" s="4"/>
      <c r="O588" s="4"/>
      <c r="P588" s="4"/>
    </row>
    <row r="589" spans="1:16" ht="20.25" customHeight="1">
      <c r="A589" s="373"/>
      <c r="B589" s="4"/>
      <c r="C589" s="4"/>
      <c r="D589" s="4"/>
      <c r="E589" s="374"/>
      <c r="F589" s="803"/>
      <c r="G589" s="374"/>
      <c r="H589" s="373"/>
      <c r="I589" s="8"/>
      <c r="J589" s="8"/>
      <c r="K589" s="8"/>
      <c r="L589" s="4"/>
      <c r="M589" s="4"/>
      <c r="N589" s="4"/>
      <c r="O589" s="4"/>
      <c r="P589" s="4"/>
    </row>
    <row r="590" spans="1:16" ht="20.25" customHeight="1">
      <c r="A590" s="373"/>
      <c r="B590" s="4"/>
      <c r="C590" s="4"/>
      <c r="D590" s="4"/>
      <c r="E590" s="374"/>
      <c r="F590" s="803"/>
      <c r="G590" s="374"/>
      <c r="H590" s="373"/>
      <c r="I590" s="8"/>
      <c r="J590" s="8"/>
      <c r="K590" s="8"/>
      <c r="L590" s="4"/>
      <c r="M590" s="4"/>
      <c r="N590" s="4"/>
      <c r="O590" s="4"/>
      <c r="P590" s="4"/>
    </row>
    <row r="591" spans="1:16" ht="20.25" customHeight="1">
      <c r="A591" s="373"/>
      <c r="B591" s="4"/>
      <c r="C591" s="4"/>
      <c r="D591" s="4"/>
      <c r="E591" s="374"/>
      <c r="F591" s="803"/>
      <c r="G591" s="374"/>
      <c r="H591" s="373"/>
      <c r="I591" s="8"/>
      <c r="J591" s="8"/>
      <c r="K591" s="8"/>
      <c r="L591" s="4"/>
      <c r="M591" s="4"/>
      <c r="N591" s="4"/>
      <c r="O591" s="4"/>
      <c r="P591" s="4"/>
    </row>
    <row r="592" spans="1:16" ht="20.25" customHeight="1">
      <c r="A592" s="373"/>
      <c r="B592" s="4"/>
      <c r="C592" s="4"/>
      <c r="D592" s="4"/>
      <c r="E592" s="374"/>
      <c r="F592" s="803"/>
      <c r="G592" s="374"/>
      <c r="H592" s="373"/>
      <c r="I592" s="8"/>
      <c r="J592" s="8"/>
      <c r="K592" s="8"/>
      <c r="L592" s="4"/>
      <c r="M592" s="4"/>
      <c r="N592" s="4"/>
      <c r="O592" s="4"/>
      <c r="P592" s="4"/>
    </row>
    <row r="593" spans="1:16" ht="20.25" customHeight="1">
      <c r="A593" s="373"/>
      <c r="B593" s="4"/>
      <c r="C593" s="4"/>
      <c r="D593" s="4"/>
      <c r="E593" s="374"/>
      <c r="F593" s="803"/>
      <c r="G593" s="374"/>
      <c r="H593" s="373"/>
      <c r="I593" s="8"/>
      <c r="J593" s="8"/>
      <c r="K593" s="8"/>
      <c r="L593" s="4"/>
      <c r="M593" s="4"/>
      <c r="N593" s="4"/>
      <c r="O593" s="4"/>
      <c r="P593" s="4"/>
    </row>
    <row r="594" spans="1:16" ht="20.25" customHeight="1">
      <c r="A594" s="373"/>
      <c r="B594" s="4"/>
      <c r="C594" s="4"/>
      <c r="D594" s="4"/>
      <c r="E594" s="374"/>
      <c r="F594" s="803"/>
      <c r="G594" s="374"/>
      <c r="H594" s="373"/>
      <c r="I594" s="8"/>
      <c r="J594" s="8"/>
      <c r="K594" s="8"/>
      <c r="L594" s="4"/>
      <c r="M594" s="4"/>
      <c r="N594" s="4"/>
      <c r="O594" s="4"/>
      <c r="P594" s="4"/>
    </row>
    <row r="595" spans="1:16" ht="20.25" customHeight="1">
      <c r="A595" s="373"/>
      <c r="B595" s="4"/>
      <c r="C595" s="4"/>
      <c r="D595" s="4"/>
      <c r="E595" s="374"/>
      <c r="F595" s="803"/>
      <c r="G595" s="374"/>
      <c r="H595" s="373"/>
      <c r="I595" s="8"/>
      <c r="J595" s="8"/>
      <c r="K595" s="8"/>
      <c r="L595" s="4"/>
      <c r="M595" s="4"/>
      <c r="N595" s="4"/>
      <c r="O595" s="4"/>
      <c r="P595" s="4"/>
    </row>
    <row r="596" spans="1:16" ht="20.25" customHeight="1">
      <c r="A596" s="373"/>
      <c r="B596" s="4"/>
      <c r="C596" s="4"/>
      <c r="D596" s="4"/>
      <c r="E596" s="374"/>
      <c r="F596" s="803"/>
      <c r="G596" s="374"/>
      <c r="H596" s="373"/>
      <c r="I596" s="8"/>
      <c r="J596" s="8"/>
      <c r="K596" s="8"/>
      <c r="L596" s="4"/>
      <c r="M596" s="4"/>
      <c r="N596" s="4"/>
      <c r="O596" s="4"/>
      <c r="P596" s="4"/>
    </row>
    <row r="597" spans="1:16" ht="20.25" customHeight="1">
      <c r="A597" s="373"/>
      <c r="B597" s="4"/>
      <c r="C597" s="4"/>
      <c r="D597" s="4"/>
      <c r="E597" s="374"/>
      <c r="F597" s="803"/>
      <c r="G597" s="374"/>
      <c r="H597" s="373"/>
      <c r="I597" s="8"/>
      <c r="J597" s="8"/>
      <c r="K597" s="8"/>
      <c r="L597" s="4"/>
      <c r="M597" s="4"/>
      <c r="N597" s="4"/>
      <c r="O597" s="4"/>
      <c r="P597" s="4"/>
    </row>
    <row r="598" spans="1:16" ht="20.25" customHeight="1">
      <c r="A598" s="373"/>
      <c r="B598" s="4"/>
      <c r="C598" s="4"/>
      <c r="D598" s="4"/>
      <c r="E598" s="374"/>
      <c r="F598" s="803"/>
      <c r="G598" s="374"/>
      <c r="H598" s="373"/>
      <c r="I598" s="8"/>
      <c r="J598" s="8"/>
      <c r="K598" s="8"/>
      <c r="L598" s="4"/>
      <c r="M598" s="4"/>
      <c r="N598" s="4"/>
      <c r="O598" s="4"/>
      <c r="P598" s="4"/>
    </row>
    <row r="599" spans="1:16" ht="20.25" customHeight="1">
      <c r="A599" s="373"/>
      <c r="B599" s="4"/>
      <c r="C599" s="4"/>
      <c r="D599" s="4"/>
      <c r="E599" s="374"/>
      <c r="F599" s="803"/>
      <c r="G599" s="374"/>
      <c r="H599" s="373"/>
      <c r="I599" s="8"/>
      <c r="J599" s="8"/>
      <c r="K599" s="8"/>
      <c r="L599" s="4"/>
      <c r="M599" s="4"/>
      <c r="N599" s="4"/>
      <c r="O599" s="4"/>
      <c r="P599" s="4"/>
    </row>
    <row r="600" spans="1:16" ht="20.25" customHeight="1">
      <c r="A600" s="373"/>
      <c r="B600" s="4"/>
      <c r="C600" s="4"/>
      <c r="D600" s="4"/>
      <c r="E600" s="374"/>
      <c r="F600" s="803"/>
      <c r="G600" s="374"/>
      <c r="H600" s="373"/>
      <c r="I600" s="8"/>
      <c r="J600" s="8"/>
      <c r="K600" s="8"/>
      <c r="L600" s="4"/>
      <c r="M600" s="4"/>
      <c r="N600" s="4"/>
      <c r="O600" s="4"/>
      <c r="P600" s="4"/>
    </row>
    <row r="601" spans="1:16" ht="20.25" customHeight="1">
      <c r="A601" s="373"/>
      <c r="B601" s="4"/>
      <c r="C601" s="4"/>
      <c r="D601" s="4"/>
      <c r="E601" s="374"/>
      <c r="F601" s="803"/>
      <c r="G601" s="374"/>
      <c r="H601" s="373"/>
      <c r="I601" s="8"/>
      <c r="J601" s="8"/>
      <c r="K601" s="8"/>
      <c r="L601" s="4"/>
      <c r="M601" s="4"/>
      <c r="N601" s="4"/>
      <c r="O601" s="4"/>
      <c r="P601" s="4"/>
    </row>
    <row r="602" spans="1:16" ht="20.25" customHeight="1">
      <c r="A602" s="373"/>
      <c r="B602" s="4"/>
      <c r="C602" s="4"/>
      <c r="D602" s="4"/>
      <c r="E602" s="374"/>
      <c r="F602" s="803"/>
      <c r="G602" s="374"/>
      <c r="H602" s="373"/>
      <c r="I602" s="8"/>
      <c r="J602" s="8"/>
      <c r="K602" s="8"/>
      <c r="L602" s="4"/>
      <c r="M602" s="4"/>
      <c r="N602" s="4"/>
      <c r="O602" s="4"/>
      <c r="P602" s="4"/>
    </row>
    <row r="603" spans="1:16" ht="20.25" customHeight="1">
      <c r="A603" s="373"/>
      <c r="B603" s="4"/>
      <c r="C603" s="4"/>
      <c r="D603" s="4"/>
      <c r="E603" s="374"/>
      <c r="F603" s="803"/>
      <c r="G603" s="374"/>
      <c r="H603" s="373"/>
      <c r="I603" s="8"/>
      <c r="J603" s="8"/>
      <c r="K603" s="8"/>
      <c r="L603" s="4"/>
      <c r="M603" s="4"/>
      <c r="N603" s="4"/>
      <c r="O603" s="4"/>
      <c r="P603" s="4"/>
    </row>
    <row r="604" spans="1:16" ht="20.25" customHeight="1">
      <c r="A604" s="373"/>
      <c r="B604" s="4"/>
      <c r="C604" s="4"/>
      <c r="D604" s="4"/>
      <c r="E604" s="374"/>
      <c r="F604" s="803"/>
      <c r="G604" s="374"/>
      <c r="H604" s="373"/>
      <c r="I604" s="8"/>
      <c r="J604" s="8"/>
      <c r="K604" s="8"/>
      <c r="L604" s="4"/>
      <c r="M604" s="4"/>
      <c r="N604" s="4"/>
      <c r="O604" s="4"/>
      <c r="P604" s="4"/>
    </row>
    <row r="605" spans="1:16" ht="20.25" customHeight="1">
      <c r="A605" s="373"/>
      <c r="B605" s="4"/>
      <c r="C605" s="4"/>
      <c r="D605" s="4"/>
      <c r="E605" s="374"/>
      <c r="F605" s="803"/>
      <c r="G605" s="374"/>
      <c r="H605" s="373"/>
      <c r="I605" s="8"/>
      <c r="J605" s="8"/>
      <c r="K605" s="8"/>
      <c r="L605" s="4"/>
      <c r="M605" s="4"/>
      <c r="N605" s="4"/>
      <c r="O605" s="4"/>
      <c r="P605" s="4"/>
    </row>
    <row r="606" spans="1:16" ht="20.25" customHeight="1">
      <c r="A606" s="373"/>
      <c r="B606" s="4"/>
      <c r="C606" s="4"/>
      <c r="D606" s="4"/>
      <c r="E606" s="374"/>
      <c r="F606" s="803"/>
      <c r="G606" s="374"/>
      <c r="H606" s="373"/>
      <c r="I606" s="8"/>
      <c r="J606" s="8"/>
      <c r="K606" s="8"/>
      <c r="L606" s="4"/>
      <c r="M606" s="4"/>
      <c r="N606" s="4"/>
      <c r="O606" s="4"/>
      <c r="P606" s="4"/>
    </row>
    <row r="607" spans="1:16" ht="20.25" customHeight="1">
      <c r="A607" s="373"/>
      <c r="B607" s="4"/>
      <c r="C607" s="4"/>
      <c r="D607" s="4"/>
      <c r="E607" s="374"/>
      <c r="F607" s="803"/>
      <c r="G607" s="374"/>
      <c r="H607" s="373"/>
      <c r="I607" s="8"/>
      <c r="J607" s="8"/>
      <c r="K607" s="8"/>
      <c r="L607" s="4"/>
      <c r="M607" s="4"/>
      <c r="N607" s="4"/>
      <c r="O607" s="4"/>
      <c r="P607" s="4"/>
    </row>
    <row r="608" spans="1:16" ht="20.25" customHeight="1">
      <c r="A608" s="373"/>
      <c r="B608" s="4"/>
      <c r="C608" s="4"/>
      <c r="D608" s="4"/>
      <c r="E608" s="374"/>
      <c r="F608" s="803"/>
      <c r="G608" s="374"/>
      <c r="H608" s="373"/>
      <c r="I608" s="8"/>
      <c r="J608" s="8"/>
      <c r="K608" s="8"/>
      <c r="L608" s="4"/>
      <c r="M608" s="4"/>
      <c r="N608" s="4"/>
      <c r="O608" s="4"/>
      <c r="P608" s="4"/>
    </row>
    <row r="609" spans="1:16" ht="20.25" customHeight="1">
      <c r="A609" s="373"/>
      <c r="B609" s="4"/>
      <c r="C609" s="4"/>
      <c r="D609" s="4"/>
      <c r="E609" s="374"/>
      <c r="F609" s="803"/>
      <c r="G609" s="374"/>
      <c r="H609" s="373"/>
      <c r="I609" s="8"/>
      <c r="J609" s="8"/>
      <c r="K609" s="8"/>
      <c r="L609" s="4"/>
      <c r="M609" s="4"/>
      <c r="N609" s="4"/>
      <c r="O609" s="4"/>
      <c r="P609" s="4"/>
    </row>
    <row r="610" spans="1:16" ht="20.25" customHeight="1">
      <c r="A610" s="373"/>
      <c r="B610" s="4"/>
      <c r="C610" s="4"/>
      <c r="D610" s="4"/>
      <c r="E610" s="374"/>
      <c r="F610" s="803"/>
      <c r="G610" s="374"/>
      <c r="H610" s="373"/>
      <c r="I610" s="8"/>
      <c r="J610" s="8"/>
      <c r="K610" s="8"/>
      <c r="L610" s="4"/>
      <c r="M610" s="4"/>
      <c r="N610" s="4"/>
      <c r="O610" s="4"/>
      <c r="P610" s="4"/>
    </row>
    <row r="611" spans="1:16" ht="20.25" customHeight="1">
      <c r="A611" s="373"/>
      <c r="B611" s="4"/>
      <c r="C611" s="4"/>
      <c r="D611" s="4"/>
      <c r="E611" s="374"/>
      <c r="F611" s="803"/>
      <c r="G611" s="374"/>
      <c r="H611" s="373"/>
      <c r="I611" s="8"/>
      <c r="J611" s="8"/>
      <c r="K611" s="8"/>
      <c r="L611" s="4"/>
      <c r="M611" s="4"/>
      <c r="N611" s="4"/>
      <c r="O611" s="4"/>
      <c r="P611" s="4"/>
    </row>
    <row r="612" spans="1:16" ht="20.25" customHeight="1">
      <c r="A612" s="373"/>
      <c r="B612" s="4"/>
      <c r="C612" s="4"/>
      <c r="D612" s="4"/>
      <c r="E612" s="374"/>
      <c r="F612" s="803"/>
      <c r="G612" s="374"/>
      <c r="H612" s="373"/>
      <c r="I612" s="8"/>
      <c r="J612" s="8"/>
      <c r="K612" s="8"/>
      <c r="L612" s="4"/>
      <c r="M612" s="4"/>
      <c r="N612" s="4"/>
      <c r="O612" s="4"/>
      <c r="P612" s="4"/>
    </row>
    <row r="613" spans="1:16" ht="20.25" customHeight="1">
      <c r="A613" s="373"/>
      <c r="B613" s="4"/>
      <c r="C613" s="4"/>
      <c r="D613" s="4"/>
      <c r="E613" s="374"/>
      <c r="F613" s="803"/>
      <c r="G613" s="374"/>
      <c r="H613" s="373"/>
      <c r="I613" s="8"/>
      <c r="J613" s="8"/>
      <c r="K613" s="8"/>
      <c r="L613" s="4"/>
      <c r="M613" s="4"/>
      <c r="N613" s="4"/>
      <c r="O613" s="4"/>
      <c r="P613" s="4"/>
    </row>
    <row r="614" spans="1:16" ht="20.25" customHeight="1">
      <c r="A614" s="373"/>
      <c r="B614" s="4"/>
      <c r="C614" s="4"/>
      <c r="D614" s="4"/>
      <c r="E614" s="374"/>
      <c r="F614" s="803"/>
      <c r="G614" s="374"/>
      <c r="H614" s="373"/>
      <c r="I614" s="8"/>
      <c r="J614" s="8"/>
      <c r="K614" s="8"/>
      <c r="L614" s="4"/>
      <c r="M614" s="4"/>
      <c r="N614" s="4"/>
      <c r="O614" s="4"/>
      <c r="P614" s="4"/>
    </row>
    <row r="615" spans="1:16" ht="20.25" customHeight="1">
      <c r="A615" s="373"/>
      <c r="B615" s="4"/>
      <c r="C615" s="4"/>
      <c r="D615" s="4"/>
      <c r="E615" s="374"/>
      <c r="F615" s="803"/>
      <c r="G615" s="374"/>
      <c r="H615" s="373"/>
      <c r="I615" s="8"/>
      <c r="J615" s="8"/>
      <c r="K615" s="8"/>
      <c r="L615" s="4"/>
      <c r="M615" s="4"/>
      <c r="N615" s="4"/>
      <c r="O615" s="4"/>
      <c r="P615" s="4"/>
    </row>
    <row r="616" spans="1:16" ht="20.25" customHeight="1">
      <c r="A616" s="373"/>
      <c r="B616" s="4"/>
      <c r="C616" s="4"/>
      <c r="D616" s="4"/>
      <c r="E616" s="374"/>
      <c r="F616" s="803"/>
      <c r="G616" s="374"/>
      <c r="H616" s="373"/>
      <c r="I616" s="8"/>
      <c r="J616" s="8"/>
      <c r="K616" s="8"/>
      <c r="L616" s="4"/>
      <c r="M616" s="4"/>
      <c r="N616" s="4"/>
      <c r="O616" s="4"/>
      <c r="P616" s="4"/>
    </row>
    <row r="617" spans="1:16" ht="20.25" customHeight="1">
      <c r="A617" s="373"/>
      <c r="B617" s="4"/>
      <c r="C617" s="4"/>
      <c r="D617" s="4"/>
      <c r="E617" s="374"/>
      <c r="F617" s="803"/>
      <c r="G617" s="374"/>
      <c r="H617" s="373"/>
      <c r="I617" s="8"/>
      <c r="J617" s="8"/>
      <c r="K617" s="8"/>
      <c r="L617" s="4"/>
      <c r="M617" s="4"/>
      <c r="N617" s="4"/>
      <c r="O617" s="4"/>
      <c r="P617" s="4"/>
    </row>
    <row r="618" spans="1:16" ht="20.25" customHeight="1">
      <c r="A618" s="373"/>
      <c r="B618" s="4"/>
      <c r="C618" s="4"/>
      <c r="D618" s="4"/>
      <c r="E618" s="374"/>
      <c r="F618" s="803"/>
      <c r="G618" s="374"/>
      <c r="H618" s="373"/>
      <c r="I618" s="8"/>
      <c r="J618" s="8"/>
      <c r="K618" s="8"/>
      <c r="L618" s="4"/>
      <c r="M618" s="4"/>
      <c r="N618" s="4"/>
      <c r="O618" s="4"/>
      <c r="P618" s="4"/>
    </row>
    <row r="619" spans="1:16" ht="20.25" customHeight="1">
      <c r="A619" s="373"/>
      <c r="B619" s="4"/>
      <c r="C619" s="4"/>
      <c r="D619" s="4"/>
      <c r="E619" s="374"/>
      <c r="F619" s="803"/>
      <c r="G619" s="374"/>
      <c r="H619" s="373"/>
      <c r="I619" s="8"/>
      <c r="J619" s="8"/>
      <c r="K619" s="8"/>
      <c r="L619" s="4"/>
      <c r="M619" s="4"/>
      <c r="N619" s="4"/>
      <c r="O619" s="4"/>
      <c r="P619" s="4"/>
    </row>
    <row r="620" spans="1:16" ht="20.25" customHeight="1">
      <c r="A620" s="373"/>
      <c r="B620" s="4"/>
      <c r="C620" s="4"/>
      <c r="D620" s="4"/>
      <c r="E620" s="374"/>
      <c r="F620" s="803"/>
      <c r="G620" s="374"/>
      <c r="H620" s="373"/>
      <c r="I620" s="8"/>
      <c r="J620" s="8"/>
      <c r="K620" s="8"/>
      <c r="L620" s="4"/>
      <c r="M620" s="4"/>
      <c r="N620" s="4"/>
      <c r="O620" s="4"/>
      <c r="P620" s="4"/>
    </row>
    <row r="621" spans="1:16" ht="20.25" customHeight="1">
      <c r="A621" s="373"/>
      <c r="B621" s="4"/>
      <c r="C621" s="4"/>
      <c r="D621" s="4"/>
      <c r="E621" s="374"/>
      <c r="F621" s="803"/>
      <c r="G621" s="374"/>
      <c r="H621" s="373"/>
      <c r="I621" s="8"/>
      <c r="J621" s="8"/>
      <c r="K621" s="8"/>
      <c r="L621" s="4"/>
      <c r="M621" s="4"/>
      <c r="N621" s="4"/>
      <c r="O621" s="4"/>
      <c r="P621" s="4"/>
    </row>
    <row r="622" spans="1:16" ht="20.25" customHeight="1">
      <c r="A622" s="373"/>
      <c r="B622" s="4"/>
      <c r="C622" s="4"/>
      <c r="D622" s="4"/>
      <c r="E622" s="374"/>
      <c r="F622" s="803"/>
      <c r="G622" s="374"/>
      <c r="H622" s="373"/>
      <c r="I622" s="8"/>
      <c r="J622" s="8"/>
      <c r="K622" s="8"/>
      <c r="L622" s="4"/>
      <c r="M622" s="4"/>
      <c r="N622" s="4"/>
      <c r="O622" s="4"/>
      <c r="P622" s="4"/>
    </row>
    <row r="623" spans="1:16" ht="20.25" customHeight="1">
      <c r="A623" s="373"/>
      <c r="B623" s="4"/>
      <c r="C623" s="4"/>
      <c r="D623" s="4"/>
      <c r="E623" s="374"/>
      <c r="F623" s="803"/>
      <c r="G623" s="374"/>
      <c r="H623" s="373"/>
      <c r="I623" s="8"/>
      <c r="J623" s="8"/>
      <c r="K623" s="8"/>
      <c r="L623" s="4"/>
      <c r="M623" s="4"/>
      <c r="N623" s="4"/>
      <c r="O623" s="4"/>
      <c r="P623" s="4"/>
    </row>
    <row r="624" spans="1:16" ht="20.25" customHeight="1">
      <c r="A624" s="373"/>
      <c r="B624" s="4"/>
      <c r="C624" s="4"/>
      <c r="D624" s="4"/>
      <c r="E624" s="374"/>
      <c r="F624" s="803"/>
      <c r="G624" s="374"/>
      <c r="H624" s="373"/>
      <c r="I624" s="8"/>
      <c r="J624" s="8"/>
      <c r="K624" s="8"/>
      <c r="L624" s="4"/>
      <c r="M624" s="4"/>
      <c r="N624" s="4"/>
      <c r="O624" s="4"/>
      <c r="P624" s="4"/>
    </row>
    <row r="625" spans="1:16" ht="20.25" customHeight="1">
      <c r="A625" s="373"/>
      <c r="B625" s="4"/>
      <c r="C625" s="4"/>
      <c r="D625" s="4"/>
      <c r="E625" s="374"/>
      <c r="F625" s="803"/>
      <c r="G625" s="374"/>
      <c r="H625" s="373"/>
      <c r="I625" s="8"/>
      <c r="J625" s="8"/>
      <c r="K625" s="8"/>
      <c r="L625" s="4"/>
      <c r="M625" s="4"/>
      <c r="N625" s="4"/>
      <c r="O625" s="4"/>
      <c r="P625" s="4"/>
    </row>
    <row r="626" spans="1:16" ht="20.25" customHeight="1">
      <c r="A626" s="373"/>
      <c r="B626" s="4"/>
      <c r="C626" s="4"/>
      <c r="D626" s="4"/>
      <c r="E626" s="374"/>
      <c r="F626" s="803"/>
      <c r="G626" s="374"/>
      <c r="H626" s="373"/>
      <c r="I626" s="8"/>
      <c r="J626" s="8"/>
      <c r="K626" s="8"/>
      <c r="L626" s="4"/>
      <c r="M626" s="4"/>
      <c r="N626" s="4"/>
      <c r="O626" s="4"/>
      <c r="P626" s="4"/>
    </row>
    <row r="627" spans="1:16" ht="20.25" customHeight="1">
      <c r="A627" s="373"/>
      <c r="B627" s="4"/>
      <c r="C627" s="4"/>
      <c r="D627" s="4"/>
      <c r="E627" s="374"/>
      <c r="F627" s="803"/>
      <c r="G627" s="374"/>
      <c r="H627" s="373"/>
      <c r="I627" s="8"/>
      <c r="J627" s="8"/>
      <c r="K627" s="8"/>
      <c r="L627" s="4"/>
      <c r="M627" s="4"/>
      <c r="N627" s="4"/>
      <c r="O627" s="4"/>
      <c r="P627" s="4"/>
    </row>
    <row r="628" spans="1:16" ht="20.25" customHeight="1">
      <c r="A628" s="373"/>
      <c r="B628" s="4"/>
      <c r="C628" s="4"/>
      <c r="D628" s="4"/>
      <c r="E628" s="374"/>
      <c r="F628" s="803"/>
      <c r="G628" s="374"/>
      <c r="H628" s="373"/>
      <c r="I628" s="8"/>
      <c r="J628" s="8"/>
      <c r="K628" s="8"/>
      <c r="L628" s="4"/>
      <c r="M628" s="4"/>
      <c r="N628" s="4"/>
      <c r="O628" s="4"/>
      <c r="P628" s="4"/>
    </row>
    <row r="629" spans="1:16" ht="20.25" customHeight="1">
      <c r="A629" s="373"/>
      <c r="B629" s="4"/>
      <c r="C629" s="4"/>
      <c r="D629" s="4"/>
      <c r="E629" s="374"/>
      <c r="F629" s="803"/>
      <c r="G629" s="374"/>
      <c r="H629" s="373"/>
      <c r="I629" s="8"/>
      <c r="J629" s="8"/>
      <c r="K629" s="8"/>
      <c r="L629" s="4"/>
      <c r="M629" s="4"/>
      <c r="N629" s="4"/>
      <c r="O629" s="4"/>
      <c r="P629" s="4"/>
    </row>
    <row r="630" spans="1:16" ht="20.25" customHeight="1">
      <c r="A630" s="373"/>
      <c r="B630" s="4"/>
      <c r="C630" s="4"/>
      <c r="D630" s="4"/>
      <c r="E630" s="374"/>
      <c r="F630" s="803"/>
      <c r="G630" s="374"/>
      <c r="H630" s="373"/>
      <c r="I630" s="8"/>
      <c r="J630" s="8"/>
      <c r="K630" s="8"/>
      <c r="L630" s="4"/>
      <c r="M630" s="4"/>
      <c r="N630" s="4"/>
      <c r="O630" s="4"/>
      <c r="P630" s="4"/>
    </row>
    <row r="631" spans="1:16" ht="20.25" customHeight="1">
      <c r="A631" s="373"/>
      <c r="B631" s="4"/>
      <c r="C631" s="4"/>
      <c r="D631" s="4"/>
      <c r="E631" s="374"/>
      <c r="F631" s="803"/>
      <c r="G631" s="374"/>
      <c r="H631" s="373"/>
      <c r="I631" s="8"/>
      <c r="J631" s="8"/>
      <c r="K631" s="8"/>
      <c r="L631" s="4"/>
      <c r="M631" s="4"/>
      <c r="N631" s="4"/>
      <c r="O631" s="4"/>
      <c r="P631" s="4"/>
    </row>
    <row r="632" spans="1:16" ht="20.25" customHeight="1">
      <c r="A632" s="373"/>
      <c r="B632" s="4"/>
      <c r="C632" s="4"/>
      <c r="D632" s="4"/>
      <c r="E632" s="374"/>
      <c r="F632" s="803"/>
      <c r="G632" s="374"/>
      <c r="H632" s="373"/>
      <c r="I632" s="8"/>
      <c r="J632" s="8"/>
      <c r="K632" s="8"/>
      <c r="L632" s="4"/>
      <c r="M632" s="4"/>
      <c r="N632" s="4"/>
      <c r="O632" s="4"/>
      <c r="P632" s="4"/>
    </row>
    <row r="633" spans="1:16" ht="20.25" customHeight="1">
      <c r="A633" s="373"/>
      <c r="B633" s="4"/>
      <c r="C633" s="4"/>
      <c r="D633" s="4"/>
      <c r="E633" s="374"/>
      <c r="F633" s="803"/>
      <c r="G633" s="374"/>
      <c r="H633" s="373"/>
      <c r="I633" s="8"/>
      <c r="J633" s="8"/>
      <c r="K633" s="8"/>
      <c r="L633" s="4"/>
      <c r="M633" s="4"/>
      <c r="N633" s="4"/>
      <c r="O633" s="4"/>
      <c r="P633" s="4"/>
    </row>
    <row r="634" spans="1:16" ht="20.25" customHeight="1">
      <c r="A634" s="373"/>
      <c r="B634" s="4"/>
      <c r="C634" s="4"/>
      <c r="D634" s="4"/>
      <c r="E634" s="374"/>
      <c r="F634" s="803"/>
      <c r="G634" s="374"/>
      <c r="H634" s="373"/>
      <c r="I634" s="8"/>
      <c r="J634" s="8"/>
      <c r="K634" s="8"/>
      <c r="L634" s="4"/>
      <c r="M634" s="4"/>
      <c r="N634" s="4"/>
      <c r="O634" s="4"/>
      <c r="P634" s="4"/>
    </row>
    <row r="635" spans="1:16" ht="20.25" customHeight="1">
      <c r="A635" s="373"/>
      <c r="B635" s="4"/>
      <c r="C635" s="4"/>
      <c r="D635" s="4"/>
      <c r="E635" s="374"/>
      <c r="F635" s="803"/>
      <c r="G635" s="374"/>
      <c r="H635" s="373"/>
      <c r="I635" s="8"/>
      <c r="J635" s="8"/>
      <c r="K635" s="8"/>
      <c r="L635" s="4"/>
      <c r="M635" s="4"/>
      <c r="N635" s="4"/>
      <c r="O635" s="4"/>
      <c r="P635" s="4"/>
    </row>
    <row r="636" spans="1:16" ht="20.25" customHeight="1">
      <c r="A636" s="373"/>
      <c r="B636" s="4"/>
      <c r="C636" s="4"/>
      <c r="D636" s="4"/>
      <c r="E636" s="374"/>
      <c r="F636" s="803"/>
      <c r="G636" s="374"/>
      <c r="H636" s="373"/>
      <c r="I636" s="8"/>
      <c r="J636" s="8"/>
      <c r="K636" s="8"/>
      <c r="L636" s="4"/>
      <c r="M636" s="4"/>
      <c r="N636" s="4"/>
      <c r="O636" s="4"/>
      <c r="P636" s="4"/>
    </row>
    <row r="637" spans="1:16" ht="20.25" customHeight="1">
      <c r="A637" s="373"/>
      <c r="B637" s="4"/>
      <c r="C637" s="4"/>
      <c r="D637" s="4"/>
      <c r="E637" s="374"/>
      <c r="F637" s="803"/>
      <c r="G637" s="374"/>
      <c r="H637" s="373"/>
      <c r="I637" s="8"/>
      <c r="J637" s="8"/>
      <c r="K637" s="8"/>
      <c r="L637" s="4"/>
      <c r="M637" s="4"/>
      <c r="N637" s="4"/>
      <c r="O637" s="4"/>
      <c r="P637" s="4"/>
    </row>
    <row r="638" spans="1:16" ht="20.25" customHeight="1">
      <c r="A638" s="373"/>
      <c r="B638" s="4"/>
      <c r="C638" s="4"/>
      <c r="D638" s="4"/>
      <c r="E638" s="374"/>
      <c r="F638" s="803"/>
      <c r="G638" s="374"/>
      <c r="H638" s="373"/>
      <c r="I638" s="8"/>
      <c r="J638" s="8"/>
      <c r="K638" s="8"/>
      <c r="L638" s="4"/>
      <c r="M638" s="4"/>
      <c r="N638" s="4"/>
      <c r="O638" s="4"/>
      <c r="P638" s="4"/>
    </row>
    <row r="639" spans="1:16" ht="20.25" customHeight="1">
      <c r="A639" s="373"/>
      <c r="B639" s="4"/>
      <c r="C639" s="4"/>
      <c r="D639" s="4"/>
      <c r="E639" s="374"/>
      <c r="F639" s="803"/>
      <c r="G639" s="374"/>
      <c r="H639" s="373"/>
      <c r="I639" s="8"/>
      <c r="J639" s="8"/>
      <c r="K639" s="8"/>
      <c r="L639" s="4"/>
      <c r="M639" s="4"/>
      <c r="N639" s="4"/>
      <c r="O639" s="4"/>
      <c r="P639" s="4"/>
    </row>
    <row r="640" spans="1:16" ht="20.25" customHeight="1">
      <c r="A640" s="373"/>
      <c r="B640" s="4"/>
      <c r="C640" s="4"/>
      <c r="D640" s="4"/>
      <c r="E640" s="374"/>
      <c r="F640" s="803"/>
      <c r="G640" s="374"/>
      <c r="H640" s="373"/>
      <c r="I640" s="8"/>
      <c r="J640" s="8"/>
      <c r="K640" s="8"/>
      <c r="L640" s="4"/>
      <c r="M640" s="4"/>
      <c r="N640" s="4"/>
      <c r="O640" s="4"/>
      <c r="P640" s="4"/>
    </row>
    <row r="641" spans="1:16" ht="20.25" customHeight="1">
      <c r="A641" s="373"/>
      <c r="B641" s="4"/>
      <c r="C641" s="4"/>
      <c r="D641" s="4"/>
      <c r="E641" s="374"/>
      <c r="F641" s="803"/>
      <c r="G641" s="374"/>
      <c r="H641" s="373"/>
      <c r="I641" s="8"/>
      <c r="J641" s="8"/>
      <c r="K641" s="8"/>
      <c r="L641" s="4"/>
      <c r="M641" s="4"/>
      <c r="N641" s="4"/>
      <c r="O641" s="4"/>
      <c r="P641" s="4"/>
    </row>
    <row r="642" spans="1:16" ht="20.25" customHeight="1">
      <c r="A642" s="373"/>
      <c r="B642" s="4"/>
      <c r="C642" s="4"/>
      <c r="D642" s="4"/>
      <c r="E642" s="374"/>
      <c r="F642" s="803"/>
      <c r="G642" s="374"/>
      <c r="H642" s="373"/>
      <c r="I642" s="8"/>
      <c r="J642" s="8"/>
      <c r="K642" s="8"/>
      <c r="L642" s="4"/>
      <c r="M642" s="4"/>
      <c r="N642" s="4"/>
      <c r="O642" s="4"/>
      <c r="P642" s="4"/>
    </row>
    <row r="643" spans="1:16" ht="20.25" customHeight="1">
      <c r="A643" s="373"/>
      <c r="B643" s="4"/>
      <c r="C643" s="4"/>
      <c r="D643" s="4"/>
      <c r="E643" s="374"/>
      <c r="F643" s="803"/>
      <c r="G643" s="374"/>
      <c r="H643" s="373"/>
      <c r="I643" s="8"/>
      <c r="J643" s="8"/>
      <c r="K643" s="8"/>
      <c r="L643" s="4"/>
      <c r="M643" s="4"/>
      <c r="N643" s="4"/>
      <c r="O643" s="4"/>
      <c r="P643" s="4"/>
    </row>
    <row r="644" spans="1:16" ht="20.25" customHeight="1">
      <c r="A644" s="373"/>
      <c r="B644" s="4"/>
      <c r="C644" s="4"/>
      <c r="D644" s="4"/>
      <c r="E644" s="374"/>
      <c r="F644" s="803"/>
      <c r="G644" s="374"/>
      <c r="H644" s="373"/>
      <c r="I644" s="8"/>
      <c r="J644" s="8"/>
      <c r="K644" s="8"/>
      <c r="L644" s="4"/>
      <c r="M644" s="4"/>
      <c r="N644" s="4"/>
      <c r="O644" s="4"/>
      <c r="P644" s="4"/>
    </row>
    <row r="645" spans="1:16" ht="20.25" customHeight="1">
      <c r="A645" s="373"/>
      <c r="B645" s="4"/>
      <c r="C645" s="4"/>
      <c r="D645" s="4"/>
      <c r="E645" s="374"/>
      <c r="F645" s="803"/>
      <c r="G645" s="374"/>
      <c r="H645" s="373"/>
      <c r="I645" s="8"/>
      <c r="J645" s="8"/>
      <c r="K645" s="8"/>
      <c r="L645" s="4"/>
      <c r="M645" s="4"/>
      <c r="N645" s="4"/>
      <c r="O645" s="4"/>
      <c r="P645" s="4"/>
    </row>
    <row r="646" spans="1:16" ht="20.25" customHeight="1">
      <c r="A646" s="373"/>
      <c r="B646" s="4"/>
      <c r="C646" s="4"/>
      <c r="D646" s="4"/>
      <c r="E646" s="374"/>
      <c r="F646" s="803"/>
      <c r="G646" s="374"/>
      <c r="H646" s="373"/>
      <c r="I646" s="8"/>
      <c r="J646" s="8"/>
      <c r="K646" s="8"/>
      <c r="L646" s="4"/>
      <c r="M646" s="4"/>
      <c r="N646" s="4"/>
      <c r="O646" s="4"/>
      <c r="P646" s="4"/>
    </row>
    <row r="647" spans="1:16" ht="20.25" customHeight="1">
      <c r="A647" s="373"/>
      <c r="B647" s="4"/>
      <c r="C647" s="4"/>
      <c r="D647" s="4"/>
      <c r="E647" s="374"/>
      <c r="F647" s="803"/>
      <c r="G647" s="374"/>
      <c r="H647" s="373"/>
      <c r="I647" s="8"/>
      <c r="J647" s="8"/>
      <c r="K647" s="8"/>
      <c r="L647" s="4"/>
      <c r="M647" s="4"/>
      <c r="N647" s="4"/>
      <c r="O647" s="4"/>
      <c r="P647" s="4"/>
    </row>
    <row r="648" spans="1:16" ht="20.25" customHeight="1">
      <c r="A648" s="373"/>
      <c r="B648" s="4"/>
      <c r="C648" s="4"/>
      <c r="D648" s="4"/>
      <c r="E648" s="374"/>
      <c r="F648" s="803"/>
      <c r="G648" s="374"/>
      <c r="H648" s="373"/>
      <c r="I648" s="8"/>
      <c r="J648" s="8"/>
      <c r="K648" s="8"/>
      <c r="L648" s="4"/>
      <c r="M648" s="4"/>
      <c r="N648" s="4"/>
      <c r="O648" s="4"/>
      <c r="P648" s="4"/>
    </row>
    <row r="649" spans="1:16" ht="20.25" customHeight="1">
      <c r="A649" s="373"/>
      <c r="B649" s="4"/>
      <c r="C649" s="4"/>
      <c r="D649" s="4"/>
      <c r="E649" s="374"/>
      <c r="F649" s="803"/>
      <c r="G649" s="374"/>
      <c r="H649" s="373"/>
      <c r="I649" s="8"/>
      <c r="J649" s="8"/>
      <c r="K649" s="8"/>
      <c r="L649" s="4"/>
      <c r="M649" s="4"/>
      <c r="N649" s="4"/>
      <c r="O649" s="4"/>
      <c r="P649" s="4"/>
    </row>
    <row r="650" spans="1:16" ht="20.25" customHeight="1">
      <c r="A650" s="373"/>
      <c r="B650" s="4"/>
      <c r="C650" s="4"/>
      <c r="D650" s="4"/>
      <c r="E650" s="374"/>
      <c r="F650" s="803"/>
      <c r="G650" s="374"/>
      <c r="H650" s="373"/>
      <c r="I650" s="8"/>
      <c r="J650" s="8"/>
      <c r="K650" s="8"/>
      <c r="L650" s="4"/>
      <c r="M650" s="4"/>
      <c r="N650" s="4"/>
      <c r="O650" s="4"/>
      <c r="P650" s="4"/>
    </row>
    <row r="651" spans="1:16" ht="20.25" customHeight="1">
      <c r="A651" s="373"/>
      <c r="B651" s="4"/>
      <c r="C651" s="4"/>
      <c r="D651" s="4"/>
      <c r="E651" s="374"/>
      <c r="F651" s="803"/>
      <c r="G651" s="374"/>
      <c r="H651" s="373"/>
      <c r="I651" s="8"/>
      <c r="J651" s="8"/>
      <c r="K651" s="8"/>
      <c r="L651" s="4"/>
      <c r="M651" s="4"/>
      <c r="N651" s="4"/>
      <c r="O651" s="4"/>
      <c r="P651" s="4"/>
    </row>
    <row r="652" spans="1:16" ht="20.25" customHeight="1">
      <c r="A652" s="373"/>
      <c r="B652" s="4"/>
      <c r="C652" s="4"/>
      <c r="D652" s="4"/>
      <c r="E652" s="374"/>
      <c r="F652" s="803"/>
      <c r="G652" s="374"/>
      <c r="H652" s="373"/>
      <c r="I652" s="8"/>
      <c r="J652" s="8"/>
      <c r="K652" s="8"/>
      <c r="L652" s="4"/>
      <c r="M652" s="4"/>
      <c r="N652" s="4"/>
      <c r="O652" s="4"/>
      <c r="P652" s="4"/>
    </row>
    <row r="653" spans="1:16" ht="20.25" customHeight="1">
      <c r="A653" s="373"/>
      <c r="B653" s="4"/>
      <c r="C653" s="4"/>
      <c r="D653" s="4"/>
      <c r="E653" s="374"/>
      <c r="F653" s="803"/>
      <c r="G653" s="374"/>
      <c r="H653" s="373"/>
      <c r="I653" s="8"/>
      <c r="J653" s="8"/>
      <c r="K653" s="8"/>
      <c r="L653" s="4"/>
      <c r="M653" s="4"/>
      <c r="N653" s="4"/>
      <c r="O653" s="4"/>
      <c r="P653" s="4"/>
    </row>
    <row r="654" spans="1:16" ht="20.25" customHeight="1">
      <c r="A654" s="373"/>
      <c r="B654" s="4"/>
      <c r="C654" s="4"/>
      <c r="D654" s="4"/>
      <c r="E654" s="374"/>
      <c r="F654" s="803"/>
      <c r="G654" s="374"/>
      <c r="H654" s="373"/>
      <c r="I654" s="8"/>
      <c r="J654" s="8"/>
      <c r="K654" s="8"/>
      <c r="L654" s="4"/>
      <c r="M654" s="4"/>
      <c r="N654" s="4"/>
      <c r="O654" s="4"/>
      <c r="P654" s="4"/>
    </row>
    <row r="655" spans="1:16" ht="20.25" customHeight="1">
      <c r="A655" s="373"/>
      <c r="B655" s="4"/>
      <c r="C655" s="4"/>
      <c r="D655" s="4"/>
      <c r="E655" s="374"/>
      <c r="F655" s="803"/>
      <c r="G655" s="374"/>
      <c r="H655" s="373"/>
      <c r="I655" s="8"/>
      <c r="J655" s="8"/>
      <c r="K655" s="8"/>
      <c r="L655" s="4"/>
      <c r="M655" s="4"/>
      <c r="N655" s="4"/>
      <c r="O655" s="4"/>
      <c r="P655" s="4"/>
    </row>
    <row r="656" spans="1:16" ht="20.25" customHeight="1">
      <c r="A656" s="373"/>
      <c r="B656" s="4"/>
      <c r="C656" s="4"/>
      <c r="D656" s="4"/>
      <c r="E656" s="374"/>
      <c r="F656" s="803"/>
      <c r="G656" s="374"/>
      <c r="H656" s="373"/>
      <c r="I656" s="8"/>
      <c r="J656" s="8"/>
      <c r="K656" s="8"/>
      <c r="L656" s="4"/>
      <c r="M656" s="4"/>
      <c r="N656" s="4"/>
      <c r="O656" s="4"/>
      <c r="P656" s="4"/>
    </row>
    <row r="657" spans="1:16" ht="20.25" customHeight="1">
      <c r="A657" s="373"/>
      <c r="B657" s="4"/>
      <c r="C657" s="4"/>
      <c r="D657" s="4"/>
      <c r="E657" s="374"/>
      <c r="F657" s="803"/>
      <c r="G657" s="374"/>
      <c r="H657" s="373"/>
      <c r="I657" s="8"/>
      <c r="J657" s="8"/>
      <c r="K657" s="8"/>
      <c r="L657" s="4"/>
      <c r="M657" s="4"/>
      <c r="N657" s="4"/>
      <c r="O657" s="4"/>
      <c r="P657" s="4"/>
    </row>
    <row r="658" spans="1:16" ht="20.25" customHeight="1">
      <c r="A658" s="373"/>
      <c r="B658" s="4"/>
      <c r="C658" s="4"/>
      <c r="D658" s="4"/>
      <c r="E658" s="374"/>
      <c r="F658" s="803"/>
      <c r="G658" s="374"/>
      <c r="H658" s="373"/>
      <c r="I658" s="8"/>
      <c r="J658" s="8"/>
      <c r="K658" s="8"/>
      <c r="L658" s="4"/>
      <c r="M658" s="4"/>
      <c r="N658" s="4"/>
      <c r="O658" s="4"/>
      <c r="P658" s="4"/>
    </row>
    <row r="659" spans="1:16" ht="20.25" customHeight="1">
      <c r="A659" s="373"/>
      <c r="B659" s="4"/>
      <c r="C659" s="4"/>
      <c r="D659" s="4"/>
      <c r="E659" s="374"/>
      <c r="F659" s="803"/>
      <c r="G659" s="374"/>
      <c r="H659" s="373"/>
      <c r="I659" s="8"/>
      <c r="J659" s="8"/>
      <c r="K659" s="8"/>
      <c r="L659" s="4"/>
      <c r="M659" s="4"/>
      <c r="N659" s="4"/>
      <c r="O659" s="4"/>
      <c r="P659" s="4"/>
    </row>
    <row r="660" spans="1:16" ht="20.25" customHeight="1">
      <c r="A660" s="373"/>
      <c r="B660" s="4"/>
      <c r="C660" s="4"/>
      <c r="D660" s="4"/>
      <c r="E660" s="374"/>
      <c r="F660" s="803"/>
      <c r="G660" s="374"/>
      <c r="H660" s="373"/>
      <c r="I660" s="8"/>
      <c r="J660" s="8"/>
      <c r="K660" s="8"/>
      <c r="L660" s="4"/>
      <c r="M660" s="4"/>
      <c r="N660" s="4"/>
      <c r="O660" s="4"/>
      <c r="P660" s="4"/>
    </row>
    <row r="661" spans="1:16" ht="20.25" customHeight="1">
      <c r="A661" s="373"/>
      <c r="B661" s="4"/>
      <c r="C661" s="4"/>
      <c r="D661" s="4"/>
      <c r="E661" s="374"/>
      <c r="F661" s="803"/>
      <c r="G661" s="374"/>
      <c r="H661" s="373"/>
      <c r="I661" s="8"/>
      <c r="J661" s="8"/>
      <c r="K661" s="8"/>
      <c r="L661" s="4"/>
      <c r="M661" s="4"/>
      <c r="N661" s="4"/>
      <c r="O661" s="4"/>
      <c r="P661" s="4"/>
    </row>
    <row r="662" spans="1:16" ht="20.25" customHeight="1">
      <c r="A662" s="373"/>
      <c r="B662" s="4"/>
      <c r="C662" s="4"/>
      <c r="D662" s="4"/>
      <c r="E662" s="374"/>
      <c r="F662" s="803"/>
      <c r="G662" s="374"/>
      <c r="H662" s="373"/>
      <c r="I662" s="8"/>
      <c r="J662" s="8"/>
      <c r="K662" s="8"/>
      <c r="L662" s="4"/>
      <c r="M662" s="4"/>
      <c r="N662" s="4"/>
      <c r="O662" s="4"/>
      <c r="P662" s="4"/>
    </row>
    <row r="663" spans="1:16" ht="20.25" customHeight="1">
      <c r="A663" s="373"/>
      <c r="B663" s="4"/>
      <c r="C663" s="4"/>
      <c r="D663" s="4"/>
      <c r="E663" s="374"/>
      <c r="F663" s="803"/>
      <c r="G663" s="374"/>
      <c r="H663" s="373"/>
      <c r="I663" s="8"/>
      <c r="J663" s="8"/>
      <c r="K663" s="8"/>
      <c r="L663" s="4"/>
      <c r="M663" s="4"/>
      <c r="N663" s="4"/>
      <c r="O663" s="4"/>
      <c r="P663" s="4"/>
    </row>
    <row r="664" spans="1:16" ht="20.25" customHeight="1">
      <c r="A664" s="373"/>
      <c r="B664" s="4"/>
      <c r="C664" s="4"/>
      <c r="D664" s="4"/>
      <c r="E664" s="374"/>
      <c r="F664" s="803"/>
      <c r="G664" s="374"/>
      <c r="H664" s="373"/>
      <c r="I664" s="8"/>
      <c r="J664" s="8"/>
      <c r="K664" s="8"/>
      <c r="L664" s="4"/>
      <c r="M664" s="4"/>
      <c r="N664" s="4"/>
      <c r="O664" s="4"/>
      <c r="P664" s="4"/>
    </row>
    <row r="665" spans="1:16" ht="20.25" customHeight="1">
      <c r="A665" s="373"/>
      <c r="B665" s="4"/>
      <c r="C665" s="4"/>
      <c r="D665" s="4"/>
      <c r="E665" s="374"/>
      <c r="F665" s="803"/>
      <c r="G665" s="374"/>
      <c r="H665" s="373"/>
      <c r="I665" s="8"/>
      <c r="J665" s="8"/>
      <c r="K665" s="8"/>
      <c r="L665" s="4"/>
      <c r="M665" s="4"/>
      <c r="N665" s="4"/>
      <c r="O665" s="4"/>
      <c r="P665" s="4"/>
    </row>
    <row r="666" spans="1:16" ht="20.25" customHeight="1">
      <c r="A666" s="373"/>
      <c r="B666" s="4"/>
      <c r="C666" s="4"/>
      <c r="D666" s="4"/>
      <c r="E666" s="374"/>
      <c r="F666" s="803"/>
      <c r="G666" s="374"/>
      <c r="H666" s="373"/>
      <c r="I666" s="8"/>
      <c r="J666" s="8"/>
      <c r="K666" s="8"/>
      <c r="L666" s="4"/>
      <c r="M666" s="4"/>
      <c r="N666" s="4"/>
      <c r="O666" s="4"/>
      <c r="P666" s="4"/>
    </row>
    <row r="667" spans="1:16" ht="20.25" customHeight="1">
      <c r="A667" s="373"/>
      <c r="B667" s="4"/>
      <c r="C667" s="4"/>
      <c r="D667" s="4"/>
      <c r="E667" s="374"/>
      <c r="F667" s="803"/>
      <c r="G667" s="374"/>
      <c r="H667" s="373"/>
      <c r="I667" s="8"/>
      <c r="J667" s="8"/>
      <c r="K667" s="8"/>
      <c r="L667" s="4"/>
      <c r="M667" s="4"/>
      <c r="N667" s="4"/>
      <c r="O667" s="4"/>
      <c r="P667" s="4"/>
    </row>
    <row r="668" spans="1:16" ht="20.25" customHeight="1">
      <c r="A668" s="373"/>
      <c r="B668" s="4"/>
      <c r="C668" s="4"/>
      <c r="D668" s="4"/>
      <c r="E668" s="374"/>
      <c r="F668" s="803"/>
      <c r="G668" s="374"/>
      <c r="H668" s="373"/>
      <c r="I668" s="8"/>
      <c r="J668" s="8"/>
      <c r="K668" s="8"/>
      <c r="L668" s="4"/>
      <c r="M668" s="4"/>
      <c r="N668" s="4"/>
      <c r="O668" s="4"/>
      <c r="P668" s="4"/>
    </row>
    <row r="669" spans="1:16" ht="20.25" customHeight="1">
      <c r="A669" s="373"/>
      <c r="B669" s="4"/>
      <c r="C669" s="4"/>
      <c r="D669" s="4"/>
      <c r="E669" s="374"/>
      <c r="F669" s="803"/>
      <c r="G669" s="374"/>
      <c r="H669" s="373"/>
      <c r="I669" s="8"/>
      <c r="J669" s="8"/>
      <c r="K669" s="8"/>
      <c r="L669" s="4"/>
      <c r="M669" s="4"/>
      <c r="N669" s="4"/>
      <c r="O669" s="4"/>
      <c r="P669" s="4"/>
    </row>
    <row r="670" spans="1:16" ht="20.25" customHeight="1">
      <c r="A670" s="373"/>
      <c r="B670" s="4"/>
      <c r="C670" s="4"/>
      <c r="D670" s="4"/>
      <c r="E670" s="374"/>
      <c r="F670" s="803"/>
      <c r="G670" s="374"/>
      <c r="H670" s="373"/>
      <c r="I670" s="8"/>
      <c r="J670" s="8"/>
      <c r="K670" s="8"/>
      <c r="L670" s="4"/>
      <c r="M670" s="4"/>
      <c r="N670" s="4"/>
      <c r="O670" s="4"/>
      <c r="P670" s="4"/>
    </row>
    <row r="671" spans="1:16" ht="20.25" customHeight="1">
      <c r="A671" s="373"/>
      <c r="B671" s="4"/>
      <c r="C671" s="4"/>
      <c r="D671" s="4"/>
      <c r="E671" s="374"/>
      <c r="F671" s="803"/>
      <c r="G671" s="374"/>
      <c r="H671" s="373"/>
      <c r="I671" s="8"/>
      <c r="J671" s="8"/>
      <c r="K671" s="8"/>
      <c r="L671" s="4"/>
      <c r="M671" s="4"/>
      <c r="N671" s="4"/>
      <c r="O671" s="4"/>
      <c r="P671" s="4"/>
    </row>
    <row r="672" spans="1:16" ht="20.25" customHeight="1">
      <c r="A672" s="373"/>
      <c r="B672" s="4"/>
      <c r="C672" s="4"/>
      <c r="D672" s="4"/>
      <c r="E672" s="374"/>
      <c r="F672" s="803"/>
      <c r="G672" s="374"/>
      <c r="H672" s="373"/>
      <c r="I672" s="8"/>
      <c r="J672" s="8"/>
      <c r="K672" s="8"/>
      <c r="L672" s="4"/>
      <c r="M672" s="4"/>
      <c r="N672" s="4"/>
      <c r="O672" s="4"/>
      <c r="P672" s="4"/>
    </row>
    <row r="673" spans="1:16" ht="20.25" customHeight="1">
      <c r="A673" s="373"/>
      <c r="B673" s="4"/>
      <c r="C673" s="4"/>
      <c r="D673" s="4"/>
      <c r="E673" s="374"/>
      <c r="F673" s="803"/>
      <c r="G673" s="374"/>
      <c r="H673" s="373"/>
      <c r="I673" s="8"/>
      <c r="J673" s="8"/>
      <c r="K673" s="8"/>
      <c r="L673" s="4"/>
      <c r="M673" s="4"/>
      <c r="N673" s="4"/>
      <c r="O673" s="4"/>
      <c r="P673" s="4"/>
    </row>
    <row r="674" spans="1:16" ht="20.25" customHeight="1">
      <c r="A674" s="373"/>
      <c r="B674" s="4"/>
      <c r="C674" s="4"/>
      <c r="D674" s="4"/>
      <c r="E674" s="374"/>
      <c r="F674" s="803"/>
      <c r="G674" s="374"/>
      <c r="H674" s="373"/>
      <c r="I674" s="8"/>
      <c r="J674" s="8"/>
      <c r="K674" s="8"/>
      <c r="L674" s="4"/>
      <c r="M674" s="4"/>
      <c r="N674" s="4"/>
      <c r="O674" s="4"/>
      <c r="P674" s="4"/>
    </row>
    <row r="675" spans="1:16" ht="20.25" customHeight="1">
      <c r="A675" s="373"/>
      <c r="B675" s="4"/>
      <c r="C675" s="4"/>
      <c r="D675" s="4"/>
      <c r="E675" s="374"/>
      <c r="F675" s="803"/>
      <c r="G675" s="374"/>
      <c r="H675" s="373"/>
      <c r="I675" s="8"/>
      <c r="J675" s="8"/>
      <c r="K675" s="8"/>
      <c r="L675" s="4"/>
      <c r="M675" s="4"/>
      <c r="N675" s="4"/>
      <c r="O675" s="4"/>
      <c r="P675" s="4"/>
    </row>
    <row r="676" spans="1:16" ht="20.25" customHeight="1">
      <c r="A676" s="373"/>
      <c r="B676" s="4"/>
      <c r="C676" s="4"/>
      <c r="D676" s="4"/>
      <c r="E676" s="374"/>
      <c r="F676" s="803"/>
      <c r="G676" s="374"/>
      <c r="H676" s="373"/>
      <c r="I676" s="8"/>
      <c r="J676" s="8"/>
      <c r="K676" s="8"/>
      <c r="L676" s="4"/>
      <c r="M676" s="4"/>
      <c r="N676" s="4"/>
      <c r="O676" s="4"/>
      <c r="P676" s="4"/>
    </row>
    <row r="677" spans="1:16" ht="20.25" customHeight="1">
      <c r="A677" s="373"/>
      <c r="B677" s="4"/>
      <c r="C677" s="4"/>
      <c r="D677" s="4"/>
      <c r="E677" s="374"/>
      <c r="F677" s="803"/>
      <c r="G677" s="374"/>
      <c r="H677" s="373"/>
      <c r="I677" s="8"/>
      <c r="J677" s="8"/>
      <c r="K677" s="8"/>
      <c r="L677" s="4"/>
      <c r="M677" s="4"/>
      <c r="N677" s="4"/>
      <c r="O677" s="4"/>
      <c r="P677" s="4"/>
    </row>
    <row r="678" spans="1:16" ht="20.25" customHeight="1">
      <c r="A678" s="373"/>
      <c r="B678" s="4"/>
      <c r="C678" s="4"/>
      <c r="D678" s="4"/>
      <c r="E678" s="374"/>
      <c r="F678" s="803"/>
      <c r="G678" s="374"/>
      <c r="H678" s="373"/>
      <c r="I678" s="8"/>
      <c r="J678" s="8"/>
      <c r="K678" s="8"/>
      <c r="L678" s="4"/>
      <c r="M678" s="4"/>
      <c r="N678" s="4"/>
      <c r="O678" s="4"/>
      <c r="P678" s="4"/>
    </row>
    <row r="679" spans="1:16" ht="20.25" customHeight="1">
      <c r="A679" s="373"/>
      <c r="B679" s="4"/>
      <c r="C679" s="4"/>
      <c r="D679" s="4"/>
      <c r="E679" s="374"/>
      <c r="F679" s="803"/>
      <c r="G679" s="374"/>
      <c r="H679" s="373"/>
      <c r="I679" s="8"/>
      <c r="J679" s="8"/>
      <c r="K679" s="8"/>
      <c r="L679" s="4"/>
      <c r="M679" s="4"/>
      <c r="N679" s="4"/>
      <c r="O679" s="4"/>
      <c r="P679" s="4"/>
    </row>
    <row r="680" spans="1:16" ht="20.25" customHeight="1">
      <c r="A680" s="373"/>
      <c r="B680" s="4"/>
      <c r="C680" s="4"/>
      <c r="D680" s="4"/>
      <c r="E680" s="374"/>
      <c r="F680" s="803"/>
      <c r="G680" s="374"/>
      <c r="H680" s="373"/>
      <c r="I680" s="8"/>
      <c r="J680" s="8"/>
      <c r="K680" s="8"/>
      <c r="L680" s="4"/>
      <c r="M680" s="4"/>
      <c r="N680" s="4"/>
      <c r="O680" s="4"/>
      <c r="P680" s="4"/>
    </row>
    <row r="681" spans="1:16" ht="20.25" customHeight="1">
      <c r="A681" s="373"/>
      <c r="B681" s="4"/>
      <c r="C681" s="4"/>
      <c r="D681" s="4"/>
      <c r="E681" s="374"/>
      <c r="F681" s="803"/>
      <c r="G681" s="374"/>
      <c r="H681" s="373"/>
      <c r="I681" s="8"/>
      <c r="J681" s="8"/>
      <c r="K681" s="8"/>
      <c r="L681" s="4"/>
      <c r="M681" s="4"/>
      <c r="N681" s="4"/>
      <c r="O681" s="4"/>
      <c r="P681" s="4"/>
    </row>
    <row r="682" spans="1:16" ht="20.25" customHeight="1">
      <c r="A682" s="373"/>
      <c r="B682" s="4"/>
      <c r="C682" s="4"/>
      <c r="D682" s="4"/>
      <c r="E682" s="374"/>
      <c r="F682" s="803"/>
      <c r="G682" s="374"/>
      <c r="H682" s="373"/>
      <c r="I682" s="8"/>
      <c r="J682" s="8"/>
      <c r="K682" s="8"/>
      <c r="L682" s="4"/>
      <c r="M682" s="4"/>
      <c r="N682" s="4"/>
      <c r="O682" s="4"/>
      <c r="P682" s="4"/>
    </row>
    <row r="683" spans="1:16" ht="20.25" customHeight="1">
      <c r="A683" s="373"/>
      <c r="B683" s="4"/>
      <c r="C683" s="4"/>
      <c r="D683" s="4"/>
      <c r="E683" s="374"/>
      <c r="F683" s="803"/>
      <c r="G683" s="374"/>
      <c r="H683" s="373"/>
      <c r="I683" s="8"/>
      <c r="J683" s="8"/>
      <c r="K683" s="8"/>
      <c r="L683" s="4"/>
      <c r="M683" s="4"/>
      <c r="N683" s="4"/>
      <c r="O683" s="4"/>
      <c r="P683" s="4"/>
    </row>
    <row r="684" spans="1:16" ht="15.75" customHeight="1"/>
    <row r="685" spans="1:16" ht="15.75" customHeight="1"/>
    <row r="686" spans="1:16" ht="15.75" customHeight="1"/>
    <row r="687" spans="1:16" ht="15.75" customHeight="1"/>
    <row r="688" spans="1:16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08A1D9E-697E-475D-9D1B-19D32ED0833D}" filter="1" showAutoFilter="1">
      <pageMargins left="0.7" right="0.7" top="0.75" bottom="0.75" header="0.3" footer="0.3"/>
      <autoFilter ref="A8:AC372" xr:uid="{275590BC-44AD-4F5F-943F-A34EC7A7CC85}">
        <filterColumn colId="6">
          <filters>
            <filter val="BARANG"/>
          </filters>
        </filterColumn>
      </autoFilter>
      <extLst>
        <ext uri="GoogleSheetsCustomDataVersion1">
          <go:sheetsCustomData xmlns:go="http://customooxmlschemas.google.com/" filterViewId="367548285"/>
        </ext>
      </extLst>
    </customSheetView>
  </customSheetViews>
  <mergeCells count="5">
    <mergeCell ref="B346:D346"/>
    <mergeCell ref="B5:D5"/>
    <mergeCell ref="G5:J5"/>
    <mergeCell ref="B6:D6"/>
    <mergeCell ref="G6:H6"/>
  </mergeCells>
  <pageMargins left="0.7" right="0.7" top="0.75" bottom="0.75" header="0" footer="0"/>
  <pageSetup paperSize="9" scale="45" orientation="portrait" r:id="rId1"/>
  <rowBreaks count="1" manualBreakCount="1">
    <brk id="75" max="16383" man="1"/>
  </rowBreaks>
  <colBreaks count="1" manualBreakCount="1">
    <brk id="10" max="68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</sheetPr>
  <dimension ref="A1:AC1000"/>
  <sheetViews>
    <sheetView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defaultColWidth="14.42578125" defaultRowHeight="15" customHeight="1"/>
  <cols>
    <col min="1" max="1" width="5.140625" customWidth="1"/>
    <col min="2" max="2" width="39.140625" customWidth="1"/>
    <col min="3" max="3" width="2.140625" customWidth="1"/>
    <col min="4" max="4" width="61.85546875" customWidth="1"/>
    <col min="5" max="5" width="12.140625" customWidth="1"/>
    <col min="6" max="7" width="18.42578125" customWidth="1"/>
    <col min="8" max="8" width="12.140625" customWidth="1"/>
    <col min="9" max="9" width="6.85546875" customWidth="1"/>
    <col min="10" max="10" width="22" customWidth="1"/>
    <col min="11" max="11" width="18.5703125" customWidth="1"/>
    <col min="12" max="12" width="12.140625" customWidth="1"/>
    <col min="13" max="13" width="5" customWidth="1"/>
    <col min="14" max="14" width="21.42578125" customWidth="1"/>
    <col min="15" max="15" width="18.5703125" customWidth="1"/>
    <col min="16" max="16" width="12.140625" customWidth="1"/>
    <col min="17" max="17" width="6.140625" customWidth="1"/>
    <col min="18" max="18" width="26" customWidth="1"/>
    <col min="19" max="19" width="18.5703125" customWidth="1"/>
    <col min="20" max="20" width="12.140625" customWidth="1"/>
    <col min="21" max="21" width="8" customWidth="1"/>
    <col min="22" max="22" width="23.140625" customWidth="1"/>
    <col min="23" max="23" width="18.5703125" customWidth="1"/>
    <col min="24" max="24" width="26" customWidth="1"/>
    <col min="25" max="25" width="27" customWidth="1"/>
    <col min="26" max="26" width="22.140625" customWidth="1"/>
    <col min="27" max="27" width="14.5703125" customWidth="1"/>
    <col min="28" max="29" width="8.85546875" customWidth="1"/>
  </cols>
  <sheetData>
    <row r="1" spans="1:29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</row>
    <row r="2" spans="1:29" ht="20.25" customHeight="1">
      <c r="A2" s="1" t="s">
        <v>384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 t="e">
        <f>W284</f>
        <v>#REF!</v>
      </c>
      <c r="Y2" s="8"/>
      <c r="Z2" s="4"/>
      <c r="AA2" s="4"/>
      <c r="AB2" s="4"/>
      <c r="AC2" s="4"/>
    </row>
    <row r="3" spans="1:29" ht="20.25" customHeight="1">
      <c r="A3" s="376" t="s">
        <v>385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8" t="e">
        <f>Y5-Y6</f>
        <v>#REF!</v>
      </c>
      <c r="Z3" s="4"/>
      <c r="AA3" s="4"/>
      <c r="AB3" s="4"/>
      <c r="AC3" s="4"/>
    </row>
    <row r="4" spans="1:29" ht="20.25" hidden="1" customHeight="1">
      <c r="A4" s="10"/>
      <c r="B4" s="12"/>
      <c r="C4" s="12"/>
      <c r="D4" s="13" t="e">
        <f>K282</f>
        <v>#REF!</v>
      </c>
      <c r="E4" s="10"/>
      <c r="F4" s="2"/>
      <c r="G4" s="2"/>
      <c r="H4" s="12"/>
      <c r="I4" s="12"/>
      <c r="J4" s="12"/>
      <c r="K4" s="13" t="e">
        <f>K282</f>
        <v>#REF!</v>
      </c>
      <c r="L4" s="12"/>
      <c r="M4" s="12"/>
      <c r="N4" s="12"/>
      <c r="O4" s="13" t="e">
        <f>O282</f>
        <v>#REF!</v>
      </c>
      <c r="P4" s="12"/>
      <c r="Q4" s="12"/>
      <c r="R4" s="12"/>
      <c r="S4" s="13" t="e">
        <f>S282</f>
        <v>#REF!</v>
      </c>
      <c r="T4" s="12"/>
      <c r="U4" s="12"/>
      <c r="V4" s="12"/>
      <c r="W4" s="13" t="e">
        <f>W282</f>
        <v>#REF!</v>
      </c>
      <c r="X4" s="13"/>
      <c r="Y4" s="8"/>
      <c r="Z4" s="4"/>
      <c r="AA4" s="4"/>
      <c r="AB4" s="4"/>
      <c r="AC4" s="4"/>
    </row>
    <row r="5" spans="1:29" ht="20.25" customHeight="1">
      <c r="A5" s="14"/>
      <c r="B5" s="582"/>
      <c r="C5" s="579"/>
      <c r="D5" s="580"/>
      <c r="E5" s="15"/>
      <c r="F5" s="14" t="s">
        <v>3</v>
      </c>
      <c r="G5" s="14"/>
      <c r="H5" s="585" t="s">
        <v>4</v>
      </c>
      <c r="I5" s="579"/>
      <c r="J5" s="579"/>
      <c r="K5" s="580"/>
      <c r="L5" s="586" t="s">
        <v>5</v>
      </c>
      <c r="M5" s="579"/>
      <c r="N5" s="579"/>
      <c r="O5" s="580"/>
      <c r="P5" s="587" t="s">
        <v>6</v>
      </c>
      <c r="Q5" s="579"/>
      <c r="R5" s="579"/>
      <c r="S5" s="580"/>
      <c r="T5" s="578" t="s">
        <v>7</v>
      </c>
      <c r="U5" s="579"/>
      <c r="V5" s="579"/>
      <c r="W5" s="580"/>
      <c r="X5" s="16"/>
      <c r="Y5" s="8">
        <v>92196000000</v>
      </c>
      <c r="Z5" s="4"/>
      <c r="AA5" s="4"/>
      <c r="AB5" s="4"/>
      <c r="AC5" s="4"/>
    </row>
    <row r="6" spans="1:29" ht="20.25" customHeight="1">
      <c r="A6" s="17"/>
      <c r="B6" s="581" t="s">
        <v>8</v>
      </c>
      <c r="C6" s="579"/>
      <c r="D6" s="580"/>
      <c r="E6" s="18" t="s">
        <v>9</v>
      </c>
      <c r="F6" s="14" t="s">
        <v>10</v>
      </c>
      <c r="G6" s="14" t="s">
        <v>11</v>
      </c>
      <c r="H6" s="578" t="s">
        <v>12</v>
      </c>
      <c r="I6" s="580"/>
      <c r="J6" s="19" t="s">
        <v>13</v>
      </c>
      <c r="K6" s="15" t="s">
        <v>14</v>
      </c>
      <c r="L6" s="583" t="s">
        <v>15</v>
      </c>
      <c r="M6" s="580"/>
      <c r="N6" s="20" t="s">
        <v>13</v>
      </c>
      <c r="O6" s="21" t="s">
        <v>14</v>
      </c>
      <c r="P6" s="584" t="s">
        <v>15</v>
      </c>
      <c r="Q6" s="580"/>
      <c r="R6" s="22" t="s">
        <v>13</v>
      </c>
      <c r="S6" s="23" t="s">
        <v>14</v>
      </c>
      <c r="T6" s="582" t="s">
        <v>15</v>
      </c>
      <c r="U6" s="580"/>
      <c r="V6" s="19" t="s">
        <v>13</v>
      </c>
      <c r="W6" s="15" t="s">
        <v>14</v>
      </c>
      <c r="X6" s="24"/>
      <c r="Y6" s="13" t="e">
        <f>O282</f>
        <v>#REF!</v>
      </c>
      <c r="Z6" s="4"/>
      <c r="AA6" s="4"/>
      <c r="AB6" s="4"/>
      <c r="AC6" s="4"/>
    </row>
    <row r="7" spans="1:29" ht="20.25" customHeight="1">
      <c r="A7" s="25"/>
      <c r="B7" s="25"/>
      <c r="C7" s="26"/>
      <c r="D7" s="27"/>
      <c r="E7" s="28"/>
      <c r="F7" s="27"/>
      <c r="G7" s="27"/>
      <c r="H7" s="29"/>
      <c r="I7" s="30"/>
      <c r="J7" s="31"/>
      <c r="K7" s="32"/>
      <c r="L7" s="29"/>
      <c r="M7" s="30"/>
      <c r="N7" s="31"/>
      <c r="O7" s="32"/>
      <c r="P7" s="29"/>
      <c r="Q7" s="30"/>
      <c r="R7" s="31"/>
      <c r="S7" s="32"/>
      <c r="T7" s="29"/>
      <c r="U7" s="30"/>
      <c r="V7" s="31"/>
      <c r="W7" s="32"/>
      <c r="X7" s="24"/>
      <c r="Y7" s="4"/>
      <c r="Z7" s="4"/>
      <c r="AA7" s="4"/>
      <c r="AB7" s="4"/>
      <c r="AC7" s="4"/>
    </row>
    <row r="8" spans="1:29" ht="20.25" customHeight="1">
      <c r="A8" s="33" t="s">
        <v>16</v>
      </c>
      <c r="B8" s="34" t="s">
        <v>17</v>
      </c>
      <c r="C8" s="35"/>
      <c r="D8" s="36"/>
      <c r="E8" s="37"/>
      <c r="F8" s="36"/>
      <c r="G8" s="36"/>
      <c r="H8" s="38"/>
      <c r="I8" s="39"/>
      <c r="J8" s="40"/>
      <c r="K8" s="41"/>
      <c r="L8" s="38"/>
      <c r="M8" s="39"/>
      <c r="N8" s="40"/>
      <c r="O8" s="41"/>
      <c r="P8" s="38"/>
      <c r="Q8" s="39"/>
      <c r="R8" s="40"/>
      <c r="S8" s="41"/>
      <c r="T8" s="38"/>
      <c r="U8" s="39"/>
      <c r="V8" s="40"/>
      <c r="W8" s="41"/>
      <c r="X8" s="24"/>
      <c r="Y8" s="4"/>
      <c r="Z8" s="4"/>
      <c r="AA8" s="4"/>
      <c r="AB8" s="4"/>
      <c r="AC8" s="4"/>
    </row>
    <row r="9" spans="1:29" ht="20.25" customHeight="1">
      <c r="A9" s="42">
        <v>1</v>
      </c>
      <c r="B9" s="43" t="s">
        <v>18</v>
      </c>
      <c r="C9" s="44"/>
      <c r="D9" s="45" t="s">
        <v>19</v>
      </c>
      <c r="E9" s="46" t="s">
        <v>20</v>
      </c>
      <c r="F9" s="47" t="s">
        <v>21</v>
      </c>
      <c r="G9" s="47" t="s">
        <v>22</v>
      </c>
      <c r="H9" s="48">
        <v>1</v>
      </c>
      <c r="I9" s="49" t="s">
        <v>23</v>
      </c>
      <c r="J9" s="50">
        <v>949048700</v>
      </c>
      <c r="K9" s="50">
        <f t="shared" ref="K9:K10" si="0">+J9*H9</f>
        <v>949048700</v>
      </c>
      <c r="L9" s="48"/>
      <c r="M9" s="51"/>
      <c r="N9" s="50"/>
      <c r="O9" s="50"/>
      <c r="P9" s="48"/>
      <c r="Q9" s="51"/>
      <c r="R9" s="50"/>
      <c r="S9" s="50"/>
      <c r="T9" s="48">
        <f t="shared" ref="T9:T12" si="1">H9-L9+P9</f>
        <v>1</v>
      </c>
      <c r="U9" s="49" t="s">
        <v>23</v>
      </c>
      <c r="V9" s="50">
        <f t="shared" ref="V9:V10" si="2">J9</f>
        <v>949048700</v>
      </c>
      <c r="W9" s="50">
        <f t="shared" ref="W9:W38" si="3">T9*V9</f>
        <v>949048700</v>
      </c>
      <c r="X9" s="13"/>
      <c r="Y9" s="4"/>
      <c r="Z9" s="4"/>
      <c r="AA9" s="4"/>
      <c r="AB9" s="4"/>
      <c r="AC9" s="4"/>
    </row>
    <row r="10" spans="1:29" ht="20.25" customHeight="1">
      <c r="A10" s="42"/>
      <c r="B10" s="52"/>
      <c r="C10" s="44"/>
      <c r="D10" s="45" t="s">
        <v>24</v>
      </c>
      <c r="E10" s="46" t="s">
        <v>20</v>
      </c>
      <c r="F10" s="47" t="s">
        <v>25</v>
      </c>
      <c r="G10" s="47" t="s">
        <v>22</v>
      </c>
      <c r="H10" s="53">
        <f>3-2</f>
        <v>1</v>
      </c>
      <c r="I10" s="49" t="s">
        <v>26</v>
      </c>
      <c r="J10" s="50">
        <v>3500000000</v>
      </c>
      <c r="K10" s="50">
        <f t="shared" si="0"/>
        <v>3500000000</v>
      </c>
      <c r="L10" s="53">
        <f>3-2</f>
        <v>1</v>
      </c>
      <c r="M10" s="54" t="s">
        <v>26</v>
      </c>
      <c r="N10" s="50">
        <v>3500000000</v>
      </c>
      <c r="O10" s="50">
        <f>+N10*L10</f>
        <v>3500000000</v>
      </c>
      <c r="P10" s="48"/>
      <c r="Q10" s="51"/>
      <c r="R10" s="50"/>
      <c r="S10" s="50"/>
      <c r="T10" s="48">
        <f t="shared" si="1"/>
        <v>0</v>
      </c>
      <c r="U10" s="49" t="s">
        <v>26</v>
      </c>
      <c r="V10" s="50">
        <f t="shared" si="2"/>
        <v>3500000000</v>
      </c>
      <c r="W10" s="50">
        <f t="shared" si="3"/>
        <v>0</v>
      </c>
      <c r="X10" s="13"/>
      <c r="Y10" s="4"/>
      <c r="Z10" s="4"/>
      <c r="AA10" s="4"/>
      <c r="AB10" s="4"/>
      <c r="AC10" s="4"/>
    </row>
    <row r="11" spans="1:29" ht="20.25" customHeight="1">
      <c r="A11" s="42"/>
      <c r="B11" s="52"/>
      <c r="C11" s="44"/>
      <c r="D11" s="45" t="s">
        <v>27</v>
      </c>
      <c r="E11" s="46" t="s">
        <v>20</v>
      </c>
      <c r="F11" s="47" t="s">
        <v>25</v>
      </c>
      <c r="G11" s="47" t="s">
        <v>22</v>
      </c>
      <c r="H11" s="48"/>
      <c r="I11" s="51"/>
      <c r="J11" s="50"/>
      <c r="K11" s="50"/>
      <c r="L11" s="48"/>
      <c r="M11" s="51"/>
      <c r="N11" s="50"/>
      <c r="O11" s="50"/>
      <c r="P11" s="53">
        <v>2</v>
      </c>
      <c r="Q11" s="54" t="s">
        <v>26</v>
      </c>
      <c r="R11" s="50">
        <f>2000000000+500000000+100000000</f>
        <v>2600000000</v>
      </c>
      <c r="S11" s="50">
        <f>+R11*P11</f>
        <v>5200000000</v>
      </c>
      <c r="T11" s="53">
        <f t="shared" si="1"/>
        <v>2</v>
      </c>
      <c r="U11" s="51"/>
      <c r="V11" s="50">
        <f>R11</f>
        <v>2600000000</v>
      </c>
      <c r="W11" s="50">
        <f t="shared" si="3"/>
        <v>5200000000</v>
      </c>
      <c r="X11" s="13"/>
      <c r="Y11" s="4"/>
      <c r="Z11" s="4"/>
      <c r="AA11" s="4"/>
      <c r="AB11" s="4"/>
      <c r="AC11" s="4"/>
    </row>
    <row r="12" spans="1:29" ht="20.25" customHeight="1">
      <c r="A12" s="42"/>
      <c r="B12" s="52"/>
      <c r="C12" s="44"/>
      <c r="D12" s="45" t="s">
        <v>386</v>
      </c>
      <c r="E12" s="46" t="s">
        <v>20</v>
      </c>
      <c r="F12" s="47" t="s">
        <v>25</v>
      </c>
      <c r="G12" s="47" t="s">
        <v>22</v>
      </c>
      <c r="H12" s="48">
        <v>1</v>
      </c>
      <c r="I12" s="51" t="s">
        <v>23</v>
      </c>
      <c r="J12" s="50">
        <v>750000000</v>
      </c>
      <c r="K12" s="50">
        <f t="shared" ref="K12:K28" si="4">+J12*H12</f>
        <v>750000000</v>
      </c>
      <c r="L12" s="48"/>
      <c r="M12" s="51"/>
      <c r="N12" s="50"/>
      <c r="O12" s="50"/>
      <c r="P12" s="48"/>
      <c r="Q12" s="51"/>
      <c r="R12" s="50"/>
      <c r="S12" s="50"/>
      <c r="T12" s="48">
        <f t="shared" si="1"/>
        <v>1</v>
      </c>
      <c r="U12" s="51" t="s">
        <v>23</v>
      </c>
      <c r="V12" s="50">
        <f>J12</f>
        <v>750000000</v>
      </c>
      <c r="W12" s="50">
        <f t="shared" si="3"/>
        <v>750000000</v>
      </c>
      <c r="X12" s="13"/>
      <c r="Y12" s="4"/>
      <c r="Z12" s="4"/>
      <c r="AA12" s="4"/>
      <c r="AB12" s="4"/>
      <c r="AC12" s="4"/>
    </row>
    <row r="13" spans="1:29" ht="20.25" customHeight="1">
      <c r="A13" s="42"/>
      <c r="B13" s="52"/>
      <c r="C13" s="44"/>
      <c r="D13" s="45" t="s">
        <v>30</v>
      </c>
      <c r="E13" s="46" t="s">
        <v>31</v>
      </c>
      <c r="F13" s="47" t="s">
        <v>32</v>
      </c>
      <c r="G13" s="47" t="s">
        <v>22</v>
      </c>
      <c r="H13" s="48">
        <v>1</v>
      </c>
      <c r="I13" s="49" t="s">
        <v>23</v>
      </c>
      <c r="J13" s="50">
        <f>750000000</f>
        <v>750000000</v>
      </c>
      <c r="K13" s="50">
        <f t="shared" si="4"/>
        <v>750000000</v>
      </c>
      <c r="L13" s="48">
        <v>1</v>
      </c>
      <c r="M13" s="49" t="s">
        <v>23</v>
      </c>
      <c r="N13" s="50">
        <f>200000000</f>
        <v>200000000</v>
      </c>
      <c r="O13" s="50">
        <f>N13</f>
        <v>200000000</v>
      </c>
      <c r="P13" s="48"/>
      <c r="Q13" s="51"/>
      <c r="R13" s="50"/>
      <c r="S13" s="50">
        <f>+R13*P13</f>
        <v>0</v>
      </c>
      <c r="T13" s="48">
        <f>H13</f>
        <v>1</v>
      </c>
      <c r="U13" s="49" t="s">
        <v>23</v>
      </c>
      <c r="V13" s="50">
        <f>J13-N13+R13</f>
        <v>550000000</v>
      </c>
      <c r="W13" s="50">
        <f t="shared" si="3"/>
        <v>550000000</v>
      </c>
      <c r="X13" s="13"/>
      <c r="Y13" s="4"/>
      <c r="Z13" s="4"/>
      <c r="AA13" s="4"/>
      <c r="AB13" s="4"/>
      <c r="AC13" s="4"/>
    </row>
    <row r="14" spans="1:29" ht="20.25" customHeight="1">
      <c r="A14" s="42"/>
      <c r="B14" s="52"/>
      <c r="C14" s="44"/>
      <c r="D14" s="45" t="s">
        <v>33</v>
      </c>
      <c r="E14" s="46" t="s">
        <v>34</v>
      </c>
      <c r="F14" s="47" t="s">
        <v>21</v>
      </c>
      <c r="G14" s="47" t="s">
        <v>28</v>
      </c>
      <c r="H14" s="48">
        <v>1</v>
      </c>
      <c r="I14" s="51" t="s">
        <v>23</v>
      </c>
      <c r="J14" s="50">
        <v>450000000</v>
      </c>
      <c r="K14" s="50">
        <f t="shared" si="4"/>
        <v>450000000</v>
      </c>
      <c r="L14" s="48"/>
      <c r="M14" s="51"/>
      <c r="N14" s="50"/>
      <c r="O14" s="50"/>
      <c r="P14" s="48"/>
      <c r="Q14" s="51"/>
      <c r="R14" s="50"/>
      <c r="S14" s="50"/>
      <c r="T14" s="48">
        <f t="shared" ref="T14:T16" si="5">H14-L14+P14</f>
        <v>1</v>
      </c>
      <c r="U14" s="51" t="s">
        <v>23</v>
      </c>
      <c r="V14" s="50">
        <f t="shared" ref="V14:V16" si="6">J14</f>
        <v>450000000</v>
      </c>
      <c r="W14" s="50">
        <f t="shared" si="3"/>
        <v>450000000</v>
      </c>
      <c r="X14" s="13"/>
      <c r="Y14" s="4"/>
      <c r="Z14" s="4"/>
      <c r="AA14" s="4"/>
      <c r="AB14" s="4"/>
      <c r="AC14" s="4"/>
    </row>
    <row r="15" spans="1:29" ht="20.25" customHeight="1">
      <c r="A15" s="42"/>
      <c r="B15" s="52"/>
      <c r="C15" s="44"/>
      <c r="D15" s="45" t="s">
        <v>35</v>
      </c>
      <c r="E15" s="46" t="s">
        <v>34</v>
      </c>
      <c r="F15" s="47" t="s">
        <v>21</v>
      </c>
      <c r="G15" s="47" t="s">
        <v>28</v>
      </c>
      <c r="H15" s="48">
        <v>1</v>
      </c>
      <c r="I15" s="49" t="s">
        <v>23</v>
      </c>
      <c r="J15" s="50">
        <v>225000000</v>
      </c>
      <c r="K15" s="50">
        <f t="shared" si="4"/>
        <v>225000000</v>
      </c>
      <c r="L15" s="48"/>
      <c r="M15" s="51"/>
      <c r="N15" s="50"/>
      <c r="O15" s="50"/>
      <c r="P15" s="48"/>
      <c r="Q15" s="51"/>
      <c r="R15" s="50"/>
      <c r="S15" s="50"/>
      <c r="T15" s="48">
        <f t="shared" si="5"/>
        <v>1</v>
      </c>
      <c r="U15" s="49" t="s">
        <v>23</v>
      </c>
      <c r="V15" s="50">
        <f t="shared" si="6"/>
        <v>225000000</v>
      </c>
      <c r="W15" s="50">
        <f t="shared" si="3"/>
        <v>225000000</v>
      </c>
      <c r="X15" s="13"/>
      <c r="Y15" s="4"/>
      <c r="Z15" s="4"/>
      <c r="AA15" s="4"/>
      <c r="AB15" s="4"/>
      <c r="AC15" s="4"/>
    </row>
    <row r="16" spans="1:29" ht="20.25" customHeight="1">
      <c r="A16" s="42"/>
      <c r="B16" s="52"/>
      <c r="C16" s="44"/>
      <c r="D16" s="45" t="s">
        <v>36</v>
      </c>
      <c r="E16" s="46" t="s">
        <v>34</v>
      </c>
      <c r="F16" s="47" t="s">
        <v>21</v>
      </c>
      <c r="G16" s="47" t="s">
        <v>28</v>
      </c>
      <c r="H16" s="48">
        <f>9</f>
        <v>9</v>
      </c>
      <c r="I16" s="49" t="s">
        <v>23</v>
      </c>
      <c r="J16" s="50">
        <v>200000000</v>
      </c>
      <c r="K16" s="50">
        <f t="shared" si="4"/>
        <v>1800000000</v>
      </c>
      <c r="L16" s="48"/>
      <c r="M16" s="51"/>
      <c r="N16" s="50"/>
      <c r="O16" s="50"/>
      <c r="P16" s="48"/>
      <c r="Q16" s="51"/>
      <c r="R16" s="50"/>
      <c r="S16" s="50">
        <f t="shared" ref="S16:S17" si="7">+R16*P16</f>
        <v>0</v>
      </c>
      <c r="T16" s="48">
        <f t="shared" si="5"/>
        <v>9</v>
      </c>
      <c r="U16" s="49" t="s">
        <v>23</v>
      </c>
      <c r="V16" s="50">
        <f t="shared" si="6"/>
        <v>200000000</v>
      </c>
      <c r="W16" s="50">
        <f t="shared" si="3"/>
        <v>1800000000</v>
      </c>
      <c r="X16" s="13"/>
      <c r="Y16" s="4"/>
      <c r="Z16" s="4"/>
      <c r="AA16" s="4"/>
      <c r="AB16" s="4"/>
      <c r="AC16" s="4"/>
    </row>
    <row r="17" spans="1:29" ht="15.75" customHeight="1">
      <c r="A17" s="42"/>
      <c r="B17" s="52"/>
      <c r="C17" s="44"/>
      <c r="D17" s="45" t="s">
        <v>37</v>
      </c>
      <c r="E17" s="46" t="s">
        <v>34</v>
      </c>
      <c r="F17" s="47" t="s">
        <v>21</v>
      </c>
      <c r="G17" s="47" t="s">
        <v>28</v>
      </c>
      <c r="H17" s="48">
        <v>1</v>
      </c>
      <c r="I17" s="51" t="s">
        <v>26</v>
      </c>
      <c r="J17" s="50">
        <v>10000000</v>
      </c>
      <c r="K17" s="50">
        <f t="shared" si="4"/>
        <v>10000000</v>
      </c>
      <c r="L17" s="48"/>
      <c r="M17" s="51"/>
      <c r="N17" s="50"/>
      <c r="O17" s="50"/>
      <c r="P17" s="57">
        <v>1</v>
      </c>
      <c r="Q17" s="42" t="s">
        <v>23</v>
      </c>
      <c r="R17" s="50">
        <v>15000000</v>
      </c>
      <c r="S17" s="50">
        <f t="shared" si="7"/>
        <v>15000000</v>
      </c>
      <c r="T17" s="48">
        <v>1</v>
      </c>
      <c r="U17" s="51" t="s">
        <v>26</v>
      </c>
      <c r="V17" s="50">
        <f>J17+R17</f>
        <v>25000000</v>
      </c>
      <c r="W17" s="50">
        <f t="shared" si="3"/>
        <v>25000000</v>
      </c>
      <c r="X17" s="13"/>
      <c r="Y17" s="4"/>
      <c r="Z17" s="4"/>
      <c r="AA17" s="4"/>
      <c r="AB17" s="4"/>
      <c r="AC17" s="4"/>
    </row>
    <row r="18" spans="1:29" ht="28.5" customHeight="1">
      <c r="A18" s="42"/>
      <c r="B18" s="52"/>
      <c r="C18" s="44"/>
      <c r="D18" s="45" t="s">
        <v>38</v>
      </c>
      <c r="E18" s="46" t="s">
        <v>34</v>
      </c>
      <c r="F18" s="47" t="s">
        <v>25</v>
      </c>
      <c r="G18" s="47" t="s">
        <v>22</v>
      </c>
      <c r="H18" s="48">
        <v>1</v>
      </c>
      <c r="I18" s="51" t="s">
        <v>23</v>
      </c>
      <c r="J18" s="50">
        <f>236410000*1.5</f>
        <v>354615000</v>
      </c>
      <c r="K18" s="50">
        <f t="shared" si="4"/>
        <v>354615000</v>
      </c>
      <c r="L18" s="48"/>
      <c r="M18" s="51"/>
      <c r="N18" s="50"/>
      <c r="O18" s="50"/>
      <c r="P18" s="48"/>
      <c r="Q18" s="51"/>
      <c r="R18" s="50"/>
      <c r="S18" s="50"/>
      <c r="T18" s="48">
        <f>H18-L18+P18</f>
        <v>1</v>
      </c>
      <c r="U18" s="51" t="s">
        <v>23</v>
      </c>
      <c r="V18" s="50">
        <f>J18</f>
        <v>354615000</v>
      </c>
      <c r="W18" s="50">
        <f t="shared" si="3"/>
        <v>354615000</v>
      </c>
      <c r="X18" s="13"/>
      <c r="Y18" s="4"/>
      <c r="Z18" s="4"/>
      <c r="AA18" s="4"/>
      <c r="AB18" s="4"/>
      <c r="AC18" s="4"/>
    </row>
    <row r="19" spans="1:29" ht="20.25" customHeight="1">
      <c r="A19" s="42"/>
      <c r="B19" s="52"/>
      <c r="C19" s="44"/>
      <c r="D19" s="58" t="s">
        <v>39</v>
      </c>
      <c r="E19" s="59" t="s">
        <v>20</v>
      </c>
      <c r="F19" s="47" t="s">
        <v>21</v>
      </c>
      <c r="G19" s="47" t="s">
        <v>22</v>
      </c>
      <c r="H19" s="57">
        <v>2</v>
      </c>
      <c r="I19" s="42" t="s">
        <v>23</v>
      </c>
      <c r="J19" s="50">
        <v>115000000</v>
      </c>
      <c r="K19" s="50">
        <f t="shared" si="4"/>
        <v>230000000</v>
      </c>
      <c r="L19" s="57"/>
      <c r="M19" s="42"/>
      <c r="N19" s="50"/>
      <c r="O19" s="50"/>
      <c r="P19" s="57">
        <v>2</v>
      </c>
      <c r="Q19" s="42" t="s">
        <v>23</v>
      </c>
      <c r="R19" s="50">
        <v>308325000</v>
      </c>
      <c r="S19" s="50">
        <f>+R19*P19</f>
        <v>616650000</v>
      </c>
      <c r="T19" s="48">
        <v>2</v>
      </c>
      <c r="U19" s="42" t="s">
        <v>23</v>
      </c>
      <c r="V19" s="50">
        <f>J19+R19</f>
        <v>423325000</v>
      </c>
      <c r="W19" s="50">
        <f t="shared" si="3"/>
        <v>846650000</v>
      </c>
      <c r="X19" s="13"/>
      <c r="Y19" s="4"/>
      <c r="Z19" s="4"/>
      <c r="AA19" s="4"/>
      <c r="AB19" s="4"/>
      <c r="AC19" s="4"/>
    </row>
    <row r="20" spans="1:29" ht="20.25" customHeight="1">
      <c r="A20" s="42"/>
      <c r="B20" s="52"/>
      <c r="C20" s="44"/>
      <c r="D20" s="58" t="s">
        <v>40</v>
      </c>
      <c r="E20" s="59" t="s">
        <v>20</v>
      </c>
      <c r="F20" s="47" t="s">
        <v>21</v>
      </c>
      <c r="G20" s="47" t="s">
        <v>22</v>
      </c>
      <c r="H20" s="57">
        <v>1</v>
      </c>
      <c r="I20" s="42" t="s">
        <v>23</v>
      </c>
      <c r="J20" s="50">
        <v>750000000</v>
      </c>
      <c r="K20" s="50">
        <f t="shared" si="4"/>
        <v>750000000</v>
      </c>
      <c r="L20" s="57"/>
      <c r="M20" s="42"/>
      <c r="N20" s="50"/>
      <c r="O20" s="50"/>
      <c r="P20" s="57"/>
      <c r="Q20" s="42"/>
      <c r="R20" s="50"/>
      <c r="S20" s="50"/>
      <c r="T20" s="48">
        <f t="shared" ref="T20:T22" si="8">H20-L20+P20</f>
        <v>1</v>
      </c>
      <c r="U20" s="42" t="s">
        <v>23</v>
      </c>
      <c r="V20" s="50">
        <f t="shared" ref="V20:V22" si="9">J20</f>
        <v>750000000</v>
      </c>
      <c r="W20" s="50">
        <f t="shared" si="3"/>
        <v>750000000</v>
      </c>
      <c r="X20" s="13"/>
      <c r="Y20" s="4"/>
      <c r="Z20" s="4"/>
      <c r="AA20" s="4"/>
      <c r="AB20" s="4"/>
      <c r="AC20" s="4"/>
    </row>
    <row r="21" spans="1:29" ht="20.25" customHeight="1">
      <c r="A21" s="42"/>
      <c r="B21" s="52"/>
      <c r="C21" s="44"/>
      <c r="D21" s="58" t="s">
        <v>41</v>
      </c>
      <c r="E21" s="59" t="s">
        <v>20</v>
      </c>
      <c r="F21" s="47" t="s">
        <v>25</v>
      </c>
      <c r="G21" s="47" t="s">
        <v>22</v>
      </c>
      <c r="H21" s="57">
        <v>1</v>
      </c>
      <c r="I21" s="42" t="s">
        <v>23</v>
      </c>
      <c r="J21" s="50">
        <v>75000000</v>
      </c>
      <c r="K21" s="50">
        <f t="shared" si="4"/>
        <v>75000000</v>
      </c>
      <c r="L21" s="57"/>
      <c r="M21" s="42"/>
      <c r="N21" s="50"/>
      <c r="O21" s="50"/>
      <c r="P21" s="57"/>
      <c r="Q21" s="42"/>
      <c r="R21" s="50"/>
      <c r="S21" s="50"/>
      <c r="T21" s="48">
        <f t="shared" si="8"/>
        <v>1</v>
      </c>
      <c r="U21" s="42" t="s">
        <v>23</v>
      </c>
      <c r="V21" s="50">
        <f t="shared" si="9"/>
        <v>75000000</v>
      </c>
      <c r="W21" s="50">
        <f t="shared" si="3"/>
        <v>75000000</v>
      </c>
      <c r="X21" s="13"/>
      <c r="Y21" s="4"/>
      <c r="Z21" s="4"/>
      <c r="AA21" s="4"/>
      <c r="AB21" s="4"/>
      <c r="AC21" s="4"/>
    </row>
    <row r="22" spans="1:29" ht="20.25" customHeight="1">
      <c r="A22" s="42"/>
      <c r="B22" s="52"/>
      <c r="C22" s="44"/>
      <c r="D22" s="58" t="s">
        <v>42</v>
      </c>
      <c r="E22" s="59" t="s">
        <v>20</v>
      </c>
      <c r="F22" s="47" t="s">
        <v>43</v>
      </c>
      <c r="G22" s="47" t="s">
        <v>22</v>
      </c>
      <c r="H22" s="57">
        <v>1</v>
      </c>
      <c r="I22" s="42" t="s">
        <v>23</v>
      </c>
      <c r="J22" s="50">
        <v>150000000</v>
      </c>
      <c r="K22" s="50">
        <f t="shared" si="4"/>
        <v>150000000</v>
      </c>
      <c r="L22" s="57"/>
      <c r="M22" s="42"/>
      <c r="N22" s="50"/>
      <c r="O22" s="50"/>
      <c r="P22" s="57"/>
      <c r="Q22" s="42"/>
      <c r="R22" s="50"/>
      <c r="S22" s="50"/>
      <c r="T22" s="48">
        <f t="shared" si="8"/>
        <v>1</v>
      </c>
      <c r="U22" s="42" t="s">
        <v>23</v>
      </c>
      <c r="V22" s="50">
        <f t="shared" si="9"/>
        <v>150000000</v>
      </c>
      <c r="W22" s="50">
        <f t="shared" si="3"/>
        <v>150000000</v>
      </c>
      <c r="X22" s="13"/>
      <c r="Y22" s="4"/>
      <c r="Z22" s="4"/>
      <c r="AA22" s="4"/>
      <c r="AB22" s="4"/>
      <c r="AC22" s="4"/>
    </row>
    <row r="23" spans="1:29" ht="20.25" customHeight="1">
      <c r="A23" s="60"/>
      <c r="B23" s="61"/>
      <c r="C23" s="62"/>
      <c r="D23" s="63" t="s">
        <v>44</v>
      </c>
      <c r="E23" s="64" t="s">
        <v>20</v>
      </c>
      <c r="F23" s="47" t="s">
        <v>43</v>
      </c>
      <c r="G23" s="47" t="s">
        <v>22</v>
      </c>
      <c r="H23" s="65">
        <v>14</v>
      </c>
      <c r="I23" s="60" t="s">
        <v>45</v>
      </c>
      <c r="J23" s="66">
        <v>35000000</v>
      </c>
      <c r="K23" s="66">
        <f t="shared" si="4"/>
        <v>490000000</v>
      </c>
      <c r="L23" s="65">
        <v>14</v>
      </c>
      <c r="M23" s="60" t="s">
        <v>45</v>
      </c>
      <c r="N23" s="66">
        <f>35000000-15000000</f>
        <v>20000000</v>
      </c>
      <c r="O23" s="66">
        <f>+N23*L23</f>
        <v>280000000</v>
      </c>
      <c r="P23" s="65"/>
      <c r="Q23" s="60"/>
      <c r="R23" s="66"/>
      <c r="S23" s="66"/>
      <c r="T23" s="67">
        <f>H23</f>
        <v>14</v>
      </c>
      <c r="U23" s="60" t="s">
        <v>45</v>
      </c>
      <c r="V23" s="66">
        <f>J23-N23</f>
        <v>15000000</v>
      </c>
      <c r="W23" s="66">
        <f t="shared" si="3"/>
        <v>210000000</v>
      </c>
      <c r="X23" s="68"/>
      <c r="Y23" s="69"/>
      <c r="Z23" s="69"/>
      <c r="AA23" s="69"/>
      <c r="AB23" s="69"/>
      <c r="AC23" s="69"/>
    </row>
    <row r="24" spans="1:29" ht="20.25" customHeight="1">
      <c r="A24" s="42"/>
      <c r="B24" s="52"/>
      <c r="C24" s="44"/>
      <c r="D24" s="58" t="s">
        <v>46</v>
      </c>
      <c r="E24" s="59" t="s">
        <v>20</v>
      </c>
      <c r="F24" s="47" t="s">
        <v>43</v>
      </c>
      <c r="G24" s="47" t="s">
        <v>22</v>
      </c>
      <c r="H24" s="57">
        <v>1</v>
      </c>
      <c r="I24" s="42" t="s">
        <v>47</v>
      </c>
      <c r="J24" s="50">
        <f>100931572-30000000</f>
        <v>70931572</v>
      </c>
      <c r="K24" s="50">
        <f t="shared" si="4"/>
        <v>70931572</v>
      </c>
      <c r="L24" s="57"/>
      <c r="M24" s="42"/>
      <c r="N24" s="50"/>
      <c r="O24" s="50"/>
      <c r="P24" s="57">
        <v>1</v>
      </c>
      <c r="Q24" s="42" t="s">
        <v>47</v>
      </c>
      <c r="R24" s="50">
        <f>205950000-70931572</f>
        <v>135018428</v>
      </c>
      <c r="S24" s="50">
        <f t="shared" ref="S24:S25" si="10">+R24*P24</f>
        <v>135018428</v>
      </c>
      <c r="T24" s="48">
        <v>1</v>
      </c>
      <c r="U24" s="42" t="s">
        <v>47</v>
      </c>
      <c r="V24" s="50">
        <f>J24+R24</f>
        <v>205950000</v>
      </c>
      <c r="W24" s="50">
        <f t="shared" si="3"/>
        <v>205950000</v>
      </c>
      <c r="X24" s="13"/>
      <c r="Y24" s="4"/>
      <c r="Z24" s="4"/>
      <c r="AA24" s="4"/>
      <c r="AB24" s="4"/>
      <c r="AC24" s="4"/>
    </row>
    <row r="25" spans="1:29" ht="20.25" customHeight="1">
      <c r="A25" s="70"/>
      <c r="B25" s="70"/>
      <c r="C25" s="71"/>
      <c r="D25" s="72" t="s">
        <v>48</v>
      </c>
      <c r="E25" s="59" t="s">
        <v>31</v>
      </c>
      <c r="F25" s="47" t="s">
        <v>32</v>
      </c>
      <c r="G25" s="47" t="s">
        <v>22</v>
      </c>
      <c r="H25" s="73">
        <v>1</v>
      </c>
      <c r="I25" s="42" t="s">
        <v>47</v>
      </c>
      <c r="J25" s="74">
        <f>30000000</f>
        <v>30000000</v>
      </c>
      <c r="K25" s="74">
        <f t="shared" si="4"/>
        <v>30000000</v>
      </c>
      <c r="L25" s="73"/>
      <c r="M25" s="70"/>
      <c r="N25" s="74"/>
      <c r="O25" s="74"/>
      <c r="P25" s="73"/>
      <c r="Q25" s="70"/>
      <c r="R25" s="74"/>
      <c r="S25" s="74">
        <f t="shared" si="10"/>
        <v>0</v>
      </c>
      <c r="T25" s="75">
        <f t="shared" ref="T25:T27" si="11">H25-L25+P25</f>
        <v>1</v>
      </c>
      <c r="U25" s="42" t="s">
        <v>47</v>
      </c>
      <c r="V25" s="74">
        <f t="shared" ref="V25:V27" si="12">J25</f>
        <v>30000000</v>
      </c>
      <c r="W25" s="74">
        <f t="shared" si="3"/>
        <v>30000000</v>
      </c>
      <c r="X25" s="13"/>
      <c r="Y25" s="4"/>
      <c r="Z25" s="4"/>
      <c r="AA25" s="4"/>
      <c r="AB25" s="4"/>
      <c r="AC25" s="4"/>
    </row>
    <row r="26" spans="1:29" ht="20.25" customHeight="1">
      <c r="A26" s="42"/>
      <c r="B26" s="52"/>
      <c r="C26" s="44"/>
      <c r="D26" s="58" t="s">
        <v>49</v>
      </c>
      <c r="E26" s="59" t="s">
        <v>50</v>
      </c>
      <c r="F26" s="47" t="s">
        <v>32</v>
      </c>
      <c r="G26" s="47" t="s">
        <v>22</v>
      </c>
      <c r="H26" s="57">
        <v>2362.52</v>
      </c>
      <c r="I26" s="42" t="s">
        <v>51</v>
      </c>
      <c r="J26" s="50">
        <v>50000</v>
      </c>
      <c r="K26" s="50">
        <f t="shared" si="4"/>
        <v>118126000</v>
      </c>
      <c r="L26" s="57"/>
      <c r="M26" s="42"/>
      <c r="N26" s="50"/>
      <c r="O26" s="50"/>
      <c r="P26" s="57"/>
      <c r="Q26" s="42"/>
      <c r="R26" s="50"/>
      <c r="S26" s="50"/>
      <c r="T26" s="48">
        <f t="shared" si="11"/>
        <v>2362.52</v>
      </c>
      <c r="U26" s="42" t="s">
        <v>51</v>
      </c>
      <c r="V26" s="50">
        <f t="shared" si="12"/>
        <v>50000</v>
      </c>
      <c r="W26" s="50">
        <f t="shared" si="3"/>
        <v>118126000</v>
      </c>
      <c r="X26" s="13"/>
      <c r="Y26" s="4"/>
      <c r="Z26" s="4"/>
      <c r="AA26" s="4"/>
      <c r="AB26" s="4"/>
      <c r="AC26" s="4"/>
    </row>
    <row r="27" spans="1:29" ht="20.25" customHeight="1">
      <c r="A27" s="60"/>
      <c r="B27" s="61"/>
      <c r="C27" s="62"/>
      <c r="D27" s="63" t="s">
        <v>52</v>
      </c>
      <c r="E27" s="64" t="s">
        <v>20</v>
      </c>
      <c r="F27" s="47" t="s">
        <v>32</v>
      </c>
      <c r="G27" s="47" t="s">
        <v>22</v>
      </c>
      <c r="H27" s="65">
        <f>4</f>
        <v>4</v>
      </c>
      <c r="I27" s="60" t="s">
        <v>45</v>
      </c>
      <c r="J27" s="66">
        <v>65000000</v>
      </c>
      <c r="K27" s="66">
        <f t="shared" si="4"/>
        <v>260000000</v>
      </c>
      <c r="L27" s="65">
        <f>4</f>
        <v>4</v>
      </c>
      <c r="M27" s="60" t="s">
        <v>45</v>
      </c>
      <c r="N27" s="66">
        <v>65000000</v>
      </c>
      <c r="O27" s="66">
        <f t="shared" ref="O27:O28" si="13">+N27*L27</f>
        <v>260000000</v>
      </c>
      <c r="P27" s="65"/>
      <c r="Q27" s="60"/>
      <c r="R27" s="66"/>
      <c r="S27" s="66">
        <f t="shared" ref="S27:S38" si="14">+R27*P27</f>
        <v>0</v>
      </c>
      <c r="T27" s="67">
        <f t="shared" si="11"/>
        <v>0</v>
      </c>
      <c r="U27" s="60" t="s">
        <v>45</v>
      </c>
      <c r="V27" s="66">
        <f t="shared" si="12"/>
        <v>65000000</v>
      </c>
      <c r="W27" s="66">
        <f t="shared" si="3"/>
        <v>0</v>
      </c>
      <c r="X27" s="68"/>
      <c r="Y27" s="69"/>
      <c r="Z27" s="69"/>
      <c r="AA27" s="69"/>
      <c r="AB27" s="69"/>
      <c r="AC27" s="69"/>
    </row>
    <row r="28" spans="1:29" ht="27.75" customHeight="1">
      <c r="A28" s="60"/>
      <c r="B28" s="61"/>
      <c r="C28" s="62"/>
      <c r="D28" s="76" t="s">
        <v>387</v>
      </c>
      <c r="E28" s="64" t="s">
        <v>31</v>
      </c>
      <c r="F28" s="47" t="s">
        <v>32</v>
      </c>
      <c r="G28" s="47" t="s">
        <v>22</v>
      </c>
      <c r="H28" s="65">
        <f>2</f>
        <v>2</v>
      </c>
      <c r="I28" s="60" t="s">
        <v>45</v>
      </c>
      <c r="J28" s="66">
        <v>35000000</v>
      </c>
      <c r="K28" s="66">
        <f t="shared" si="4"/>
        <v>70000000</v>
      </c>
      <c r="L28" s="65">
        <f>2</f>
        <v>2</v>
      </c>
      <c r="M28" s="60" t="s">
        <v>45</v>
      </c>
      <c r="N28" s="66">
        <f>35000000-15000000</f>
        <v>20000000</v>
      </c>
      <c r="O28" s="66">
        <f t="shared" si="13"/>
        <v>40000000</v>
      </c>
      <c r="P28" s="65"/>
      <c r="Q28" s="60"/>
      <c r="R28" s="66"/>
      <c r="S28" s="66">
        <f t="shared" si="14"/>
        <v>0</v>
      </c>
      <c r="T28" s="67">
        <f>H28</f>
        <v>2</v>
      </c>
      <c r="U28" s="60" t="s">
        <v>45</v>
      </c>
      <c r="V28" s="66">
        <f>J28-N28</f>
        <v>15000000</v>
      </c>
      <c r="W28" s="66">
        <f t="shared" si="3"/>
        <v>30000000</v>
      </c>
      <c r="X28" s="68"/>
      <c r="Y28" s="69"/>
      <c r="Z28" s="69"/>
      <c r="AA28" s="69"/>
      <c r="AB28" s="69"/>
      <c r="AC28" s="69"/>
    </row>
    <row r="29" spans="1:29" ht="20.25" customHeight="1">
      <c r="A29" s="42"/>
      <c r="B29" s="52"/>
      <c r="C29" s="44"/>
      <c r="D29" s="77"/>
      <c r="E29" s="59"/>
      <c r="F29" s="47"/>
      <c r="G29" s="47"/>
      <c r="H29" s="78"/>
      <c r="I29" s="57"/>
      <c r="J29" s="78"/>
      <c r="K29" s="78"/>
      <c r="L29" s="78"/>
      <c r="M29" s="57"/>
      <c r="N29" s="78"/>
      <c r="O29" s="78"/>
      <c r="P29" s="78"/>
      <c r="Q29" s="57"/>
      <c r="R29" s="78"/>
      <c r="S29" s="50">
        <f t="shared" si="14"/>
        <v>0</v>
      </c>
      <c r="T29" s="48">
        <f>H29-L29+P29</f>
        <v>0</v>
      </c>
      <c r="U29" s="57"/>
      <c r="V29" s="50"/>
      <c r="W29" s="50">
        <f t="shared" si="3"/>
        <v>0</v>
      </c>
      <c r="X29" s="13"/>
      <c r="Y29" s="4"/>
      <c r="Z29" s="4"/>
      <c r="AA29" s="4"/>
      <c r="AB29" s="4"/>
      <c r="AC29" s="4"/>
    </row>
    <row r="30" spans="1:29" ht="20.25" customHeight="1">
      <c r="A30" s="42"/>
      <c r="B30" s="52"/>
      <c r="C30" s="44"/>
      <c r="D30" s="80" t="s">
        <v>54</v>
      </c>
      <c r="E30" s="46" t="s">
        <v>20</v>
      </c>
      <c r="F30" s="47" t="s">
        <v>25</v>
      </c>
      <c r="G30" s="47" t="s">
        <v>22</v>
      </c>
      <c r="H30" s="53"/>
      <c r="I30" s="48"/>
      <c r="J30" s="78"/>
      <c r="K30" s="78"/>
      <c r="L30" s="53"/>
      <c r="M30" s="48"/>
      <c r="N30" s="78"/>
      <c r="O30" s="78"/>
      <c r="P30" s="53">
        <v>1</v>
      </c>
      <c r="Q30" s="48" t="s">
        <v>23</v>
      </c>
      <c r="R30" s="78">
        <f>200000000+(25000000*12)</f>
        <v>500000000</v>
      </c>
      <c r="S30" s="50">
        <f t="shared" si="14"/>
        <v>500000000</v>
      </c>
      <c r="T30" s="48">
        <v>0</v>
      </c>
      <c r="U30" s="48" t="s">
        <v>23</v>
      </c>
      <c r="V30" s="50">
        <f t="shared" ref="V30:V38" si="15">R30</f>
        <v>500000000</v>
      </c>
      <c r="W30" s="50">
        <f t="shared" si="3"/>
        <v>0</v>
      </c>
      <c r="X30" s="13"/>
      <c r="Y30" s="4"/>
      <c r="Z30" s="4"/>
      <c r="AA30" s="4"/>
      <c r="AB30" s="4"/>
      <c r="AC30" s="4"/>
    </row>
    <row r="31" spans="1:29" ht="20.25" customHeight="1">
      <c r="A31" s="42"/>
      <c r="B31" s="52"/>
      <c r="C31" s="44"/>
      <c r="D31" s="79" t="s">
        <v>55</v>
      </c>
      <c r="E31" s="59" t="s">
        <v>20</v>
      </c>
      <c r="F31" s="47" t="s">
        <v>21</v>
      </c>
      <c r="G31" s="47" t="s">
        <v>22</v>
      </c>
      <c r="H31" s="78"/>
      <c r="I31" s="57"/>
      <c r="J31" s="78"/>
      <c r="K31" s="78"/>
      <c r="L31" s="78"/>
      <c r="M31" s="57"/>
      <c r="N31" s="78"/>
      <c r="O31" s="78"/>
      <c r="P31" s="78">
        <v>2</v>
      </c>
      <c r="Q31" s="57" t="s">
        <v>26</v>
      </c>
      <c r="R31" s="78">
        <v>175000000</v>
      </c>
      <c r="S31" s="50">
        <f t="shared" si="14"/>
        <v>350000000</v>
      </c>
      <c r="T31" s="48">
        <f t="shared" ref="T31:T38" si="16">H31-L31+P31</f>
        <v>2</v>
      </c>
      <c r="U31" s="57" t="s">
        <v>26</v>
      </c>
      <c r="V31" s="50">
        <f t="shared" si="15"/>
        <v>175000000</v>
      </c>
      <c r="W31" s="50">
        <f t="shared" si="3"/>
        <v>350000000</v>
      </c>
      <c r="X31" s="13"/>
      <c r="Y31" s="4"/>
      <c r="Z31" s="4"/>
      <c r="AA31" s="4"/>
      <c r="AB31" s="4"/>
      <c r="AC31" s="4"/>
    </row>
    <row r="32" spans="1:29" ht="20.25" customHeight="1">
      <c r="A32" s="42"/>
      <c r="B32" s="52"/>
      <c r="C32" s="44"/>
      <c r="D32" s="79" t="s">
        <v>56</v>
      </c>
      <c r="E32" s="59" t="s">
        <v>20</v>
      </c>
      <c r="F32" s="47" t="s">
        <v>21</v>
      </c>
      <c r="G32" s="47" t="s">
        <v>22</v>
      </c>
      <c r="H32" s="78"/>
      <c r="I32" s="57"/>
      <c r="J32" s="78"/>
      <c r="K32" s="78"/>
      <c r="L32" s="78"/>
      <c r="M32" s="57"/>
      <c r="N32" s="78"/>
      <c r="O32" s="78"/>
      <c r="P32" s="78">
        <v>2</v>
      </c>
      <c r="Q32" s="57" t="s">
        <v>26</v>
      </c>
      <c r="R32" s="78">
        <v>75300000</v>
      </c>
      <c r="S32" s="50">
        <f t="shared" si="14"/>
        <v>150600000</v>
      </c>
      <c r="T32" s="48">
        <f t="shared" si="16"/>
        <v>2</v>
      </c>
      <c r="U32" s="57" t="s">
        <v>26</v>
      </c>
      <c r="V32" s="50">
        <f t="shared" si="15"/>
        <v>75300000</v>
      </c>
      <c r="W32" s="50">
        <f t="shared" si="3"/>
        <v>150600000</v>
      </c>
      <c r="X32" s="13"/>
      <c r="Y32" s="4"/>
      <c r="Z32" s="4"/>
      <c r="AA32" s="4"/>
      <c r="AB32" s="4"/>
      <c r="AC32" s="4"/>
    </row>
    <row r="33" spans="1:29" ht="20.25" customHeight="1">
      <c r="A33" s="42"/>
      <c r="B33" s="52"/>
      <c r="C33" s="44"/>
      <c r="D33" s="79" t="s">
        <v>57</v>
      </c>
      <c r="E33" s="59" t="s">
        <v>20</v>
      </c>
      <c r="F33" s="47" t="s">
        <v>21</v>
      </c>
      <c r="G33" s="47" t="s">
        <v>22</v>
      </c>
      <c r="H33" s="78"/>
      <c r="I33" s="57"/>
      <c r="J33" s="78"/>
      <c r="K33" s="78"/>
      <c r="L33" s="78"/>
      <c r="M33" s="57"/>
      <c r="N33" s="78"/>
      <c r="O33" s="78"/>
      <c r="P33" s="78">
        <v>4</v>
      </c>
      <c r="Q33" s="57" t="s">
        <v>26</v>
      </c>
      <c r="R33" s="78">
        <v>7000000</v>
      </c>
      <c r="S33" s="50">
        <f t="shared" si="14"/>
        <v>28000000</v>
      </c>
      <c r="T33" s="48">
        <f t="shared" si="16"/>
        <v>4</v>
      </c>
      <c r="U33" s="57" t="s">
        <v>26</v>
      </c>
      <c r="V33" s="50">
        <f t="shared" si="15"/>
        <v>7000000</v>
      </c>
      <c r="W33" s="50">
        <f t="shared" si="3"/>
        <v>28000000</v>
      </c>
      <c r="X33" s="13"/>
      <c r="Y33" s="4"/>
      <c r="Z33" s="4"/>
      <c r="AA33" s="4"/>
      <c r="AB33" s="4"/>
      <c r="AC33" s="4"/>
    </row>
    <row r="34" spans="1:29" ht="20.25" customHeight="1">
      <c r="A34" s="42"/>
      <c r="B34" s="52"/>
      <c r="C34" s="44"/>
      <c r="D34" s="80" t="s">
        <v>58</v>
      </c>
      <c r="E34" s="59" t="s">
        <v>20</v>
      </c>
      <c r="F34" s="47" t="s">
        <v>25</v>
      </c>
      <c r="G34" s="47" t="s">
        <v>22</v>
      </c>
      <c r="H34" s="78"/>
      <c r="I34" s="57"/>
      <c r="J34" s="78"/>
      <c r="K34" s="78"/>
      <c r="L34" s="78"/>
      <c r="M34" s="57"/>
      <c r="N34" s="78"/>
      <c r="O34" s="78"/>
      <c r="P34" s="78">
        <v>1</v>
      </c>
      <c r="Q34" s="57" t="s">
        <v>23</v>
      </c>
      <c r="R34" s="81">
        <v>1000000000</v>
      </c>
      <c r="S34" s="50">
        <f t="shared" si="14"/>
        <v>1000000000</v>
      </c>
      <c r="T34" s="48">
        <f t="shared" si="16"/>
        <v>1</v>
      </c>
      <c r="U34" s="57" t="s">
        <v>23</v>
      </c>
      <c r="V34" s="50">
        <f t="shared" si="15"/>
        <v>1000000000</v>
      </c>
      <c r="W34" s="50">
        <f t="shared" si="3"/>
        <v>1000000000</v>
      </c>
      <c r="X34" s="13"/>
      <c r="Y34" s="4"/>
      <c r="Z34" s="4"/>
      <c r="AA34" s="4"/>
      <c r="AB34" s="4"/>
      <c r="AC34" s="4"/>
    </row>
    <row r="35" spans="1:29" ht="20.25" customHeight="1">
      <c r="A35" s="42"/>
      <c r="B35" s="52"/>
      <c r="C35" s="44"/>
      <c r="D35" s="79" t="s">
        <v>59</v>
      </c>
      <c r="E35" s="59" t="s">
        <v>20</v>
      </c>
      <c r="F35" s="47" t="s">
        <v>32</v>
      </c>
      <c r="G35" s="47" t="s">
        <v>22</v>
      </c>
      <c r="H35" s="78"/>
      <c r="I35" s="57"/>
      <c r="J35" s="78"/>
      <c r="K35" s="78"/>
      <c r="L35" s="78"/>
      <c r="M35" s="57"/>
      <c r="N35" s="78"/>
      <c r="O35" s="78"/>
      <c r="P35" s="78">
        <v>1</v>
      </c>
      <c r="Q35" s="57" t="s">
        <v>23</v>
      </c>
      <c r="R35" s="78">
        <f>45000000</f>
        <v>45000000</v>
      </c>
      <c r="S35" s="50">
        <f t="shared" si="14"/>
        <v>45000000</v>
      </c>
      <c r="T35" s="48">
        <f t="shared" si="16"/>
        <v>1</v>
      </c>
      <c r="U35" s="57" t="s">
        <v>23</v>
      </c>
      <c r="V35" s="50">
        <f t="shared" si="15"/>
        <v>45000000</v>
      </c>
      <c r="W35" s="50">
        <f t="shared" si="3"/>
        <v>45000000</v>
      </c>
      <c r="X35" s="13"/>
      <c r="Y35" s="4"/>
      <c r="Z35" s="4"/>
      <c r="AA35" s="4"/>
      <c r="AB35" s="4"/>
      <c r="AC35" s="4"/>
    </row>
    <row r="36" spans="1:29" ht="20.25" customHeight="1">
      <c r="A36" s="42"/>
      <c r="B36" s="52"/>
      <c r="C36" s="82"/>
      <c r="D36" s="80" t="s">
        <v>60</v>
      </c>
      <c r="E36" s="59" t="s">
        <v>20</v>
      </c>
      <c r="F36" s="47" t="s">
        <v>32</v>
      </c>
      <c r="G36" s="47" t="s">
        <v>22</v>
      </c>
      <c r="H36" s="78"/>
      <c r="I36" s="57"/>
      <c r="J36" s="50"/>
      <c r="K36" s="50"/>
      <c r="L36" s="78"/>
      <c r="M36" s="57"/>
      <c r="N36" s="50"/>
      <c r="O36" s="50"/>
      <c r="P36" s="78">
        <v>7</v>
      </c>
      <c r="Q36" s="57" t="s">
        <v>26</v>
      </c>
      <c r="R36" s="50">
        <v>6500000</v>
      </c>
      <c r="S36" s="50">
        <f t="shared" si="14"/>
        <v>45500000</v>
      </c>
      <c r="T36" s="48">
        <f t="shared" si="16"/>
        <v>7</v>
      </c>
      <c r="U36" s="57" t="s">
        <v>26</v>
      </c>
      <c r="V36" s="50">
        <f t="shared" si="15"/>
        <v>6500000</v>
      </c>
      <c r="W36" s="50">
        <f t="shared" si="3"/>
        <v>45500000</v>
      </c>
      <c r="X36" s="13"/>
      <c r="Y36" s="4"/>
      <c r="Z36" s="4"/>
      <c r="AA36" s="4"/>
      <c r="AB36" s="4"/>
      <c r="AC36" s="4"/>
    </row>
    <row r="37" spans="1:29" ht="20.25" customHeight="1">
      <c r="A37" s="42"/>
      <c r="B37" s="52"/>
      <c r="C37" s="44"/>
      <c r="D37" s="80" t="s">
        <v>61</v>
      </c>
      <c r="E37" s="59" t="s">
        <v>20</v>
      </c>
      <c r="F37" s="47" t="s">
        <v>25</v>
      </c>
      <c r="G37" s="47" t="s">
        <v>22</v>
      </c>
      <c r="H37" s="78"/>
      <c r="I37" s="57"/>
      <c r="J37" s="78"/>
      <c r="K37" s="78"/>
      <c r="L37" s="78"/>
      <c r="M37" s="57"/>
      <c r="N37" s="78"/>
      <c r="O37" s="78"/>
      <c r="P37" s="78">
        <v>16</v>
      </c>
      <c r="Q37" s="57" t="s">
        <v>47</v>
      </c>
      <c r="R37" s="78">
        <v>4500000</v>
      </c>
      <c r="S37" s="50">
        <f t="shared" si="14"/>
        <v>72000000</v>
      </c>
      <c r="T37" s="48">
        <f t="shared" si="16"/>
        <v>16</v>
      </c>
      <c r="U37" s="57" t="s">
        <v>47</v>
      </c>
      <c r="V37" s="50">
        <f t="shared" si="15"/>
        <v>4500000</v>
      </c>
      <c r="W37" s="50">
        <f t="shared" si="3"/>
        <v>72000000</v>
      </c>
      <c r="X37" s="13"/>
      <c r="Y37" s="4"/>
      <c r="Z37" s="4"/>
      <c r="AA37" s="4"/>
      <c r="AB37" s="4"/>
      <c r="AC37" s="4"/>
    </row>
    <row r="38" spans="1:29" ht="20.25" customHeight="1">
      <c r="A38" s="42"/>
      <c r="B38" s="52"/>
      <c r="C38" s="44"/>
      <c r="D38" s="80" t="s">
        <v>62</v>
      </c>
      <c r="E38" s="59" t="s">
        <v>20</v>
      </c>
      <c r="F38" s="47" t="s">
        <v>25</v>
      </c>
      <c r="G38" s="47" t="s">
        <v>22</v>
      </c>
      <c r="H38" s="78"/>
      <c r="I38" s="57"/>
      <c r="J38" s="78"/>
      <c r="K38" s="78"/>
      <c r="L38" s="78"/>
      <c r="M38" s="57"/>
      <c r="N38" s="78"/>
      <c r="O38" s="78"/>
      <c r="P38" s="78">
        <v>1</v>
      </c>
      <c r="Q38" s="57" t="s">
        <v>47</v>
      </c>
      <c r="R38" s="78">
        <v>75000000</v>
      </c>
      <c r="S38" s="50">
        <f t="shared" si="14"/>
        <v>75000000</v>
      </c>
      <c r="T38" s="48">
        <f t="shared" si="16"/>
        <v>1</v>
      </c>
      <c r="U38" s="57" t="s">
        <v>47</v>
      </c>
      <c r="V38" s="50">
        <f t="shared" si="15"/>
        <v>75000000</v>
      </c>
      <c r="W38" s="50">
        <f t="shared" si="3"/>
        <v>75000000</v>
      </c>
      <c r="X38" s="13"/>
      <c r="Y38" s="4"/>
      <c r="Z38" s="4"/>
      <c r="AA38" s="4"/>
      <c r="AB38" s="4"/>
      <c r="AC38" s="4"/>
    </row>
    <row r="39" spans="1:29" ht="20.25" customHeight="1">
      <c r="A39" s="42"/>
      <c r="B39" s="52"/>
      <c r="C39" s="44"/>
      <c r="D39" s="83" t="s">
        <v>63</v>
      </c>
      <c r="E39" s="59" t="s">
        <v>20</v>
      </c>
      <c r="F39" s="47"/>
      <c r="G39" s="47" t="s">
        <v>22</v>
      </c>
      <c r="H39" s="78"/>
      <c r="I39" s="57"/>
      <c r="J39" s="78"/>
      <c r="K39" s="78"/>
      <c r="L39" s="78"/>
      <c r="M39" s="57"/>
      <c r="N39" s="78"/>
      <c r="O39" s="78"/>
      <c r="P39" s="78"/>
      <c r="Q39" s="57"/>
      <c r="R39" s="78"/>
      <c r="S39" s="50"/>
      <c r="T39" s="48"/>
      <c r="U39" s="57"/>
      <c r="V39" s="50"/>
      <c r="W39" s="50"/>
      <c r="X39" s="13"/>
      <c r="Y39" s="4"/>
      <c r="Z39" s="4"/>
      <c r="AA39" s="4"/>
      <c r="AB39" s="4"/>
      <c r="AC39" s="4"/>
    </row>
    <row r="40" spans="1:29" ht="20.25" customHeight="1">
      <c r="A40" s="42"/>
      <c r="B40" s="84"/>
      <c r="C40" s="44"/>
      <c r="D40" s="79" t="s">
        <v>64</v>
      </c>
      <c r="E40" s="59" t="s">
        <v>20</v>
      </c>
      <c r="F40" s="47" t="s">
        <v>25</v>
      </c>
      <c r="G40" s="47" t="s">
        <v>22</v>
      </c>
      <c r="H40" s="78"/>
      <c r="I40" s="57"/>
      <c r="J40" s="78"/>
      <c r="K40" s="78"/>
      <c r="L40" s="78"/>
      <c r="M40" s="57"/>
      <c r="N40" s="78"/>
      <c r="O40" s="78"/>
      <c r="P40" s="78">
        <v>1</v>
      </c>
      <c r="Q40" s="57" t="s">
        <v>47</v>
      </c>
      <c r="R40" s="78">
        <v>75000000</v>
      </c>
      <c r="S40" s="50">
        <f t="shared" ref="S40:S42" si="17">+R40*P40</f>
        <v>75000000</v>
      </c>
      <c r="T40" s="48">
        <f t="shared" ref="T40:T42" si="18">H40-L40+P40</f>
        <v>1</v>
      </c>
      <c r="U40" s="57" t="s">
        <v>47</v>
      </c>
      <c r="V40" s="50">
        <f t="shared" ref="V40:V42" si="19">R40</f>
        <v>75000000</v>
      </c>
      <c r="W40" s="50">
        <f t="shared" ref="W40:W42" si="20">+V40*T40</f>
        <v>75000000</v>
      </c>
      <c r="X40" s="13"/>
      <c r="Y40" s="4"/>
      <c r="Z40" s="4"/>
      <c r="AA40" s="4"/>
      <c r="AB40" s="4"/>
      <c r="AC40" s="4"/>
    </row>
    <row r="41" spans="1:29" ht="20.25" customHeight="1">
      <c r="A41" s="42"/>
      <c r="B41" s="52"/>
      <c r="C41" s="44"/>
      <c r="D41" s="79" t="s">
        <v>65</v>
      </c>
      <c r="E41" s="59" t="s">
        <v>20</v>
      </c>
      <c r="F41" s="47" t="s">
        <v>25</v>
      </c>
      <c r="G41" s="47" t="s">
        <v>22</v>
      </c>
      <c r="H41" s="78"/>
      <c r="I41" s="57"/>
      <c r="J41" s="78"/>
      <c r="K41" s="78"/>
      <c r="L41" s="78"/>
      <c r="M41" s="57"/>
      <c r="N41" s="78"/>
      <c r="O41" s="78"/>
      <c r="P41" s="78">
        <v>1</v>
      </c>
      <c r="Q41" s="57" t="s">
        <v>47</v>
      </c>
      <c r="R41" s="78">
        <v>35000000</v>
      </c>
      <c r="S41" s="50">
        <f t="shared" si="17"/>
        <v>35000000</v>
      </c>
      <c r="T41" s="48">
        <f t="shared" si="18"/>
        <v>1</v>
      </c>
      <c r="U41" s="57" t="s">
        <v>47</v>
      </c>
      <c r="V41" s="50">
        <f t="shared" si="19"/>
        <v>35000000</v>
      </c>
      <c r="W41" s="50">
        <f t="shared" si="20"/>
        <v>35000000</v>
      </c>
      <c r="X41" s="13"/>
      <c r="Y41" s="4"/>
      <c r="Z41" s="4"/>
      <c r="AA41" s="4"/>
      <c r="AB41" s="4"/>
      <c r="AC41" s="4"/>
    </row>
    <row r="42" spans="1:29" ht="20.25" customHeight="1">
      <c r="A42" s="42"/>
      <c r="B42" s="52"/>
      <c r="C42" s="44"/>
      <c r="D42" s="79" t="s">
        <v>66</v>
      </c>
      <c r="E42" s="59" t="s">
        <v>20</v>
      </c>
      <c r="F42" s="47" t="s">
        <v>25</v>
      </c>
      <c r="G42" s="47" t="s">
        <v>22</v>
      </c>
      <c r="H42" s="78"/>
      <c r="I42" s="57"/>
      <c r="J42" s="78"/>
      <c r="K42" s="78"/>
      <c r="L42" s="78"/>
      <c r="M42" s="57"/>
      <c r="N42" s="78"/>
      <c r="O42" s="78"/>
      <c r="P42" s="78">
        <v>1</v>
      </c>
      <c r="Q42" s="57" t="s">
        <v>23</v>
      </c>
      <c r="R42" s="78">
        <v>35000000</v>
      </c>
      <c r="S42" s="50">
        <f t="shared" si="17"/>
        <v>35000000</v>
      </c>
      <c r="T42" s="48">
        <f t="shared" si="18"/>
        <v>1</v>
      </c>
      <c r="U42" s="57" t="s">
        <v>23</v>
      </c>
      <c r="V42" s="50">
        <f t="shared" si="19"/>
        <v>35000000</v>
      </c>
      <c r="W42" s="50">
        <f t="shared" si="20"/>
        <v>35000000</v>
      </c>
      <c r="X42" s="13"/>
      <c r="Y42" s="4"/>
      <c r="Z42" s="4"/>
      <c r="AA42" s="4"/>
      <c r="AB42" s="4"/>
      <c r="AC42" s="4"/>
    </row>
    <row r="43" spans="1:29" ht="20.25" customHeight="1">
      <c r="A43" s="42"/>
      <c r="B43" s="52"/>
      <c r="C43" s="44"/>
      <c r="D43" s="85" t="s">
        <v>67</v>
      </c>
      <c r="E43" s="59"/>
      <c r="F43" s="86"/>
      <c r="G43" s="86"/>
      <c r="H43" s="78"/>
      <c r="I43" s="57"/>
      <c r="J43" s="78"/>
      <c r="K43" s="78"/>
      <c r="L43" s="78"/>
      <c r="M43" s="57"/>
      <c r="N43" s="78"/>
      <c r="O43" s="78"/>
      <c r="P43" s="78"/>
      <c r="Q43" s="57"/>
      <c r="R43" s="78"/>
      <c r="S43" s="50"/>
      <c r="T43" s="48"/>
      <c r="U43" s="57"/>
      <c r="V43" s="50"/>
      <c r="W43" s="50"/>
      <c r="X43" s="13"/>
      <c r="Y43" s="4"/>
      <c r="Z43" s="4"/>
      <c r="AA43" s="4"/>
      <c r="AB43" s="4"/>
      <c r="AC43" s="4"/>
    </row>
    <row r="44" spans="1:29" ht="20.25" customHeight="1">
      <c r="A44" s="42"/>
      <c r="B44" s="52"/>
      <c r="C44" s="44"/>
      <c r="D44" s="79" t="s">
        <v>68</v>
      </c>
      <c r="E44" s="59" t="s">
        <v>69</v>
      </c>
      <c r="F44" s="47" t="s">
        <v>21</v>
      </c>
      <c r="G44" s="47" t="s">
        <v>28</v>
      </c>
      <c r="H44" s="78"/>
      <c r="I44" s="57"/>
      <c r="J44" s="78"/>
      <c r="K44" s="78"/>
      <c r="L44" s="78"/>
      <c r="M44" s="57"/>
      <c r="N44" s="78"/>
      <c r="O44" s="78"/>
      <c r="P44" s="78">
        <v>1</v>
      </c>
      <c r="Q44" s="57" t="s">
        <v>23</v>
      </c>
      <c r="R44" s="78">
        <v>75000000</v>
      </c>
      <c r="S44" s="50">
        <f t="shared" ref="S44:S45" si="21">+R44*P44</f>
        <v>75000000</v>
      </c>
      <c r="T44" s="48">
        <f t="shared" ref="T44:T45" si="22">H44-L44+P44</f>
        <v>1</v>
      </c>
      <c r="U44" s="57" t="s">
        <v>23</v>
      </c>
      <c r="V44" s="50">
        <f t="shared" ref="V44:V45" si="23">R44</f>
        <v>75000000</v>
      </c>
      <c r="W44" s="50">
        <f t="shared" ref="W44:W45" si="24">+V44*T44</f>
        <v>75000000</v>
      </c>
      <c r="X44" s="13"/>
      <c r="Y44" s="4"/>
      <c r="Z44" s="4"/>
      <c r="AA44" s="4"/>
      <c r="AB44" s="4"/>
      <c r="AC44" s="4"/>
    </row>
    <row r="45" spans="1:29" ht="20.25" customHeight="1">
      <c r="A45" s="42"/>
      <c r="B45" s="52"/>
      <c r="C45" s="44"/>
      <c r="D45" s="79" t="s">
        <v>70</v>
      </c>
      <c r="E45" s="59" t="s">
        <v>20</v>
      </c>
      <c r="F45" s="47" t="s">
        <v>25</v>
      </c>
      <c r="G45" s="47" t="s">
        <v>28</v>
      </c>
      <c r="H45" s="78"/>
      <c r="I45" s="57"/>
      <c r="J45" s="78"/>
      <c r="K45" s="78"/>
      <c r="L45" s="78"/>
      <c r="M45" s="57"/>
      <c r="N45" s="78"/>
      <c r="O45" s="78"/>
      <c r="P45" s="78">
        <v>1</v>
      </c>
      <c r="Q45" s="57" t="s">
        <v>23</v>
      </c>
      <c r="R45" s="78">
        <v>200000000</v>
      </c>
      <c r="S45" s="50">
        <f t="shared" si="21"/>
        <v>200000000</v>
      </c>
      <c r="T45" s="48">
        <f t="shared" si="22"/>
        <v>1</v>
      </c>
      <c r="U45" s="57" t="s">
        <v>23</v>
      </c>
      <c r="V45" s="50">
        <f t="shared" si="23"/>
        <v>200000000</v>
      </c>
      <c r="W45" s="50">
        <f t="shared" si="24"/>
        <v>200000000</v>
      </c>
      <c r="X45" s="13"/>
      <c r="Y45" s="4"/>
      <c r="Z45" s="4"/>
      <c r="AA45" s="4"/>
      <c r="AB45" s="4"/>
      <c r="AC45" s="4"/>
    </row>
    <row r="46" spans="1:29" ht="20.25" customHeight="1">
      <c r="A46" s="42"/>
      <c r="B46" s="52"/>
      <c r="C46" s="44"/>
      <c r="D46" s="85" t="s">
        <v>71</v>
      </c>
      <c r="E46" s="59"/>
      <c r="F46" s="86"/>
      <c r="G46" s="86"/>
      <c r="H46" s="78"/>
      <c r="I46" s="57"/>
      <c r="J46" s="78"/>
      <c r="K46" s="78"/>
      <c r="L46" s="78"/>
      <c r="M46" s="57"/>
      <c r="N46" s="78"/>
      <c r="O46" s="78"/>
      <c r="P46" s="78"/>
      <c r="Q46" s="57"/>
      <c r="R46" s="78"/>
      <c r="S46" s="50"/>
      <c r="T46" s="48"/>
      <c r="U46" s="57"/>
      <c r="V46" s="50"/>
      <c r="W46" s="50"/>
      <c r="X46" s="13"/>
      <c r="Y46" s="4"/>
      <c r="Z46" s="4"/>
      <c r="AA46" s="4"/>
      <c r="AB46" s="4"/>
      <c r="AC46" s="4"/>
    </row>
    <row r="47" spans="1:29" ht="20.25" customHeight="1">
      <c r="A47" s="42"/>
      <c r="B47" s="52"/>
      <c r="C47" s="44"/>
      <c r="D47" s="79" t="s">
        <v>72</v>
      </c>
      <c r="E47" s="59" t="s">
        <v>20</v>
      </c>
      <c r="F47" s="47" t="s">
        <v>32</v>
      </c>
      <c r="G47" s="47" t="s">
        <v>22</v>
      </c>
      <c r="H47" s="78"/>
      <c r="I47" s="57"/>
      <c r="J47" s="78"/>
      <c r="K47" s="78"/>
      <c r="L47" s="78"/>
      <c r="M47" s="57"/>
      <c r="N47" s="78"/>
      <c r="O47" s="78"/>
      <c r="P47" s="78">
        <v>2</v>
      </c>
      <c r="Q47" s="57" t="s">
        <v>26</v>
      </c>
      <c r="R47" s="78">
        <f>(8000000+7000000)*1.2</f>
        <v>18000000</v>
      </c>
      <c r="S47" s="50">
        <f>+R47*P47</f>
        <v>36000000</v>
      </c>
      <c r="T47" s="48">
        <f>H47-L47+P47</f>
        <v>2</v>
      </c>
      <c r="U47" s="57" t="s">
        <v>26</v>
      </c>
      <c r="V47" s="50">
        <f>R47</f>
        <v>18000000</v>
      </c>
      <c r="W47" s="50">
        <f>+V47*T47</f>
        <v>36000000</v>
      </c>
      <c r="X47" s="13"/>
      <c r="Y47" s="8"/>
      <c r="Z47" s="4"/>
      <c r="AA47" s="4"/>
      <c r="AB47" s="4"/>
      <c r="AC47" s="4"/>
    </row>
    <row r="48" spans="1:29" ht="20.25" customHeight="1">
      <c r="A48" s="14"/>
      <c r="B48" s="87"/>
      <c r="C48" s="88"/>
      <c r="D48" s="89"/>
      <c r="E48" s="90"/>
      <c r="F48" s="91"/>
      <c r="G48" s="91"/>
      <c r="H48" s="90"/>
      <c r="I48" s="91"/>
      <c r="J48" s="92" t="s">
        <v>73</v>
      </c>
      <c r="K48" s="92">
        <f>SUM(K9:K47)</f>
        <v>11032721272</v>
      </c>
      <c r="L48" s="90"/>
      <c r="M48" s="91"/>
      <c r="N48" s="92" t="s">
        <v>73</v>
      </c>
      <c r="O48" s="92">
        <f>SUM(O9:O47)</f>
        <v>4280000000</v>
      </c>
      <c r="P48" s="90"/>
      <c r="Q48" s="91"/>
      <c r="R48" s="92" t="s">
        <v>73</v>
      </c>
      <c r="S48" s="92">
        <f>SUM(S9:S47)</f>
        <v>8688768428</v>
      </c>
      <c r="T48" s="90"/>
      <c r="U48" s="91"/>
      <c r="V48" s="92" t="s">
        <v>73</v>
      </c>
      <c r="W48" s="92">
        <f>SUM(W9:W47)</f>
        <v>14941489700</v>
      </c>
      <c r="X48" s="13">
        <f>K48-O48+S48</f>
        <v>15441489700</v>
      </c>
      <c r="Y48" s="3"/>
      <c r="Z48" s="3"/>
      <c r="AA48" s="3"/>
      <c r="AB48" s="3"/>
      <c r="AC48" s="3"/>
    </row>
    <row r="49" spans="1:29" ht="20.25" customHeight="1">
      <c r="A49" s="93">
        <v>2</v>
      </c>
      <c r="B49" s="94" t="s">
        <v>74</v>
      </c>
      <c r="C49" s="95"/>
      <c r="D49" s="96" t="s">
        <v>75</v>
      </c>
      <c r="E49" s="97" t="s">
        <v>20</v>
      </c>
      <c r="F49" s="98" t="s">
        <v>25</v>
      </c>
      <c r="G49" s="47" t="s">
        <v>22</v>
      </c>
      <c r="H49" s="97">
        <v>0</v>
      </c>
      <c r="I49" s="99" t="s">
        <v>26</v>
      </c>
      <c r="J49" s="100">
        <f>3750000000</f>
        <v>3750000000</v>
      </c>
      <c r="K49" s="100">
        <f>+J49*H49</f>
        <v>0</v>
      </c>
      <c r="L49" s="97">
        <v>5</v>
      </c>
      <c r="M49" s="99" t="s">
        <v>26</v>
      </c>
      <c r="N49" s="100">
        <f>750000000+750000000</f>
        <v>1500000000</v>
      </c>
      <c r="O49" s="100">
        <f>+N49*L49</f>
        <v>7500000000</v>
      </c>
      <c r="P49" s="97"/>
      <c r="Q49" s="99"/>
      <c r="R49" s="100"/>
      <c r="S49" s="100"/>
      <c r="T49" s="48">
        <v>5</v>
      </c>
      <c r="U49" s="99" t="s">
        <v>26</v>
      </c>
      <c r="V49" s="50">
        <f>J49-N49</f>
        <v>2250000000</v>
      </c>
      <c r="W49" s="50">
        <f>+V49*T49</f>
        <v>11250000000</v>
      </c>
      <c r="X49" s="8"/>
      <c r="Y49" s="4"/>
      <c r="Z49" s="4"/>
      <c r="AA49" s="4"/>
      <c r="AB49" s="4"/>
      <c r="AC49" s="4"/>
    </row>
    <row r="50" spans="1:29" ht="20.25" customHeight="1">
      <c r="A50" s="14"/>
      <c r="B50" s="87"/>
      <c r="C50" s="88"/>
      <c r="D50" s="101"/>
      <c r="E50" s="102"/>
      <c r="F50" s="103"/>
      <c r="G50" s="103"/>
      <c r="H50" s="102"/>
      <c r="I50" s="103"/>
      <c r="J50" s="92" t="s">
        <v>76</v>
      </c>
      <c r="K50" s="92">
        <f>SUM(K49)</f>
        <v>0</v>
      </c>
      <c r="L50" s="102"/>
      <c r="M50" s="103"/>
      <c r="N50" s="92" t="s">
        <v>76</v>
      </c>
      <c r="O50" s="92">
        <f>SUM(O49)</f>
        <v>7500000000</v>
      </c>
      <c r="P50" s="102"/>
      <c r="Q50" s="103"/>
      <c r="R50" s="92" t="s">
        <v>76</v>
      </c>
      <c r="S50" s="92">
        <f>SUM(S49)</f>
        <v>0</v>
      </c>
      <c r="T50" s="102"/>
      <c r="U50" s="103"/>
      <c r="V50" s="92" t="s">
        <v>76</v>
      </c>
      <c r="W50" s="92">
        <f>SUM(W49)</f>
        <v>11250000000</v>
      </c>
      <c r="X50" s="13">
        <f>K50-O50+S50</f>
        <v>-7500000000</v>
      </c>
      <c r="Y50" s="3"/>
      <c r="Z50" s="3"/>
      <c r="AA50" s="3"/>
      <c r="AB50" s="3"/>
      <c r="AC50" s="3"/>
    </row>
    <row r="51" spans="1:29" ht="20.25" customHeight="1">
      <c r="A51" s="104">
        <v>3</v>
      </c>
      <c r="B51" s="105" t="s">
        <v>77</v>
      </c>
      <c r="C51" s="106"/>
      <c r="D51" s="107" t="s">
        <v>78</v>
      </c>
      <c r="E51" s="108" t="s">
        <v>20</v>
      </c>
      <c r="F51" s="109" t="s">
        <v>25</v>
      </c>
      <c r="G51" s="47" t="s">
        <v>22</v>
      </c>
      <c r="H51" s="108">
        <v>1</v>
      </c>
      <c r="I51" s="110" t="s">
        <v>23</v>
      </c>
      <c r="J51" s="111">
        <f>950000000*1.3</f>
        <v>1235000000</v>
      </c>
      <c r="K51" s="111">
        <f>+J51*H51</f>
        <v>1235000000</v>
      </c>
      <c r="L51" s="108"/>
      <c r="M51" s="110"/>
      <c r="N51" s="111"/>
      <c r="O51" s="111"/>
      <c r="P51" s="108">
        <v>1</v>
      </c>
      <c r="Q51" s="110" t="s">
        <v>23</v>
      </c>
      <c r="R51" s="111">
        <v>634640000</v>
      </c>
      <c r="S51" s="111">
        <f>+R51*P51</f>
        <v>634640000</v>
      </c>
      <c r="T51" s="112">
        <v>1</v>
      </c>
      <c r="U51" s="110" t="s">
        <v>23</v>
      </c>
      <c r="V51" s="111">
        <f>J51+R51</f>
        <v>1869640000</v>
      </c>
      <c r="W51" s="111">
        <f>+V51*T51</f>
        <v>1869640000</v>
      </c>
      <c r="X51" s="8"/>
      <c r="Y51" s="4"/>
      <c r="Z51" s="4"/>
      <c r="AA51" s="4"/>
      <c r="AB51" s="4"/>
      <c r="AC51" s="4"/>
    </row>
    <row r="52" spans="1:29" ht="20.25" customHeight="1">
      <c r="A52" s="42"/>
      <c r="B52" s="52"/>
      <c r="C52" s="113"/>
      <c r="D52" s="72" t="s">
        <v>79</v>
      </c>
      <c r="E52" s="46" t="s">
        <v>20</v>
      </c>
      <c r="F52" s="47" t="s">
        <v>25</v>
      </c>
      <c r="G52" s="47" t="s">
        <v>22</v>
      </c>
      <c r="H52" s="46"/>
      <c r="I52" s="47"/>
      <c r="J52" s="50"/>
      <c r="K52" s="50"/>
      <c r="L52" s="46"/>
      <c r="M52" s="47"/>
      <c r="N52" s="50"/>
      <c r="O52" s="50"/>
      <c r="P52" s="46"/>
      <c r="Q52" s="47"/>
      <c r="R52" s="50"/>
      <c r="S52" s="50"/>
      <c r="T52" s="48"/>
      <c r="U52" s="57"/>
      <c r="V52" s="50"/>
      <c r="W52" s="50"/>
      <c r="X52" s="8"/>
      <c r="Y52" s="4"/>
      <c r="Z52" s="4"/>
      <c r="AA52" s="4"/>
      <c r="AB52" s="4"/>
      <c r="AC52" s="4"/>
    </row>
    <row r="53" spans="1:29" ht="20.25" customHeight="1">
      <c r="A53" s="42"/>
      <c r="B53" s="52"/>
      <c r="C53" s="113"/>
      <c r="D53" s="114" t="s">
        <v>80</v>
      </c>
      <c r="E53" s="46" t="s">
        <v>20</v>
      </c>
      <c r="F53" s="47" t="s">
        <v>25</v>
      </c>
      <c r="G53" s="47" t="s">
        <v>22</v>
      </c>
      <c r="H53" s="46"/>
      <c r="I53" s="47"/>
      <c r="J53" s="50"/>
      <c r="K53" s="50"/>
      <c r="L53" s="46"/>
      <c r="M53" s="47"/>
      <c r="N53" s="50"/>
      <c r="O53" s="50"/>
      <c r="P53" s="46"/>
      <c r="Q53" s="47"/>
      <c r="R53" s="50"/>
      <c r="S53" s="50"/>
      <c r="T53" s="48"/>
      <c r="U53" s="57"/>
      <c r="V53" s="50"/>
      <c r="W53" s="50"/>
      <c r="X53" s="8"/>
      <c r="Y53" s="4"/>
      <c r="Z53" s="4"/>
      <c r="AA53" s="4"/>
      <c r="AB53" s="4"/>
      <c r="AC53" s="4"/>
    </row>
    <row r="54" spans="1:29" ht="20.25" customHeight="1">
      <c r="A54" s="42"/>
      <c r="B54" s="52"/>
      <c r="C54" s="113"/>
      <c r="D54" s="114" t="s">
        <v>81</v>
      </c>
      <c r="E54" s="46" t="s">
        <v>20</v>
      </c>
      <c r="F54" s="47" t="s">
        <v>25</v>
      </c>
      <c r="G54" s="47" t="s">
        <v>22</v>
      </c>
      <c r="H54" s="46"/>
      <c r="I54" s="47"/>
      <c r="J54" s="50"/>
      <c r="K54" s="50"/>
      <c r="L54" s="46"/>
      <c r="M54" s="47"/>
      <c r="N54" s="50"/>
      <c r="O54" s="50"/>
      <c r="P54" s="46"/>
      <c r="Q54" s="47"/>
      <c r="R54" s="50"/>
      <c r="S54" s="50"/>
      <c r="T54" s="48"/>
      <c r="U54" s="57"/>
      <c r="V54" s="50"/>
      <c r="W54" s="50"/>
      <c r="X54" s="8"/>
      <c r="Y54" s="4"/>
      <c r="Z54" s="4"/>
      <c r="AA54" s="4"/>
      <c r="AB54" s="4"/>
      <c r="AC54" s="4"/>
    </row>
    <row r="55" spans="1:29" ht="20.25" customHeight="1">
      <c r="A55" s="42"/>
      <c r="B55" s="52"/>
      <c r="C55" s="113"/>
      <c r="D55" s="114" t="s">
        <v>82</v>
      </c>
      <c r="E55" s="46" t="s">
        <v>20</v>
      </c>
      <c r="F55" s="47" t="s">
        <v>25</v>
      </c>
      <c r="G55" s="47" t="s">
        <v>22</v>
      </c>
      <c r="H55" s="46"/>
      <c r="I55" s="47"/>
      <c r="J55" s="50"/>
      <c r="K55" s="50"/>
      <c r="L55" s="46"/>
      <c r="M55" s="47"/>
      <c r="N55" s="50"/>
      <c r="O55" s="50"/>
      <c r="P55" s="46"/>
      <c r="Q55" s="47"/>
      <c r="R55" s="50"/>
      <c r="S55" s="50"/>
      <c r="T55" s="48"/>
      <c r="U55" s="57"/>
      <c r="V55" s="50"/>
      <c r="W55" s="50"/>
      <c r="X55" s="8"/>
      <c r="Y55" s="4"/>
      <c r="Z55" s="4"/>
      <c r="AA55" s="4"/>
      <c r="AB55" s="4"/>
      <c r="AC55" s="4"/>
    </row>
    <row r="56" spans="1:29" ht="20.25" customHeight="1">
      <c r="A56" s="42"/>
      <c r="B56" s="52"/>
      <c r="C56" s="113"/>
      <c r="D56" s="115" t="s">
        <v>83</v>
      </c>
      <c r="E56" s="46" t="s">
        <v>20</v>
      </c>
      <c r="F56" s="47" t="s">
        <v>21</v>
      </c>
      <c r="G56" s="47" t="s">
        <v>22</v>
      </c>
      <c r="H56" s="46"/>
      <c r="I56" s="47"/>
      <c r="J56" s="50"/>
      <c r="K56" s="50"/>
      <c r="L56" s="46"/>
      <c r="M56" s="47"/>
      <c r="N56" s="50"/>
      <c r="O56" s="50"/>
      <c r="P56" s="57">
        <v>1</v>
      </c>
      <c r="Q56" s="86" t="s">
        <v>23</v>
      </c>
      <c r="R56" s="50">
        <v>125000000</v>
      </c>
      <c r="S56" s="50">
        <f t="shared" ref="S56:S58" si="25">+R56*P56</f>
        <v>125000000</v>
      </c>
      <c r="T56" s="48">
        <f t="shared" ref="T56:T58" si="26">H56-L56+P56</f>
        <v>1</v>
      </c>
      <c r="U56" s="59" t="str">
        <f t="shared" ref="U56:V56" si="27">Q56</f>
        <v>ls</v>
      </c>
      <c r="V56" s="50">
        <f t="shared" si="27"/>
        <v>125000000</v>
      </c>
      <c r="W56" s="50">
        <f t="shared" ref="W56:W58" si="28">+V56*T56</f>
        <v>125000000</v>
      </c>
      <c r="X56" s="8"/>
      <c r="Y56" s="4"/>
      <c r="Z56" s="4"/>
      <c r="AA56" s="4"/>
      <c r="AB56" s="4"/>
      <c r="AC56" s="4"/>
    </row>
    <row r="57" spans="1:29" ht="20.25" customHeight="1">
      <c r="A57" s="42"/>
      <c r="B57" s="52"/>
      <c r="C57" s="113"/>
      <c r="D57" s="115" t="s">
        <v>84</v>
      </c>
      <c r="E57" s="46" t="s">
        <v>20</v>
      </c>
      <c r="F57" s="47" t="s">
        <v>25</v>
      </c>
      <c r="G57" s="47" t="s">
        <v>22</v>
      </c>
      <c r="H57" s="46"/>
      <c r="I57" s="47"/>
      <c r="J57" s="50"/>
      <c r="K57" s="50"/>
      <c r="L57" s="46"/>
      <c r="M57" s="47"/>
      <c r="N57" s="50"/>
      <c r="O57" s="50"/>
      <c r="P57" s="57">
        <v>1</v>
      </c>
      <c r="Q57" s="86" t="s">
        <v>23</v>
      </c>
      <c r="R57" s="50">
        <f>(45500000+10000000)*1.1</f>
        <v>61050000.000000007</v>
      </c>
      <c r="S57" s="50">
        <f t="shared" si="25"/>
        <v>61050000.000000007</v>
      </c>
      <c r="T57" s="48">
        <f t="shared" si="26"/>
        <v>1</v>
      </c>
      <c r="U57" s="59" t="str">
        <f t="shared" ref="U57:V57" si="29">Q57</f>
        <v>ls</v>
      </c>
      <c r="V57" s="50">
        <f t="shared" si="29"/>
        <v>61050000.000000007</v>
      </c>
      <c r="W57" s="50">
        <f t="shared" si="28"/>
        <v>61050000.000000007</v>
      </c>
      <c r="X57" s="8"/>
      <c r="Y57" s="4"/>
      <c r="Z57" s="4"/>
      <c r="AA57" s="4"/>
      <c r="AB57" s="4"/>
      <c r="AC57" s="4"/>
    </row>
    <row r="58" spans="1:29" ht="20.25" customHeight="1">
      <c r="A58" s="42"/>
      <c r="B58" s="116"/>
      <c r="C58" s="117"/>
      <c r="D58" s="118" t="s">
        <v>85</v>
      </c>
      <c r="E58" s="119" t="s">
        <v>20</v>
      </c>
      <c r="F58" s="120" t="s">
        <v>21</v>
      </c>
      <c r="G58" s="47" t="s">
        <v>22</v>
      </c>
      <c r="H58" s="119"/>
      <c r="I58" s="121"/>
      <c r="J58" s="122"/>
      <c r="K58" s="122"/>
      <c r="L58" s="119"/>
      <c r="M58" s="121"/>
      <c r="N58" s="122"/>
      <c r="O58" s="122"/>
      <c r="P58" s="123">
        <v>1</v>
      </c>
      <c r="Q58" s="124" t="s">
        <v>23</v>
      </c>
      <c r="R58" s="122">
        <v>26472000</v>
      </c>
      <c r="S58" s="122">
        <f t="shared" si="25"/>
        <v>26472000</v>
      </c>
      <c r="T58" s="125">
        <f t="shared" si="26"/>
        <v>1</v>
      </c>
      <c r="U58" s="126" t="str">
        <f t="shared" ref="U58:V58" si="30">Q58</f>
        <v>ls</v>
      </c>
      <c r="V58" s="122">
        <f t="shared" si="30"/>
        <v>26472000</v>
      </c>
      <c r="W58" s="122">
        <f t="shared" si="28"/>
        <v>26472000</v>
      </c>
      <c r="X58" s="8"/>
      <c r="Y58" s="4"/>
      <c r="Z58" s="4"/>
      <c r="AA58" s="4"/>
      <c r="AB58" s="4"/>
      <c r="AC58" s="4"/>
    </row>
    <row r="59" spans="1:29" ht="20.25" customHeight="1">
      <c r="A59" s="14"/>
      <c r="B59" s="87"/>
      <c r="C59" s="88"/>
      <c r="D59" s="101"/>
      <c r="E59" s="102"/>
      <c r="F59" s="103"/>
      <c r="G59" s="103"/>
      <c r="H59" s="102"/>
      <c r="I59" s="103"/>
      <c r="J59" s="92" t="s">
        <v>86</v>
      </c>
      <c r="K59" s="92">
        <f>SUM(K51:K58)</f>
        <v>1235000000</v>
      </c>
      <c r="L59" s="102"/>
      <c r="M59" s="103"/>
      <c r="N59" s="92" t="s">
        <v>86</v>
      </c>
      <c r="O59" s="92">
        <f>SUM(O51:O58)</f>
        <v>0</v>
      </c>
      <c r="P59" s="102"/>
      <c r="Q59" s="103"/>
      <c r="R59" s="92" t="s">
        <v>86</v>
      </c>
      <c r="S59" s="92">
        <f>SUM(S51:S58)</f>
        <v>847162000</v>
      </c>
      <c r="T59" s="102"/>
      <c r="U59" s="103"/>
      <c r="V59" s="92" t="s">
        <v>86</v>
      </c>
      <c r="W59" s="92">
        <f>SUM(W51:W58)</f>
        <v>2082162000</v>
      </c>
      <c r="X59" s="13">
        <f>K59-O59+S59</f>
        <v>2082162000</v>
      </c>
      <c r="Y59" s="3"/>
      <c r="Z59" s="3"/>
      <c r="AA59" s="3"/>
      <c r="AB59" s="3"/>
      <c r="AC59" s="3"/>
    </row>
    <row r="60" spans="1:29" ht="20.25" customHeight="1">
      <c r="A60" s="30"/>
      <c r="B60" s="127"/>
      <c r="C60" s="128"/>
      <c r="D60" s="129"/>
      <c r="E60" s="28"/>
      <c r="F60" s="27"/>
      <c r="G60" s="27"/>
      <c r="H60" s="28"/>
      <c r="I60" s="27"/>
      <c r="J60" s="130"/>
      <c r="K60" s="130"/>
      <c r="L60" s="28"/>
      <c r="M60" s="27"/>
      <c r="N60" s="130"/>
      <c r="O60" s="130"/>
      <c r="P60" s="28"/>
      <c r="Q60" s="27"/>
      <c r="R60" s="130"/>
      <c r="S60" s="130"/>
      <c r="T60" s="28"/>
      <c r="U60" s="27"/>
      <c r="V60" s="130"/>
      <c r="W60" s="130"/>
      <c r="X60" s="13"/>
      <c r="Y60" s="3"/>
      <c r="Z60" s="3"/>
      <c r="AA60" s="3"/>
      <c r="AB60" s="3"/>
      <c r="AC60" s="3"/>
    </row>
    <row r="61" spans="1:29" ht="20.25" customHeight="1">
      <c r="A61" s="42">
        <v>4</v>
      </c>
      <c r="B61" s="52" t="s">
        <v>87</v>
      </c>
      <c r="C61" s="113"/>
      <c r="D61" s="115" t="s">
        <v>88</v>
      </c>
      <c r="E61" s="46" t="s">
        <v>34</v>
      </c>
      <c r="F61" s="47" t="s">
        <v>21</v>
      </c>
      <c r="G61" s="47" t="s">
        <v>22</v>
      </c>
      <c r="H61" s="46">
        <v>1</v>
      </c>
      <c r="I61" s="131" t="s">
        <v>47</v>
      </c>
      <c r="J61" s="50">
        <v>900000000</v>
      </c>
      <c r="K61" s="50">
        <f>J61*H61</f>
        <v>900000000</v>
      </c>
      <c r="L61" s="46"/>
      <c r="M61" s="47"/>
      <c r="N61" s="50"/>
      <c r="O61" s="50"/>
      <c r="P61" s="46">
        <v>1</v>
      </c>
      <c r="Q61" s="47" t="s">
        <v>47</v>
      </c>
      <c r="R61" s="50">
        <v>350000000</v>
      </c>
      <c r="S61" s="50">
        <f t="shared" ref="S61:S63" si="31">R61*P61</f>
        <v>350000000</v>
      </c>
      <c r="T61" s="48">
        <f t="shared" ref="T61:T62" si="32">P61</f>
        <v>1</v>
      </c>
      <c r="U61" s="57" t="s">
        <v>47</v>
      </c>
      <c r="V61" s="50">
        <f t="shared" ref="V61:V62" si="33">J61+R61</f>
        <v>1250000000</v>
      </c>
      <c r="W61" s="50">
        <f t="shared" ref="W61:W63" si="34">T61*V61</f>
        <v>1250000000</v>
      </c>
      <c r="X61" s="8"/>
      <c r="Y61" s="4"/>
      <c r="Z61" s="4"/>
      <c r="AA61" s="4"/>
      <c r="AB61" s="4"/>
      <c r="AC61" s="4"/>
    </row>
    <row r="62" spans="1:29" ht="20.25" customHeight="1">
      <c r="A62" s="42"/>
      <c r="B62" s="52"/>
      <c r="C62" s="113"/>
      <c r="D62" s="115" t="s">
        <v>89</v>
      </c>
      <c r="E62" s="46" t="s">
        <v>34</v>
      </c>
      <c r="F62" s="47" t="s">
        <v>21</v>
      </c>
      <c r="G62" s="47" t="s">
        <v>22</v>
      </c>
      <c r="H62" s="46">
        <v>1</v>
      </c>
      <c r="I62" s="47" t="s">
        <v>47</v>
      </c>
      <c r="J62" s="50"/>
      <c r="K62" s="50"/>
      <c r="L62" s="46"/>
      <c r="M62" s="47"/>
      <c r="N62" s="50"/>
      <c r="O62" s="50"/>
      <c r="P62" s="57">
        <v>1</v>
      </c>
      <c r="Q62" s="86" t="s">
        <v>23</v>
      </c>
      <c r="R62" s="50">
        <v>750000000</v>
      </c>
      <c r="S62" s="50">
        <f t="shared" si="31"/>
        <v>750000000</v>
      </c>
      <c r="T62" s="48">
        <f t="shared" si="32"/>
        <v>1</v>
      </c>
      <c r="U62" s="57" t="s">
        <v>23</v>
      </c>
      <c r="V62" s="50">
        <f t="shared" si="33"/>
        <v>750000000</v>
      </c>
      <c r="W62" s="50">
        <f t="shared" si="34"/>
        <v>750000000</v>
      </c>
      <c r="X62" s="8"/>
      <c r="Y62" s="4"/>
      <c r="Z62" s="4"/>
      <c r="AA62" s="4"/>
      <c r="AB62" s="4"/>
      <c r="AC62" s="4"/>
    </row>
    <row r="63" spans="1:29" ht="24.75" customHeight="1">
      <c r="A63" s="132">
        <v>5</v>
      </c>
      <c r="B63" s="133" t="s">
        <v>90</v>
      </c>
      <c r="C63" s="134"/>
      <c r="D63" s="135" t="s">
        <v>91</v>
      </c>
      <c r="E63" s="136" t="s">
        <v>34</v>
      </c>
      <c r="F63" s="137" t="s">
        <v>21</v>
      </c>
      <c r="G63" s="137" t="s">
        <v>28</v>
      </c>
      <c r="H63" s="136">
        <v>2</v>
      </c>
      <c r="I63" s="137" t="s">
        <v>47</v>
      </c>
      <c r="J63" s="138"/>
      <c r="K63" s="138"/>
      <c r="L63" s="136"/>
      <c r="M63" s="137"/>
      <c r="N63" s="138"/>
      <c r="O63" s="138"/>
      <c r="P63" s="136">
        <v>1</v>
      </c>
      <c r="Q63" s="137" t="s">
        <v>47</v>
      </c>
      <c r="R63" s="138">
        <v>900000000</v>
      </c>
      <c r="S63" s="138">
        <f t="shared" si="31"/>
        <v>900000000</v>
      </c>
      <c r="T63" s="139">
        <f>H63-L63+P63</f>
        <v>3</v>
      </c>
      <c r="U63" s="137" t="s">
        <v>23</v>
      </c>
      <c r="V63" s="138">
        <f>R63</f>
        <v>900000000</v>
      </c>
      <c r="W63" s="138">
        <f t="shared" si="34"/>
        <v>2700000000</v>
      </c>
      <c r="X63" s="140"/>
      <c r="Y63" s="69"/>
      <c r="Z63" s="69"/>
      <c r="AA63" s="69"/>
      <c r="AB63" s="69"/>
      <c r="AC63" s="69"/>
    </row>
    <row r="64" spans="1:29" ht="20.25" customHeight="1">
      <c r="A64" s="14"/>
      <c r="B64" s="87"/>
      <c r="C64" s="88"/>
      <c r="D64" s="101"/>
      <c r="E64" s="102"/>
      <c r="F64" s="103"/>
      <c r="G64" s="103"/>
      <c r="H64" s="102"/>
      <c r="I64" s="103"/>
      <c r="J64" s="92" t="s">
        <v>92</v>
      </c>
      <c r="K64" s="92">
        <f>SUM(K61:K63)</f>
        <v>900000000</v>
      </c>
      <c r="L64" s="102"/>
      <c r="M64" s="103"/>
      <c r="N64" s="92" t="s">
        <v>92</v>
      </c>
      <c r="O64" s="92">
        <f>SUM(O61:O63)</f>
        <v>0</v>
      </c>
      <c r="P64" s="102"/>
      <c r="Q64" s="103"/>
      <c r="R64" s="92" t="s">
        <v>92</v>
      </c>
      <c r="S64" s="92">
        <f>SUM(S61:S63)</f>
        <v>2000000000</v>
      </c>
      <c r="T64" s="102"/>
      <c r="U64" s="103"/>
      <c r="V64" s="92" t="s">
        <v>92</v>
      </c>
      <c r="W64" s="92">
        <f>SUM(W61:W63)</f>
        <v>4700000000</v>
      </c>
      <c r="X64" s="13">
        <f>K64-O64+S64</f>
        <v>2900000000</v>
      </c>
      <c r="Y64" s="3"/>
      <c r="Z64" s="3"/>
      <c r="AA64" s="3"/>
      <c r="AB64" s="3"/>
      <c r="AC64" s="3"/>
    </row>
    <row r="65" spans="1:29" ht="20.25" customHeight="1">
      <c r="A65" s="30"/>
      <c r="B65" s="127"/>
      <c r="C65" s="128"/>
      <c r="D65" s="129"/>
      <c r="E65" s="28"/>
      <c r="F65" s="27"/>
      <c r="G65" s="27"/>
      <c r="H65" s="28"/>
      <c r="I65" s="27"/>
      <c r="J65" s="130"/>
      <c r="K65" s="130"/>
      <c r="L65" s="28"/>
      <c r="M65" s="27"/>
      <c r="N65" s="130"/>
      <c r="O65" s="130"/>
      <c r="P65" s="28"/>
      <c r="Q65" s="27"/>
      <c r="R65" s="130"/>
      <c r="S65" s="130"/>
      <c r="T65" s="28"/>
      <c r="U65" s="27"/>
      <c r="V65" s="130"/>
      <c r="W65" s="130"/>
      <c r="X65" s="13"/>
      <c r="Y65" s="3"/>
      <c r="Z65" s="3"/>
      <c r="AA65" s="3"/>
      <c r="AB65" s="3"/>
      <c r="AC65" s="3"/>
    </row>
    <row r="66" spans="1:29" ht="20.25" customHeight="1">
      <c r="A66" s="151"/>
      <c r="B66" s="118"/>
      <c r="C66" s="117"/>
      <c r="D66" s="281"/>
      <c r="E66" s="119"/>
      <c r="F66" s="120"/>
      <c r="G66" s="47"/>
      <c r="H66" s="119"/>
      <c r="I66" s="121"/>
      <c r="J66" s="122"/>
      <c r="K66" s="122"/>
      <c r="L66" s="119"/>
      <c r="M66" s="121"/>
      <c r="N66" s="122"/>
      <c r="O66" s="122"/>
      <c r="P66" s="119">
        <v>1</v>
      </c>
      <c r="Q66" s="121" t="s">
        <v>23</v>
      </c>
      <c r="R66" s="122">
        <v>150000000</v>
      </c>
      <c r="S66" s="122">
        <f>+R66*P66</f>
        <v>150000000</v>
      </c>
      <c r="T66" s="125">
        <f>H66-L66+P66</f>
        <v>1</v>
      </c>
      <c r="U66" s="123" t="str">
        <f t="shared" ref="U66:V66" si="35">Q66</f>
        <v>ls</v>
      </c>
      <c r="V66" s="122">
        <f t="shared" si="35"/>
        <v>150000000</v>
      </c>
      <c r="W66" s="122">
        <f>+V66*T66</f>
        <v>150000000</v>
      </c>
      <c r="X66" s="8"/>
      <c r="Y66" s="4"/>
      <c r="Z66" s="4"/>
      <c r="AA66" s="4"/>
      <c r="AB66" s="4"/>
      <c r="AC66" s="4"/>
    </row>
    <row r="67" spans="1:29" ht="20.25" customHeight="1">
      <c r="A67" s="14"/>
      <c r="B67" s="87"/>
      <c r="C67" s="88"/>
      <c r="D67" s="89"/>
      <c r="E67" s="90"/>
      <c r="F67" s="91"/>
      <c r="G67" s="91"/>
      <c r="H67" s="90"/>
      <c r="I67" s="91"/>
      <c r="J67" s="92" t="s">
        <v>101</v>
      </c>
      <c r="K67" s="92">
        <f>SUM(K66)</f>
        <v>0</v>
      </c>
      <c r="L67" s="90"/>
      <c r="M67" s="91"/>
      <c r="N67" s="92" t="s">
        <v>101</v>
      </c>
      <c r="O67" s="92">
        <f>SUM(O66)</f>
        <v>0</v>
      </c>
      <c r="P67" s="90"/>
      <c r="Q67" s="91"/>
      <c r="R67" s="92" t="s">
        <v>101</v>
      </c>
      <c r="S67" s="92">
        <f>SUM(S66)</f>
        <v>150000000</v>
      </c>
      <c r="T67" s="90"/>
      <c r="U67" s="91"/>
      <c r="V67" s="92" t="s">
        <v>101</v>
      </c>
      <c r="W67" s="92">
        <f>SUM(W66)</f>
        <v>150000000</v>
      </c>
      <c r="X67" s="13">
        <f>K67-O67+S67</f>
        <v>150000000</v>
      </c>
      <c r="Y67" s="3"/>
      <c r="Z67" s="3"/>
      <c r="AA67" s="3"/>
      <c r="AB67" s="3"/>
      <c r="AC67" s="3"/>
    </row>
    <row r="68" spans="1:29" ht="20.25" customHeight="1">
      <c r="A68" s="153">
        <v>6</v>
      </c>
      <c r="B68" s="154" t="s">
        <v>102</v>
      </c>
      <c r="C68" s="155"/>
      <c r="D68" s="156"/>
      <c r="E68" s="157"/>
      <c r="F68" s="158"/>
      <c r="G68" s="158"/>
      <c r="H68" s="157"/>
      <c r="I68" s="158"/>
      <c r="J68" s="159"/>
      <c r="K68" s="160"/>
      <c r="L68" s="157"/>
      <c r="M68" s="158"/>
      <c r="N68" s="159"/>
      <c r="O68" s="160"/>
      <c r="P68" s="157">
        <f>4*0</f>
        <v>0</v>
      </c>
      <c r="Q68" s="158" t="s">
        <v>26</v>
      </c>
      <c r="R68" s="159">
        <f>45000000</f>
        <v>45000000</v>
      </c>
      <c r="S68" s="160">
        <f>P68*R68</f>
        <v>0</v>
      </c>
      <c r="T68" s="139">
        <f>H68-L68+P68</f>
        <v>0</v>
      </c>
      <c r="U68" s="158" t="s">
        <v>26</v>
      </c>
      <c r="V68" s="159">
        <f>45000000</f>
        <v>45000000</v>
      </c>
      <c r="W68" s="160">
        <f>T68*V68</f>
        <v>0</v>
      </c>
      <c r="X68" s="140"/>
      <c r="Y68" s="69"/>
      <c r="Z68" s="69"/>
      <c r="AA68" s="69"/>
      <c r="AB68" s="69"/>
      <c r="AC68" s="69"/>
    </row>
    <row r="69" spans="1:29" ht="20.25" customHeight="1">
      <c r="A69" s="14"/>
      <c r="B69" s="87"/>
      <c r="C69" s="88"/>
      <c r="D69" s="89"/>
      <c r="E69" s="90"/>
      <c r="F69" s="91"/>
      <c r="G69" s="91"/>
      <c r="H69" s="90"/>
      <c r="I69" s="91"/>
      <c r="J69" s="92" t="s">
        <v>103</v>
      </c>
      <c r="K69" s="92">
        <f>K68</f>
        <v>0</v>
      </c>
      <c r="L69" s="90"/>
      <c r="M69" s="91"/>
      <c r="N69" s="92" t="s">
        <v>103</v>
      </c>
      <c r="O69" s="92">
        <f>O68</f>
        <v>0</v>
      </c>
      <c r="P69" s="90"/>
      <c r="Q69" s="91"/>
      <c r="R69" s="92" t="s">
        <v>103</v>
      </c>
      <c r="S69" s="92">
        <f>S68</f>
        <v>0</v>
      </c>
      <c r="T69" s="90"/>
      <c r="U69" s="91"/>
      <c r="V69" s="92" t="s">
        <v>103</v>
      </c>
      <c r="W69" s="92">
        <f>W68</f>
        <v>0</v>
      </c>
      <c r="X69" s="13">
        <f>K69-O69+S69</f>
        <v>0</v>
      </c>
      <c r="Y69" s="3"/>
      <c r="Z69" s="3"/>
      <c r="AA69" s="3"/>
      <c r="AB69" s="3"/>
      <c r="AC69" s="3"/>
    </row>
    <row r="70" spans="1:29" ht="20.25" customHeight="1">
      <c r="A70" s="161" t="s">
        <v>104</v>
      </c>
      <c r="B70" s="162" t="s">
        <v>105</v>
      </c>
      <c r="C70" s="163"/>
      <c r="D70" s="164"/>
      <c r="E70" s="165"/>
      <c r="F70" s="164"/>
      <c r="G70" s="164"/>
      <c r="H70" s="166"/>
      <c r="I70" s="167"/>
      <c r="J70" s="168"/>
      <c r="K70" s="169"/>
      <c r="L70" s="166"/>
      <c r="M70" s="167"/>
      <c r="N70" s="168"/>
      <c r="O70" s="169"/>
      <c r="P70" s="166"/>
      <c r="Q70" s="167"/>
      <c r="R70" s="168"/>
      <c r="S70" s="169"/>
      <c r="T70" s="166"/>
      <c r="U70" s="167"/>
      <c r="V70" s="168"/>
      <c r="W70" s="169"/>
      <c r="X70" s="24"/>
      <c r="Y70" s="4"/>
      <c r="Z70" s="4"/>
      <c r="AA70" s="4"/>
      <c r="AB70" s="4"/>
      <c r="AC70" s="4"/>
    </row>
    <row r="71" spans="1:29" ht="20.25" customHeight="1">
      <c r="A71" s="42">
        <v>7</v>
      </c>
      <c r="B71" s="170" t="s">
        <v>388</v>
      </c>
      <c r="C71" s="113"/>
      <c r="D71" s="171" t="s">
        <v>107</v>
      </c>
      <c r="E71" s="59" t="s">
        <v>34</v>
      </c>
      <c r="F71" s="47" t="s">
        <v>25</v>
      </c>
      <c r="G71" s="47" t="s">
        <v>22</v>
      </c>
      <c r="H71" s="59">
        <v>120</v>
      </c>
      <c r="I71" s="86" t="s">
        <v>51</v>
      </c>
      <c r="J71" s="50">
        <f>300000</f>
        <v>300000</v>
      </c>
      <c r="K71" s="50">
        <f t="shared" ref="K71:K80" si="36">+J71*H71</f>
        <v>36000000</v>
      </c>
      <c r="L71" s="59"/>
      <c r="M71" s="86"/>
      <c r="N71" s="50"/>
      <c r="O71" s="50"/>
      <c r="P71" s="59"/>
      <c r="Q71" s="86"/>
      <c r="R71" s="50"/>
      <c r="S71" s="50"/>
      <c r="T71" s="48">
        <f t="shared" ref="T71:T75" si="37">H71-L71+P71</f>
        <v>120</v>
      </c>
      <c r="U71" s="57" t="str">
        <f t="shared" ref="U71:U75" si="38">I71</f>
        <v>m2</v>
      </c>
      <c r="V71" s="50">
        <v>600000</v>
      </c>
      <c r="W71" s="50">
        <f t="shared" ref="W71:W80" si="39">+V71*T71</f>
        <v>72000000</v>
      </c>
      <c r="X71" s="8"/>
      <c r="Y71" s="4"/>
      <c r="Z71" s="4"/>
      <c r="AA71" s="4"/>
      <c r="AB71" s="4"/>
      <c r="AC71" s="4"/>
    </row>
    <row r="72" spans="1:29" ht="20.25" customHeight="1">
      <c r="A72" s="42"/>
      <c r="B72" s="52"/>
      <c r="C72" s="113"/>
      <c r="D72" s="171" t="s">
        <v>108</v>
      </c>
      <c r="E72" s="59" t="s">
        <v>34</v>
      </c>
      <c r="F72" s="47" t="s">
        <v>43</v>
      </c>
      <c r="G72" s="47" t="s">
        <v>22</v>
      </c>
      <c r="H72" s="59">
        <v>144</v>
      </c>
      <c r="I72" s="86" t="s">
        <v>51</v>
      </c>
      <c r="J72" s="50">
        <v>1500000</v>
      </c>
      <c r="K72" s="50">
        <f t="shared" si="36"/>
        <v>216000000</v>
      </c>
      <c r="L72" s="59"/>
      <c r="M72" s="86"/>
      <c r="N72" s="50"/>
      <c r="O72" s="50"/>
      <c r="P72" s="59"/>
      <c r="Q72" s="86"/>
      <c r="R72" s="50"/>
      <c r="S72" s="50"/>
      <c r="T72" s="48">
        <f t="shared" si="37"/>
        <v>144</v>
      </c>
      <c r="U72" s="57" t="str">
        <f t="shared" si="38"/>
        <v>m2</v>
      </c>
      <c r="V72" s="50">
        <v>3250000</v>
      </c>
      <c r="W72" s="50">
        <f t="shared" si="39"/>
        <v>468000000</v>
      </c>
      <c r="X72" s="8"/>
      <c r="Y72" s="4"/>
      <c r="Z72" s="4"/>
      <c r="AA72" s="4"/>
      <c r="AB72" s="4"/>
      <c r="AC72" s="4"/>
    </row>
    <row r="73" spans="1:29" ht="28.5" customHeight="1">
      <c r="A73" s="42"/>
      <c r="B73" s="52"/>
      <c r="C73" s="113"/>
      <c r="D73" s="172" t="s">
        <v>109</v>
      </c>
      <c r="E73" s="46" t="s">
        <v>34</v>
      </c>
      <c r="F73" s="47" t="s">
        <v>32</v>
      </c>
      <c r="G73" s="47" t="s">
        <v>22</v>
      </c>
      <c r="H73" s="46">
        <v>32</v>
      </c>
      <c r="I73" s="47" t="s">
        <v>51</v>
      </c>
      <c r="J73" s="173">
        <f>500000+100000</f>
        <v>600000</v>
      </c>
      <c r="K73" s="173">
        <f t="shared" si="36"/>
        <v>19200000</v>
      </c>
      <c r="L73" s="46"/>
      <c r="M73" s="47"/>
      <c r="N73" s="173"/>
      <c r="O73" s="173"/>
      <c r="P73" s="46"/>
      <c r="Q73" s="47"/>
      <c r="R73" s="173"/>
      <c r="S73" s="173"/>
      <c r="T73" s="48">
        <f t="shared" si="37"/>
        <v>32</v>
      </c>
      <c r="U73" s="57" t="str">
        <f t="shared" si="38"/>
        <v>m2</v>
      </c>
      <c r="V73" s="50">
        <f t="shared" ref="V73:V74" si="40">J73</f>
        <v>600000</v>
      </c>
      <c r="W73" s="50">
        <f t="shared" si="39"/>
        <v>19200000</v>
      </c>
      <c r="X73" s="174"/>
      <c r="Y73" s="4"/>
      <c r="Z73" s="4"/>
      <c r="AA73" s="4"/>
      <c r="AB73" s="4"/>
      <c r="AC73" s="4"/>
    </row>
    <row r="74" spans="1:29" ht="20.25" customHeight="1">
      <c r="A74" s="42"/>
      <c r="B74" s="52"/>
      <c r="C74" s="113"/>
      <c r="D74" s="172" t="s">
        <v>110</v>
      </c>
      <c r="E74" s="46" t="s">
        <v>34</v>
      </c>
      <c r="F74" s="47" t="s">
        <v>43</v>
      </c>
      <c r="G74" s="47" t="s">
        <v>22</v>
      </c>
      <c r="H74" s="46">
        <f>+H72</f>
        <v>144</v>
      </c>
      <c r="I74" s="47" t="s">
        <v>51</v>
      </c>
      <c r="J74" s="50">
        <v>175000</v>
      </c>
      <c r="K74" s="50">
        <f t="shared" si="36"/>
        <v>25200000</v>
      </c>
      <c r="L74" s="46"/>
      <c r="M74" s="47"/>
      <c r="N74" s="50"/>
      <c r="O74" s="50"/>
      <c r="P74" s="46"/>
      <c r="Q74" s="47"/>
      <c r="R74" s="50"/>
      <c r="S74" s="50"/>
      <c r="T74" s="48">
        <f t="shared" si="37"/>
        <v>144</v>
      </c>
      <c r="U74" s="57" t="str">
        <f t="shared" si="38"/>
        <v>m2</v>
      </c>
      <c r="V74" s="50">
        <f t="shared" si="40"/>
        <v>175000</v>
      </c>
      <c r="W74" s="50">
        <f t="shared" si="39"/>
        <v>25200000</v>
      </c>
      <c r="X74" s="8"/>
      <c r="Y74" s="4"/>
      <c r="Z74" s="4"/>
      <c r="AA74" s="4"/>
      <c r="AB74" s="4"/>
      <c r="AC74" s="4"/>
    </row>
    <row r="75" spans="1:29" ht="20.25" customHeight="1">
      <c r="A75" s="42"/>
      <c r="B75" s="52"/>
      <c r="C75" s="113"/>
      <c r="D75" s="172" t="s">
        <v>111</v>
      </c>
      <c r="E75" s="46" t="s">
        <v>34</v>
      </c>
      <c r="F75" s="47" t="s">
        <v>32</v>
      </c>
      <c r="G75" s="47" t="s">
        <v>22</v>
      </c>
      <c r="H75" s="46">
        <f>+H71</f>
        <v>120</v>
      </c>
      <c r="I75" s="47" t="s">
        <v>51</v>
      </c>
      <c r="J75" s="50">
        <v>1200000</v>
      </c>
      <c r="K75" s="50">
        <f t="shared" si="36"/>
        <v>144000000</v>
      </c>
      <c r="L75" s="46"/>
      <c r="M75" s="47"/>
      <c r="N75" s="50"/>
      <c r="O75" s="50"/>
      <c r="P75" s="46"/>
      <c r="Q75" s="47"/>
      <c r="R75" s="50"/>
      <c r="S75" s="50"/>
      <c r="T75" s="48">
        <f t="shared" si="37"/>
        <v>120</v>
      </c>
      <c r="U75" s="57" t="str">
        <f t="shared" si="38"/>
        <v>m2</v>
      </c>
      <c r="V75" s="50">
        <v>1500000</v>
      </c>
      <c r="W75" s="50">
        <f t="shared" si="39"/>
        <v>180000000</v>
      </c>
      <c r="X75" s="8"/>
      <c r="Y75" s="4"/>
      <c r="Z75" s="4"/>
      <c r="AA75" s="4"/>
      <c r="AB75" s="4"/>
      <c r="AC75" s="4"/>
    </row>
    <row r="76" spans="1:29" ht="20.25" customHeight="1">
      <c r="A76" s="60"/>
      <c r="B76" s="61"/>
      <c r="C76" s="175"/>
      <c r="D76" s="176" t="s">
        <v>112</v>
      </c>
      <c r="E76" s="177" t="s">
        <v>34</v>
      </c>
      <c r="F76" s="178" t="s">
        <v>21</v>
      </c>
      <c r="G76" s="178" t="s">
        <v>28</v>
      </c>
      <c r="H76" s="177">
        <v>3</v>
      </c>
      <c r="I76" s="178" t="s">
        <v>26</v>
      </c>
      <c r="J76" s="66">
        <v>3500000</v>
      </c>
      <c r="K76" s="66">
        <f t="shared" si="36"/>
        <v>10500000</v>
      </c>
      <c r="L76" s="177"/>
      <c r="M76" s="178"/>
      <c r="N76" s="66"/>
      <c r="O76" s="66"/>
      <c r="P76" s="177"/>
      <c r="Q76" s="178"/>
      <c r="R76" s="66"/>
      <c r="S76" s="66"/>
      <c r="T76" s="67">
        <f t="shared" ref="T76:U76" si="41">H76</f>
        <v>3</v>
      </c>
      <c r="U76" s="65" t="str">
        <f t="shared" si="41"/>
        <v>unit</v>
      </c>
      <c r="V76" s="66">
        <f>J76-N76</f>
        <v>3500000</v>
      </c>
      <c r="W76" s="66">
        <f t="shared" si="39"/>
        <v>10500000</v>
      </c>
      <c r="X76" s="68"/>
      <c r="Y76" s="69"/>
      <c r="Z76" s="69"/>
      <c r="AA76" s="69"/>
      <c r="AB76" s="69"/>
      <c r="AC76" s="69"/>
    </row>
    <row r="77" spans="1:29" ht="20.25" customHeight="1">
      <c r="A77" s="42"/>
      <c r="B77" s="52"/>
      <c r="C77" s="113"/>
      <c r="D77" s="172" t="s">
        <v>113</v>
      </c>
      <c r="E77" s="46" t="s">
        <v>34</v>
      </c>
      <c r="F77" s="47" t="s">
        <v>32</v>
      </c>
      <c r="G77" s="47" t="s">
        <v>22</v>
      </c>
      <c r="H77" s="46">
        <f>+H75</f>
        <v>120</v>
      </c>
      <c r="I77" s="47" t="s">
        <v>51</v>
      </c>
      <c r="J77" s="50">
        <v>150000</v>
      </c>
      <c r="K77" s="50">
        <f t="shared" si="36"/>
        <v>18000000</v>
      </c>
      <c r="L77" s="179"/>
      <c r="M77" s="180"/>
      <c r="N77" s="181"/>
      <c r="O77" s="181"/>
      <c r="P77" s="182"/>
      <c r="Q77" s="183"/>
      <c r="R77" s="184"/>
      <c r="S77" s="184"/>
      <c r="T77" s="48">
        <f t="shared" ref="T77:T80" si="42">H77-L77+P77</f>
        <v>120</v>
      </c>
      <c r="U77" s="57" t="str">
        <f t="shared" ref="U77:V77" si="43">I77</f>
        <v>m2</v>
      </c>
      <c r="V77" s="50">
        <f t="shared" si="43"/>
        <v>150000</v>
      </c>
      <c r="W77" s="50">
        <f t="shared" si="39"/>
        <v>18000000</v>
      </c>
      <c r="X77" s="8"/>
      <c r="Y77" s="4"/>
      <c r="Z77" s="4"/>
      <c r="AA77" s="4"/>
      <c r="AB77" s="4"/>
      <c r="AC77" s="4"/>
    </row>
    <row r="78" spans="1:29" ht="20.25" customHeight="1">
      <c r="A78" s="42"/>
      <c r="B78" s="52"/>
      <c r="C78" s="113"/>
      <c r="D78" s="172" t="s">
        <v>114</v>
      </c>
      <c r="E78" s="46" t="s">
        <v>34</v>
      </c>
      <c r="F78" s="47" t="s">
        <v>21</v>
      </c>
      <c r="G78" s="47" t="s">
        <v>22</v>
      </c>
      <c r="H78" s="46">
        <v>1</v>
      </c>
      <c r="I78" s="47" t="s">
        <v>23</v>
      </c>
      <c r="J78" s="50">
        <v>65000000</v>
      </c>
      <c r="K78" s="50">
        <f t="shared" si="36"/>
        <v>65000000</v>
      </c>
      <c r="L78" s="179"/>
      <c r="M78" s="180"/>
      <c r="N78" s="181"/>
      <c r="O78" s="181"/>
      <c r="P78" s="182"/>
      <c r="Q78" s="183"/>
      <c r="R78" s="184"/>
      <c r="S78" s="184"/>
      <c r="T78" s="48">
        <f t="shared" si="42"/>
        <v>1</v>
      </c>
      <c r="U78" s="57" t="str">
        <f t="shared" ref="U78:V78" si="44">I78</f>
        <v>ls</v>
      </c>
      <c r="V78" s="50">
        <f t="shared" si="44"/>
        <v>65000000</v>
      </c>
      <c r="W78" s="185">
        <f t="shared" si="39"/>
        <v>65000000</v>
      </c>
      <c r="X78" s="8"/>
      <c r="Y78" s="4"/>
      <c r="Z78" s="4"/>
      <c r="AA78" s="4"/>
      <c r="AB78" s="4"/>
      <c r="AC78" s="4"/>
    </row>
    <row r="79" spans="1:29" ht="20.25" customHeight="1">
      <c r="A79" s="42"/>
      <c r="B79" s="70"/>
      <c r="C79" s="113"/>
      <c r="D79" s="172" t="s">
        <v>115</v>
      </c>
      <c r="E79" s="46" t="s">
        <v>34</v>
      </c>
      <c r="F79" s="47" t="s">
        <v>43</v>
      </c>
      <c r="G79" s="47" t="s">
        <v>22</v>
      </c>
      <c r="H79" s="46">
        <v>4</v>
      </c>
      <c r="I79" s="47" t="s">
        <v>26</v>
      </c>
      <c r="J79" s="50">
        <f>+J158</f>
        <v>150000000</v>
      </c>
      <c r="K79" s="50">
        <f t="shared" si="36"/>
        <v>600000000</v>
      </c>
      <c r="L79" s="179">
        <v>2</v>
      </c>
      <c r="M79" s="180" t="s">
        <v>26</v>
      </c>
      <c r="N79" s="181">
        <f>J79</f>
        <v>150000000</v>
      </c>
      <c r="O79" s="181">
        <f>+N79*L79</f>
        <v>300000000</v>
      </c>
      <c r="P79" s="182"/>
      <c r="Q79" s="183"/>
      <c r="R79" s="184"/>
      <c r="S79" s="184"/>
      <c r="T79" s="48">
        <f t="shared" si="42"/>
        <v>2</v>
      </c>
      <c r="U79" s="57" t="str">
        <f t="shared" ref="U79:V79" si="45">I79</f>
        <v>unit</v>
      </c>
      <c r="V79" s="50">
        <f t="shared" si="45"/>
        <v>150000000</v>
      </c>
      <c r="W79" s="50">
        <f t="shared" si="39"/>
        <v>300000000</v>
      </c>
      <c r="X79" s="8"/>
      <c r="Y79" s="4"/>
      <c r="Z79" s="4"/>
      <c r="AA79" s="4"/>
      <c r="AB79" s="4"/>
      <c r="AC79" s="4"/>
    </row>
    <row r="80" spans="1:29" ht="20.25" customHeight="1">
      <c r="A80" s="186"/>
      <c r="B80" s="187"/>
      <c r="C80" s="188"/>
      <c r="D80" s="189" t="s">
        <v>116</v>
      </c>
      <c r="E80" s="190" t="s">
        <v>34</v>
      </c>
      <c r="F80" s="120" t="s">
        <v>32</v>
      </c>
      <c r="G80" s="47" t="s">
        <v>22</v>
      </c>
      <c r="H80" s="190">
        <v>2</v>
      </c>
      <c r="I80" s="120" t="s">
        <v>117</v>
      </c>
      <c r="J80" s="122">
        <f>25000000</f>
        <v>25000000</v>
      </c>
      <c r="K80" s="122">
        <f t="shared" si="36"/>
        <v>50000000</v>
      </c>
      <c r="L80" s="191"/>
      <c r="M80" s="192"/>
      <c r="N80" s="193"/>
      <c r="O80" s="193"/>
      <c r="P80" s="194"/>
      <c r="Q80" s="195"/>
      <c r="R80" s="196"/>
      <c r="S80" s="196"/>
      <c r="T80" s="48">
        <f t="shared" si="42"/>
        <v>2</v>
      </c>
      <c r="U80" s="57" t="str">
        <f t="shared" ref="U80:V80" si="46">I80</f>
        <v>pas</v>
      </c>
      <c r="V80" s="50">
        <f t="shared" si="46"/>
        <v>25000000</v>
      </c>
      <c r="W80" s="50">
        <f t="shared" si="39"/>
        <v>50000000</v>
      </c>
      <c r="X80" s="8"/>
      <c r="Y80" s="4"/>
      <c r="Z80" s="4"/>
      <c r="AA80" s="4"/>
      <c r="AB80" s="4"/>
      <c r="AC80" s="4"/>
    </row>
    <row r="81" spans="1:29" ht="20.25" customHeight="1">
      <c r="A81" s="14"/>
      <c r="B81" s="87"/>
      <c r="C81" s="88"/>
      <c r="D81" s="89"/>
      <c r="E81" s="90"/>
      <c r="F81" s="91"/>
      <c r="G81" s="91"/>
      <c r="H81" s="90"/>
      <c r="I81" s="91"/>
      <c r="J81" s="92" t="s">
        <v>118</v>
      </c>
      <c r="K81" s="92">
        <f>SUM(K71:K80)</f>
        <v>1183900000</v>
      </c>
      <c r="L81" s="90"/>
      <c r="M81" s="91"/>
      <c r="N81" s="92" t="s">
        <v>118</v>
      </c>
      <c r="O81" s="92">
        <f>SUM(O71:O80)</f>
        <v>300000000</v>
      </c>
      <c r="P81" s="90"/>
      <c r="Q81" s="91"/>
      <c r="R81" s="92" t="s">
        <v>118</v>
      </c>
      <c r="S81" s="92">
        <f>SUM(S71:S80)</f>
        <v>0</v>
      </c>
      <c r="T81" s="90"/>
      <c r="U81" s="91"/>
      <c r="V81" s="92" t="s">
        <v>118</v>
      </c>
      <c r="W81" s="92">
        <f>SUM(W71:W80)</f>
        <v>1207900000</v>
      </c>
      <c r="X81" s="13">
        <f>K81-O81+S81</f>
        <v>883900000</v>
      </c>
      <c r="Y81" s="3"/>
      <c r="Z81" s="3"/>
      <c r="AA81" s="3"/>
      <c r="AB81" s="3"/>
      <c r="AC81" s="3"/>
    </row>
    <row r="82" spans="1:29" ht="20.25" customHeight="1">
      <c r="A82" s="186"/>
      <c r="B82" s="187"/>
      <c r="C82" s="188"/>
      <c r="D82" s="202" t="s">
        <v>121</v>
      </c>
      <c r="E82" s="46" t="s">
        <v>34</v>
      </c>
      <c r="F82" s="47" t="s">
        <v>21</v>
      </c>
      <c r="G82" s="47" t="s">
        <v>22</v>
      </c>
      <c r="H82" s="190">
        <v>4</v>
      </c>
      <c r="I82" s="120" t="s">
        <v>122</v>
      </c>
      <c r="J82" s="122">
        <f>32000000*1.2</f>
        <v>38400000</v>
      </c>
      <c r="K82" s="122">
        <f>+J82*H82</f>
        <v>153600000</v>
      </c>
      <c r="L82" s="190"/>
      <c r="M82" s="120"/>
      <c r="N82" s="122"/>
      <c r="O82" s="122"/>
      <c r="P82" s="190"/>
      <c r="Q82" s="120"/>
      <c r="R82" s="122"/>
      <c r="S82" s="122"/>
      <c r="T82" s="48">
        <f>H82-L82+P82</f>
        <v>4</v>
      </c>
      <c r="U82" s="57" t="str">
        <f t="shared" ref="U82:V82" si="47">I82</f>
        <v>uniit</v>
      </c>
      <c r="V82" s="50">
        <f t="shared" si="47"/>
        <v>38400000</v>
      </c>
      <c r="W82" s="50">
        <f>+V82*T82</f>
        <v>153600000</v>
      </c>
      <c r="X82" s="8"/>
      <c r="Y82" s="4"/>
      <c r="Z82" s="4"/>
      <c r="AA82" s="4"/>
      <c r="AB82" s="4"/>
      <c r="AC82" s="4"/>
    </row>
    <row r="83" spans="1:29" ht="20.25" customHeight="1">
      <c r="A83" s="14"/>
      <c r="B83" s="87"/>
      <c r="C83" s="88"/>
      <c r="D83" s="89"/>
      <c r="E83" s="90"/>
      <c r="F83" s="91"/>
      <c r="G83" s="91"/>
      <c r="H83" s="90"/>
      <c r="I83" s="91"/>
      <c r="J83" s="92" t="s">
        <v>123</v>
      </c>
      <c r="K83" s="92">
        <f>SUM(K82)</f>
        <v>153600000</v>
      </c>
      <c r="L83" s="90"/>
      <c r="M83" s="91"/>
      <c r="N83" s="92" t="s">
        <v>123</v>
      </c>
      <c r="O83" s="92">
        <f>SUM(O82)</f>
        <v>0</v>
      </c>
      <c r="P83" s="90"/>
      <c r="Q83" s="91"/>
      <c r="R83" s="92" t="s">
        <v>123</v>
      </c>
      <c r="S83" s="92">
        <f>SUM(S82)</f>
        <v>0</v>
      </c>
      <c r="T83" s="90"/>
      <c r="U83" s="91"/>
      <c r="V83" s="92" t="s">
        <v>123</v>
      </c>
      <c r="W83" s="92">
        <f>SUM(W82)</f>
        <v>153600000</v>
      </c>
      <c r="X83" s="13">
        <f>K83-O83+S83</f>
        <v>153600000</v>
      </c>
      <c r="Y83" s="3"/>
      <c r="Z83" s="3"/>
      <c r="AA83" s="3"/>
      <c r="AB83" s="3"/>
      <c r="AC83" s="3"/>
    </row>
    <row r="84" spans="1:29" ht="20.25" customHeight="1">
      <c r="A84" s="42"/>
      <c r="B84" s="52"/>
      <c r="C84" s="113"/>
      <c r="D84" s="172" t="s">
        <v>128</v>
      </c>
      <c r="E84" s="46" t="s">
        <v>34</v>
      </c>
      <c r="F84" s="47" t="s">
        <v>21</v>
      </c>
      <c r="G84" s="47" t="s">
        <v>22</v>
      </c>
      <c r="H84" s="46">
        <v>1</v>
      </c>
      <c r="I84" s="47" t="s">
        <v>26</v>
      </c>
      <c r="J84" s="50">
        <v>16000000</v>
      </c>
      <c r="K84" s="50">
        <f>H84*J84</f>
        <v>16000000</v>
      </c>
      <c r="L84" s="179"/>
      <c r="M84" s="180"/>
      <c r="N84" s="181"/>
      <c r="O84" s="181"/>
      <c r="P84" s="182"/>
      <c r="Q84" s="183"/>
      <c r="R84" s="184"/>
      <c r="S84" s="184"/>
      <c r="T84" s="48">
        <f t="shared" ref="T84:T85" si="48">H84-L84+P84</f>
        <v>1</v>
      </c>
      <c r="U84" s="57" t="str">
        <f t="shared" ref="U84:V84" si="49">I84</f>
        <v>unit</v>
      </c>
      <c r="V84" s="50">
        <f t="shared" si="49"/>
        <v>16000000</v>
      </c>
      <c r="W84" s="185">
        <f>+V84*T84</f>
        <v>16000000</v>
      </c>
      <c r="X84" s="8"/>
      <c r="Y84" s="4"/>
      <c r="Z84" s="4"/>
      <c r="AA84" s="4"/>
      <c r="AB84" s="4"/>
      <c r="AC84" s="4"/>
    </row>
    <row r="85" spans="1:29" ht="20.25" customHeight="1">
      <c r="A85" s="186"/>
      <c r="B85" s="187"/>
      <c r="C85" s="188"/>
      <c r="D85" s="189" t="s">
        <v>129</v>
      </c>
      <c r="E85" s="46" t="s">
        <v>34</v>
      </c>
      <c r="F85" s="120" t="s">
        <v>21</v>
      </c>
      <c r="G85" s="120" t="s">
        <v>28</v>
      </c>
      <c r="H85" s="190"/>
      <c r="I85" s="120"/>
      <c r="J85" s="122"/>
      <c r="K85" s="122"/>
      <c r="L85" s="190"/>
      <c r="M85" s="120"/>
      <c r="N85" s="122"/>
      <c r="O85" s="122"/>
      <c r="P85" s="190">
        <v>2</v>
      </c>
      <c r="Q85" s="120" t="s">
        <v>47</v>
      </c>
      <c r="R85" s="122">
        <f>8000000</f>
        <v>8000000</v>
      </c>
      <c r="S85" s="122">
        <f>P85*R85</f>
        <v>16000000</v>
      </c>
      <c r="T85" s="48">
        <f t="shared" si="48"/>
        <v>2</v>
      </c>
      <c r="U85" s="120" t="s">
        <v>47</v>
      </c>
      <c r="V85" s="122">
        <f>8000000</f>
        <v>8000000</v>
      </c>
      <c r="W85" s="122">
        <f>T85*V85</f>
        <v>16000000</v>
      </c>
      <c r="X85" s="8"/>
      <c r="Y85" s="4"/>
      <c r="Z85" s="4"/>
      <c r="AA85" s="4"/>
      <c r="AB85" s="4"/>
      <c r="AC85" s="4"/>
    </row>
    <row r="86" spans="1:29" ht="20.25" customHeight="1">
      <c r="A86" s="14"/>
      <c r="B86" s="87"/>
      <c r="C86" s="88"/>
      <c r="D86" s="89"/>
      <c r="E86" s="90"/>
      <c r="F86" s="91"/>
      <c r="G86" s="91"/>
      <c r="H86" s="90"/>
      <c r="I86" s="91"/>
      <c r="J86" s="92" t="s">
        <v>130</v>
      </c>
      <c r="K86" s="92">
        <f>SUM(K84)</f>
        <v>16000000</v>
      </c>
      <c r="L86" s="90"/>
      <c r="M86" s="91"/>
      <c r="N86" s="92" t="s">
        <v>131</v>
      </c>
      <c r="O86" s="92">
        <f>SUM(O84)</f>
        <v>0</v>
      </c>
      <c r="P86" s="90"/>
      <c r="Q86" s="91"/>
      <c r="R86" s="92" t="s">
        <v>131</v>
      </c>
      <c r="S86" s="92">
        <f>SUM(S84:S85)</f>
        <v>16000000</v>
      </c>
      <c r="T86" s="90"/>
      <c r="U86" s="91"/>
      <c r="V86" s="92" t="s">
        <v>131</v>
      </c>
      <c r="W86" s="92">
        <f>SUM(W84:W85)</f>
        <v>32000000</v>
      </c>
      <c r="X86" s="13">
        <f>K86-O86+S86</f>
        <v>32000000</v>
      </c>
      <c r="Y86" s="3"/>
      <c r="Z86" s="3"/>
      <c r="AA86" s="3"/>
      <c r="AB86" s="3"/>
      <c r="AC86" s="3"/>
    </row>
    <row r="87" spans="1:29" ht="20.25" customHeight="1">
      <c r="A87" s="42"/>
      <c r="B87" s="52"/>
      <c r="C87" s="113"/>
      <c r="D87" s="172" t="s">
        <v>134</v>
      </c>
      <c r="E87" s="46" t="s">
        <v>31</v>
      </c>
      <c r="F87" s="109" t="s">
        <v>43</v>
      </c>
      <c r="G87" s="47" t="s">
        <v>22</v>
      </c>
      <c r="H87" s="46">
        <v>114</v>
      </c>
      <c r="I87" s="47" t="s">
        <v>51</v>
      </c>
      <c r="J87" s="50">
        <v>200000</v>
      </c>
      <c r="K87" s="50">
        <f t="shared" ref="K87:K88" si="50">J87*H87</f>
        <v>22800000</v>
      </c>
      <c r="L87" s="46"/>
      <c r="M87" s="47"/>
      <c r="N87" s="50"/>
      <c r="O87" s="50"/>
      <c r="P87" s="46"/>
      <c r="Q87" s="47"/>
      <c r="R87" s="50"/>
      <c r="S87" s="50"/>
      <c r="T87" s="48">
        <f t="shared" ref="T87:T88" si="51">H87-L87+P87</f>
        <v>114</v>
      </c>
      <c r="U87" s="57" t="str">
        <f t="shared" ref="U87:V87" si="52">I87</f>
        <v>m2</v>
      </c>
      <c r="V87" s="50">
        <f t="shared" si="52"/>
        <v>200000</v>
      </c>
      <c r="W87" s="50">
        <f t="shared" ref="W87:W88" si="53">+V87*T87</f>
        <v>22800000</v>
      </c>
      <c r="X87" s="8"/>
      <c r="Y87" s="4"/>
      <c r="Z87" s="4"/>
      <c r="AA87" s="4"/>
      <c r="AB87" s="4"/>
      <c r="AC87" s="4"/>
    </row>
    <row r="88" spans="1:29" ht="20.25" customHeight="1">
      <c r="A88" s="186"/>
      <c r="B88" s="187"/>
      <c r="C88" s="188"/>
      <c r="D88" s="189" t="s">
        <v>135</v>
      </c>
      <c r="E88" s="190" t="s">
        <v>31</v>
      </c>
      <c r="F88" s="109" t="s">
        <v>43</v>
      </c>
      <c r="G88" s="47" t="s">
        <v>22</v>
      </c>
      <c r="H88" s="190">
        <v>123</v>
      </c>
      <c r="I88" s="120" t="s">
        <v>136</v>
      </c>
      <c r="J88" s="122">
        <v>275000</v>
      </c>
      <c r="K88" s="122">
        <f t="shared" si="50"/>
        <v>33825000</v>
      </c>
      <c r="L88" s="190"/>
      <c r="M88" s="120"/>
      <c r="N88" s="122"/>
      <c r="O88" s="122"/>
      <c r="P88" s="190"/>
      <c r="Q88" s="120"/>
      <c r="R88" s="122"/>
      <c r="S88" s="122"/>
      <c r="T88" s="48">
        <f t="shared" si="51"/>
        <v>123</v>
      </c>
      <c r="U88" s="57" t="str">
        <f t="shared" ref="U88:V88" si="54">I88</f>
        <v>pc</v>
      </c>
      <c r="V88" s="50">
        <f t="shared" si="54"/>
        <v>275000</v>
      </c>
      <c r="W88" s="50">
        <f t="shared" si="53"/>
        <v>33825000</v>
      </c>
      <c r="X88" s="8"/>
      <c r="Y88" s="4"/>
      <c r="Z88" s="4"/>
      <c r="AA88" s="4"/>
      <c r="AB88" s="4"/>
      <c r="AC88" s="4"/>
    </row>
    <row r="89" spans="1:29" ht="20.25" customHeight="1">
      <c r="A89" s="14"/>
      <c r="B89" s="87"/>
      <c r="C89" s="88"/>
      <c r="D89" s="89"/>
      <c r="E89" s="90"/>
      <c r="F89" s="109">
        <f t="shared" ref="F89:F99" si="55">IF((G89="BARANG"),"T1",0)</f>
        <v>0</v>
      </c>
      <c r="G89" s="91"/>
      <c r="H89" s="90"/>
      <c r="I89" s="91"/>
      <c r="J89" s="92" t="s">
        <v>131</v>
      </c>
      <c r="K89" s="92">
        <f>SUM(K87:K88)</f>
        <v>56625000</v>
      </c>
      <c r="L89" s="90"/>
      <c r="M89" s="91"/>
      <c r="N89" s="92" t="s">
        <v>137</v>
      </c>
      <c r="O89" s="92">
        <f>SUM(O87:O88)</f>
        <v>0</v>
      </c>
      <c r="P89" s="90"/>
      <c r="Q89" s="91"/>
      <c r="R89" s="92" t="s">
        <v>137</v>
      </c>
      <c r="S89" s="92">
        <f>SUM(S87:S88)</f>
        <v>0</v>
      </c>
      <c r="T89" s="90"/>
      <c r="U89" s="91"/>
      <c r="V89" s="92" t="s">
        <v>137</v>
      </c>
      <c r="W89" s="92">
        <f>SUM(W87:W88)</f>
        <v>56625000</v>
      </c>
      <c r="X89" s="13">
        <f t="shared" ref="X89:X90" si="56">K89-O89+S89</f>
        <v>56625000</v>
      </c>
      <c r="Y89" s="3"/>
      <c r="Z89" s="3"/>
      <c r="AA89" s="3"/>
      <c r="AB89" s="3"/>
      <c r="AC89" s="3"/>
    </row>
    <row r="90" spans="1:29" ht="20.25" customHeight="1">
      <c r="A90" s="14"/>
      <c r="B90" s="87"/>
      <c r="C90" s="88"/>
      <c r="D90" s="89"/>
      <c r="E90" s="90"/>
      <c r="F90" s="109">
        <f t="shared" si="55"/>
        <v>0</v>
      </c>
      <c r="G90" s="91"/>
      <c r="H90" s="90"/>
      <c r="I90" s="91"/>
      <c r="J90" s="92" t="s">
        <v>137</v>
      </c>
      <c r="K90" s="92"/>
      <c r="L90" s="90"/>
      <c r="M90" s="91"/>
      <c r="N90" s="92" t="s">
        <v>140</v>
      </c>
      <c r="O90" s="92" t="e">
        <f>SUM(#REF!)</f>
        <v>#REF!</v>
      </c>
      <c r="P90" s="90"/>
      <c r="Q90" s="91"/>
      <c r="R90" s="92" t="s">
        <v>140</v>
      </c>
      <c r="S90" s="92" t="e">
        <f>SUM(#REF!)</f>
        <v>#REF!</v>
      </c>
      <c r="T90" s="90"/>
      <c r="U90" s="91"/>
      <c r="V90" s="92" t="s">
        <v>140</v>
      </c>
      <c r="W90" s="92" t="e">
        <f>SUM(#REF!)</f>
        <v>#REF!</v>
      </c>
      <c r="X90" s="13" t="e">
        <f t="shared" si="56"/>
        <v>#REF!</v>
      </c>
      <c r="Y90" s="3"/>
      <c r="Z90" s="3"/>
      <c r="AA90" s="3"/>
      <c r="AB90" s="3"/>
      <c r="AC90" s="3"/>
    </row>
    <row r="91" spans="1:29" ht="20.25" customHeight="1">
      <c r="A91" s="207">
        <v>18</v>
      </c>
      <c r="B91" s="105" t="s">
        <v>158</v>
      </c>
      <c r="C91" s="106"/>
      <c r="D91" s="208" t="s">
        <v>159</v>
      </c>
      <c r="E91" s="46" t="s">
        <v>34</v>
      </c>
      <c r="F91" s="109" t="str">
        <f t="shared" si="55"/>
        <v>T1</v>
      </c>
      <c r="G91" s="109" t="s">
        <v>28</v>
      </c>
      <c r="H91" s="108">
        <v>2</v>
      </c>
      <c r="I91" s="209" t="s">
        <v>26</v>
      </c>
      <c r="J91" s="111">
        <v>8500000</v>
      </c>
      <c r="K91" s="111">
        <f t="shared" ref="K91:K96" si="57">J91*H91</f>
        <v>17000000</v>
      </c>
      <c r="L91" s="108"/>
      <c r="M91" s="110"/>
      <c r="N91" s="111"/>
      <c r="O91" s="111"/>
      <c r="P91" s="108"/>
      <c r="Q91" s="110"/>
      <c r="R91" s="111"/>
      <c r="S91" s="111"/>
      <c r="T91" s="112">
        <f t="shared" ref="T91:T92" si="58">H91-L91+P91</f>
        <v>2</v>
      </c>
      <c r="U91" s="210" t="str">
        <f t="shared" ref="U91:V91" si="59">I91</f>
        <v>unit</v>
      </c>
      <c r="V91" s="111">
        <f t="shared" si="59"/>
        <v>8500000</v>
      </c>
      <c r="W91" s="111">
        <f t="shared" ref="W91:W97" si="60">+V91*T91</f>
        <v>17000000</v>
      </c>
      <c r="X91" s="8"/>
      <c r="Y91" s="4"/>
      <c r="Z91" s="4"/>
      <c r="AA91" s="4"/>
      <c r="AB91" s="4"/>
      <c r="AC91" s="4"/>
    </row>
    <row r="92" spans="1:29" ht="20.25" customHeight="1">
      <c r="A92" s="211"/>
      <c r="B92" s="52"/>
      <c r="C92" s="113"/>
      <c r="D92" s="58" t="s">
        <v>160</v>
      </c>
      <c r="E92" s="46" t="s">
        <v>34</v>
      </c>
      <c r="F92" s="109" t="str">
        <f t="shared" si="55"/>
        <v>T1</v>
      </c>
      <c r="G92" s="109" t="s">
        <v>28</v>
      </c>
      <c r="H92" s="59">
        <v>2</v>
      </c>
      <c r="I92" s="212" t="s">
        <v>26</v>
      </c>
      <c r="J92" s="50">
        <v>4500000</v>
      </c>
      <c r="K92" s="50">
        <f t="shared" si="57"/>
        <v>9000000</v>
      </c>
      <c r="L92" s="59"/>
      <c r="M92" s="86"/>
      <c r="N92" s="50"/>
      <c r="O92" s="50"/>
      <c r="P92" s="59"/>
      <c r="Q92" s="86"/>
      <c r="R92" s="50"/>
      <c r="S92" s="50"/>
      <c r="T92" s="48">
        <f t="shared" si="58"/>
        <v>2</v>
      </c>
      <c r="U92" s="57" t="str">
        <f t="shared" ref="U92:V92" si="61">I92</f>
        <v>unit</v>
      </c>
      <c r="V92" s="50">
        <f t="shared" si="61"/>
        <v>4500000</v>
      </c>
      <c r="W92" s="50">
        <f t="shared" si="60"/>
        <v>9000000</v>
      </c>
      <c r="X92" s="8"/>
      <c r="Y92" s="4"/>
      <c r="Z92" s="4"/>
      <c r="AA92" s="4"/>
      <c r="AB92" s="4"/>
      <c r="AC92" s="4"/>
    </row>
    <row r="93" spans="1:29" ht="20.25" customHeight="1">
      <c r="A93" s="211"/>
      <c r="B93" s="52"/>
      <c r="C93" s="113"/>
      <c r="D93" s="213" t="s">
        <v>161</v>
      </c>
      <c r="E93" s="46" t="s">
        <v>34</v>
      </c>
      <c r="F93" s="109" t="str">
        <f t="shared" si="55"/>
        <v>T1</v>
      </c>
      <c r="G93" s="109" t="s">
        <v>28</v>
      </c>
      <c r="H93" s="59">
        <v>2</v>
      </c>
      <c r="I93" s="212" t="s">
        <v>47</v>
      </c>
      <c r="J93" s="50">
        <v>175000000</v>
      </c>
      <c r="K93" s="50">
        <f t="shared" si="57"/>
        <v>350000000</v>
      </c>
      <c r="L93" s="59"/>
      <c r="M93" s="86"/>
      <c r="N93" s="50"/>
      <c r="O93" s="50"/>
      <c r="P93" s="59"/>
      <c r="Q93" s="86"/>
      <c r="R93" s="50"/>
      <c r="S93" s="50"/>
      <c r="T93" s="48">
        <v>0</v>
      </c>
      <c r="U93" s="57" t="str">
        <f t="shared" ref="U93:V93" si="62">I93</f>
        <v>set</v>
      </c>
      <c r="V93" s="50">
        <f t="shared" si="62"/>
        <v>175000000</v>
      </c>
      <c r="W93" s="50">
        <f t="shared" si="60"/>
        <v>0</v>
      </c>
      <c r="X93" s="8"/>
      <c r="Y93" s="4"/>
      <c r="Z93" s="4"/>
      <c r="AA93" s="4"/>
      <c r="AB93" s="4"/>
      <c r="AC93" s="4"/>
    </row>
    <row r="94" spans="1:29" ht="20.25" customHeight="1">
      <c r="A94" s="211"/>
      <c r="B94" s="52"/>
      <c r="C94" s="113"/>
      <c r="D94" s="58" t="s">
        <v>162</v>
      </c>
      <c r="E94" s="46" t="s">
        <v>34</v>
      </c>
      <c r="F94" s="109" t="str">
        <f t="shared" si="55"/>
        <v>T1</v>
      </c>
      <c r="G94" s="109" t="s">
        <v>28</v>
      </c>
      <c r="H94" s="59">
        <v>2</v>
      </c>
      <c r="I94" s="212" t="s">
        <v>47</v>
      </c>
      <c r="J94" s="50">
        <v>9000000</v>
      </c>
      <c r="K94" s="50">
        <f t="shared" si="57"/>
        <v>18000000</v>
      </c>
      <c r="L94" s="59"/>
      <c r="M94" s="86"/>
      <c r="N94" s="50"/>
      <c r="O94" s="50"/>
      <c r="P94" s="59"/>
      <c r="Q94" s="86"/>
      <c r="R94" s="50"/>
      <c r="S94" s="50"/>
      <c r="T94" s="48">
        <f t="shared" ref="T94:T95" si="63">H94-L94+P94</f>
        <v>2</v>
      </c>
      <c r="U94" s="57" t="str">
        <f t="shared" ref="U94:U95" si="64">I94</f>
        <v>set</v>
      </c>
      <c r="V94" s="50">
        <v>10000000</v>
      </c>
      <c r="W94" s="50">
        <f t="shared" si="60"/>
        <v>20000000</v>
      </c>
      <c r="X94" s="8"/>
      <c r="Y94" s="4"/>
      <c r="Z94" s="4"/>
      <c r="AA94" s="4"/>
      <c r="AB94" s="4"/>
      <c r="AC94" s="4"/>
    </row>
    <row r="95" spans="1:29" ht="20.25" customHeight="1">
      <c r="A95" s="42"/>
      <c r="B95" s="52"/>
      <c r="C95" s="113"/>
      <c r="D95" s="58" t="s">
        <v>163</v>
      </c>
      <c r="E95" s="46" t="s">
        <v>34</v>
      </c>
      <c r="F95" s="109" t="str">
        <f t="shared" si="55"/>
        <v>T1</v>
      </c>
      <c r="G95" s="109" t="s">
        <v>28</v>
      </c>
      <c r="H95" s="59">
        <v>2</v>
      </c>
      <c r="I95" s="212" t="s">
        <v>47</v>
      </c>
      <c r="J95" s="50">
        <v>7000000</v>
      </c>
      <c r="K95" s="50">
        <f t="shared" si="57"/>
        <v>14000000</v>
      </c>
      <c r="L95" s="59"/>
      <c r="M95" s="86"/>
      <c r="N95" s="50"/>
      <c r="O95" s="50"/>
      <c r="P95" s="59"/>
      <c r="Q95" s="86"/>
      <c r="R95" s="50"/>
      <c r="S95" s="50"/>
      <c r="T95" s="48">
        <f t="shared" si="63"/>
        <v>2</v>
      </c>
      <c r="U95" s="57" t="str">
        <f t="shared" si="64"/>
        <v>set</v>
      </c>
      <c r="V95" s="50">
        <f>J95</f>
        <v>7000000</v>
      </c>
      <c r="W95" s="50">
        <f t="shared" si="60"/>
        <v>14000000</v>
      </c>
      <c r="X95" s="8"/>
      <c r="Y95" s="4"/>
      <c r="Z95" s="4"/>
      <c r="AA95" s="4"/>
      <c r="AB95" s="4"/>
      <c r="AC95" s="4"/>
    </row>
    <row r="96" spans="1:29" ht="20.25" customHeight="1">
      <c r="A96" s="60"/>
      <c r="B96" s="61"/>
      <c r="C96" s="175"/>
      <c r="D96" s="63" t="s">
        <v>164</v>
      </c>
      <c r="E96" s="64" t="s">
        <v>34</v>
      </c>
      <c r="F96" s="109" t="str">
        <f t="shared" si="55"/>
        <v>T1</v>
      </c>
      <c r="G96" s="214" t="s">
        <v>28</v>
      </c>
      <c r="H96" s="64">
        <v>2</v>
      </c>
      <c r="I96" s="215" t="s">
        <v>26</v>
      </c>
      <c r="J96" s="66">
        <v>75000000</v>
      </c>
      <c r="K96" s="66">
        <f t="shared" si="57"/>
        <v>150000000</v>
      </c>
      <c r="L96" s="64">
        <v>2</v>
      </c>
      <c r="M96" s="215" t="s">
        <v>26</v>
      </c>
      <c r="N96" s="66">
        <f>75000000-35000000</f>
        <v>40000000</v>
      </c>
      <c r="O96" s="66">
        <f>N96*L96</f>
        <v>80000000</v>
      </c>
      <c r="P96" s="64"/>
      <c r="Q96" s="216"/>
      <c r="R96" s="66"/>
      <c r="S96" s="66"/>
      <c r="T96" s="67">
        <f t="shared" ref="T96:U96" si="65">H96</f>
        <v>2</v>
      </c>
      <c r="U96" s="65" t="str">
        <f t="shared" si="65"/>
        <v>unit</v>
      </c>
      <c r="V96" s="66">
        <f>J96-N96</f>
        <v>35000000</v>
      </c>
      <c r="W96" s="66">
        <f t="shared" si="60"/>
        <v>70000000</v>
      </c>
      <c r="X96" s="140"/>
      <c r="Y96" s="69"/>
      <c r="Z96" s="69"/>
      <c r="AA96" s="69"/>
      <c r="AB96" s="69"/>
      <c r="AC96" s="69"/>
    </row>
    <row r="97" spans="1:29" ht="20.25" customHeight="1">
      <c r="A97" s="151"/>
      <c r="B97" s="116"/>
      <c r="C97" s="117"/>
      <c r="D97" s="217" t="s">
        <v>165</v>
      </c>
      <c r="E97" s="46" t="s">
        <v>34</v>
      </c>
      <c r="F97" s="109" t="str">
        <f t="shared" si="55"/>
        <v>T1</v>
      </c>
      <c r="G97" s="109" t="s">
        <v>28</v>
      </c>
      <c r="H97" s="126"/>
      <c r="I97" s="124"/>
      <c r="J97" s="122"/>
      <c r="K97" s="122"/>
      <c r="L97" s="126"/>
      <c r="M97" s="124"/>
      <c r="N97" s="122"/>
      <c r="O97" s="122"/>
      <c r="P97" s="126">
        <v>1</v>
      </c>
      <c r="Q97" s="218" t="s">
        <v>47</v>
      </c>
      <c r="R97" s="122">
        <v>45000000</v>
      </c>
      <c r="S97" s="122">
        <f>R97*P97</f>
        <v>45000000</v>
      </c>
      <c r="T97" s="119">
        <f>H97-L97+P97</f>
        <v>1</v>
      </c>
      <c r="U97" s="126" t="s">
        <v>47</v>
      </c>
      <c r="V97" s="122">
        <f>R97</f>
        <v>45000000</v>
      </c>
      <c r="W97" s="122">
        <f t="shared" si="60"/>
        <v>45000000</v>
      </c>
      <c r="X97" s="8"/>
      <c r="Y97" s="4"/>
      <c r="Z97" s="4"/>
      <c r="AA97" s="4"/>
      <c r="AB97" s="4"/>
      <c r="AC97" s="4"/>
    </row>
    <row r="98" spans="1:29" ht="20.25" customHeight="1">
      <c r="A98" s="14"/>
      <c r="B98" s="87"/>
      <c r="C98" s="88"/>
      <c r="D98" s="101"/>
      <c r="E98" s="102"/>
      <c r="F98" s="109">
        <f t="shared" si="55"/>
        <v>0</v>
      </c>
      <c r="G98" s="103"/>
      <c r="H98" s="102"/>
      <c r="I98" s="103"/>
      <c r="J98" s="92" t="s">
        <v>154</v>
      </c>
      <c r="K98" s="92">
        <f>SUM(K91:K97)</f>
        <v>558000000</v>
      </c>
      <c r="L98" s="102"/>
      <c r="M98" s="103"/>
      <c r="N98" s="92" t="s">
        <v>166</v>
      </c>
      <c r="O98" s="92">
        <f>SUM(O91:O97)</f>
        <v>80000000</v>
      </c>
      <c r="P98" s="102"/>
      <c r="Q98" s="103"/>
      <c r="R98" s="92" t="s">
        <v>166</v>
      </c>
      <c r="S98" s="92">
        <f>SUM(S91:S97)</f>
        <v>45000000</v>
      </c>
      <c r="T98" s="102"/>
      <c r="U98" s="103"/>
      <c r="V98" s="92" t="s">
        <v>166</v>
      </c>
      <c r="W98" s="92">
        <f>SUM(W91:W97)</f>
        <v>175000000</v>
      </c>
      <c r="X98" s="13">
        <f>K98-O98+S98</f>
        <v>523000000</v>
      </c>
      <c r="Y98" s="3"/>
      <c r="Z98" s="3"/>
      <c r="AA98" s="3"/>
      <c r="AB98" s="3"/>
      <c r="AC98" s="3"/>
    </row>
    <row r="99" spans="1:29" ht="20.25" customHeight="1">
      <c r="A99" s="161" t="s">
        <v>167</v>
      </c>
      <c r="B99" s="162" t="s">
        <v>168</v>
      </c>
      <c r="C99" s="163"/>
      <c r="D99" s="164"/>
      <c r="E99" s="165"/>
      <c r="F99" s="109">
        <f t="shared" si="55"/>
        <v>0</v>
      </c>
      <c r="G99" s="164"/>
      <c r="H99" s="166"/>
      <c r="I99" s="167"/>
      <c r="J99" s="168"/>
      <c r="K99" s="169"/>
      <c r="L99" s="166"/>
      <c r="M99" s="167"/>
      <c r="N99" s="168"/>
      <c r="O99" s="169"/>
      <c r="P99" s="166"/>
      <c r="Q99" s="167"/>
      <c r="R99" s="168"/>
      <c r="S99" s="169"/>
      <c r="T99" s="166"/>
      <c r="U99" s="167"/>
      <c r="V99" s="168"/>
      <c r="W99" s="169"/>
      <c r="X99" s="24"/>
      <c r="Y99" s="4"/>
      <c r="Z99" s="4"/>
      <c r="AA99" s="4"/>
      <c r="AB99" s="4"/>
      <c r="AC99" s="4"/>
    </row>
    <row r="100" spans="1:29" ht="30" customHeight="1">
      <c r="A100" s="104">
        <v>19</v>
      </c>
      <c r="B100" s="219" t="s">
        <v>389</v>
      </c>
      <c r="C100" s="198"/>
      <c r="D100" s="199" t="s">
        <v>120</v>
      </c>
      <c r="E100" s="200" t="s">
        <v>31</v>
      </c>
      <c r="F100" s="109" t="s">
        <v>43</v>
      </c>
      <c r="G100" s="47" t="s">
        <v>22</v>
      </c>
      <c r="H100" s="200">
        <v>106</v>
      </c>
      <c r="I100" s="109" t="s">
        <v>51</v>
      </c>
      <c r="J100" s="220">
        <f t="shared" ref="J100:J101" si="66">500000</f>
        <v>500000</v>
      </c>
      <c r="K100" s="220">
        <f t="shared" ref="K100:K103" si="67">J100*H100</f>
        <v>53000000</v>
      </c>
      <c r="L100" s="200"/>
      <c r="M100" s="109"/>
      <c r="N100" s="220"/>
      <c r="O100" s="220"/>
      <c r="P100" s="200"/>
      <c r="Q100" s="109"/>
      <c r="R100" s="220"/>
      <c r="S100" s="220"/>
      <c r="T100" s="221">
        <f t="shared" ref="T100:T106" si="68">H100-L100+P100</f>
        <v>106</v>
      </c>
      <c r="U100" s="222" t="str">
        <f t="shared" ref="U100:U106" si="69">I100</f>
        <v>m2</v>
      </c>
      <c r="V100" s="220">
        <v>200000</v>
      </c>
      <c r="W100" s="220">
        <f t="shared" ref="W100:W106" si="70">+V100*T100</f>
        <v>21200000</v>
      </c>
      <c r="X100" s="8"/>
      <c r="Y100" s="4"/>
      <c r="Z100" s="4"/>
      <c r="AA100" s="4"/>
      <c r="AB100" s="4"/>
      <c r="AC100" s="4"/>
    </row>
    <row r="101" spans="1:29" ht="20.25" customHeight="1">
      <c r="A101" s="42"/>
      <c r="B101" s="43"/>
      <c r="C101" s="113"/>
      <c r="D101" s="171" t="s">
        <v>170</v>
      </c>
      <c r="E101" s="59" t="s">
        <v>31</v>
      </c>
      <c r="F101" s="109" t="s">
        <v>43</v>
      </c>
      <c r="G101" s="47" t="s">
        <v>22</v>
      </c>
      <c r="H101" s="59">
        <f>+H100</f>
        <v>106</v>
      </c>
      <c r="I101" s="47" t="s">
        <v>51</v>
      </c>
      <c r="J101" s="50">
        <f t="shared" si="66"/>
        <v>500000</v>
      </c>
      <c r="K101" s="50">
        <f t="shared" si="67"/>
        <v>53000000</v>
      </c>
      <c r="L101" s="59"/>
      <c r="M101" s="47"/>
      <c r="N101" s="50"/>
      <c r="O101" s="50"/>
      <c r="P101" s="59"/>
      <c r="Q101" s="47"/>
      <c r="R101" s="50"/>
      <c r="S101" s="50"/>
      <c r="T101" s="48">
        <f t="shared" si="68"/>
        <v>106</v>
      </c>
      <c r="U101" s="57" t="str">
        <f t="shared" si="69"/>
        <v>m2</v>
      </c>
      <c r="V101" s="50">
        <v>1750000</v>
      </c>
      <c r="W101" s="50">
        <f t="shared" si="70"/>
        <v>185500000</v>
      </c>
      <c r="X101" s="8"/>
      <c r="Y101" s="4"/>
      <c r="Z101" s="4"/>
      <c r="AA101" s="4"/>
      <c r="AB101" s="4"/>
      <c r="AC101" s="4"/>
    </row>
    <row r="102" spans="1:29" ht="20.25" customHeight="1">
      <c r="A102" s="42"/>
      <c r="B102" s="52"/>
      <c r="C102" s="113"/>
      <c r="D102" s="45" t="s">
        <v>107</v>
      </c>
      <c r="E102" s="59" t="s">
        <v>31</v>
      </c>
      <c r="F102" s="109" t="s">
        <v>25</v>
      </c>
      <c r="G102" s="47" t="s">
        <v>22</v>
      </c>
      <c r="H102" s="46">
        <f>+H100</f>
        <v>106</v>
      </c>
      <c r="I102" s="47" t="s">
        <v>51</v>
      </c>
      <c r="J102" s="50">
        <v>300000</v>
      </c>
      <c r="K102" s="50">
        <f t="shared" si="67"/>
        <v>31800000</v>
      </c>
      <c r="L102" s="46"/>
      <c r="M102" s="47"/>
      <c r="N102" s="50"/>
      <c r="O102" s="50"/>
      <c r="P102" s="46"/>
      <c r="Q102" s="47"/>
      <c r="R102" s="50"/>
      <c r="S102" s="50"/>
      <c r="T102" s="48">
        <f t="shared" si="68"/>
        <v>106</v>
      </c>
      <c r="U102" s="57" t="str">
        <f t="shared" si="69"/>
        <v>m2</v>
      </c>
      <c r="V102" s="50">
        <f t="shared" ref="V102:V103" si="71">J102</f>
        <v>300000</v>
      </c>
      <c r="W102" s="50">
        <f t="shared" si="70"/>
        <v>31800000</v>
      </c>
      <c r="X102" s="8"/>
      <c r="Y102" s="4"/>
      <c r="Z102" s="4"/>
      <c r="AA102" s="4"/>
      <c r="AB102" s="4"/>
      <c r="AC102" s="4"/>
    </row>
    <row r="103" spans="1:29" ht="20.25" customHeight="1">
      <c r="A103" s="42"/>
      <c r="B103" s="52"/>
      <c r="C103" s="113"/>
      <c r="D103" s="172" t="s">
        <v>171</v>
      </c>
      <c r="E103" s="59" t="s">
        <v>31</v>
      </c>
      <c r="F103" s="109" t="s">
        <v>32</v>
      </c>
      <c r="G103" s="47" t="s">
        <v>22</v>
      </c>
      <c r="H103" s="46">
        <f>+H102</f>
        <v>106</v>
      </c>
      <c r="I103" s="47" t="s">
        <v>51</v>
      </c>
      <c r="J103" s="50">
        <v>275000</v>
      </c>
      <c r="K103" s="50">
        <f t="shared" si="67"/>
        <v>29150000</v>
      </c>
      <c r="L103" s="46"/>
      <c r="M103" s="47"/>
      <c r="N103" s="50"/>
      <c r="O103" s="50"/>
      <c r="P103" s="46"/>
      <c r="Q103" s="47"/>
      <c r="R103" s="50"/>
      <c r="S103" s="50"/>
      <c r="T103" s="48">
        <f t="shared" si="68"/>
        <v>106</v>
      </c>
      <c r="U103" s="57" t="str">
        <f t="shared" si="69"/>
        <v>m2</v>
      </c>
      <c r="V103" s="50">
        <f t="shared" si="71"/>
        <v>275000</v>
      </c>
      <c r="W103" s="50">
        <f t="shared" si="70"/>
        <v>29150000</v>
      </c>
      <c r="X103" s="8"/>
      <c r="Y103" s="4"/>
      <c r="Z103" s="4"/>
      <c r="AA103" s="4"/>
      <c r="AB103" s="4"/>
      <c r="AC103" s="4"/>
    </row>
    <row r="104" spans="1:29" ht="20.25" customHeight="1">
      <c r="A104" s="42"/>
      <c r="B104" s="52"/>
      <c r="C104" s="113"/>
      <c r="D104" s="172" t="s">
        <v>172</v>
      </c>
      <c r="E104" s="59" t="s">
        <v>31</v>
      </c>
      <c r="F104" s="109" t="s">
        <v>43</v>
      </c>
      <c r="G104" s="47" t="s">
        <v>22</v>
      </c>
      <c r="H104" s="46">
        <v>106</v>
      </c>
      <c r="I104" s="47" t="s">
        <v>51</v>
      </c>
      <c r="J104" s="50">
        <v>3000000</v>
      </c>
      <c r="K104" s="50">
        <f>H104*J104</f>
        <v>318000000</v>
      </c>
      <c r="L104" s="46"/>
      <c r="M104" s="47"/>
      <c r="N104" s="50"/>
      <c r="O104" s="50"/>
      <c r="P104" s="46">
        <f>H101</f>
        <v>106</v>
      </c>
      <c r="Q104" s="47" t="s">
        <v>51</v>
      </c>
      <c r="R104" s="50">
        <v>1000000</v>
      </c>
      <c r="S104" s="50">
        <f>R104*P104</f>
        <v>106000000</v>
      </c>
      <c r="T104" s="48">
        <f t="shared" si="68"/>
        <v>212</v>
      </c>
      <c r="U104" s="57" t="str">
        <f t="shared" si="69"/>
        <v>m2</v>
      </c>
      <c r="V104" s="50">
        <v>3000000</v>
      </c>
      <c r="W104" s="50">
        <f t="shared" si="70"/>
        <v>636000000</v>
      </c>
      <c r="X104" s="8"/>
      <c r="Y104" s="4"/>
      <c r="Z104" s="4"/>
      <c r="AA104" s="4"/>
      <c r="AB104" s="4"/>
      <c r="AC104" s="4"/>
    </row>
    <row r="105" spans="1:29" ht="20.25" customHeight="1">
      <c r="A105" s="42"/>
      <c r="B105" s="52"/>
      <c r="C105" s="113"/>
      <c r="D105" s="172" t="s">
        <v>173</v>
      </c>
      <c r="E105" s="59" t="s">
        <v>31</v>
      </c>
      <c r="F105" s="109" t="str">
        <f t="shared" ref="F105:F107" si="72">IF((G105="BARANG"),"T1",0)</f>
        <v>T1</v>
      </c>
      <c r="G105" s="86" t="s">
        <v>28</v>
      </c>
      <c r="H105" s="46">
        <v>1</v>
      </c>
      <c r="I105" s="47" t="s">
        <v>26</v>
      </c>
      <c r="J105" s="50">
        <f>5500000*1.2</f>
        <v>6600000</v>
      </c>
      <c r="K105" s="50">
        <f t="shared" ref="K105:K106" si="73">J105*H105</f>
        <v>6600000</v>
      </c>
      <c r="L105" s="46"/>
      <c r="M105" s="47"/>
      <c r="N105" s="50"/>
      <c r="O105" s="50"/>
      <c r="P105" s="46"/>
      <c r="Q105" s="47"/>
      <c r="R105" s="50"/>
      <c r="S105" s="50"/>
      <c r="T105" s="48">
        <f t="shared" si="68"/>
        <v>1</v>
      </c>
      <c r="U105" s="57" t="str">
        <f t="shared" si="69"/>
        <v>unit</v>
      </c>
      <c r="V105" s="50">
        <f>J105</f>
        <v>6600000</v>
      </c>
      <c r="W105" s="50">
        <f t="shared" si="70"/>
        <v>6600000</v>
      </c>
      <c r="X105" s="8"/>
      <c r="Y105" s="4"/>
      <c r="Z105" s="4"/>
      <c r="AA105" s="4"/>
      <c r="AB105" s="4"/>
      <c r="AC105" s="4"/>
    </row>
    <row r="106" spans="1:29" ht="20.25" customHeight="1">
      <c r="A106" s="186"/>
      <c r="B106" s="187"/>
      <c r="C106" s="188"/>
      <c r="D106" s="189" t="s">
        <v>174</v>
      </c>
      <c r="E106" s="59" t="s">
        <v>31</v>
      </c>
      <c r="F106" s="109" t="str">
        <f t="shared" si="72"/>
        <v>T1</v>
      </c>
      <c r="G106" s="223" t="s">
        <v>28</v>
      </c>
      <c r="H106" s="190">
        <v>1</v>
      </c>
      <c r="I106" s="120" t="s">
        <v>47</v>
      </c>
      <c r="J106" s="224">
        <f>131983500</f>
        <v>131983500</v>
      </c>
      <c r="K106" s="122">
        <f t="shared" si="73"/>
        <v>131983500</v>
      </c>
      <c r="L106" s="190"/>
      <c r="M106" s="120" t="s">
        <v>47</v>
      </c>
      <c r="N106" s="224">
        <f>91983500</f>
        <v>91983500</v>
      </c>
      <c r="O106" s="122">
        <f>N106</f>
        <v>91983500</v>
      </c>
      <c r="P106" s="190"/>
      <c r="Q106" s="120"/>
      <c r="R106" s="224"/>
      <c r="S106" s="122"/>
      <c r="T106" s="48">
        <f t="shared" si="68"/>
        <v>1</v>
      </c>
      <c r="U106" s="57" t="str">
        <f t="shared" si="69"/>
        <v>set</v>
      </c>
      <c r="V106" s="50">
        <f>J106-N106</f>
        <v>40000000</v>
      </c>
      <c r="W106" s="50">
        <f t="shared" si="70"/>
        <v>40000000</v>
      </c>
      <c r="X106" s="8"/>
      <c r="Y106" s="224"/>
      <c r="Z106" s="4"/>
      <c r="AA106" s="4"/>
      <c r="AB106" s="4"/>
      <c r="AC106" s="4"/>
    </row>
    <row r="107" spans="1:29" ht="20.25" customHeight="1">
      <c r="A107" s="14"/>
      <c r="B107" s="87"/>
      <c r="C107" s="88"/>
      <c r="D107" s="101"/>
      <c r="E107" s="102"/>
      <c r="F107" s="109">
        <f t="shared" si="72"/>
        <v>0</v>
      </c>
      <c r="G107" s="103"/>
      <c r="H107" s="102"/>
      <c r="I107" s="103"/>
      <c r="J107" s="92" t="s">
        <v>157</v>
      </c>
      <c r="K107" s="92">
        <f>SUM(K100:K106)</f>
        <v>623533500</v>
      </c>
      <c r="L107" s="102"/>
      <c r="M107" s="103"/>
      <c r="N107" s="92" t="s">
        <v>156</v>
      </c>
      <c r="O107" s="92">
        <f>SUM(O100:O106)</f>
        <v>91983500</v>
      </c>
      <c r="P107" s="102"/>
      <c r="Q107" s="103"/>
      <c r="R107" s="92" t="s">
        <v>156</v>
      </c>
      <c r="S107" s="92">
        <f>SUM(S100:S106)</f>
        <v>106000000</v>
      </c>
      <c r="T107" s="102"/>
      <c r="U107" s="103"/>
      <c r="V107" s="92" t="s">
        <v>156</v>
      </c>
      <c r="W107" s="92">
        <f>SUM(W100:W106)</f>
        <v>950250000</v>
      </c>
      <c r="X107" s="13">
        <f>K107-O107+S107</f>
        <v>637550000</v>
      </c>
      <c r="Y107" s="3"/>
      <c r="Z107" s="3"/>
      <c r="AA107" s="3"/>
      <c r="AB107" s="3"/>
      <c r="AC107" s="3"/>
    </row>
    <row r="108" spans="1:29" ht="32.25" customHeight="1">
      <c r="A108" s="104">
        <v>20</v>
      </c>
      <c r="B108" s="225" t="s">
        <v>175</v>
      </c>
      <c r="C108" s="198"/>
      <c r="D108" s="199" t="s">
        <v>120</v>
      </c>
      <c r="E108" s="200" t="s">
        <v>31</v>
      </c>
      <c r="F108" s="109" t="s">
        <v>43</v>
      </c>
      <c r="G108" s="47" t="s">
        <v>22</v>
      </c>
      <c r="H108" s="200">
        <f>250</f>
        <v>250</v>
      </c>
      <c r="I108" s="109" t="s">
        <v>51</v>
      </c>
      <c r="J108" s="111">
        <v>500000</v>
      </c>
      <c r="K108" s="111">
        <f t="shared" ref="K108:K112" si="74">+J108*H108</f>
        <v>125000000</v>
      </c>
      <c r="L108" s="200"/>
      <c r="M108" s="109"/>
      <c r="N108" s="111"/>
      <c r="O108" s="111"/>
      <c r="P108" s="200"/>
      <c r="Q108" s="109"/>
      <c r="R108" s="111"/>
      <c r="S108" s="111"/>
      <c r="T108" s="48">
        <f t="shared" ref="T108:T112" si="75">H108-L108+P108</f>
        <v>250</v>
      </c>
      <c r="U108" s="57" t="str">
        <f t="shared" ref="U108:U112" si="76">I108</f>
        <v>m2</v>
      </c>
      <c r="V108" s="50">
        <v>200000</v>
      </c>
      <c r="W108" s="50">
        <f t="shared" ref="W108:W112" si="77">+V108*T108</f>
        <v>50000000</v>
      </c>
      <c r="X108" s="8"/>
      <c r="Y108" s="4"/>
      <c r="Z108" s="4"/>
      <c r="AA108" s="4"/>
      <c r="AB108" s="4"/>
      <c r="AC108" s="4"/>
    </row>
    <row r="109" spans="1:29" ht="20.25" customHeight="1">
      <c r="A109" s="42"/>
      <c r="B109" s="43"/>
      <c r="C109" s="113"/>
      <c r="D109" s="45" t="s">
        <v>107</v>
      </c>
      <c r="E109" s="59" t="s">
        <v>31</v>
      </c>
      <c r="F109" s="109" t="s">
        <v>25</v>
      </c>
      <c r="G109" s="47" t="s">
        <v>22</v>
      </c>
      <c r="H109" s="46">
        <f>+H117</f>
        <v>24</v>
      </c>
      <c r="I109" s="47" t="s">
        <v>51</v>
      </c>
      <c r="J109" s="50">
        <v>300000</v>
      </c>
      <c r="K109" s="50">
        <f t="shared" si="74"/>
        <v>7200000</v>
      </c>
      <c r="L109" s="46"/>
      <c r="M109" s="47"/>
      <c r="N109" s="50"/>
      <c r="O109" s="50"/>
      <c r="P109" s="46"/>
      <c r="Q109" s="47"/>
      <c r="R109" s="50"/>
      <c r="S109" s="50"/>
      <c r="T109" s="48">
        <f t="shared" si="75"/>
        <v>24</v>
      </c>
      <c r="U109" s="57" t="str">
        <f t="shared" si="76"/>
        <v>m2</v>
      </c>
      <c r="V109" s="50">
        <f>J109</f>
        <v>300000</v>
      </c>
      <c r="W109" s="50">
        <f t="shared" si="77"/>
        <v>7200000</v>
      </c>
      <c r="X109" s="8"/>
      <c r="Y109" s="4"/>
      <c r="Z109" s="4"/>
      <c r="AA109" s="4"/>
      <c r="AB109" s="4"/>
      <c r="AC109" s="4"/>
    </row>
    <row r="110" spans="1:29" ht="20.25" customHeight="1">
      <c r="A110" s="42"/>
      <c r="B110" s="52"/>
      <c r="C110" s="113"/>
      <c r="D110" s="45" t="s">
        <v>176</v>
      </c>
      <c r="E110" s="59" t="s">
        <v>31</v>
      </c>
      <c r="F110" s="109" t="s">
        <v>43</v>
      </c>
      <c r="G110" s="47" t="s">
        <v>22</v>
      </c>
      <c r="H110" s="46">
        <f>+H108</f>
        <v>250</v>
      </c>
      <c r="I110" s="47" t="s">
        <v>51</v>
      </c>
      <c r="J110" s="50">
        <v>2000000</v>
      </c>
      <c r="K110" s="50">
        <f t="shared" si="74"/>
        <v>500000000</v>
      </c>
      <c r="L110" s="46"/>
      <c r="M110" s="47"/>
      <c r="N110" s="50"/>
      <c r="O110" s="50"/>
      <c r="P110" s="46"/>
      <c r="Q110" s="47"/>
      <c r="R110" s="50"/>
      <c r="S110" s="50"/>
      <c r="T110" s="48">
        <f t="shared" si="75"/>
        <v>250</v>
      </c>
      <c r="U110" s="57" t="str">
        <f t="shared" si="76"/>
        <v>m2</v>
      </c>
      <c r="V110" s="50">
        <v>3000000</v>
      </c>
      <c r="W110" s="50">
        <f t="shared" si="77"/>
        <v>750000000</v>
      </c>
      <c r="X110" s="8"/>
      <c r="Y110" s="4"/>
      <c r="Z110" s="4"/>
      <c r="AA110" s="4"/>
      <c r="AB110" s="4"/>
      <c r="AC110" s="4"/>
    </row>
    <row r="111" spans="1:29" ht="20.25" customHeight="1">
      <c r="A111" s="42"/>
      <c r="B111" s="52"/>
      <c r="C111" s="113"/>
      <c r="D111" s="45" t="s">
        <v>113</v>
      </c>
      <c r="E111" s="59" t="s">
        <v>31</v>
      </c>
      <c r="F111" s="109" t="s">
        <v>32</v>
      </c>
      <c r="G111" s="47" t="s">
        <v>22</v>
      </c>
      <c r="H111" s="46">
        <f>+H110</f>
        <v>250</v>
      </c>
      <c r="I111" s="47" t="s">
        <v>51</v>
      </c>
      <c r="J111" s="50">
        <v>275000</v>
      </c>
      <c r="K111" s="50">
        <f t="shared" si="74"/>
        <v>68750000</v>
      </c>
      <c r="L111" s="46"/>
      <c r="M111" s="47"/>
      <c r="N111" s="50"/>
      <c r="O111" s="50"/>
      <c r="P111" s="46"/>
      <c r="Q111" s="47"/>
      <c r="R111" s="50"/>
      <c r="S111" s="50"/>
      <c r="T111" s="48">
        <f t="shared" si="75"/>
        <v>250</v>
      </c>
      <c r="U111" s="57" t="str">
        <f t="shared" si="76"/>
        <v>m2</v>
      </c>
      <c r="V111" s="50">
        <f t="shared" ref="V111:V112" si="78">J111</f>
        <v>275000</v>
      </c>
      <c r="W111" s="50">
        <f t="shared" si="77"/>
        <v>68750000</v>
      </c>
      <c r="X111" s="8"/>
      <c r="Y111" s="4"/>
      <c r="Z111" s="4"/>
      <c r="AA111" s="4"/>
      <c r="AB111" s="4"/>
      <c r="AC111" s="4"/>
    </row>
    <row r="112" spans="1:29" ht="20.25" customHeight="1">
      <c r="A112" s="186"/>
      <c r="B112" s="187"/>
      <c r="C112" s="188"/>
      <c r="D112" s="189" t="s">
        <v>177</v>
      </c>
      <c r="E112" s="59" t="s">
        <v>31</v>
      </c>
      <c r="F112" s="109" t="str">
        <f t="shared" ref="F112:F114" si="79">IF((G112="BARANG"),"T1",0)</f>
        <v>T1</v>
      </c>
      <c r="G112" s="223" t="s">
        <v>28</v>
      </c>
      <c r="H112" s="190">
        <v>1</v>
      </c>
      <c r="I112" s="120" t="s">
        <v>26</v>
      </c>
      <c r="J112" s="122">
        <f>17999000*1.1</f>
        <v>19798900</v>
      </c>
      <c r="K112" s="122">
        <f t="shared" si="74"/>
        <v>19798900</v>
      </c>
      <c r="L112" s="190"/>
      <c r="M112" s="120"/>
      <c r="N112" s="122"/>
      <c r="O112" s="122"/>
      <c r="P112" s="190"/>
      <c r="Q112" s="120"/>
      <c r="R112" s="122"/>
      <c r="S112" s="122"/>
      <c r="T112" s="48">
        <f t="shared" si="75"/>
        <v>1</v>
      </c>
      <c r="U112" s="57" t="str">
        <f t="shared" si="76"/>
        <v>unit</v>
      </c>
      <c r="V112" s="50">
        <f t="shared" si="78"/>
        <v>19798900</v>
      </c>
      <c r="W112" s="50">
        <f t="shared" si="77"/>
        <v>19798900</v>
      </c>
      <c r="X112" s="8"/>
      <c r="Y112" s="4"/>
      <c r="Z112" s="4"/>
      <c r="AA112" s="4"/>
      <c r="AB112" s="4"/>
      <c r="AC112" s="4"/>
    </row>
    <row r="113" spans="1:29" ht="20.25" customHeight="1">
      <c r="A113" s="14"/>
      <c r="B113" s="87"/>
      <c r="C113" s="88"/>
      <c r="D113" s="101"/>
      <c r="E113" s="102"/>
      <c r="F113" s="109">
        <f t="shared" si="79"/>
        <v>0</v>
      </c>
      <c r="G113" s="103"/>
      <c r="H113" s="102"/>
      <c r="I113" s="103"/>
      <c r="J113" s="92" t="s">
        <v>178</v>
      </c>
      <c r="K113" s="92">
        <f>SUM(K108:K112)</f>
        <v>720748900</v>
      </c>
      <c r="L113" s="102"/>
      <c r="M113" s="103"/>
      <c r="N113" s="92" t="s">
        <v>178</v>
      </c>
      <c r="O113" s="92">
        <f>SUM(O108:O112)</f>
        <v>0</v>
      </c>
      <c r="P113" s="102"/>
      <c r="Q113" s="103"/>
      <c r="R113" s="92" t="s">
        <v>178</v>
      </c>
      <c r="S113" s="92">
        <f>SUM(S108:S112)</f>
        <v>0</v>
      </c>
      <c r="T113" s="102"/>
      <c r="U113" s="103"/>
      <c r="V113" s="92" t="s">
        <v>178</v>
      </c>
      <c r="W113" s="92">
        <f>SUM(W108:W112)</f>
        <v>895748900</v>
      </c>
      <c r="X113" s="13">
        <f>K113-O113+S113</f>
        <v>720748900</v>
      </c>
      <c r="Y113" s="3"/>
      <c r="Z113" s="3"/>
      <c r="AA113" s="3"/>
      <c r="AB113" s="3"/>
      <c r="AC113" s="3"/>
    </row>
    <row r="114" spans="1:29" ht="20.25" customHeight="1">
      <c r="A114" s="226" t="s">
        <v>179</v>
      </c>
      <c r="B114" s="227" t="s">
        <v>180</v>
      </c>
      <c r="C114" s="228"/>
      <c r="D114" s="229"/>
      <c r="E114" s="46" t="s">
        <v>181</v>
      </c>
      <c r="F114" s="109">
        <f t="shared" si="79"/>
        <v>0</v>
      </c>
      <c r="G114" s="47" t="s">
        <v>22</v>
      </c>
      <c r="H114" s="230"/>
      <c r="I114" s="231"/>
      <c r="J114" s="232"/>
      <c r="K114" s="232"/>
      <c r="L114" s="230"/>
      <c r="M114" s="231"/>
      <c r="N114" s="232"/>
      <c r="O114" s="232"/>
      <c r="P114" s="230"/>
      <c r="Q114" s="231"/>
      <c r="R114" s="232"/>
      <c r="S114" s="232"/>
      <c r="T114" s="48"/>
      <c r="U114" s="57"/>
      <c r="V114" s="50"/>
      <c r="W114" s="50"/>
      <c r="X114" s="8"/>
      <c r="Y114" s="4"/>
      <c r="Z114" s="4"/>
      <c r="AA114" s="4"/>
      <c r="AB114" s="4"/>
      <c r="AC114" s="4"/>
    </row>
    <row r="115" spans="1:29" ht="20.25" customHeight="1">
      <c r="A115" s="42">
        <v>21</v>
      </c>
      <c r="B115" s="52" t="s">
        <v>182</v>
      </c>
      <c r="C115" s="44"/>
      <c r="D115" s="172" t="s">
        <v>183</v>
      </c>
      <c r="E115" s="46" t="s">
        <v>181</v>
      </c>
      <c r="F115" s="109" t="s">
        <v>25</v>
      </c>
      <c r="G115" s="47" t="s">
        <v>22</v>
      </c>
      <c r="H115" s="48">
        <v>24</v>
      </c>
      <c r="I115" s="51"/>
      <c r="J115" s="50"/>
      <c r="K115" s="50"/>
      <c r="L115" s="48"/>
      <c r="M115" s="51"/>
      <c r="N115" s="50"/>
      <c r="O115" s="50"/>
      <c r="P115" s="48"/>
      <c r="Q115" s="51"/>
      <c r="R115" s="50"/>
      <c r="S115" s="50"/>
      <c r="T115" s="48"/>
      <c r="U115" s="57"/>
      <c r="V115" s="50"/>
      <c r="W115" s="50"/>
      <c r="X115" s="8"/>
      <c r="Y115" s="4"/>
      <c r="Z115" s="4"/>
      <c r="AA115" s="4"/>
      <c r="AB115" s="4"/>
      <c r="AC115" s="4"/>
    </row>
    <row r="116" spans="1:29" ht="20.25" customHeight="1">
      <c r="A116" s="42"/>
      <c r="B116" s="52"/>
      <c r="C116" s="44"/>
      <c r="D116" s="45" t="s">
        <v>184</v>
      </c>
      <c r="E116" s="46" t="s">
        <v>181</v>
      </c>
      <c r="F116" s="109" t="s">
        <v>25</v>
      </c>
      <c r="G116" s="47" t="s">
        <v>22</v>
      </c>
      <c r="H116" s="48">
        <f>24</f>
        <v>24</v>
      </c>
      <c r="I116" s="51" t="s">
        <v>26</v>
      </c>
      <c r="J116" s="50"/>
      <c r="K116" s="50"/>
      <c r="L116" s="48"/>
      <c r="M116" s="51"/>
      <c r="N116" s="50"/>
      <c r="O116" s="50"/>
      <c r="P116" s="48"/>
      <c r="Q116" s="51"/>
      <c r="R116" s="50"/>
      <c r="S116" s="50"/>
      <c r="T116" s="48"/>
      <c r="U116" s="57"/>
      <c r="V116" s="50"/>
      <c r="W116" s="50"/>
      <c r="X116" s="8"/>
      <c r="Y116" s="4"/>
      <c r="Z116" s="4"/>
      <c r="AA116" s="4"/>
      <c r="AB116" s="4"/>
      <c r="AC116" s="4"/>
    </row>
    <row r="117" spans="1:29" ht="20.25" customHeight="1">
      <c r="A117" s="42"/>
      <c r="B117" s="52"/>
      <c r="C117" s="44"/>
      <c r="D117" s="45" t="s">
        <v>185</v>
      </c>
      <c r="E117" s="46" t="s">
        <v>181</v>
      </c>
      <c r="F117" s="109" t="s">
        <v>25</v>
      </c>
      <c r="G117" s="47" t="s">
        <v>22</v>
      </c>
      <c r="H117" s="48">
        <f>+H115</f>
        <v>24</v>
      </c>
      <c r="I117" s="51" t="s">
        <v>26</v>
      </c>
      <c r="J117" s="50"/>
      <c r="K117" s="50"/>
      <c r="L117" s="48"/>
      <c r="M117" s="51"/>
      <c r="N117" s="50"/>
      <c r="O117" s="50"/>
      <c r="P117" s="48"/>
      <c r="Q117" s="51"/>
      <c r="R117" s="50"/>
      <c r="S117" s="50"/>
      <c r="T117" s="48"/>
      <c r="U117" s="57"/>
      <c r="V117" s="50"/>
      <c r="W117" s="50"/>
      <c r="X117" s="8"/>
      <c r="Y117" s="4"/>
      <c r="Z117" s="4"/>
      <c r="AA117" s="4"/>
      <c r="AB117" s="4"/>
      <c r="AC117" s="4"/>
    </row>
    <row r="118" spans="1:29" ht="20.25" customHeight="1">
      <c r="A118" s="42"/>
      <c r="B118" s="52"/>
      <c r="C118" s="44"/>
      <c r="D118" s="45" t="s">
        <v>186</v>
      </c>
      <c r="E118" s="46" t="s">
        <v>181</v>
      </c>
      <c r="F118" s="109" t="s">
        <v>25</v>
      </c>
      <c r="G118" s="47" t="s">
        <v>22</v>
      </c>
      <c r="H118" s="46">
        <f>+H115</f>
        <v>24</v>
      </c>
      <c r="I118" s="47" t="s">
        <v>26</v>
      </c>
      <c r="J118" s="50"/>
      <c r="K118" s="50"/>
      <c r="L118" s="46"/>
      <c r="M118" s="47"/>
      <c r="N118" s="50"/>
      <c r="O118" s="50"/>
      <c r="P118" s="46"/>
      <c r="Q118" s="47"/>
      <c r="R118" s="50"/>
      <c r="S118" s="50"/>
      <c r="T118" s="48"/>
      <c r="U118" s="57"/>
      <c r="V118" s="50"/>
      <c r="W118" s="50"/>
      <c r="X118" s="8"/>
      <c r="Y118" s="4"/>
      <c r="Z118" s="4"/>
      <c r="AA118" s="4"/>
      <c r="AB118" s="4"/>
      <c r="AC118" s="4"/>
    </row>
    <row r="119" spans="1:29" ht="20.25" customHeight="1">
      <c r="A119" s="42"/>
      <c r="B119" s="52"/>
      <c r="C119" s="113"/>
      <c r="D119" s="45" t="s">
        <v>390</v>
      </c>
      <c r="E119" s="46" t="s">
        <v>181</v>
      </c>
      <c r="F119" s="109" t="s">
        <v>25</v>
      </c>
      <c r="G119" s="47" t="s">
        <v>22</v>
      </c>
      <c r="H119" s="46">
        <f>H115</f>
        <v>24</v>
      </c>
      <c r="I119" s="47" t="s">
        <v>26</v>
      </c>
      <c r="J119" s="50"/>
      <c r="K119" s="50"/>
      <c r="L119" s="46"/>
      <c r="M119" s="47"/>
      <c r="N119" s="50"/>
      <c r="O119" s="50"/>
      <c r="P119" s="46"/>
      <c r="Q119" s="47"/>
      <c r="R119" s="50"/>
      <c r="S119" s="50"/>
      <c r="T119" s="48"/>
      <c r="U119" s="57"/>
      <c r="V119" s="50"/>
      <c r="W119" s="50"/>
      <c r="X119" s="8"/>
      <c r="Y119" s="4"/>
      <c r="Z119" s="4"/>
      <c r="AA119" s="4"/>
      <c r="AB119" s="4"/>
      <c r="AC119" s="4"/>
    </row>
    <row r="120" spans="1:29" ht="20.25" customHeight="1">
      <c r="A120" s="42"/>
      <c r="B120" s="52"/>
      <c r="C120" s="113"/>
      <c r="D120" s="45" t="s">
        <v>391</v>
      </c>
      <c r="E120" s="46" t="s">
        <v>181</v>
      </c>
      <c r="F120" s="109" t="s">
        <v>43</v>
      </c>
      <c r="G120" s="47" t="s">
        <v>22</v>
      </c>
      <c r="H120" s="46">
        <f>H115</f>
        <v>24</v>
      </c>
      <c r="I120" s="47" t="s">
        <v>26</v>
      </c>
      <c r="J120" s="50"/>
      <c r="K120" s="50"/>
      <c r="L120" s="46"/>
      <c r="M120" s="47"/>
      <c r="N120" s="50"/>
      <c r="O120" s="50"/>
      <c r="P120" s="46"/>
      <c r="Q120" s="47"/>
      <c r="R120" s="50"/>
      <c r="S120" s="50"/>
      <c r="T120" s="48"/>
      <c r="U120" s="57"/>
      <c r="V120" s="50"/>
      <c r="W120" s="50"/>
      <c r="X120" s="8"/>
      <c r="Y120" s="4"/>
      <c r="Z120" s="4"/>
      <c r="AA120" s="4"/>
      <c r="AB120" s="4"/>
      <c r="AC120" s="4"/>
    </row>
    <row r="121" spans="1:29" ht="20.25" customHeight="1">
      <c r="A121" s="42"/>
      <c r="B121" s="52"/>
      <c r="C121" s="113"/>
      <c r="D121" s="45" t="s">
        <v>189</v>
      </c>
      <c r="E121" s="46" t="s">
        <v>181</v>
      </c>
      <c r="F121" s="109" t="s">
        <v>21</v>
      </c>
      <c r="G121" s="47" t="s">
        <v>22</v>
      </c>
      <c r="H121" s="46">
        <f>+H115</f>
        <v>24</v>
      </c>
      <c r="I121" s="47" t="s">
        <v>26</v>
      </c>
      <c r="J121" s="50"/>
      <c r="K121" s="50"/>
      <c r="L121" s="46"/>
      <c r="M121" s="47"/>
      <c r="N121" s="50"/>
      <c r="O121" s="50"/>
      <c r="P121" s="46"/>
      <c r="Q121" s="47"/>
      <c r="R121" s="50"/>
      <c r="S121" s="50"/>
      <c r="T121" s="48"/>
      <c r="U121" s="57"/>
      <c r="V121" s="50"/>
      <c r="W121" s="50"/>
      <c r="X121" s="8"/>
      <c r="Y121" s="4"/>
      <c r="Z121" s="4"/>
      <c r="AA121" s="4"/>
      <c r="AB121" s="4"/>
      <c r="AC121" s="4"/>
    </row>
    <row r="122" spans="1:29" ht="20.25" customHeight="1">
      <c r="A122" s="42"/>
      <c r="B122" s="52"/>
      <c r="C122" s="113"/>
      <c r="D122" s="45" t="s">
        <v>190</v>
      </c>
      <c r="E122" s="46" t="s">
        <v>181</v>
      </c>
      <c r="F122" s="109" t="s">
        <v>43</v>
      </c>
      <c r="G122" s="47" t="s">
        <v>22</v>
      </c>
      <c r="H122" s="46">
        <f>+H115</f>
        <v>24</v>
      </c>
      <c r="I122" s="47" t="s">
        <v>26</v>
      </c>
      <c r="J122" s="50"/>
      <c r="K122" s="50"/>
      <c r="L122" s="46"/>
      <c r="M122" s="47"/>
      <c r="N122" s="50"/>
      <c r="O122" s="50"/>
      <c r="P122" s="46"/>
      <c r="Q122" s="47"/>
      <c r="R122" s="50"/>
      <c r="S122" s="50"/>
      <c r="T122" s="48"/>
      <c r="U122" s="57"/>
      <c r="V122" s="50"/>
      <c r="W122" s="50"/>
      <c r="X122" s="8"/>
      <c r="Y122" s="4"/>
      <c r="Z122" s="4"/>
      <c r="AA122" s="4"/>
      <c r="AB122" s="4"/>
      <c r="AC122" s="4"/>
    </row>
    <row r="123" spans="1:29" ht="20.25" customHeight="1">
      <c r="A123" s="42"/>
      <c r="B123" s="52"/>
      <c r="C123" s="113"/>
      <c r="D123" s="45" t="s">
        <v>191</v>
      </c>
      <c r="E123" s="46" t="s">
        <v>181</v>
      </c>
      <c r="F123" s="109" t="s">
        <v>32</v>
      </c>
      <c r="G123" s="47" t="s">
        <v>22</v>
      </c>
      <c r="H123" s="46">
        <v>54</v>
      </c>
      <c r="I123" s="47" t="s">
        <v>26</v>
      </c>
      <c r="J123" s="50"/>
      <c r="K123" s="50"/>
      <c r="L123" s="46"/>
      <c r="M123" s="47"/>
      <c r="N123" s="50"/>
      <c r="O123" s="50"/>
      <c r="P123" s="46"/>
      <c r="Q123" s="47"/>
      <c r="R123" s="50"/>
      <c r="S123" s="50"/>
      <c r="T123" s="48"/>
      <c r="U123" s="57"/>
      <c r="V123" s="50"/>
      <c r="W123" s="50"/>
      <c r="X123" s="8"/>
      <c r="Y123" s="4"/>
      <c r="Z123" s="4"/>
      <c r="AA123" s="4"/>
      <c r="AB123" s="4"/>
      <c r="AC123" s="4"/>
    </row>
    <row r="124" spans="1:29" ht="20.25" customHeight="1">
      <c r="A124" s="42"/>
      <c r="B124" s="52"/>
      <c r="C124" s="113"/>
      <c r="D124" s="172" t="s">
        <v>192</v>
      </c>
      <c r="E124" s="46" t="s">
        <v>181</v>
      </c>
      <c r="F124" s="109">
        <f>IF((G124="BARANG"),"T1",0)</f>
        <v>0</v>
      </c>
      <c r="G124" s="47" t="s">
        <v>22</v>
      </c>
      <c r="H124" s="46"/>
      <c r="I124" s="47"/>
      <c r="J124" s="233"/>
      <c r="K124" s="50"/>
      <c r="L124" s="46"/>
      <c r="M124" s="47"/>
      <c r="N124" s="233"/>
      <c r="O124" s="50"/>
      <c r="P124" s="46"/>
      <c r="Q124" s="47"/>
      <c r="R124" s="233"/>
      <c r="S124" s="50"/>
      <c r="T124" s="48"/>
      <c r="U124" s="57"/>
      <c r="V124" s="50"/>
      <c r="W124" s="50"/>
      <c r="X124" s="8"/>
      <c r="Y124" s="8" t="s">
        <v>392</v>
      </c>
      <c r="Z124" s="4" t="s">
        <v>393</v>
      </c>
      <c r="AA124" s="4"/>
      <c r="AB124" s="4"/>
      <c r="AC124" s="4"/>
    </row>
    <row r="125" spans="1:29" ht="20.25" customHeight="1">
      <c r="A125" s="42"/>
      <c r="B125" s="52"/>
      <c r="C125" s="113"/>
      <c r="D125" s="172" t="s">
        <v>193</v>
      </c>
      <c r="E125" s="46" t="s">
        <v>181</v>
      </c>
      <c r="F125" s="109" t="s">
        <v>25</v>
      </c>
      <c r="G125" s="47" t="s">
        <v>22</v>
      </c>
      <c r="H125" s="46">
        <v>33</v>
      </c>
      <c r="I125" s="47" t="s">
        <v>194</v>
      </c>
      <c r="J125" s="233">
        <f>80000000*1.1</f>
        <v>88000000</v>
      </c>
      <c r="K125" s="50">
        <f>J125*H125</f>
        <v>2904000000</v>
      </c>
      <c r="L125" s="46">
        <f>230-56-30-1-7-4</f>
        <v>132</v>
      </c>
      <c r="M125" s="47" t="s">
        <v>194</v>
      </c>
      <c r="N125" s="233">
        <f>80000000*1.1</f>
        <v>88000000</v>
      </c>
      <c r="O125" s="50">
        <f>N125*L125</f>
        <v>11616000000</v>
      </c>
      <c r="P125" s="46"/>
      <c r="Q125" s="47"/>
      <c r="R125" s="233"/>
      <c r="S125" s="50"/>
      <c r="T125" s="48">
        <f t="shared" ref="T125:T128" si="80">H125-L125+P125</f>
        <v>-99</v>
      </c>
      <c r="U125" s="57" t="str">
        <f t="shared" ref="U125:V125" si="81">I125</f>
        <v>kmr</v>
      </c>
      <c r="V125" s="50">
        <f t="shared" si="81"/>
        <v>88000000</v>
      </c>
      <c r="W125" s="50">
        <f t="shared" ref="W125:W128" si="82">+V125*T125</f>
        <v>-8712000000</v>
      </c>
      <c r="X125" s="8"/>
      <c r="Y125" s="8" t="e">
        <f t="shared" ref="Y125:Y128" si="83">+#REF!</f>
        <v>#REF!</v>
      </c>
      <c r="Z125" s="234" t="e">
        <v>#REF!</v>
      </c>
      <c r="AA125" s="4"/>
      <c r="AB125" s="4"/>
      <c r="AC125" s="4"/>
    </row>
    <row r="126" spans="1:29" ht="20.25" customHeight="1">
      <c r="A126" s="42"/>
      <c r="B126" s="52"/>
      <c r="C126" s="113"/>
      <c r="D126" s="45" t="s">
        <v>195</v>
      </c>
      <c r="E126" s="46" t="s">
        <v>181</v>
      </c>
      <c r="F126" s="109" t="s">
        <v>25</v>
      </c>
      <c r="G126" s="47" t="s">
        <v>22</v>
      </c>
      <c r="H126" s="46">
        <v>2</v>
      </c>
      <c r="I126" s="47" t="s">
        <v>194</v>
      </c>
      <c r="J126" s="233">
        <f>J125</f>
        <v>88000000</v>
      </c>
      <c r="K126" s="50">
        <f t="shared" ref="K126:K128" si="84">+J126*H126</f>
        <v>176000000</v>
      </c>
      <c r="L126" s="46">
        <v>1</v>
      </c>
      <c r="M126" s="47" t="s">
        <v>194</v>
      </c>
      <c r="N126" s="233">
        <f>N125</f>
        <v>88000000</v>
      </c>
      <c r="O126" s="50">
        <f t="shared" ref="O126:O128" si="85">+N126*L126</f>
        <v>88000000</v>
      </c>
      <c r="P126" s="46"/>
      <c r="Q126" s="47"/>
      <c r="R126" s="233"/>
      <c r="S126" s="50"/>
      <c r="T126" s="48">
        <f t="shared" si="80"/>
        <v>1</v>
      </c>
      <c r="U126" s="57" t="str">
        <f t="shared" ref="U126:V126" si="86">I126</f>
        <v>kmr</v>
      </c>
      <c r="V126" s="50">
        <f t="shared" si="86"/>
        <v>88000000</v>
      </c>
      <c r="W126" s="50">
        <f t="shared" si="82"/>
        <v>88000000</v>
      </c>
      <c r="X126" s="8"/>
      <c r="Y126" s="8" t="e">
        <f t="shared" si="83"/>
        <v>#REF!</v>
      </c>
      <c r="Z126" s="234" t="e">
        <v>#REF!</v>
      </c>
      <c r="AA126" s="4"/>
      <c r="AB126" s="4"/>
      <c r="AC126" s="4"/>
    </row>
    <row r="127" spans="1:29" ht="20.25" customHeight="1">
      <c r="A127" s="42"/>
      <c r="B127" s="52"/>
      <c r="C127" s="113"/>
      <c r="D127" s="45" t="s">
        <v>196</v>
      </c>
      <c r="E127" s="46" t="s">
        <v>181</v>
      </c>
      <c r="F127" s="109" t="s">
        <v>25</v>
      </c>
      <c r="G127" s="47" t="s">
        <v>22</v>
      </c>
      <c r="H127" s="46">
        <v>7</v>
      </c>
      <c r="I127" s="47" t="s">
        <v>194</v>
      </c>
      <c r="J127" s="233">
        <f>J125*2</f>
        <v>176000000</v>
      </c>
      <c r="K127" s="50">
        <f t="shared" si="84"/>
        <v>1232000000</v>
      </c>
      <c r="L127" s="46">
        <v>7</v>
      </c>
      <c r="M127" s="47" t="s">
        <v>194</v>
      </c>
      <c r="N127" s="233">
        <f>N125*2</f>
        <v>176000000</v>
      </c>
      <c r="O127" s="50">
        <f t="shared" si="85"/>
        <v>1232000000</v>
      </c>
      <c r="P127" s="46"/>
      <c r="Q127" s="47"/>
      <c r="R127" s="233"/>
      <c r="S127" s="50"/>
      <c r="T127" s="48">
        <f t="shared" si="80"/>
        <v>0</v>
      </c>
      <c r="U127" s="57" t="str">
        <f t="shared" ref="U127:V127" si="87">I127</f>
        <v>kmr</v>
      </c>
      <c r="V127" s="50">
        <f t="shared" si="87"/>
        <v>176000000</v>
      </c>
      <c r="W127" s="50">
        <f t="shared" si="82"/>
        <v>0</v>
      </c>
      <c r="X127" s="8"/>
      <c r="Y127" s="8" t="e">
        <f t="shared" si="83"/>
        <v>#REF!</v>
      </c>
      <c r="Z127" s="234" t="s">
        <v>198</v>
      </c>
      <c r="AA127" s="4"/>
      <c r="AB127" s="4"/>
      <c r="AC127" s="4"/>
    </row>
    <row r="128" spans="1:29" ht="20.25" customHeight="1">
      <c r="A128" s="42"/>
      <c r="B128" s="52"/>
      <c r="C128" s="113"/>
      <c r="D128" s="172" t="s">
        <v>197</v>
      </c>
      <c r="E128" s="46" t="s">
        <v>181</v>
      </c>
      <c r="F128" s="109" t="s">
        <v>25</v>
      </c>
      <c r="G128" s="47" t="s">
        <v>22</v>
      </c>
      <c r="H128" s="46">
        <v>3</v>
      </c>
      <c r="I128" s="47" t="s">
        <v>194</v>
      </c>
      <c r="J128" s="50">
        <f>80000000*1.05</f>
        <v>84000000</v>
      </c>
      <c r="K128" s="50">
        <f t="shared" si="84"/>
        <v>252000000</v>
      </c>
      <c r="L128" s="46">
        <v>4</v>
      </c>
      <c r="M128" s="47" t="s">
        <v>194</v>
      </c>
      <c r="N128" s="50">
        <f>80000000*1.05</f>
        <v>84000000</v>
      </c>
      <c r="O128" s="50">
        <f t="shared" si="85"/>
        <v>336000000</v>
      </c>
      <c r="P128" s="46"/>
      <c r="Q128" s="47"/>
      <c r="R128" s="50"/>
      <c r="S128" s="50"/>
      <c r="T128" s="48">
        <f t="shared" si="80"/>
        <v>-1</v>
      </c>
      <c r="U128" s="57" t="str">
        <f t="shared" ref="U128:V128" si="88">I128</f>
        <v>kmr</v>
      </c>
      <c r="V128" s="50">
        <f t="shared" si="88"/>
        <v>84000000</v>
      </c>
      <c r="W128" s="50">
        <f t="shared" si="82"/>
        <v>-84000000</v>
      </c>
      <c r="X128" s="8"/>
      <c r="Y128" s="8" t="e">
        <f t="shared" si="83"/>
        <v>#REF!</v>
      </c>
      <c r="Z128" s="234" t="s">
        <v>198</v>
      </c>
      <c r="AA128" s="4"/>
      <c r="AB128" s="4"/>
      <c r="AC128" s="4"/>
    </row>
    <row r="129" spans="1:29" ht="20.25" customHeight="1">
      <c r="A129" s="42"/>
      <c r="B129" s="52"/>
      <c r="C129" s="113"/>
      <c r="D129" s="172"/>
      <c r="E129" s="46" t="s">
        <v>181</v>
      </c>
      <c r="F129" s="109">
        <f>IF((G129="BARANG"),"T1",0)</f>
        <v>0</v>
      </c>
      <c r="G129" s="47" t="s">
        <v>22</v>
      </c>
      <c r="H129" s="46"/>
      <c r="I129" s="47"/>
      <c r="J129" s="50"/>
      <c r="K129" s="50"/>
      <c r="L129" s="46"/>
      <c r="M129" s="47"/>
      <c r="N129" s="50"/>
      <c r="O129" s="50"/>
      <c r="P129" s="46"/>
      <c r="Q129" s="47"/>
      <c r="R129" s="50"/>
      <c r="S129" s="50"/>
      <c r="T129" s="48"/>
      <c r="U129" s="57"/>
      <c r="V129" s="50"/>
      <c r="W129" s="50"/>
      <c r="X129" s="8"/>
      <c r="Y129" s="234"/>
      <c r="Z129" s="4"/>
      <c r="AA129" s="4"/>
      <c r="AB129" s="4"/>
      <c r="AC129" s="4"/>
    </row>
    <row r="130" spans="1:29" ht="20.25" customHeight="1">
      <c r="A130" s="42"/>
      <c r="B130" s="52"/>
      <c r="C130" s="113"/>
      <c r="D130" s="172" t="s">
        <v>199</v>
      </c>
      <c r="E130" s="46" t="s">
        <v>181</v>
      </c>
      <c r="F130" s="109" t="s">
        <v>25</v>
      </c>
      <c r="G130" s="47" t="s">
        <v>22</v>
      </c>
      <c r="H130" s="46">
        <f>230-30</f>
        <v>200</v>
      </c>
      <c r="I130" s="47" t="s">
        <v>194</v>
      </c>
      <c r="J130" s="50">
        <v>1000000</v>
      </c>
      <c r="K130" s="50">
        <f>+J130*H130</f>
        <v>200000000</v>
      </c>
      <c r="L130" s="46"/>
      <c r="M130" s="47"/>
      <c r="N130" s="50"/>
      <c r="O130" s="50"/>
      <c r="P130" s="46"/>
      <c r="Q130" s="47"/>
      <c r="R130" s="50"/>
      <c r="S130" s="50"/>
      <c r="T130" s="48">
        <f>H130-L130+P130</f>
        <v>200</v>
      </c>
      <c r="U130" s="57" t="str">
        <f t="shared" ref="U130:V130" si="89">I130</f>
        <v>kmr</v>
      </c>
      <c r="V130" s="50">
        <f t="shared" si="89"/>
        <v>1000000</v>
      </c>
      <c r="W130" s="50">
        <f>+V130*T130</f>
        <v>200000000</v>
      </c>
      <c r="X130" s="8"/>
      <c r="Y130" s="4"/>
      <c r="Z130" s="4"/>
      <c r="AA130" s="4"/>
      <c r="AB130" s="4"/>
      <c r="AC130" s="4"/>
    </row>
    <row r="131" spans="1:29" ht="20.25" customHeight="1">
      <c r="A131" s="14"/>
      <c r="B131" s="87"/>
      <c r="C131" s="235"/>
      <c r="D131" s="236" t="s">
        <v>200</v>
      </c>
      <c r="E131" s="90"/>
      <c r="F131" s="109">
        <f t="shared" ref="F131:F138" si="90">IF((G131="BARANG"),"T1",0)</f>
        <v>0</v>
      </c>
      <c r="G131" s="91"/>
      <c r="H131" s="90">
        <f>SUM(H125:H128)</f>
        <v>45</v>
      </c>
      <c r="I131" s="91"/>
      <c r="J131" s="92" t="s">
        <v>166</v>
      </c>
      <c r="K131" s="92">
        <f>SUM(K125:K130)</f>
        <v>4764000000</v>
      </c>
      <c r="L131" s="90">
        <f>SUM(L125:L128)</f>
        <v>144</v>
      </c>
      <c r="M131" s="91"/>
      <c r="N131" s="92" t="s">
        <v>201</v>
      </c>
      <c r="O131" s="92">
        <f>SUM(O125:O130)</f>
        <v>13272000000</v>
      </c>
      <c r="P131" s="90">
        <f>SUM(P125:P128)</f>
        <v>0</v>
      </c>
      <c r="Q131" s="91"/>
      <c r="R131" s="92" t="s">
        <v>201</v>
      </c>
      <c r="S131" s="92">
        <f>SUM(S125:S130)</f>
        <v>0</v>
      </c>
      <c r="T131" s="90">
        <f>SUM(T125:T128)</f>
        <v>-99</v>
      </c>
      <c r="U131" s="91"/>
      <c r="V131" s="92" t="s">
        <v>201</v>
      </c>
      <c r="W131" s="92">
        <f>SUM(W125:W130)</f>
        <v>-8508000000</v>
      </c>
      <c r="X131" s="13">
        <f>K131-O131+S131</f>
        <v>-8508000000</v>
      </c>
      <c r="Y131" s="3"/>
      <c r="Z131" s="3"/>
      <c r="AA131" s="3"/>
      <c r="AB131" s="3"/>
      <c r="AC131" s="3"/>
    </row>
    <row r="132" spans="1:29" ht="20.25" customHeight="1">
      <c r="A132" s="104"/>
      <c r="B132" s="197"/>
      <c r="C132" s="237"/>
      <c r="D132" s="377"/>
      <c r="E132" s="205"/>
      <c r="F132" s="109">
        <f t="shared" si="90"/>
        <v>0</v>
      </c>
      <c r="G132" s="109"/>
      <c r="H132" s="205"/>
      <c r="I132" s="109"/>
      <c r="J132" s="111"/>
      <c r="K132" s="111"/>
      <c r="L132" s="205"/>
      <c r="M132" s="109"/>
      <c r="N132" s="111"/>
      <c r="O132" s="111"/>
      <c r="P132" s="205"/>
      <c r="Q132" s="109"/>
      <c r="R132" s="111"/>
      <c r="S132" s="111"/>
      <c r="T132" s="48"/>
      <c r="U132" s="57"/>
      <c r="V132" s="50"/>
      <c r="W132" s="50"/>
      <c r="X132" s="8"/>
      <c r="Y132" s="4"/>
      <c r="Z132" s="4"/>
      <c r="AA132" s="4"/>
      <c r="AB132" s="4"/>
      <c r="AC132" s="4"/>
    </row>
    <row r="133" spans="1:29" ht="20.25" customHeight="1">
      <c r="A133" s="42"/>
      <c r="B133" s="52"/>
      <c r="C133" s="44"/>
      <c r="D133" s="238"/>
      <c r="E133" s="59"/>
      <c r="F133" s="109">
        <f t="shared" si="90"/>
        <v>0</v>
      </c>
      <c r="G133" s="86"/>
      <c r="H133" s="59"/>
      <c r="I133" s="86"/>
      <c r="J133" s="50"/>
      <c r="K133" s="50"/>
      <c r="L133" s="59"/>
      <c r="M133" s="86"/>
      <c r="N133" s="50"/>
      <c r="O133" s="50"/>
      <c r="P133" s="59"/>
      <c r="Q133" s="86"/>
      <c r="R133" s="50"/>
      <c r="S133" s="50"/>
      <c r="T133" s="48"/>
      <c r="U133" s="57"/>
      <c r="V133" s="50"/>
      <c r="W133" s="50"/>
      <c r="X133" s="8"/>
      <c r="Y133" s="4"/>
      <c r="Z133" s="4"/>
      <c r="AA133" s="4"/>
      <c r="AB133" s="4"/>
      <c r="AC133" s="4"/>
    </row>
    <row r="134" spans="1:29" ht="25.5" customHeight="1">
      <c r="A134" s="42"/>
      <c r="B134" s="52"/>
      <c r="C134" s="44"/>
      <c r="D134" s="238" t="s">
        <v>204</v>
      </c>
      <c r="E134" s="59"/>
      <c r="F134" s="109">
        <f t="shared" si="90"/>
        <v>0</v>
      </c>
      <c r="G134" s="86"/>
      <c r="H134" s="59">
        <f>SUM(H131:H133)</f>
        <v>45</v>
      </c>
      <c r="I134" s="86"/>
      <c r="J134" s="50"/>
      <c r="K134" s="50"/>
      <c r="L134" s="59"/>
      <c r="M134" s="86"/>
      <c r="N134" s="50"/>
      <c r="O134" s="50"/>
      <c r="P134" s="59"/>
      <c r="Q134" s="86"/>
      <c r="R134" s="50"/>
      <c r="S134" s="50"/>
      <c r="T134" s="48"/>
      <c r="U134" s="57"/>
      <c r="V134" s="50"/>
      <c r="W134" s="50"/>
      <c r="X134" s="8"/>
      <c r="Y134" s="4"/>
      <c r="Z134" s="4"/>
      <c r="AA134" s="4"/>
      <c r="AB134" s="4"/>
      <c r="AC134" s="4"/>
    </row>
    <row r="135" spans="1:29" ht="39" customHeight="1">
      <c r="A135" s="104">
        <v>22</v>
      </c>
      <c r="B135" s="203" t="s">
        <v>205</v>
      </c>
      <c r="C135" s="198"/>
      <c r="D135" s="239" t="s">
        <v>206</v>
      </c>
      <c r="E135" s="46" t="s">
        <v>181</v>
      </c>
      <c r="F135" s="109" t="str">
        <f t="shared" si="90"/>
        <v>T1</v>
      </c>
      <c r="G135" s="109" t="s">
        <v>28</v>
      </c>
      <c r="H135" s="205">
        <v>45</v>
      </c>
      <c r="I135" s="109" t="s">
        <v>26</v>
      </c>
      <c r="J135" s="111">
        <f>3000000</f>
        <v>3000000</v>
      </c>
      <c r="K135" s="111">
        <f t="shared" ref="K135:K137" si="91">H135*J135</f>
        <v>135000000</v>
      </c>
      <c r="L135" s="205"/>
      <c r="M135" s="109"/>
      <c r="N135" s="111"/>
      <c r="O135" s="111"/>
      <c r="P135" s="205"/>
      <c r="Q135" s="109"/>
      <c r="R135" s="111"/>
      <c r="S135" s="111"/>
      <c r="T135" s="48">
        <v>40</v>
      </c>
      <c r="U135" s="57" t="str">
        <f t="shared" ref="U135:V135" si="92">I135</f>
        <v>unit</v>
      </c>
      <c r="V135" s="50">
        <f t="shared" si="92"/>
        <v>3000000</v>
      </c>
      <c r="W135" s="50">
        <f t="shared" ref="W135:W137" si="93">+V135*T135</f>
        <v>120000000</v>
      </c>
      <c r="X135" s="8"/>
      <c r="Y135" s="4"/>
      <c r="Z135" s="4"/>
      <c r="AA135" s="4"/>
      <c r="AB135" s="4"/>
      <c r="AC135" s="4"/>
    </row>
    <row r="136" spans="1:29" ht="20.25" customHeight="1">
      <c r="A136" s="42"/>
      <c r="B136" s="240" t="s">
        <v>207</v>
      </c>
      <c r="C136" s="113"/>
      <c r="D136" s="45" t="s">
        <v>207</v>
      </c>
      <c r="E136" s="46" t="s">
        <v>181</v>
      </c>
      <c r="F136" s="109" t="str">
        <f t="shared" si="90"/>
        <v>T1</v>
      </c>
      <c r="G136" s="109" t="s">
        <v>28</v>
      </c>
      <c r="H136" s="46">
        <v>45</v>
      </c>
      <c r="I136" s="47" t="s">
        <v>26</v>
      </c>
      <c r="J136" s="50">
        <f>1000000</f>
        <v>1000000</v>
      </c>
      <c r="K136" s="50">
        <f t="shared" si="91"/>
        <v>45000000</v>
      </c>
      <c r="L136" s="46"/>
      <c r="M136" s="47"/>
      <c r="N136" s="50"/>
      <c r="O136" s="50"/>
      <c r="P136" s="46"/>
      <c r="Q136" s="47"/>
      <c r="R136" s="50"/>
      <c r="S136" s="50"/>
      <c r="T136" s="48">
        <v>40</v>
      </c>
      <c r="U136" s="57" t="str">
        <f t="shared" ref="U136:U137" si="94">I136</f>
        <v>unit</v>
      </c>
      <c r="V136" s="50">
        <v>1500000</v>
      </c>
      <c r="W136" s="50">
        <f t="shared" si="93"/>
        <v>60000000</v>
      </c>
      <c r="X136" s="8"/>
      <c r="Y136" s="4"/>
      <c r="Z136" s="4"/>
      <c r="AA136" s="8">
        <f>+W131+W138+W141</f>
        <v>-8308000000</v>
      </c>
      <c r="AB136" s="4"/>
      <c r="AC136" s="4"/>
    </row>
    <row r="137" spans="1:29" ht="20.25" customHeight="1">
      <c r="A137" s="42"/>
      <c r="B137" s="240" t="s">
        <v>208</v>
      </c>
      <c r="C137" s="113"/>
      <c r="D137" s="45" t="s">
        <v>208</v>
      </c>
      <c r="E137" s="46" t="s">
        <v>181</v>
      </c>
      <c r="F137" s="109" t="str">
        <f t="shared" si="90"/>
        <v>T1</v>
      </c>
      <c r="G137" s="109" t="s">
        <v>28</v>
      </c>
      <c r="H137" s="46">
        <v>45</v>
      </c>
      <c r="I137" s="47" t="s">
        <v>26</v>
      </c>
      <c r="J137" s="50">
        <f>4000000</f>
        <v>4000000</v>
      </c>
      <c r="K137" s="50">
        <f t="shared" si="91"/>
        <v>180000000</v>
      </c>
      <c r="L137" s="46"/>
      <c r="M137" s="47"/>
      <c r="N137" s="50"/>
      <c r="O137" s="50"/>
      <c r="P137" s="46"/>
      <c r="Q137" s="47"/>
      <c r="R137" s="50"/>
      <c r="S137" s="50"/>
      <c r="T137" s="48">
        <v>40</v>
      </c>
      <c r="U137" s="57" t="str">
        <f t="shared" si="94"/>
        <v>unit</v>
      </c>
      <c r="V137" s="50">
        <v>500000</v>
      </c>
      <c r="W137" s="50">
        <f t="shared" si="93"/>
        <v>20000000</v>
      </c>
      <c r="X137" s="8"/>
      <c r="Y137" s="4"/>
      <c r="Z137" s="4"/>
      <c r="AA137" s="4"/>
      <c r="AB137" s="4"/>
      <c r="AC137" s="4"/>
    </row>
    <row r="138" spans="1:29" ht="20.25" customHeight="1">
      <c r="A138" s="14"/>
      <c r="B138" s="241"/>
      <c r="C138" s="88"/>
      <c r="D138" s="89"/>
      <c r="E138" s="90"/>
      <c r="F138" s="109">
        <f t="shared" si="90"/>
        <v>0</v>
      </c>
      <c r="G138" s="91"/>
      <c r="H138" s="90"/>
      <c r="I138" s="91"/>
      <c r="J138" s="92" t="s">
        <v>201</v>
      </c>
      <c r="K138" s="92">
        <f>SUM(K135:K137)</f>
        <v>360000000</v>
      </c>
      <c r="L138" s="90"/>
      <c r="M138" s="91"/>
      <c r="N138" s="92" t="s">
        <v>209</v>
      </c>
      <c r="O138" s="92">
        <f>SUM(O135:O137)</f>
        <v>0</v>
      </c>
      <c r="P138" s="90"/>
      <c r="Q138" s="91"/>
      <c r="R138" s="92" t="s">
        <v>209</v>
      </c>
      <c r="S138" s="92">
        <f>SUM(S135:S137)</f>
        <v>0</v>
      </c>
      <c r="T138" s="90"/>
      <c r="U138" s="91"/>
      <c r="V138" s="92" t="s">
        <v>209</v>
      </c>
      <c r="W138" s="92">
        <f>SUM(W135:W137)</f>
        <v>200000000</v>
      </c>
      <c r="X138" s="13">
        <f>K138-O138+S138</f>
        <v>360000000</v>
      </c>
      <c r="Y138" s="3"/>
      <c r="Z138" s="3"/>
      <c r="AA138" s="3"/>
      <c r="AB138" s="3"/>
      <c r="AC138" s="3"/>
    </row>
    <row r="139" spans="1:29" ht="20.25" customHeight="1">
      <c r="A139" s="42">
        <v>23</v>
      </c>
      <c r="B139" s="52" t="s">
        <v>210</v>
      </c>
      <c r="C139" s="113"/>
      <c r="D139" s="172" t="s">
        <v>211</v>
      </c>
      <c r="E139" s="46" t="s">
        <v>31</v>
      </c>
      <c r="F139" s="109" t="s">
        <v>43</v>
      </c>
      <c r="G139" s="47" t="s">
        <v>22</v>
      </c>
      <c r="H139" s="46">
        <v>0</v>
      </c>
      <c r="I139" s="47" t="s">
        <v>212</v>
      </c>
      <c r="J139" s="50">
        <f>80000000</f>
        <v>80000000</v>
      </c>
      <c r="K139" s="50">
        <f t="shared" ref="K139:K140" si="95">+J139*H139</f>
        <v>0</v>
      </c>
      <c r="L139" s="46"/>
      <c r="M139" s="47"/>
      <c r="N139" s="50"/>
      <c r="O139" s="50"/>
      <c r="P139" s="46"/>
      <c r="Q139" s="47"/>
      <c r="R139" s="50"/>
      <c r="S139" s="50"/>
      <c r="T139" s="48">
        <f t="shared" ref="T139:T140" si="96">H139-L139+P139</f>
        <v>0</v>
      </c>
      <c r="U139" s="57" t="str">
        <f t="shared" ref="U139:V139" si="97">I139</f>
        <v>lantai</v>
      </c>
      <c r="V139" s="50">
        <f t="shared" si="97"/>
        <v>80000000</v>
      </c>
      <c r="W139" s="50">
        <f t="shared" ref="W139:W140" si="98">+V139*T139</f>
        <v>0</v>
      </c>
      <c r="X139" s="8"/>
      <c r="Y139" s="4"/>
      <c r="Z139" s="4"/>
      <c r="AA139" s="4"/>
      <c r="AB139" s="4"/>
      <c r="AC139" s="4"/>
    </row>
    <row r="140" spans="1:29" ht="20.25" customHeight="1">
      <c r="A140" s="42"/>
      <c r="B140" s="52"/>
      <c r="C140" s="113"/>
      <c r="D140" s="172" t="s">
        <v>133</v>
      </c>
      <c r="E140" s="46" t="s">
        <v>31</v>
      </c>
      <c r="F140" s="109" t="s">
        <v>25</v>
      </c>
      <c r="G140" s="47" t="s">
        <v>22</v>
      </c>
      <c r="H140" s="46">
        <v>0</v>
      </c>
      <c r="I140" s="47" t="s">
        <v>26</v>
      </c>
      <c r="J140" s="50">
        <v>27000000</v>
      </c>
      <c r="K140" s="50">
        <f t="shared" si="95"/>
        <v>0</v>
      </c>
      <c r="L140" s="46"/>
      <c r="M140" s="47"/>
      <c r="N140" s="50"/>
      <c r="O140" s="50"/>
      <c r="P140" s="46"/>
      <c r="Q140" s="47"/>
      <c r="R140" s="50"/>
      <c r="S140" s="50"/>
      <c r="T140" s="48">
        <f t="shared" si="96"/>
        <v>0</v>
      </c>
      <c r="U140" s="57" t="str">
        <f t="shared" ref="U140:V140" si="99">I140</f>
        <v>unit</v>
      </c>
      <c r="V140" s="50">
        <f t="shared" si="99"/>
        <v>27000000</v>
      </c>
      <c r="W140" s="50">
        <f t="shared" si="98"/>
        <v>0</v>
      </c>
      <c r="X140" s="8"/>
      <c r="Y140" s="4"/>
      <c r="Z140" s="4"/>
      <c r="AA140" s="4"/>
      <c r="AB140" s="4"/>
      <c r="AC140" s="4"/>
    </row>
    <row r="141" spans="1:29" ht="20.25" customHeight="1">
      <c r="A141" s="14"/>
      <c r="B141" s="87"/>
      <c r="C141" s="88"/>
      <c r="D141" s="101"/>
      <c r="E141" s="102"/>
      <c r="F141" s="109">
        <f t="shared" ref="F141:F142" si="100">IF((G141="BARANG"),"T1",0)</f>
        <v>0</v>
      </c>
      <c r="G141" s="103"/>
      <c r="H141" s="102"/>
      <c r="I141" s="103"/>
      <c r="J141" s="92" t="s">
        <v>209</v>
      </c>
      <c r="K141" s="92">
        <f>SUM(K139:K140)</f>
        <v>0</v>
      </c>
      <c r="L141" s="102"/>
      <c r="M141" s="103"/>
      <c r="N141" s="92" t="s">
        <v>213</v>
      </c>
      <c r="O141" s="92">
        <f>SUM(O139:O140)</f>
        <v>0</v>
      </c>
      <c r="P141" s="102"/>
      <c r="Q141" s="103"/>
      <c r="R141" s="92" t="s">
        <v>213</v>
      </c>
      <c r="S141" s="92">
        <f>SUM(S139:S140)</f>
        <v>0</v>
      </c>
      <c r="T141" s="102"/>
      <c r="U141" s="103"/>
      <c r="V141" s="92" t="s">
        <v>213</v>
      </c>
      <c r="W141" s="92">
        <f>SUM(W139:W140)</f>
        <v>0</v>
      </c>
      <c r="X141" s="13">
        <f>K141-O141+S141</f>
        <v>0</v>
      </c>
      <c r="Y141" s="3"/>
      <c r="Z141" s="3"/>
      <c r="AA141" s="3"/>
      <c r="AB141" s="3"/>
      <c r="AC141" s="3"/>
    </row>
    <row r="142" spans="1:29" ht="20.25" customHeight="1">
      <c r="A142" s="30" t="s">
        <v>214</v>
      </c>
      <c r="B142" s="127" t="s">
        <v>215</v>
      </c>
      <c r="C142" s="106"/>
      <c r="D142" s="107"/>
      <c r="E142" s="108"/>
      <c r="F142" s="109">
        <f t="shared" si="100"/>
        <v>0</v>
      </c>
      <c r="G142" s="110"/>
      <c r="H142" s="108"/>
      <c r="I142" s="110"/>
      <c r="J142" s="111"/>
      <c r="K142" s="111"/>
      <c r="L142" s="108"/>
      <c r="M142" s="110"/>
      <c r="N142" s="111"/>
      <c r="O142" s="111"/>
      <c r="P142" s="108"/>
      <c r="Q142" s="110"/>
      <c r="R142" s="111"/>
      <c r="S142" s="111"/>
      <c r="T142" s="108"/>
      <c r="U142" s="110"/>
      <c r="V142" s="111"/>
      <c r="W142" s="111"/>
      <c r="X142" s="8"/>
      <c r="Y142" s="4"/>
      <c r="Z142" s="4"/>
      <c r="AA142" s="4"/>
      <c r="AB142" s="4"/>
      <c r="AC142" s="4"/>
    </row>
    <row r="143" spans="1:29" ht="20.25" customHeight="1">
      <c r="A143" s="42">
        <v>24</v>
      </c>
      <c r="B143" s="70" t="s">
        <v>216</v>
      </c>
      <c r="C143" s="113"/>
      <c r="D143" s="45" t="s">
        <v>217</v>
      </c>
      <c r="E143" s="46" t="s">
        <v>50</v>
      </c>
      <c r="F143" s="109" t="s">
        <v>21</v>
      </c>
      <c r="G143" s="47" t="s">
        <v>22</v>
      </c>
      <c r="H143" s="46">
        <v>1</v>
      </c>
      <c r="I143" s="47" t="s">
        <v>23</v>
      </c>
      <c r="J143" s="50">
        <f>5590000000</f>
        <v>5590000000</v>
      </c>
      <c r="K143" s="50">
        <f>+J143*H143</f>
        <v>5590000000</v>
      </c>
      <c r="L143" s="46">
        <v>1</v>
      </c>
      <c r="M143" s="47" t="s">
        <v>23</v>
      </c>
      <c r="N143" s="50">
        <v>5590000000</v>
      </c>
      <c r="O143" s="50">
        <f>N143</f>
        <v>5590000000</v>
      </c>
      <c r="P143" s="46"/>
      <c r="Q143" s="47"/>
      <c r="R143" s="50"/>
      <c r="S143" s="50"/>
      <c r="T143" s="48">
        <f t="shared" ref="T143:U143" si="101">H143</f>
        <v>1</v>
      </c>
      <c r="U143" s="57" t="str">
        <f t="shared" si="101"/>
        <v>ls</v>
      </c>
      <c r="V143" s="50">
        <f>J143-N143+S143</f>
        <v>0</v>
      </c>
      <c r="W143" s="50">
        <f t="shared" ref="W143:W145" si="102">+V143*T143</f>
        <v>0</v>
      </c>
      <c r="X143" s="13" t="e">
        <f>W284</f>
        <v>#REF!</v>
      </c>
      <c r="Y143" s="4"/>
      <c r="Z143" s="4"/>
      <c r="AA143" s="4"/>
      <c r="AB143" s="4"/>
      <c r="AC143" s="4"/>
    </row>
    <row r="144" spans="1:29" ht="20.25" customHeight="1">
      <c r="A144" s="186"/>
      <c r="B144" s="242"/>
      <c r="C144" s="188"/>
      <c r="D144" s="172" t="s">
        <v>218</v>
      </c>
      <c r="E144" s="46" t="s">
        <v>50</v>
      </c>
      <c r="F144" s="109" t="s">
        <v>43</v>
      </c>
      <c r="G144" s="47" t="s">
        <v>22</v>
      </c>
      <c r="H144" s="46"/>
      <c r="I144" s="47"/>
      <c r="J144" s="50"/>
      <c r="K144" s="50"/>
      <c r="L144" s="46"/>
      <c r="M144" s="47"/>
      <c r="N144" s="50"/>
      <c r="O144" s="50"/>
      <c r="P144" s="46">
        <v>60</v>
      </c>
      <c r="Q144" s="47" t="s">
        <v>51</v>
      </c>
      <c r="R144" s="50">
        <v>4000000</v>
      </c>
      <c r="S144" s="50">
        <f t="shared" ref="S144:S145" si="103">+R144*P144</f>
        <v>240000000</v>
      </c>
      <c r="T144" s="48">
        <f t="shared" ref="T144:T145" si="104">H144-L144+P144</f>
        <v>60</v>
      </c>
      <c r="U144" s="57" t="s">
        <v>51</v>
      </c>
      <c r="V144" s="50">
        <f>J144-N144+R144</f>
        <v>4000000</v>
      </c>
      <c r="W144" s="50">
        <f t="shared" si="102"/>
        <v>240000000</v>
      </c>
      <c r="X144" s="8"/>
      <c r="Y144" s="4"/>
      <c r="Z144" s="4"/>
      <c r="AA144" s="4"/>
      <c r="AB144" s="4"/>
      <c r="AC144" s="4"/>
    </row>
    <row r="145" spans="1:29" ht="20.25" customHeight="1">
      <c r="A145" s="151"/>
      <c r="B145" s="243"/>
      <c r="C145" s="117"/>
      <c r="D145" s="45" t="s">
        <v>219</v>
      </c>
      <c r="E145" s="190" t="s">
        <v>50</v>
      </c>
      <c r="F145" s="109" t="str">
        <f t="shared" ref="F145:F147" si="105">IF((G145="BARANG"),"T1",0)</f>
        <v>T1</v>
      </c>
      <c r="G145" s="120" t="s">
        <v>28</v>
      </c>
      <c r="H145" s="119"/>
      <c r="I145" s="121"/>
      <c r="J145" s="122"/>
      <c r="K145" s="122"/>
      <c r="L145" s="119"/>
      <c r="M145" s="121"/>
      <c r="N145" s="122"/>
      <c r="O145" s="122"/>
      <c r="P145" s="46">
        <v>1</v>
      </c>
      <c r="Q145" s="47" t="s">
        <v>23</v>
      </c>
      <c r="R145" s="50">
        <v>587579704</v>
      </c>
      <c r="S145" s="50">
        <f t="shared" si="103"/>
        <v>587579704</v>
      </c>
      <c r="T145" s="48">
        <f t="shared" si="104"/>
        <v>1</v>
      </c>
      <c r="U145" s="57" t="s">
        <v>23</v>
      </c>
      <c r="V145" s="50">
        <f>R145</f>
        <v>587579704</v>
      </c>
      <c r="W145" s="50">
        <f t="shared" si="102"/>
        <v>587579704</v>
      </c>
      <c r="X145" s="8"/>
      <c r="Y145" s="4"/>
      <c r="Z145" s="4"/>
      <c r="AA145" s="4"/>
      <c r="AB145" s="4"/>
      <c r="AC145" s="4"/>
    </row>
    <row r="146" spans="1:29" ht="20.25" customHeight="1">
      <c r="A146" s="14"/>
      <c r="B146" s="87"/>
      <c r="C146" s="88"/>
      <c r="D146" s="89"/>
      <c r="E146" s="90"/>
      <c r="F146" s="109">
        <f t="shared" si="105"/>
        <v>0</v>
      </c>
      <c r="G146" s="91"/>
      <c r="H146" s="90"/>
      <c r="I146" s="91"/>
      <c r="J146" s="92" t="s">
        <v>213</v>
      </c>
      <c r="K146" s="92">
        <f>SUM(K143:K145)</f>
        <v>5590000000</v>
      </c>
      <c r="L146" s="90"/>
      <c r="M146" s="91"/>
      <c r="N146" s="92" t="s">
        <v>220</v>
      </c>
      <c r="O146" s="92">
        <f>SUM(O143:O145)</f>
        <v>5590000000</v>
      </c>
      <c r="P146" s="90"/>
      <c r="Q146" s="91"/>
      <c r="R146" s="92" t="s">
        <v>220</v>
      </c>
      <c r="S146" s="92">
        <f>SUM(S143:S145)</f>
        <v>827579704</v>
      </c>
      <c r="T146" s="90"/>
      <c r="U146" s="91"/>
      <c r="V146" s="92" t="s">
        <v>220</v>
      </c>
      <c r="W146" s="92">
        <f>SUM(W143:W145)</f>
        <v>827579704</v>
      </c>
      <c r="X146" s="13">
        <f>K146-O146+S146</f>
        <v>827579704</v>
      </c>
      <c r="Y146" s="3"/>
      <c r="Z146" s="3"/>
      <c r="AA146" s="3"/>
      <c r="AB146" s="3"/>
      <c r="AC146" s="3"/>
    </row>
    <row r="147" spans="1:29" ht="20.25" customHeight="1">
      <c r="A147" s="30" t="s">
        <v>221</v>
      </c>
      <c r="B147" s="127" t="s">
        <v>222</v>
      </c>
      <c r="C147" s="106"/>
      <c r="D147" s="107"/>
      <c r="E147" s="108"/>
      <c r="F147" s="109">
        <f t="shared" si="105"/>
        <v>0</v>
      </c>
      <c r="G147" s="110"/>
      <c r="H147" s="108"/>
      <c r="I147" s="110"/>
      <c r="J147" s="111"/>
      <c r="K147" s="111"/>
      <c r="L147" s="108"/>
      <c r="M147" s="110"/>
      <c r="N147" s="111"/>
      <c r="O147" s="111"/>
      <c r="P147" s="108"/>
      <c r="Q147" s="110"/>
      <c r="R147" s="111"/>
      <c r="S147" s="111"/>
      <c r="T147" s="108"/>
      <c r="U147" s="110"/>
      <c r="V147" s="111"/>
      <c r="W147" s="111"/>
      <c r="X147" s="8"/>
      <c r="Y147" s="4"/>
      <c r="Z147" s="4"/>
      <c r="AA147" s="4"/>
      <c r="AB147" s="4"/>
      <c r="AC147" s="4"/>
    </row>
    <row r="148" spans="1:29" ht="20.25" customHeight="1">
      <c r="A148" s="104">
        <v>25</v>
      </c>
      <c r="B148" s="203" t="s">
        <v>223</v>
      </c>
      <c r="C148" s="198"/>
      <c r="D148" s="199" t="s">
        <v>224</v>
      </c>
      <c r="E148" s="46" t="s">
        <v>31</v>
      </c>
      <c r="F148" s="109" t="s">
        <v>43</v>
      </c>
      <c r="G148" s="47" t="s">
        <v>22</v>
      </c>
      <c r="H148" s="200">
        <v>70</v>
      </c>
      <c r="I148" s="201" t="s">
        <v>51</v>
      </c>
      <c r="J148" s="220">
        <f>+(5000000)</f>
        <v>5000000</v>
      </c>
      <c r="K148" s="220">
        <f>+J148*H148</f>
        <v>350000000</v>
      </c>
      <c r="L148" s="200"/>
      <c r="M148" s="201"/>
      <c r="N148" s="220"/>
      <c r="O148" s="220"/>
      <c r="P148" s="200"/>
      <c r="Q148" s="201"/>
      <c r="R148" s="220"/>
      <c r="S148" s="220"/>
      <c r="T148" s="48">
        <f>H148-L148+P148</f>
        <v>70</v>
      </c>
      <c r="U148" s="57" t="str">
        <f t="shared" ref="U148:V148" si="106">I148</f>
        <v>m2</v>
      </c>
      <c r="V148" s="50">
        <f t="shared" si="106"/>
        <v>5000000</v>
      </c>
      <c r="W148" s="50">
        <f>+V148*T148</f>
        <v>350000000</v>
      </c>
      <c r="X148" s="8"/>
      <c r="Y148" s="4"/>
      <c r="Z148" s="4"/>
      <c r="AA148" s="4"/>
      <c r="AB148" s="4"/>
      <c r="AC148" s="4"/>
    </row>
    <row r="149" spans="1:29" ht="20.25" customHeight="1">
      <c r="A149" s="42"/>
      <c r="B149" s="52"/>
      <c r="C149" s="113"/>
      <c r="D149" s="45" t="s">
        <v>225</v>
      </c>
      <c r="E149" s="46" t="s">
        <v>31</v>
      </c>
      <c r="F149" s="109" t="s">
        <v>43</v>
      </c>
      <c r="G149" s="47" t="s">
        <v>22</v>
      </c>
      <c r="H149" s="46"/>
      <c r="I149" s="47"/>
      <c r="J149" s="50"/>
      <c r="K149" s="50"/>
      <c r="L149" s="46"/>
      <c r="M149" s="47"/>
      <c r="N149" s="50"/>
      <c r="O149" s="50"/>
      <c r="P149" s="46"/>
      <c r="Q149" s="47"/>
      <c r="R149" s="50"/>
      <c r="S149" s="50"/>
      <c r="T149" s="48"/>
      <c r="U149" s="57"/>
      <c r="V149" s="50"/>
      <c r="W149" s="50"/>
      <c r="X149" s="8"/>
      <c r="Y149" s="4"/>
      <c r="Z149" s="4"/>
      <c r="AA149" s="4"/>
      <c r="AB149" s="4"/>
      <c r="AC149" s="4"/>
    </row>
    <row r="150" spans="1:29" ht="20.25" customHeight="1">
      <c r="A150" s="42"/>
      <c r="B150" s="52"/>
      <c r="C150" s="113"/>
      <c r="D150" s="58" t="s">
        <v>226</v>
      </c>
      <c r="E150" s="46" t="s">
        <v>31</v>
      </c>
      <c r="F150" s="109" t="s">
        <v>25</v>
      </c>
      <c r="G150" s="47" t="s">
        <v>22</v>
      </c>
      <c r="H150" s="59"/>
      <c r="I150" s="86"/>
      <c r="J150" s="50"/>
      <c r="K150" s="50"/>
      <c r="L150" s="59"/>
      <c r="M150" s="86"/>
      <c r="N150" s="50"/>
      <c r="O150" s="50"/>
      <c r="P150" s="59"/>
      <c r="Q150" s="86"/>
      <c r="R150" s="50"/>
      <c r="S150" s="50"/>
      <c r="T150" s="48"/>
      <c r="U150" s="57"/>
      <c r="V150" s="50"/>
      <c r="W150" s="50"/>
      <c r="X150" s="8"/>
      <c r="Y150" s="4"/>
      <c r="Z150" s="4"/>
      <c r="AA150" s="4"/>
      <c r="AB150" s="4"/>
      <c r="AC150" s="4"/>
    </row>
    <row r="151" spans="1:29" ht="20.25" customHeight="1">
      <c r="A151" s="42"/>
      <c r="B151" s="52"/>
      <c r="C151" s="150"/>
      <c r="D151" s="58" t="s">
        <v>227</v>
      </c>
      <c r="E151" s="46" t="s">
        <v>31</v>
      </c>
      <c r="F151" s="109" t="s">
        <v>25</v>
      </c>
      <c r="G151" s="47" t="s">
        <v>22</v>
      </c>
      <c r="H151" s="59"/>
      <c r="I151" s="86"/>
      <c r="J151" s="50"/>
      <c r="K151" s="50"/>
      <c r="L151" s="59"/>
      <c r="M151" s="86"/>
      <c r="N151" s="50"/>
      <c r="O151" s="50"/>
      <c r="P151" s="59"/>
      <c r="Q151" s="86"/>
      <c r="R151" s="50"/>
      <c r="S151" s="50"/>
      <c r="T151" s="48"/>
      <c r="U151" s="57"/>
      <c r="V151" s="50"/>
      <c r="W151" s="50"/>
      <c r="X151" s="8"/>
      <c r="Y151" s="4"/>
      <c r="Z151" s="4"/>
      <c r="AA151" s="4"/>
      <c r="AB151" s="4"/>
      <c r="AC151" s="4"/>
    </row>
    <row r="152" spans="1:29" ht="20.25" customHeight="1">
      <c r="A152" s="42"/>
      <c r="B152" s="52"/>
      <c r="C152" s="150"/>
      <c r="D152" s="58" t="s">
        <v>228</v>
      </c>
      <c r="E152" s="46" t="s">
        <v>31</v>
      </c>
      <c r="F152" s="109" t="s">
        <v>43</v>
      </c>
      <c r="G152" s="47" t="s">
        <v>22</v>
      </c>
      <c r="H152" s="59"/>
      <c r="I152" s="86"/>
      <c r="J152" s="50"/>
      <c r="K152" s="50"/>
      <c r="L152" s="59"/>
      <c r="M152" s="86"/>
      <c r="N152" s="50"/>
      <c r="O152" s="50"/>
      <c r="P152" s="59"/>
      <c r="Q152" s="86"/>
      <c r="R152" s="50"/>
      <c r="S152" s="50"/>
      <c r="T152" s="48"/>
      <c r="U152" s="57"/>
      <c r="V152" s="50"/>
      <c r="W152" s="50"/>
      <c r="X152" s="8"/>
      <c r="Y152" s="4"/>
      <c r="Z152" s="4"/>
      <c r="AA152" s="4"/>
      <c r="AB152" s="4"/>
      <c r="AC152" s="4"/>
    </row>
    <row r="153" spans="1:29" ht="20.25" customHeight="1">
      <c r="A153" s="42"/>
      <c r="B153" s="52"/>
      <c r="C153" s="150"/>
      <c r="D153" s="58" t="s">
        <v>229</v>
      </c>
      <c r="E153" s="46" t="s">
        <v>31</v>
      </c>
      <c r="F153" s="109" t="s">
        <v>43</v>
      </c>
      <c r="G153" s="47" t="s">
        <v>22</v>
      </c>
      <c r="H153" s="59"/>
      <c r="I153" s="86"/>
      <c r="J153" s="50"/>
      <c r="K153" s="50"/>
      <c r="L153" s="59"/>
      <c r="M153" s="86"/>
      <c r="N153" s="50"/>
      <c r="O153" s="50"/>
      <c r="P153" s="59"/>
      <c r="Q153" s="86"/>
      <c r="R153" s="50"/>
      <c r="S153" s="50"/>
      <c r="T153" s="48"/>
      <c r="U153" s="57"/>
      <c r="V153" s="50"/>
      <c r="W153" s="50"/>
      <c r="X153" s="8"/>
      <c r="Y153" s="4"/>
      <c r="Z153" s="4"/>
      <c r="AA153" s="4"/>
      <c r="AB153" s="4"/>
      <c r="AC153" s="4"/>
    </row>
    <row r="154" spans="1:29" ht="20.25" customHeight="1">
      <c r="A154" s="186"/>
      <c r="B154" s="187"/>
      <c r="C154" s="244"/>
      <c r="D154" s="245" t="s">
        <v>230</v>
      </c>
      <c r="E154" s="46" t="s">
        <v>31</v>
      </c>
      <c r="F154" s="109" t="s">
        <v>25</v>
      </c>
      <c r="G154" s="47" t="s">
        <v>22</v>
      </c>
      <c r="H154" s="206">
        <v>1</v>
      </c>
      <c r="I154" s="246" t="s">
        <v>26</v>
      </c>
      <c r="J154" s="122">
        <v>7000000</v>
      </c>
      <c r="K154" s="122">
        <f>H154*J154</f>
        <v>7000000</v>
      </c>
      <c r="L154" s="206"/>
      <c r="M154" s="223"/>
      <c r="N154" s="122"/>
      <c r="O154" s="122"/>
      <c r="P154" s="206">
        <v>1</v>
      </c>
      <c r="Q154" s="246" t="s">
        <v>26</v>
      </c>
      <c r="R154" s="122">
        <v>7000000</v>
      </c>
      <c r="S154" s="122">
        <f>P154*R154</f>
        <v>7000000</v>
      </c>
      <c r="T154" s="48">
        <f>H154-L154+P154</f>
        <v>2</v>
      </c>
      <c r="U154" s="57" t="str">
        <f t="shared" ref="U154:V154" si="107">I154</f>
        <v>unit</v>
      </c>
      <c r="V154" s="50">
        <f t="shared" si="107"/>
        <v>7000000</v>
      </c>
      <c r="W154" s="50">
        <f>+V154*T154</f>
        <v>14000000</v>
      </c>
      <c r="X154" s="8"/>
      <c r="Y154" s="4"/>
      <c r="Z154" s="4"/>
      <c r="AA154" s="4"/>
      <c r="AB154" s="4"/>
      <c r="AC154" s="4"/>
    </row>
    <row r="155" spans="1:29" ht="20.25" customHeight="1">
      <c r="A155" s="14"/>
      <c r="B155" s="87"/>
      <c r="C155" s="247"/>
      <c r="D155" s="101"/>
      <c r="E155" s="102"/>
      <c r="F155" s="109">
        <f>IF((G155="BARANG"),"T1",0)</f>
        <v>0</v>
      </c>
      <c r="G155" s="103"/>
      <c r="H155" s="102"/>
      <c r="I155" s="103"/>
      <c r="J155" s="92" t="s">
        <v>220</v>
      </c>
      <c r="K155" s="92">
        <f>SUM(K148:K154)</f>
        <v>357000000</v>
      </c>
      <c r="L155" s="102"/>
      <c r="M155" s="103"/>
      <c r="N155" s="92" t="s">
        <v>231</v>
      </c>
      <c r="O155" s="92">
        <f>SUM(O148:O154)</f>
        <v>0</v>
      </c>
      <c r="P155" s="102"/>
      <c r="Q155" s="103"/>
      <c r="R155" s="92" t="s">
        <v>231</v>
      </c>
      <c r="S155" s="92">
        <f>SUM(S148:S154)</f>
        <v>7000000</v>
      </c>
      <c r="T155" s="102"/>
      <c r="U155" s="103"/>
      <c r="V155" s="92" t="s">
        <v>231</v>
      </c>
      <c r="W155" s="92">
        <f>SUM(W148:W154)</f>
        <v>364000000</v>
      </c>
      <c r="X155" s="13">
        <f>K155-O155+S155</f>
        <v>364000000</v>
      </c>
      <c r="Y155" s="3"/>
      <c r="Z155" s="3"/>
      <c r="AA155" s="3"/>
      <c r="AB155" s="3"/>
      <c r="AC155" s="3"/>
    </row>
    <row r="156" spans="1:29" ht="20.25" customHeight="1">
      <c r="A156" s="93">
        <v>28</v>
      </c>
      <c r="B156" s="94" t="s">
        <v>236</v>
      </c>
      <c r="C156" s="4"/>
      <c r="D156" s="248" t="s">
        <v>237</v>
      </c>
      <c r="E156" s="97" t="s">
        <v>50</v>
      </c>
      <c r="F156" s="109" t="s">
        <v>43</v>
      </c>
      <c r="G156" s="47" t="s">
        <v>22</v>
      </c>
      <c r="H156" s="97">
        <v>35</v>
      </c>
      <c r="I156" s="99" t="s">
        <v>51</v>
      </c>
      <c r="J156" s="100">
        <v>4500000</v>
      </c>
      <c r="K156" s="100">
        <f>+J156*H156</f>
        <v>157500000</v>
      </c>
      <c r="L156" s="97"/>
      <c r="M156" s="99"/>
      <c r="N156" s="100"/>
      <c r="O156" s="100"/>
      <c r="P156" s="97"/>
      <c r="Q156" s="99"/>
      <c r="R156" s="100"/>
      <c r="S156" s="100"/>
      <c r="T156" s="48">
        <f>H156-L156+P156</f>
        <v>35</v>
      </c>
      <c r="U156" s="57" t="str">
        <f t="shared" ref="U156:V156" si="108">I156</f>
        <v>m2</v>
      </c>
      <c r="V156" s="50">
        <f t="shared" si="108"/>
        <v>4500000</v>
      </c>
      <c r="W156" s="50">
        <f>+V156*T156</f>
        <v>157500000</v>
      </c>
      <c r="X156" s="8"/>
      <c r="Y156" s="4"/>
      <c r="Z156" s="4"/>
      <c r="AA156" s="4"/>
      <c r="AB156" s="4"/>
      <c r="AC156" s="4"/>
    </row>
    <row r="157" spans="1:29" ht="20.25" customHeight="1">
      <c r="A157" s="14"/>
      <c r="B157" s="87"/>
      <c r="C157" s="247"/>
      <c r="D157" s="101"/>
      <c r="E157" s="102"/>
      <c r="F157" s="109">
        <f>IF((G157="BARANG"),"T1",0)</f>
        <v>0</v>
      </c>
      <c r="G157" s="103"/>
      <c r="H157" s="102"/>
      <c r="I157" s="103"/>
      <c r="J157" s="92" t="s">
        <v>235</v>
      </c>
      <c r="K157" s="92">
        <f>SUM(K156)</f>
        <v>157500000</v>
      </c>
      <c r="L157" s="102"/>
      <c r="M157" s="103"/>
      <c r="N157" s="92" t="s">
        <v>238</v>
      </c>
      <c r="O157" s="92">
        <f>SUM(O156)</f>
        <v>0</v>
      </c>
      <c r="P157" s="102"/>
      <c r="Q157" s="103"/>
      <c r="R157" s="92" t="s">
        <v>238</v>
      </c>
      <c r="S157" s="92">
        <f>SUM(S156)</f>
        <v>0</v>
      </c>
      <c r="T157" s="102"/>
      <c r="U157" s="103"/>
      <c r="V157" s="92" t="s">
        <v>238</v>
      </c>
      <c r="W157" s="92">
        <f>SUM(W156)</f>
        <v>157500000</v>
      </c>
      <c r="X157" s="13">
        <f>K157-O157+S157</f>
        <v>157500000</v>
      </c>
      <c r="Y157" s="3"/>
      <c r="Z157" s="3"/>
      <c r="AA157" s="3"/>
      <c r="AB157" s="3"/>
      <c r="AC157" s="3"/>
    </row>
    <row r="158" spans="1:29" ht="20.25" customHeight="1">
      <c r="A158" s="93">
        <v>29</v>
      </c>
      <c r="B158" s="249" t="s">
        <v>239</v>
      </c>
      <c r="C158" s="95"/>
      <c r="D158" s="96" t="s">
        <v>394</v>
      </c>
      <c r="E158" s="46" t="s">
        <v>31</v>
      </c>
      <c r="F158" s="109" t="s">
        <v>43</v>
      </c>
      <c r="G158" s="47" t="s">
        <v>22</v>
      </c>
      <c r="H158" s="97">
        <v>1</v>
      </c>
      <c r="I158" s="99" t="s">
        <v>23</v>
      </c>
      <c r="J158" s="100">
        <f>150000000</f>
        <v>150000000</v>
      </c>
      <c r="K158" s="100">
        <f>+J158*H158</f>
        <v>150000000</v>
      </c>
      <c r="L158" s="97"/>
      <c r="M158" s="99"/>
      <c r="N158" s="100"/>
      <c r="O158" s="100"/>
      <c r="P158" s="97"/>
      <c r="Q158" s="99"/>
      <c r="R158" s="100"/>
      <c r="S158" s="100"/>
      <c r="T158" s="48">
        <f>H158-L158+P158</f>
        <v>1</v>
      </c>
      <c r="U158" s="57" t="str">
        <f t="shared" ref="U158:V158" si="109">I158</f>
        <v>ls</v>
      </c>
      <c r="V158" s="50">
        <f t="shared" si="109"/>
        <v>150000000</v>
      </c>
      <c r="W158" s="50">
        <f>+V158*T158</f>
        <v>150000000</v>
      </c>
      <c r="X158" s="8"/>
      <c r="Y158" s="4"/>
      <c r="Z158" s="4"/>
      <c r="AA158" s="4"/>
      <c r="AB158" s="4"/>
      <c r="AC158" s="4"/>
    </row>
    <row r="159" spans="1:29" ht="20.25" customHeight="1">
      <c r="A159" s="14"/>
      <c r="B159" s="87"/>
      <c r="C159" s="247"/>
      <c r="D159" s="101"/>
      <c r="E159" s="102"/>
      <c r="F159" s="109">
        <f>IF((G159="BARANG"),"T1",0)</f>
        <v>0</v>
      </c>
      <c r="G159" s="103"/>
      <c r="H159" s="102"/>
      <c r="I159" s="103"/>
      <c r="J159" s="92" t="s">
        <v>238</v>
      </c>
      <c r="K159" s="92">
        <f>SUM(K158)</f>
        <v>150000000</v>
      </c>
      <c r="L159" s="102"/>
      <c r="M159" s="103"/>
      <c r="N159" s="92" t="s">
        <v>240</v>
      </c>
      <c r="O159" s="92">
        <f>SUM(O158)</f>
        <v>0</v>
      </c>
      <c r="P159" s="102"/>
      <c r="Q159" s="103"/>
      <c r="R159" s="92" t="s">
        <v>240</v>
      </c>
      <c r="S159" s="92">
        <f>SUM(S158)</f>
        <v>0</v>
      </c>
      <c r="T159" s="102"/>
      <c r="U159" s="103"/>
      <c r="V159" s="92" t="s">
        <v>240</v>
      </c>
      <c r="W159" s="92">
        <f>SUM(W158)</f>
        <v>150000000</v>
      </c>
      <c r="X159" s="13">
        <f>K159-O159+S159</f>
        <v>150000000</v>
      </c>
      <c r="Y159" s="3"/>
      <c r="Z159" s="3"/>
      <c r="AA159" s="3"/>
      <c r="AB159" s="3"/>
      <c r="AC159" s="3"/>
    </row>
    <row r="160" spans="1:29" ht="20.25" customHeight="1">
      <c r="A160" s="93">
        <v>30</v>
      </c>
      <c r="B160" s="249" t="s">
        <v>241</v>
      </c>
      <c r="C160" s="95"/>
      <c r="D160" s="96" t="s">
        <v>394</v>
      </c>
      <c r="E160" s="46" t="s">
        <v>31</v>
      </c>
      <c r="F160" s="109" t="s">
        <v>43</v>
      </c>
      <c r="G160" s="47" t="s">
        <v>22</v>
      </c>
      <c r="H160" s="97">
        <v>1</v>
      </c>
      <c r="I160" s="99" t="s">
        <v>23</v>
      </c>
      <c r="J160" s="100">
        <v>150000000</v>
      </c>
      <c r="K160" s="100">
        <f>+J160*H160</f>
        <v>150000000</v>
      </c>
      <c r="L160" s="97"/>
      <c r="M160" s="99"/>
      <c r="N160" s="100"/>
      <c r="O160" s="100"/>
      <c r="P160" s="97"/>
      <c r="Q160" s="99"/>
      <c r="R160" s="100"/>
      <c r="S160" s="100"/>
      <c r="T160" s="48">
        <f>H160-L160+P160</f>
        <v>1</v>
      </c>
      <c r="U160" s="57" t="str">
        <f t="shared" ref="U160:V160" si="110">I160</f>
        <v>ls</v>
      </c>
      <c r="V160" s="50">
        <f t="shared" si="110"/>
        <v>150000000</v>
      </c>
      <c r="W160" s="50">
        <f>+V160*T160</f>
        <v>150000000</v>
      </c>
      <c r="X160" s="8"/>
      <c r="Y160" s="4"/>
      <c r="Z160" s="4"/>
      <c r="AA160" s="4"/>
      <c r="AB160" s="4"/>
      <c r="AC160" s="4"/>
    </row>
    <row r="161" spans="1:29" ht="20.25" customHeight="1">
      <c r="A161" s="14"/>
      <c r="B161" s="87"/>
      <c r="C161" s="247"/>
      <c r="D161" s="101"/>
      <c r="E161" s="102"/>
      <c r="F161" s="109">
        <f t="shared" ref="F161:F165" si="111">IF((G161="BARANG"),"T1",0)</f>
        <v>0</v>
      </c>
      <c r="G161" s="103"/>
      <c r="H161" s="102"/>
      <c r="I161" s="103"/>
      <c r="J161" s="92" t="s">
        <v>240</v>
      </c>
      <c r="K161" s="92">
        <f>SUM(K160)</f>
        <v>150000000</v>
      </c>
      <c r="L161" s="102"/>
      <c r="M161" s="103"/>
      <c r="N161" s="92" t="s">
        <v>242</v>
      </c>
      <c r="O161" s="92">
        <f>SUM(O160)</f>
        <v>0</v>
      </c>
      <c r="P161" s="102"/>
      <c r="Q161" s="103"/>
      <c r="R161" s="92" t="s">
        <v>242</v>
      </c>
      <c r="S161" s="92">
        <f>SUM(S160)</f>
        <v>0</v>
      </c>
      <c r="T161" s="102"/>
      <c r="U161" s="103"/>
      <c r="V161" s="92" t="s">
        <v>242</v>
      </c>
      <c r="W161" s="92">
        <f>SUM(W160)</f>
        <v>150000000</v>
      </c>
      <c r="X161" s="13">
        <f>K161-O161+S161</f>
        <v>150000000</v>
      </c>
      <c r="Y161" s="3"/>
      <c r="Z161" s="3"/>
      <c r="AA161" s="3"/>
      <c r="AB161" s="3"/>
      <c r="AC161" s="3"/>
    </row>
    <row r="162" spans="1:29" ht="20.25" customHeight="1">
      <c r="A162" s="30" t="s">
        <v>243</v>
      </c>
      <c r="B162" s="127" t="s">
        <v>244</v>
      </c>
      <c r="C162" s="250"/>
      <c r="D162" s="107"/>
      <c r="E162" s="108"/>
      <c r="F162" s="109">
        <f t="shared" si="111"/>
        <v>0</v>
      </c>
      <c r="G162" s="110"/>
      <c r="H162" s="108"/>
      <c r="I162" s="110"/>
      <c r="J162" s="111"/>
      <c r="K162" s="111"/>
      <c r="L162" s="108"/>
      <c r="M162" s="110"/>
      <c r="N162" s="111"/>
      <c r="O162" s="111"/>
      <c r="P162" s="108"/>
      <c r="Q162" s="110"/>
      <c r="R162" s="111"/>
      <c r="S162" s="111"/>
      <c r="T162" s="108"/>
      <c r="U162" s="110"/>
      <c r="V162" s="111"/>
      <c r="W162" s="111"/>
      <c r="X162" s="8"/>
      <c r="Y162" s="4"/>
      <c r="Z162" s="4"/>
      <c r="AA162" s="4"/>
      <c r="AB162" s="4"/>
      <c r="AC162" s="4"/>
    </row>
    <row r="163" spans="1:29" ht="20.25" customHeight="1">
      <c r="A163" s="60">
        <v>31</v>
      </c>
      <c r="B163" s="61" t="s">
        <v>245</v>
      </c>
      <c r="C163" s="251" t="s">
        <v>246</v>
      </c>
      <c r="D163" s="176" t="s">
        <v>247</v>
      </c>
      <c r="E163" s="64" t="s">
        <v>50</v>
      </c>
      <c r="F163" s="109" t="str">
        <f t="shared" si="111"/>
        <v>T1</v>
      </c>
      <c r="G163" s="216" t="s">
        <v>28</v>
      </c>
      <c r="H163" s="64">
        <v>2</v>
      </c>
      <c r="I163" s="216" t="s">
        <v>26</v>
      </c>
      <c r="J163" s="66">
        <v>95000000</v>
      </c>
      <c r="K163" s="66">
        <f>+J163*H163</f>
        <v>190000000</v>
      </c>
      <c r="L163" s="64">
        <v>2</v>
      </c>
      <c r="M163" s="216" t="s">
        <v>26</v>
      </c>
      <c r="N163" s="66">
        <f>95000000-40000000</f>
        <v>55000000</v>
      </c>
      <c r="O163" s="66">
        <f>+N163*L163</f>
        <v>110000000</v>
      </c>
      <c r="P163" s="64"/>
      <c r="Q163" s="216"/>
      <c r="R163" s="66"/>
      <c r="S163" s="66"/>
      <c r="T163" s="67">
        <f t="shared" ref="T163:U163" si="112">H163</f>
        <v>2</v>
      </c>
      <c r="U163" s="65" t="str">
        <f t="shared" si="112"/>
        <v>unit</v>
      </c>
      <c r="V163" s="66">
        <f>J163-N163</f>
        <v>40000000</v>
      </c>
      <c r="W163" s="66">
        <f t="shared" ref="W163:W175" si="113">+V163*T163</f>
        <v>80000000</v>
      </c>
      <c r="X163" s="140"/>
      <c r="Y163" s="69"/>
      <c r="Z163" s="69"/>
      <c r="AA163" s="69"/>
      <c r="AB163" s="69"/>
      <c r="AC163" s="69"/>
    </row>
    <row r="164" spans="1:29" ht="20.25" customHeight="1">
      <c r="A164" s="60"/>
      <c r="B164" s="61"/>
      <c r="C164" s="252"/>
      <c r="D164" s="253" t="s">
        <v>248</v>
      </c>
      <c r="E164" s="64" t="s">
        <v>50</v>
      </c>
      <c r="F164" s="109" t="str">
        <f t="shared" si="111"/>
        <v>T1</v>
      </c>
      <c r="G164" s="216" t="s">
        <v>28</v>
      </c>
      <c r="H164" s="64">
        <f>3-1</f>
        <v>2</v>
      </c>
      <c r="I164" s="216" t="s">
        <v>136</v>
      </c>
      <c r="J164" s="66">
        <f>153000000</f>
        <v>153000000</v>
      </c>
      <c r="K164" s="66">
        <f t="shared" ref="K164:K172" si="114">J164*H164</f>
        <v>306000000</v>
      </c>
      <c r="L164" s="64">
        <f>3-1</f>
        <v>2</v>
      </c>
      <c r="M164" s="216" t="s">
        <v>136</v>
      </c>
      <c r="N164" s="66">
        <f>153000000</f>
        <v>153000000</v>
      </c>
      <c r="O164" s="66">
        <f t="shared" ref="O164:O165" si="115">N164*L164</f>
        <v>306000000</v>
      </c>
      <c r="P164" s="64"/>
      <c r="Q164" s="216"/>
      <c r="R164" s="66"/>
      <c r="S164" s="66"/>
      <c r="T164" s="67">
        <f>H164-L164+P164</f>
        <v>0</v>
      </c>
      <c r="U164" s="65" t="str">
        <f t="shared" ref="U164:V164" si="116">I164</f>
        <v>pc</v>
      </c>
      <c r="V164" s="66">
        <f t="shared" si="116"/>
        <v>153000000</v>
      </c>
      <c r="W164" s="66">
        <f t="shared" si="113"/>
        <v>0</v>
      </c>
      <c r="X164" s="140"/>
      <c r="Y164" s="69"/>
      <c r="Z164" s="69"/>
      <c r="AA164" s="69"/>
      <c r="AB164" s="69"/>
      <c r="AC164" s="69"/>
    </row>
    <row r="165" spans="1:29" ht="20.25" customHeight="1">
      <c r="A165" s="60"/>
      <c r="B165" s="61"/>
      <c r="C165" s="252"/>
      <c r="D165" s="253" t="s">
        <v>249</v>
      </c>
      <c r="E165" s="64" t="s">
        <v>50</v>
      </c>
      <c r="F165" s="109" t="str">
        <f t="shared" si="111"/>
        <v>T1</v>
      </c>
      <c r="G165" s="216" t="s">
        <v>28</v>
      </c>
      <c r="H165" s="64">
        <v>2</v>
      </c>
      <c r="I165" s="216" t="s">
        <v>136</v>
      </c>
      <c r="J165" s="66">
        <f>41850000</f>
        <v>41850000</v>
      </c>
      <c r="K165" s="66">
        <f t="shared" si="114"/>
        <v>83700000</v>
      </c>
      <c r="L165" s="64">
        <v>2</v>
      </c>
      <c r="M165" s="216" t="s">
        <v>136</v>
      </c>
      <c r="N165" s="66">
        <f>41850000-30000000</f>
        <v>11850000</v>
      </c>
      <c r="O165" s="66">
        <f t="shared" si="115"/>
        <v>23700000</v>
      </c>
      <c r="P165" s="64"/>
      <c r="Q165" s="216"/>
      <c r="R165" s="66"/>
      <c r="S165" s="66"/>
      <c r="T165" s="67">
        <f t="shared" ref="T165:U165" si="117">H165</f>
        <v>2</v>
      </c>
      <c r="U165" s="65" t="str">
        <f t="shared" si="117"/>
        <v>pc</v>
      </c>
      <c r="V165" s="66">
        <f>J165-N165</f>
        <v>30000000</v>
      </c>
      <c r="W165" s="66">
        <f t="shared" si="113"/>
        <v>60000000</v>
      </c>
      <c r="X165" s="140"/>
      <c r="Y165" s="69"/>
      <c r="Z165" s="69"/>
      <c r="AA165" s="69"/>
      <c r="AB165" s="69"/>
      <c r="AC165" s="69"/>
    </row>
    <row r="166" spans="1:29" ht="20.25" customHeight="1">
      <c r="A166" s="60"/>
      <c r="B166" s="61"/>
      <c r="C166" s="251" t="s">
        <v>246</v>
      </c>
      <c r="D166" s="176" t="s">
        <v>250</v>
      </c>
      <c r="E166" s="64" t="s">
        <v>50</v>
      </c>
      <c r="F166" s="109" t="s">
        <v>43</v>
      </c>
      <c r="G166" s="216" t="s">
        <v>22</v>
      </c>
      <c r="H166" s="64">
        <v>60</v>
      </c>
      <c r="I166" s="216" t="s">
        <v>51</v>
      </c>
      <c r="J166" s="66">
        <f>350000</f>
        <v>350000</v>
      </c>
      <c r="K166" s="66">
        <f t="shared" si="114"/>
        <v>21000000</v>
      </c>
      <c r="L166" s="64"/>
      <c r="M166" s="216"/>
      <c r="N166" s="66"/>
      <c r="O166" s="66"/>
      <c r="P166" s="64"/>
      <c r="Q166" s="216"/>
      <c r="R166" s="66"/>
      <c r="S166" s="66"/>
      <c r="T166" s="67">
        <f t="shared" ref="T166:T175" si="118">H166-L166+P166</f>
        <v>60</v>
      </c>
      <c r="U166" s="65" t="str">
        <f t="shared" ref="U166:V166" si="119">I166</f>
        <v>m2</v>
      </c>
      <c r="V166" s="66">
        <f t="shared" si="119"/>
        <v>350000</v>
      </c>
      <c r="W166" s="66">
        <f t="shared" si="113"/>
        <v>21000000</v>
      </c>
      <c r="X166" s="140"/>
      <c r="Y166" s="69"/>
      <c r="Z166" s="69"/>
      <c r="AA166" s="69"/>
      <c r="AB166" s="69"/>
      <c r="AC166" s="69"/>
    </row>
    <row r="167" spans="1:29" ht="20.25" customHeight="1">
      <c r="A167" s="60"/>
      <c r="B167" s="61"/>
      <c r="C167" s="251" t="s">
        <v>246</v>
      </c>
      <c r="D167" s="176" t="s">
        <v>251</v>
      </c>
      <c r="E167" s="64" t="s">
        <v>50</v>
      </c>
      <c r="F167" s="109" t="s">
        <v>32</v>
      </c>
      <c r="G167" s="216" t="s">
        <v>22</v>
      </c>
      <c r="H167" s="64">
        <v>8</v>
      </c>
      <c r="I167" s="216" t="s">
        <v>252</v>
      </c>
      <c r="J167" s="66">
        <v>1750000</v>
      </c>
      <c r="K167" s="66">
        <f t="shared" si="114"/>
        <v>14000000</v>
      </c>
      <c r="L167" s="64"/>
      <c r="M167" s="216"/>
      <c r="N167" s="66"/>
      <c r="O167" s="66"/>
      <c r="P167" s="64"/>
      <c r="Q167" s="216"/>
      <c r="R167" s="66"/>
      <c r="S167" s="66"/>
      <c r="T167" s="67">
        <f t="shared" si="118"/>
        <v>8</v>
      </c>
      <c r="U167" s="65" t="str">
        <f t="shared" ref="U167:V167" si="120">I167</f>
        <v>panel</v>
      </c>
      <c r="V167" s="66">
        <f t="shared" si="120"/>
        <v>1750000</v>
      </c>
      <c r="W167" s="66">
        <f t="shared" si="113"/>
        <v>14000000</v>
      </c>
      <c r="X167" s="140"/>
      <c r="Y167" s="69"/>
      <c r="Z167" s="69"/>
      <c r="AA167" s="69"/>
      <c r="AB167" s="69"/>
      <c r="AC167" s="69"/>
    </row>
    <row r="168" spans="1:29" ht="20.25" customHeight="1">
      <c r="A168" s="60"/>
      <c r="B168" s="61"/>
      <c r="C168" s="251" t="s">
        <v>246</v>
      </c>
      <c r="D168" s="176" t="s">
        <v>139</v>
      </c>
      <c r="E168" s="64" t="s">
        <v>50</v>
      </c>
      <c r="F168" s="109" t="s">
        <v>25</v>
      </c>
      <c r="G168" s="216" t="s">
        <v>22</v>
      </c>
      <c r="H168" s="64">
        <f>3-2</f>
        <v>1</v>
      </c>
      <c r="I168" s="216" t="s">
        <v>136</v>
      </c>
      <c r="J168" s="66">
        <v>16000000</v>
      </c>
      <c r="K168" s="66">
        <f t="shared" si="114"/>
        <v>16000000</v>
      </c>
      <c r="L168" s="64"/>
      <c r="M168" s="216"/>
      <c r="N168" s="66"/>
      <c r="O168" s="66"/>
      <c r="P168" s="64"/>
      <c r="Q168" s="216"/>
      <c r="R168" s="66"/>
      <c r="S168" s="66"/>
      <c r="T168" s="67">
        <f t="shared" si="118"/>
        <v>1</v>
      </c>
      <c r="U168" s="65" t="str">
        <f t="shared" ref="U168:V168" si="121">I168</f>
        <v>pc</v>
      </c>
      <c r="V168" s="66">
        <f t="shared" si="121"/>
        <v>16000000</v>
      </c>
      <c r="W168" s="66">
        <f t="shared" si="113"/>
        <v>16000000</v>
      </c>
      <c r="X168" s="140"/>
      <c r="Y168" s="69"/>
      <c r="Z168" s="69"/>
      <c r="AA168" s="69"/>
      <c r="AB168" s="69"/>
      <c r="AC168" s="69"/>
    </row>
    <row r="169" spans="1:29" ht="20.25" customHeight="1">
      <c r="A169" s="60"/>
      <c r="B169" s="61"/>
      <c r="C169" s="251" t="s">
        <v>246</v>
      </c>
      <c r="D169" s="176" t="s">
        <v>253</v>
      </c>
      <c r="E169" s="64" t="s">
        <v>50</v>
      </c>
      <c r="F169" s="109" t="str">
        <f>IF((G169="BARANG"),"T1",0)</f>
        <v>T1</v>
      </c>
      <c r="G169" s="216" t="s">
        <v>28</v>
      </c>
      <c r="H169" s="64">
        <v>9</v>
      </c>
      <c r="I169" s="216" t="s">
        <v>136</v>
      </c>
      <c r="J169" s="66">
        <f>7000000</f>
        <v>7000000</v>
      </c>
      <c r="K169" s="66">
        <f t="shared" si="114"/>
        <v>63000000</v>
      </c>
      <c r="L169" s="64">
        <v>9</v>
      </c>
      <c r="M169" s="216" t="s">
        <v>136</v>
      </c>
      <c r="N169" s="66">
        <f>7000000</f>
        <v>7000000</v>
      </c>
      <c r="O169" s="66">
        <f>N169*L169</f>
        <v>63000000</v>
      </c>
      <c r="P169" s="64"/>
      <c r="Q169" s="216"/>
      <c r="R169" s="66"/>
      <c r="S169" s="66"/>
      <c r="T169" s="67">
        <f t="shared" si="118"/>
        <v>0</v>
      </c>
      <c r="U169" s="65" t="str">
        <f t="shared" ref="U169:V169" si="122">I169</f>
        <v>pc</v>
      </c>
      <c r="V169" s="66">
        <f t="shared" si="122"/>
        <v>7000000</v>
      </c>
      <c r="W169" s="66">
        <f t="shared" si="113"/>
        <v>0</v>
      </c>
      <c r="X169" s="140"/>
      <c r="Y169" s="69"/>
      <c r="Z169" s="69"/>
      <c r="AA169" s="69"/>
      <c r="AB169" s="69"/>
      <c r="AC169" s="69"/>
    </row>
    <row r="170" spans="1:29" ht="20.25" customHeight="1">
      <c r="A170" s="60"/>
      <c r="B170" s="61"/>
      <c r="C170" s="251" t="s">
        <v>246</v>
      </c>
      <c r="D170" s="176" t="s">
        <v>254</v>
      </c>
      <c r="E170" s="64" t="s">
        <v>50</v>
      </c>
      <c r="F170" s="109" t="s">
        <v>32</v>
      </c>
      <c r="G170" s="216" t="s">
        <v>22</v>
      </c>
      <c r="H170" s="64">
        <v>49</v>
      </c>
      <c r="I170" s="216" t="s">
        <v>136</v>
      </c>
      <c r="J170" s="66">
        <v>175000</v>
      </c>
      <c r="K170" s="66">
        <f t="shared" si="114"/>
        <v>8575000</v>
      </c>
      <c r="L170" s="64"/>
      <c r="M170" s="216"/>
      <c r="N170" s="66"/>
      <c r="O170" s="66"/>
      <c r="P170" s="64"/>
      <c r="Q170" s="216"/>
      <c r="R170" s="66"/>
      <c r="S170" s="66"/>
      <c r="T170" s="67">
        <f t="shared" si="118"/>
        <v>49</v>
      </c>
      <c r="U170" s="65" t="str">
        <f t="shared" ref="U170:V170" si="123">I170</f>
        <v>pc</v>
      </c>
      <c r="V170" s="66">
        <f t="shared" si="123"/>
        <v>175000</v>
      </c>
      <c r="W170" s="66">
        <f t="shared" si="113"/>
        <v>8575000</v>
      </c>
      <c r="X170" s="140"/>
      <c r="Y170" s="69"/>
      <c r="Z170" s="69"/>
      <c r="AA170" s="69"/>
      <c r="AB170" s="69"/>
      <c r="AC170" s="69"/>
    </row>
    <row r="171" spans="1:29" ht="20.25" customHeight="1">
      <c r="A171" s="60"/>
      <c r="B171" s="61"/>
      <c r="C171" s="251" t="s">
        <v>246</v>
      </c>
      <c r="D171" s="176" t="s">
        <v>255</v>
      </c>
      <c r="E171" s="64" t="s">
        <v>50</v>
      </c>
      <c r="F171" s="109" t="s">
        <v>43</v>
      </c>
      <c r="G171" s="216" t="s">
        <v>22</v>
      </c>
      <c r="H171" s="64">
        <v>2</v>
      </c>
      <c r="I171" s="216" t="s">
        <v>26</v>
      </c>
      <c r="J171" s="66">
        <v>97000000</v>
      </c>
      <c r="K171" s="66">
        <f t="shared" si="114"/>
        <v>194000000</v>
      </c>
      <c r="L171" s="64"/>
      <c r="M171" s="216"/>
      <c r="N171" s="66"/>
      <c r="O171" s="66"/>
      <c r="P171" s="64"/>
      <c r="Q171" s="216"/>
      <c r="R171" s="66"/>
      <c r="S171" s="66"/>
      <c r="T171" s="67">
        <f t="shared" si="118"/>
        <v>2</v>
      </c>
      <c r="U171" s="65" t="str">
        <f t="shared" ref="U171:V171" si="124">I171</f>
        <v>unit</v>
      </c>
      <c r="V171" s="66">
        <f t="shared" si="124"/>
        <v>97000000</v>
      </c>
      <c r="W171" s="66">
        <f t="shared" si="113"/>
        <v>194000000</v>
      </c>
      <c r="X171" s="140"/>
      <c r="Y171" s="69"/>
      <c r="Z171" s="69"/>
      <c r="AA171" s="69"/>
      <c r="AB171" s="69"/>
      <c r="AC171" s="69"/>
    </row>
    <row r="172" spans="1:29" ht="30.75" customHeight="1">
      <c r="A172" s="60"/>
      <c r="B172" s="61"/>
      <c r="C172" s="252"/>
      <c r="D172" s="176" t="s">
        <v>256</v>
      </c>
      <c r="E172" s="64" t="s">
        <v>50</v>
      </c>
      <c r="F172" s="109" t="str">
        <f t="shared" ref="F172:F176" si="125">IF((G172="BARANG"),"T1",0)</f>
        <v>T1</v>
      </c>
      <c r="G172" s="216" t="s">
        <v>28</v>
      </c>
      <c r="H172" s="64">
        <v>2</v>
      </c>
      <c r="I172" s="216" t="s">
        <v>23</v>
      </c>
      <c r="J172" s="66">
        <f>135000000/2</f>
        <v>67500000</v>
      </c>
      <c r="K172" s="66">
        <f t="shared" si="114"/>
        <v>135000000</v>
      </c>
      <c r="L172" s="64"/>
      <c r="M172" s="216"/>
      <c r="N172" s="66"/>
      <c r="O172" s="66"/>
      <c r="P172" s="64"/>
      <c r="Q172" s="216"/>
      <c r="R172" s="66"/>
      <c r="S172" s="66"/>
      <c r="T172" s="67">
        <f t="shared" si="118"/>
        <v>2</v>
      </c>
      <c r="U172" s="65" t="str">
        <f t="shared" ref="U172:V172" si="126">I172</f>
        <v>ls</v>
      </c>
      <c r="V172" s="66">
        <f t="shared" si="126"/>
        <v>67500000</v>
      </c>
      <c r="W172" s="66">
        <f t="shared" si="113"/>
        <v>135000000</v>
      </c>
      <c r="X172" s="140"/>
      <c r="Y172" s="69"/>
      <c r="Z172" s="69"/>
      <c r="AA172" s="69"/>
      <c r="AB172" s="69"/>
      <c r="AC172" s="69"/>
    </row>
    <row r="173" spans="1:29" ht="20.25" customHeight="1">
      <c r="A173" s="60"/>
      <c r="B173" s="61"/>
      <c r="C173" s="251" t="s">
        <v>246</v>
      </c>
      <c r="D173" s="254" t="s">
        <v>257</v>
      </c>
      <c r="E173" s="64" t="s">
        <v>50</v>
      </c>
      <c r="F173" s="109" t="str">
        <f t="shared" si="125"/>
        <v>T1</v>
      </c>
      <c r="G173" s="216" t="s">
        <v>28</v>
      </c>
      <c r="H173" s="64"/>
      <c r="I173" s="216"/>
      <c r="J173" s="66"/>
      <c r="K173" s="66"/>
      <c r="L173" s="64"/>
      <c r="M173" s="216"/>
      <c r="N173" s="66"/>
      <c r="O173" s="66"/>
      <c r="P173" s="64">
        <v>4</v>
      </c>
      <c r="Q173" s="216" t="s">
        <v>258</v>
      </c>
      <c r="R173" s="66">
        <f>3199000*1.2</f>
        <v>3838800</v>
      </c>
      <c r="S173" s="66">
        <f t="shared" ref="S173:S175" si="127">P173*R173</f>
        <v>15355200</v>
      </c>
      <c r="T173" s="67">
        <f t="shared" si="118"/>
        <v>4</v>
      </c>
      <c r="U173" s="65" t="str">
        <f t="shared" ref="U173:V173" si="128">Q173</f>
        <v>pcs</v>
      </c>
      <c r="V173" s="66">
        <f t="shared" si="128"/>
        <v>3838800</v>
      </c>
      <c r="W173" s="66">
        <f t="shared" si="113"/>
        <v>15355200</v>
      </c>
      <c r="X173" s="140"/>
      <c r="Y173" s="69"/>
      <c r="Z173" s="69"/>
      <c r="AA173" s="69"/>
      <c r="AB173" s="69"/>
      <c r="AC173" s="69"/>
    </row>
    <row r="174" spans="1:29" ht="20.25" customHeight="1">
      <c r="A174" s="60"/>
      <c r="B174" s="61"/>
      <c r="C174" s="251" t="s">
        <v>246</v>
      </c>
      <c r="D174" s="254" t="s">
        <v>259</v>
      </c>
      <c r="E174" s="64" t="s">
        <v>50</v>
      </c>
      <c r="F174" s="109" t="str">
        <f t="shared" si="125"/>
        <v>T1</v>
      </c>
      <c r="G174" s="216" t="s">
        <v>28</v>
      </c>
      <c r="H174" s="64"/>
      <c r="I174" s="216"/>
      <c r="J174" s="66"/>
      <c r="K174" s="66"/>
      <c r="L174" s="64"/>
      <c r="M174" s="216"/>
      <c r="N174" s="66"/>
      <c r="O174" s="66"/>
      <c r="P174" s="64">
        <v>1</v>
      </c>
      <c r="Q174" s="216" t="s">
        <v>26</v>
      </c>
      <c r="R174" s="66">
        <f>(2300000*1.1)</f>
        <v>2530000</v>
      </c>
      <c r="S174" s="66">
        <f t="shared" si="127"/>
        <v>2530000</v>
      </c>
      <c r="T174" s="67">
        <f t="shared" si="118"/>
        <v>1</v>
      </c>
      <c r="U174" s="65" t="str">
        <f t="shared" ref="U174:V174" si="129">Q174</f>
        <v>unit</v>
      </c>
      <c r="V174" s="66">
        <f t="shared" si="129"/>
        <v>2530000</v>
      </c>
      <c r="W174" s="66">
        <f t="shared" si="113"/>
        <v>2530000</v>
      </c>
      <c r="X174" s="140"/>
      <c r="Y174" s="69"/>
      <c r="Z174" s="69"/>
      <c r="AA174" s="69"/>
      <c r="AB174" s="69"/>
      <c r="AC174" s="69"/>
    </row>
    <row r="175" spans="1:29" ht="20.25" customHeight="1">
      <c r="A175" s="42"/>
      <c r="B175" s="52"/>
      <c r="C175" s="255" t="s">
        <v>246</v>
      </c>
      <c r="D175" s="171" t="s">
        <v>260</v>
      </c>
      <c r="E175" s="59" t="s">
        <v>50</v>
      </c>
      <c r="F175" s="109" t="str">
        <f t="shared" si="125"/>
        <v>T1</v>
      </c>
      <c r="G175" s="216" t="s">
        <v>28</v>
      </c>
      <c r="H175" s="59"/>
      <c r="I175" s="86"/>
      <c r="J175" s="50"/>
      <c r="K175" s="50"/>
      <c r="L175" s="59"/>
      <c r="M175" s="86"/>
      <c r="N175" s="50"/>
      <c r="O175" s="50"/>
      <c r="P175" s="59">
        <v>1</v>
      </c>
      <c r="Q175" s="86" t="s">
        <v>26</v>
      </c>
      <c r="R175" s="50">
        <f>(3825000*1.1)</f>
        <v>4207500</v>
      </c>
      <c r="S175" s="50">
        <f t="shared" si="127"/>
        <v>4207500</v>
      </c>
      <c r="T175" s="48">
        <f t="shared" si="118"/>
        <v>1</v>
      </c>
      <c r="U175" s="57" t="str">
        <f t="shared" ref="U175:V175" si="130">Q175</f>
        <v>unit</v>
      </c>
      <c r="V175" s="50">
        <f t="shared" si="130"/>
        <v>4207500</v>
      </c>
      <c r="W175" s="50">
        <f t="shared" si="113"/>
        <v>4207500</v>
      </c>
      <c r="X175" s="8"/>
      <c r="Y175" s="4"/>
      <c r="Z175" s="4"/>
      <c r="AA175" s="4"/>
      <c r="AB175" s="4"/>
      <c r="AC175" s="4"/>
    </row>
    <row r="176" spans="1:29" ht="20.25" customHeight="1">
      <c r="A176" s="14"/>
      <c r="B176" s="87"/>
      <c r="C176" s="247"/>
      <c r="D176" s="101"/>
      <c r="E176" s="102"/>
      <c r="F176" s="109">
        <f t="shared" si="125"/>
        <v>0</v>
      </c>
      <c r="G176" s="103"/>
      <c r="H176" s="102"/>
      <c r="I176" s="103"/>
      <c r="J176" s="92" t="s">
        <v>242</v>
      </c>
      <c r="K176" s="92">
        <f>SUM(K163:K175)</f>
        <v>1031275000</v>
      </c>
      <c r="L176" s="102"/>
      <c r="M176" s="103"/>
      <c r="N176" s="92" t="s">
        <v>209</v>
      </c>
      <c r="O176" s="92">
        <f>SUM(O163:O175)</f>
        <v>502700000</v>
      </c>
      <c r="P176" s="102"/>
      <c r="Q176" s="103"/>
      <c r="R176" s="92" t="s">
        <v>209</v>
      </c>
      <c r="S176" s="92">
        <f>SUM(S163:S175)</f>
        <v>22092700</v>
      </c>
      <c r="T176" s="102"/>
      <c r="U176" s="103"/>
      <c r="V176" s="92" t="s">
        <v>209</v>
      </c>
      <c r="W176" s="92">
        <f>SUM(W163:W175)</f>
        <v>550667700</v>
      </c>
      <c r="X176" s="13">
        <f>K176-O176+S176</f>
        <v>550667700</v>
      </c>
      <c r="Y176" s="3"/>
      <c r="Z176" s="3"/>
      <c r="AA176" s="3"/>
      <c r="AB176" s="3"/>
      <c r="AC176" s="3"/>
    </row>
    <row r="177" spans="1:29" ht="20.25" customHeight="1">
      <c r="A177" s="207">
        <v>32</v>
      </c>
      <c r="B177" s="105" t="s">
        <v>261</v>
      </c>
      <c r="C177" s="250"/>
      <c r="D177" s="256" t="s">
        <v>262</v>
      </c>
      <c r="E177" s="108" t="s">
        <v>50</v>
      </c>
      <c r="F177" s="109" t="s">
        <v>43</v>
      </c>
      <c r="G177" s="216" t="s">
        <v>22</v>
      </c>
      <c r="H177" s="108"/>
      <c r="I177" s="110"/>
      <c r="J177" s="111"/>
      <c r="K177" s="111"/>
      <c r="L177" s="108"/>
      <c r="M177" s="110"/>
      <c r="N177" s="111"/>
      <c r="O177" s="111"/>
      <c r="P177" s="108">
        <v>1</v>
      </c>
      <c r="Q177" s="110" t="s">
        <v>23</v>
      </c>
      <c r="R177" s="111">
        <f>(423374000+226626000)</f>
        <v>650000000</v>
      </c>
      <c r="S177" s="111">
        <f t="shared" ref="S177:S179" si="131">P177*R177</f>
        <v>650000000</v>
      </c>
      <c r="T177" s="48">
        <f t="shared" ref="T177:T179" si="132">H177-L177+P177</f>
        <v>1</v>
      </c>
      <c r="U177" s="57" t="str">
        <f t="shared" ref="U177:V177" si="133">Q177</f>
        <v>ls</v>
      </c>
      <c r="V177" s="50">
        <f t="shared" si="133"/>
        <v>650000000</v>
      </c>
      <c r="W177" s="50">
        <f t="shared" ref="W177:W179" si="134">+V177*T177</f>
        <v>650000000</v>
      </c>
      <c r="X177" s="8"/>
      <c r="Y177" s="4"/>
      <c r="Z177" s="4"/>
      <c r="AA177" s="4"/>
      <c r="AB177" s="4"/>
      <c r="AC177" s="4"/>
    </row>
    <row r="178" spans="1:29" ht="20.25" customHeight="1">
      <c r="A178" s="42"/>
      <c r="B178" s="52"/>
      <c r="C178" s="150"/>
      <c r="D178" s="115" t="s">
        <v>263</v>
      </c>
      <c r="E178" s="59" t="s">
        <v>50</v>
      </c>
      <c r="F178" s="109" t="s">
        <v>25</v>
      </c>
      <c r="G178" s="216" t="s">
        <v>22</v>
      </c>
      <c r="H178" s="59"/>
      <c r="I178" s="86"/>
      <c r="J178" s="50"/>
      <c r="K178" s="50"/>
      <c r="L178" s="59"/>
      <c r="M178" s="86"/>
      <c r="N178" s="50"/>
      <c r="O178" s="50"/>
      <c r="P178" s="59">
        <v>1</v>
      </c>
      <c r="Q178" s="86" t="s">
        <v>47</v>
      </c>
      <c r="R178" s="50">
        <f>105000000</f>
        <v>105000000</v>
      </c>
      <c r="S178" s="50">
        <f t="shared" si="131"/>
        <v>105000000</v>
      </c>
      <c r="T178" s="48">
        <f t="shared" si="132"/>
        <v>1</v>
      </c>
      <c r="U178" s="57" t="str">
        <f t="shared" ref="U178:V178" si="135">Q178</f>
        <v>set</v>
      </c>
      <c r="V178" s="50">
        <f t="shared" si="135"/>
        <v>105000000</v>
      </c>
      <c r="W178" s="50">
        <f t="shared" si="134"/>
        <v>105000000</v>
      </c>
      <c r="X178" s="8"/>
      <c r="Y178" s="4"/>
      <c r="Z178" s="4"/>
      <c r="AA178" s="4"/>
      <c r="AB178" s="4"/>
      <c r="AC178" s="4"/>
    </row>
    <row r="179" spans="1:29" ht="20.25" customHeight="1">
      <c r="A179" s="151"/>
      <c r="B179" s="116"/>
      <c r="C179" s="257"/>
      <c r="D179" s="118" t="s">
        <v>264</v>
      </c>
      <c r="E179" s="126" t="s">
        <v>50</v>
      </c>
      <c r="F179" s="109" t="str">
        <f t="shared" ref="F179:F230" si="136">IF((G179="BARANG"),"T1",0)</f>
        <v>T1</v>
      </c>
      <c r="G179" s="216" t="s">
        <v>28</v>
      </c>
      <c r="H179" s="126"/>
      <c r="I179" s="124"/>
      <c r="J179" s="122"/>
      <c r="K179" s="122"/>
      <c r="L179" s="126"/>
      <c r="M179" s="124"/>
      <c r="N179" s="122"/>
      <c r="O179" s="122"/>
      <c r="P179" s="126">
        <v>1</v>
      </c>
      <c r="Q179" s="124" t="s">
        <v>26</v>
      </c>
      <c r="R179" s="122">
        <f>60000000</f>
        <v>60000000</v>
      </c>
      <c r="S179" s="122">
        <f t="shared" si="131"/>
        <v>60000000</v>
      </c>
      <c r="T179" s="48">
        <f t="shared" si="132"/>
        <v>1</v>
      </c>
      <c r="U179" s="57" t="str">
        <f t="shared" ref="U179:V179" si="137">Q179</f>
        <v>unit</v>
      </c>
      <c r="V179" s="50">
        <f t="shared" si="137"/>
        <v>60000000</v>
      </c>
      <c r="W179" s="50">
        <f t="shared" si="134"/>
        <v>60000000</v>
      </c>
      <c r="X179" s="8"/>
      <c r="Y179" s="4"/>
      <c r="Z179" s="4"/>
      <c r="AA179" s="4"/>
      <c r="AB179" s="4"/>
      <c r="AC179" s="4"/>
    </row>
    <row r="180" spans="1:29" ht="20.25" customHeight="1">
      <c r="A180" s="14"/>
      <c r="B180" s="87"/>
      <c r="C180" s="247"/>
      <c r="D180" s="101"/>
      <c r="E180" s="102"/>
      <c r="F180" s="109">
        <f t="shared" si="136"/>
        <v>0</v>
      </c>
      <c r="G180" s="103"/>
      <c r="H180" s="102"/>
      <c r="I180" s="103"/>
      <c r="J180" s="92" t="s">
        <v>265</v>
      </c>
      <c r="K180" s="92">
        <f>SUM(K177:K179)</f>
        <v>0</v>
      </c>
      <c r="L180" s="102"/>
      <c r="M180" s="103"/>
      <c r="N180" s="92" t="s">
        <v>231</v>
      </c>
      <c r="O180" s="92">
        <f>SUM(O177:O179)</f>
        <v>0</v>
      </c>
      <c r="P180" s="102"/>
      <c r="Q180" s="103"/>
      <c r="R180" s="92" t="s">
        <v>231</v>
      </c>
      <c r="S180" s="92">
        <f>SUM(S177:S179)</f>
        <v>815000000</v>
      </c>
      <c r="T180" s="102"/>
      <c r="U180" s="103"/>
      <c r="V180" s="92" t="s">
        <v>231</v>
      </c>
      <c r="W180" s="92">
        <f>SUM(W177:W179)</f>
        <v>815000000</v>
      </c>
      <c r="X180" s="13">
        <f>K180-O180+S180</f>
        <v>815000000</v>
      </c>
      <c r="Y180" s="3"/>
      <c r="Z180" s="3"/>
      <c r="AA180" s="3"/>
      <c r="AB180" s="3"/>
      <c r="AC180" s="3"/>
    </row>
    <row r="181" spans="1:29" ht="20.25" customHeight="1">
      <c r="A181" s="30" t="s">
        <v>266</v>
      </c>
      <c r="B181" s="127" t="s">
        <v>267</v>
      </c>
      <c r="C181" s="250"/>
      <c r="D181" s="107"/>
      <c r="E181" s="108"/>
      <c r="F181" s="109">
        <f t="shared" si="136"/>
        <v>0</v>
      </c>
      <c r="G181" s="110"/>
      <c r="H181" s="108"/>
      <c r="I181" s="110"/>
      <c r="J181" s="111"/>
      <c r="K181" s="111"/>
      <c r="L181" s="108"/>
      <c r="M181" s="110"/>
      <c r="N181" s="111"/>
      <c r="O181" s="111"/>
      <c r="P181" s="108"/>
      <c r="Q181" s="110"/>
      <c r="R181" s="111"/>
      <c r="S181" s="111"/>
      <c r="T181" s="108"/>
      <c r="U181" s="110"/>
      <c r="V181" s="111"/>
      <c r="W181" s="111"/>
      <c r="X181" s="8"/>
      <c r="Y181" s="4"/>
      <c r="Z181" s="4"/>
      <c r="AA181" s="4"/>
      <c r="AB181" s="4"/>
      <c r="AC181" s="4"/>
    </row>
    <row r="182" spans="1:29" ht="20.25" customHeight="1">
      <c r="A182" s="42">
        <v>33</v>
      </c>
      <c r="B182" s="52" t="s">
        <v>268</v>
      </c>
      <c r="C182" s="113"/>
      <c r="D182" s="58" t="s">
        <v>269</v>
      </c>
      <c r="E182" s="59" t="s">
        <v>34</v>
      </c>
      <c r="F182" s="109" t="str">
        <f t="shared" si="136"/>
        <v>T1</v>
      </c>
      <c r="G182" s="216" t="s">
        <v>28</v>
      </c>
      <c r="H182" s="59">
        <f>12</f>
        <v>12</v>
      </c>
      <c r="I182" s="212" t="s">
        <v>136</v>
      </c>
      <c r="J182" s="50">
        <v>4500000</v>
      </c>
      <c r="K182" s="50">
        <f t="shared" ref="K182:K190" si="138">J182*H182</f>
        <v>54000000</v>
      </c>
      <c r="L182" s="59"/>
      <c r="M182" s="86"/>
      <c r="N182" s="50"/>
      <c r="O182" s="50"/>
      <c r="P182" s="59"/>
      <c r="Q182" s="86"/>
      <c r="R182" s="50"/>
      <c r="S182" s="50"/>
      <c r="T182" s="48">
        <f t="shared" ref="T182:T197" si="139">H182-L182+P182</f>
        <v>12</v>
      </c>
      <c r="U182" s="57" t="str">
        <f t="shared" ref="U182:V182" si="140">I182</f>
        <v>pc</v>
      </c>
      <c r="V182" s="50">
        <f t="shared" si="140"/>
        <v>4500000</v>
      </c>
      <c r="W182" s="50">
        <f t="shared" ref="W182:W197" si="141">+V182*T182</f>
        <v>54000000</v>
      </c>
      <c r="X182" s="8"/>
      <c r="Y182" s="4"/>
      <c r="Z182" s="4"/>
      <c r="AA182" s="4"/>
      <c r="AB182" s="4"/>
      <c r="AC182" s="4"/>
    </row>
    <row r="183" spans="1:29" ht="20.25" customHeight="1">
      <c r="A183" s="42"/>
      <c r="B183" s="52"/>
      <c r="C183" s="113"/>
      <c r="D183" s="58" t="s">
        <v>270</v>
      </c>
      <c r="E183" s="59" t="s">
        <v>34</v>
      </c>
      <c r="F183" s="109" t="str">
        <f t="shared" si="136"/>
        <v>T1</v>
      </c>
      <c r="G183" s="216" t="s">
        <v>28</v>
      </c>
      <c r="H183" s="59">
        <v>10</v>
      </c>
      <c r="I183" s="212" t="s">
        <v>136</v>
      </c>
      <c r="J183" s="50">
        <f>3700000</f>
        <v>3700000</v>
      </c>
      <c r="K183" s="50">
        <f t="shared" si="138"/>
        <v>37000000</v>
      </c>
      <c r="L183" s="59">
        <f>10*0</f>
        <v>0</v>
      </c>
      <c r="M183" s="212" t="s">
        <v>136</v>
      </c>
      <c r="N183" s="50">
        <f>3700000</f>
        <v>3700000</v>
      </c>
      <c r="O183" s="50">
        <f>N183*L183</f>
        <v>0</v>
      </c>
      <c r="P183" s="59"/>
      <c r="Q183" s="86"/>
      <c r="R183" s="50"/>
      <c r="S183" s="50"/>
      <c r="T183" s="48">
        <f t="shared" si="139"/>
        <v>10</v>
      </c>
      <c r="U183" s="57" t="str">
        <f t="shared" ref="U183:V183" si="142">I183</f>
        <v>pc</v>
      </c>
      <c r="V183" s="50">
        <f t="shared" si="142"/>
        <v>3700000</v>
      </c>
      <c r="W183" s="50">
        <f t="shared" si="141"/>
        <v>37000000</v>
      </c>
      <c r="X183" s="8"/>
      <c r="Y183" s="4"/>
      <c r="Z183" s="4"/>
      <c r="AA183" s="4"/>
      <c r="AB183" s="4"/>
      <c r="AC183" s="4"/>
    </row>
    <row r="184" spans="1:29" ht="20.25" customHeight="1">
      <c r="A184" s="42"/>
      <c r="B184" s="52"/>
      <c r="C184" s="113"/>
      <c r="D184" s="45" t="s">
        <v>271</v>
      </c>
      <c r="E184" s="59" t="s">
        <v>34</v>
      </c>
      <c r="F184" s="109" t="str">
        <f t="shared" si="136"/>
        <v>T1</v>
      </c>
      <c r="G184" s="216" t="s">
        <v>28</v>
      </c>
      <c r="H184" s="59">
        <v>30</v>
      </c>
      <c r="I184" s="212" t="s">
        <v>136</v>
      </c>
      <c r="J184" s="50">
        <v>10000000</v>
      </c>
      <c r="K184" s="50">
        <f t="shared" si="138"/>
        <v>300000000</v>
      </c>
      <c r="L184" s="59"/>
      <c r="M184" s="86"/>
      <c r="N184" s="50"/>
      <c r="O184" s="50"/>
      <c r="P184" s="59"/>
      <c r="Q184" s="86"/>
      <c r="R184" s="50"/>
      <c r="S184" s="50"/>
      <c r="T184" s="48">
        <f t="shared" si="139"/>
        <v>30</v>
      </c>
      <c r="U184" s="57" t="str">
        <f t="shared" ref="U184:V184" si="143">I184</f>
        <v>pc</v>
      </c>
      <c r="V184" s="50">
        <f t="shared" si="143"/>
        <v>10000000</v>
      </c>
      <c r="W184" s="50">
        <f t="shared" si="141"/>
        <v>300000000</v>
      </c>
      <c r="X184" s="8"/>
      <c r="Y184" s="4"/>
      <c r="Z184" s="4"/>
      <c r="AA184" s="4"/>
      <c r="AB184" s="4"/>
      <c r="AC184" s="4"/>
    </row>
    <row r="185" spans="1:29" ht="20.25" customHeight="1">
      <c r="A185" s="42"/>
      <c r="B185" s="52"/>
      <c r="C185" s="113"/>
      <c r="D185" s="58" t="s">
        <v>272</v>
      </c>
      <c r="E185" s="59" t="s">
        <v>34</v>
      </c>
      <c r="F185" s="109" t="str">
        <f t="shared" si="136"/>
        <v>T1</v>
      </c>
      <c r="G185" s="216" t="s">
        <v>28</v>
      </c>
      <c r="H185" s="59">
        <f>20</f>
        <v>20</v>
      </c>
      <c r="I185" s="212" t="s">
        <v>136</v>
      </c>
      <c r="J185" s="50">
        <v>2000000</v>
      </c>
      <c r="K185" s="50">
        <f t="shared" si="138"/>
        <v>40000000</v>
      </c>
      <c r="L185" s="59">
        <f>5</f>
        <v>5</v>
      </c>
      <c r="M185" s="212" t="s">
        <v>136</v>
      </c>
      <c r="N185" s="50">
        <v>2000000</v>
      </c>
      <c r="O185" s="50">
        <f>N185*L185</f>
        <v>10000000</v>
      </c>
      <c r="P185" s="59"/>
      <c r="Q185" s="86"/>
      <c r="R185" s="50"/>
      <c r="S185" s="50"/>
      <c r="T185" s="48">
        <f t="shared" si="139"/>
        <v>15</v>
      </c>
      <c r="U185" s="57" t="str">
        <f t="shared" ref="U185:V185" si="144">I185</f>
        <v>pc</v>
      </c>
      <c r="V185" s="50">
        <f t="shared" si="144"/>
        <v>2000000</v>
      </c>
      <c r="W185" s="50">
        <f t="shared" si="141"/>
        <v>30000000</v>
      </c>
      <c r="X185" s="8"/>
      <c r="Y185" s="4"/>
      <c r="Z185" s="4"/>
      <c r="AA185" s="4"/>
      <c r="AB185" s="4"/>
      <c r="AC185" s="4"/>
    </row>
    <row r="186" spans="1:29" ht="20.25" customHeight="1">
      <c r="A186" s="42"/>
      <c r="B186" s="52"/>
      <c r="C186" s="113"/>
      <c r="D186" s="58" t="s">
        <v>273</v>
      </c>
      <c r="E186" s="59" t="s">
        <v>34</v>
      </c>
      <c r="F186" s="109" t="str">
        <f t="shared" si="136"/>
        <v>T1</v>
      </c>
      <c r="G186" s="216" t="s">
        <v>28</v>
      </c>
      <c r="H186" s="59">
        <v>50</v>
      </c>
      <c r="I186" s="212" t="s">
        <v>136</v>
      </c>
      <c r="J186" s="50">
        <v>1700000</v>
      </c>
      <c r="K186" s="50">
        <f t="shared" si="138"/>
        <v>85000000</v>
      </c>
      <c r="L186" s="59"/>
      <c r="M186" s="86"/>
      <c r="N186" s="50"/>
      <c r="O186" s="50"/>
      <c r="P186" s="59"/>
      <c r="Q186" s="86"/>
      <c r="R186" s="50"/>
      <c r="S186" s="50"/>
      <c r="T186" s="48">
        <f t="shared" si="139"/>
        <v>50</v>
      </c>
      <c r="U186" s="57" t="str">
        <f t="shared" ref="U186:V186" si="145">I186</f>
        <v>pc</v>
      </c>
      <c r="V186" s="50">
        <f t="shared" si="145"/>
        <v>1700000</v>
      </c>
      <c r="W186" s="50">
        <f t="shared" si="141"/>
        <v>85000000</v>
      </c>
      <c r="X186" s="8"/>
      <c r="Y186" s="4"/>
      <c r="Z186" s="4"/>
      <c r="AA186" s="4"/>
      <c r="AB186" s="4"/>
      <c r="AC186" s="4"/>
    </row>
    <row r="187" spans="1:29" ht="20.25" customHeight="1">
      <c r="A187" s="42"/>
      <c r="B187" s="52"/>
      <c r="C187" s="113"/>
      <c r="D187" s="58" t="s">
        <v>274</v>
      </c>
      <c r="E187" s="59" t="s">
        <v>34</v>
      </c>
      <c r="F187" s="109" t="str">
        <f t="shared" si="136"/>
        <v>T1</v>
      </c>
      <c r="G187" s="216" t="s">
        <v>28</v>
      </c>
      <c r="H187" s="59">
        <v>30</v>
      </c>
      <c r="I187" s="212" t="s">
        <v>136</v>
      </c>
      <c r="J187" s="50">
        <v>2500000</v>
      </c>
      <c r="K187" s="50">
        <f t="shared" si="138"/>
        <v>75000000</v>
      </c>
      <c r="L187" s="59"/>
      <c r="M187" s="86"/>
      <c r="N187" s="50"/>
      <c r="O187" s="50"/>
      <c r="P187" s="59"/>
      <c r="Q187" s="86"/>
      <c r="R187" s="50"/>
      <c r="S187" s="50"/>
      <c r="T187" s="48">
        <f t="shared" si="139"/>
        <v>30</v>
      </c>
      <c r="U187" s="57" t="str">
        <f t="shared" ref="U187:V187" si="146">I187</f>
        <v>pc</v>
      </c>
      <c r="V187" s="50">
        <f t="shared" si="146"/>
        <v>2500000</v>
      </c>
      <c r="W187" s="50">
        <f t="shared" si="141"/>
        <v>75000000</v>
      </c>
      <c r="X187" s="8"/>
      <c r="Y187" s="4"/>
      <c r="Z187" s="4"/>
      <c r="AA187" s="4"/>
      <c r="AB187" s="4"/>
      <c r="AC187" s="4"/>
    </row>
    <row r="188" spans="1:29" ht="20.25" customHeight="1">
      <c r="A188" s="42"/>
      <c r="B188" s="52"/>
      <c r="C188" s="113"/>
      <c r="D188" s="58" t="s">
        <v>275</v>
      </c>
      <c r="E188" s="59" t="s">
        <v>34</v>
      </c>
      <c r="F188" s="109" t="str">
        <f t="shared" si="136"/>
        <v>T1</v>
      </c>
      <c r="G188" s="216" t="s">
        <v>28</v>
      </c>
      <c r="H188" s="59">
        <v>10</v>
      </c>
      <c r="I188" s="212" t="s">
        <v>136</v>
      </c>
      <c r="J188" s="50">
        <v>5000000</v>
      </c>
      <c r="K188" s="50">
        <f t="shared" si="138"/>
        <v>50000000</v>
      </c>
      <c r="L188" s="59"/>
      <c r="M188" s="86"/>
      <c r="N188" s="50"/>
      <c r="O188" s="50"/>
      <c r="P188" s="59"/>
      <c r="Q188" s="86"/>
      <c r="R188" s="50"/>
      <c r="S188" s="50"/>
      <c r="T188" s="48">
        <f t="shared" si="139"/>
        <v>10</v>
      </c>
      <c r="U188" s="57" t="str">
        <f t="shared" ref="U188:V188" si="147">I188</f>
        <v>pc</v>
      </c>
      <c r="V188" s="50">
        <f t="shared" si="147"/>
        <v>5000000</v>
      </c>
      <c r="W188" s="50">
        <f t="shared" si="141"/>
        <v>50000000</v>
      </c>
      <c r="X188" s="8"/>
      <c r="Y188" s="4"/>
      <c r="Z188" s="4"/>
      <c r="AA188" s="4"/>
      <c r="AB188" s="4"/>
      <c r="AC188" s="4"/>
    </row>
    <row r="189" spans="1:29" ht="20.25" customHeight="1">
      <c r="A189" s="42"/>
      <c r="B189" s="52"/>
      <c r="C189" s="113"/>
      <c r="D189" s="58" t="s">
        <v>276</v>
      </c>
      <c r="E189" s="59" t="s">
        <v>34</v>
      </c>
      <c r="F189" s="109" t="str">
        <f t="shared" si="136"/>
        <v>T1</v>
      </c>
      <c r="G189" s="216" t="s">
        <v>28</v>
      </c>
      <c r="H189" s="59">
        <v>4</v>
      </c>
      <c r="I189" s="212" t="s">
        <v>136</v>
      </c>
      <c r="J189" s="50">
        <v>13000000</v>
      </c>
      <c r="K189" s="50">
        <f t="shared" si="138"/>
        <v>52000000</v>
      </c>
      <c r="L189" s="59"/>
      <c r="M189" s="86"/>
      <c r="N189" s="50"/>
      <c r="O189" s="50"/>
      <c r="P189" s="59"/>
      <c r="Q189" s="86"/>
      <c r="R189" s="50"/>
      <c r="S189" s="50"/>
      <c r="T189" s="48">
        <f t="shared" si="139"/>
        <v>4</v>
      </c>
      <c r="U189" s="57" t="str">
        <f t="shared" ref="U189:V189" si="148">I189</f>
        <v>pc</v>
      </c>
      <c r="V189" s="50">
        <f t="shared" si="148"/>
        <v>13000000</v>
      </c>
      <c r="W189" s="50">
        <f t="shared" si="141"/>
        <v>52000000</v>
      </c>
      <c r="X189" s="8"/>
      <c r="Y189" s="4"/>
      <c r="Z189" s="4"/>
      <c r="AA189" s="4"/>
      <c r="AB189" s="4"/>
      <c r="AC189" s="4"/>
    </row>
    <row r="190" spans="1:29" ht="20.25" customHeight="1">
      <c r="A190" s="42"/>
      <c r="B190" s="52"/>
      <c r="C190" s="113"/>
      <c r="D190" s="171" t="s">
        <v>277</v>
      </c>
      <c r="E190" s="59" t="s">
        <v>34</v>
      </c>
      <c r="F190" s="109" t="str">
        <f t="shared" si="136"/>
        <v>T1</v>
      </c>
      <c r="G190" s="216" t="s">
        <v>28</v>
      </c>
      <c r="H190" s="59">
        <v>6</v>
      </c>
      <c r="I190" s="86" t="s">
        <v>26</v>
      </c>
      <c r="J190" s="50">
        <f>3000000*1.1</f>
        <v>3300000.0000000005</v>
      </c>
      <c r="K190" s="50">
        <f t="shared" si="138"/>
        <v>19800000.000000004</v>
      </c>
      <c r="L190" s="59"/>
      <c r="M190" s="86"/>
      <c r="N190" s="50"/>
      <c r="O190" s="50"/>
      <c r="P190" s="59"/>
      <c r="Q190" s="86"/>
      <c r="R190" s="50"/>
      <c r="S190" s="50"/>
      <c r="T190" s="48">
        <f t="shared" si="139"/>
        <v>6</v>
      </c>
      <c r="U190" s="57" t="str">
        <f t="shared" ref="U190:V190" si="149">I190</f>
        <v>unit</v>
      </c>
      <c r="V190" s="50">
        <f t="shared" si="149"/>
        <v>3300000.0000000005</v>
      </c>
      <c r="W190" s="50">
        <f t="shared" si="141"/>
        <v>19800000.000000004</v>
      </c>
      <c r="X190" s="8"/>
      <c r="Y190" s="4"/>
      <c r="Z190" s="4"/>
      <c r="AA190" s="4"/>
      <c r="AB190" s="4"/>
      <c r="AC190" s="4"/>
    </row>
    <row r="191" spans="1:29" ht="20.25" customHeight="1">
      <c r="A191" s="42"/>
      <c r="B191" s="52"/>
      <c r="C191" s="113"/>
      <c r="D191" s="258" t="s">
        <v>278</v>
      </c>
      <c r="E191" s="59" t="s">
        <v>34</v>
      </c>
      <c r="F191" s="109" t="str">
        <f t="shared" si="136"/>
        <v>T1</v>
      </c>
      <c r="G191" s="216" t="s">
        <v>28</v>
      </c>
      <c r="H191" s="78"/>
      <c r="I191" s="57"/>
      <c r="J191" s="50"/>
      <c r="K191" s="50"/>
      <c r="L191" s="78"/>
      <c r="M191" s="57"/>
      <c r="N191" s="50"/>
      <c r="O191" s="50"/>
      <c r="P191" s="78">
        <f>750</f>
        <v>750</v>
      </c>
      <c r="Q191" s="57" t="s">
        <v>258</v>
      </c>
      <c r="R191" s="50">
        <v>300000</v>
      </c>
      <c r="S191" s="50">
        <f t="shared" ref="S191:S197" si="150">P191*R191</f>
        <v>225000000</v>
      </c>
      <c r="T191" s="48">
        <f t="shared" si="139"/>
        <v>750</v>
      </c>
      <c r="U191" s="57" t="str">
        <f t="shared" ref="U191:V191" si="151">Q191</f>
        <v>pcs</v>
      </c>
      <c r="V191" s="50">
        <f t="shared" si="151"/>
        <v>300000</v>
      </c>
      <c r="W191" s="50">
        <f t="shared" si="141"/>
        <v>225000000</v>
      </c>
      <c r="X191" s="8"/>
      <c r="Y191" s="4"/>
      <c r="Z191" s="4"/>
      <c r="AA191" s="4"/>
      <c r="AB191" s="4"/>
      <c r="AC191" s="4"/>
    </row>
    <row r="192" spans="1:29" ht="20.25" customHeight="1">
      <c r="A192" s="42"/>
      <c r="B192" s="52"/>
      <c r="C192" s="113"/>
      <c r="D192" s="258" t="s">
        <v>279</v>
      </c>
      <c r="E192" s="59" t="s">
        <v>34</v>
      </c>
      <c r="F192" s="109" t="str">
        <f t="shared" si="136"/>
        <v>T1</v>
      </c>
      <c r="G192" s="216" t="s">
        <v>28</v>
      </c>
      <c r="H192" s="78"/>
      <c r="I192" s="57"/>
      <c r="J192" s="50"/>
      <c r="K192" s="50"/>
      <c r="L192" s="78"/>
      <c r="M192" s="57"/>
      <c r="N192" s="50"/>
      <c r="O192" s="50"/>
      <c r="P192" s="78">
        <v>100</v>
      </c>
      <c r="Q192" s="57" t="s">
        <v>258</v>
      </c>
      <c r="R192" s="50">
        <v>70000</v>
      </c>
      <c r="S192" s="50">
        <f t="shared" si="150"/>
        <v>7000000</v>
      </c>
      <c r="T192" s="48">
        <f t="shared" si="139"/>
        <v>100</v>
      </c>
      <c r="U192" s="57" t="str">
        <f t="shared" ref="U192:V192" si="152">Q192</f>
        <v>pcs</v>
      </c>
      <c r="V192" s="50">
        <f t="shared" si="152"/>
        <v>70000</v>
      </c>
      <c r="W192" s="50">
        <f t="shared" si="141"/>
        <v>7000000</v>
      </c>
      <c r="X192" s="8"/>
      <c r="Y192" s="4"/>
      <c r="Z192" s="4"/>
      <c r="AA192" s="4"/>
      <c r="AB192" s="4"/>
      <c r="AC192" s="4"/>
    </row>
    <row r="193" spans="1:29" ht="20.25" customHeight="1">
      <c r="A193" s="42"/>
      <c r="B193" s="52"/>
      <c r="C193" s="113"/>
      <c r="D193" s="258" t="s">
        <v>280</v>
      </c>
      <c r="E193" s="59" t="s">
        <v>34</v>
      </c>
      <c r="F193" s="109" t="str">
        <f t="shared" si="136"/>
        <v>T1</v>
      </c>
      <c r="G193" s="216" t="s">
        <v>28</v>
      </c>
      <c r="H193" s="78"/>
      <c r="I193" s="57"/>
      <c r="J193" s="50"/>
      <c r="K193" s="50"/>
      <c r="L193" s="78"/>
      <c r="M193" s="57"/>
      <c r="N193" s="50"/>
      <c r="O193" s="50"/>
      <c r="P193" s="78">
        <f>250*0</f>
        <v>0</v>
      </c>
      <c r="Q193" s="57" t="s">
        <v>258</v>
      </c>
      <c r="R193" s="50">
        <v>830000</v>
      </c>
      <c r="S193" s="50">
        <f t="shared" si="150"/>
        <v>0</v>
      </c>
      <c r="T193" s="48">
        <f t="shared" si="139"/>
        <v>0</v>
      </c>
      <c r="U193" s="57" t="str">
        <f t="shared" ref="U193:V193" si="153">Q193</f>
        <v>pcs</v>
      </c>
      <c r="V193" s="50">
        <f t="shared" si="153"/>
        <v>830000</v>
      </c>
      <c r="W193" s="50">
        <f t="shared" si="141"/>
        <v>0</v>
      </c>
      <c r="X193" s="8"/>
      <c r="Y193" s="4"/>
      <c r="Z193" s="4"/>
      <c r="AA193" s="4"/>
      <c r="AB193" s="4"/>
      <c r="AC193" s="4"/>
    </row>
    <row r="194" spans="1:29" ht="20.25" customHeight="1">
      <c r="A194" s="42"/>
      <c r="B194" s="52"/>
      <c r="C194" s="113"/>
      <c r="D194" s="258" t="s">
        <v>281</v>
      </c>
      <c r="E194" s="59" t="s">
        <v>34</v>
      </c>
      <c r="F194" s="109" t="str">
        <f t="shared" si="136"/>
        <v>T1</v>
      </c>
      <c r="G194" s="216" t="s">
        <v>28</v>
      </c>
      <c r="H194" s="78"/>
      <c r="I194" s="57"/>
      <c r="J194" s="50"/>
      <c r="K194" s="50"/>
      <c r="L194" s="78"/>
      <c r="M194" s="57"/>
      <c r="N194" s="50"/>
      <c r="O194" s="50"/>
      <c r="P194" s="78">
        <f>500</f>
        <v>500</v>
      </c>
      <c r="Q194" s="57" t="s">
        <v>282</v>
      </c>
      <c r="R194" s="50">
        <f>8400000/80</f>
        <v>105000</v>
      </c>
      <c r="S194" s="50">
        <f t="shared" si="150"/>
        <v>52500000</v>
      </c>
      <c r="T194" s="48">
        <f t="shared" si="139"/>
        <v>500</v>
      </c>
      <c r="U194" s="57" t="str">
        <f t="shared" ref="U194:V194" si="154">Q194</f>
        <v>psc</v>
      </c>
      <c r="V194" s="50">
        <f t="shared" si="154"/>
        <v>105000</v>
      </c>
      <c r="W194" s="50">
        <f t="shared" si="141"/>
        <v>52500000</v>
      </c>
      <c r="X194" s="8"/>
      <c r="Y194" s="4"/>
      <c r="Z194" s="4"/>
      <c r="AA194" s="4"/>
      <c r="AB194" s="4"/>
      <c r="AC194" s="4"/>
    </row>
    <row r="195" spans="1:29" ht="20.25" customHeight="1">
      <c r="A195" s="42"/>
      <c r="B195" s="52"/>
      <c r="C195" s="113"/>
      <c r="D195" s="258" t="s">
        <v>283</v>
      </c>
      <c r="E195" s="59" t="s">
        <v>34</v>
      </c>
      <c r="F195" s="109" t="str">
        <f t="shared" si="136"/>
        <v>T1</v>
      </c>
      <c r="G195" s="216" t="s">
        <v>28</v>
      </c>
      <c r="H195" s="78"/>
      <c r="I195" s="57"/>
      <c r="J195" s="50"/>
      <c r="K195" s="50"/>
      <c r="L195" s="78"/>
      <c r="M195" s="57"/>
      <c r="N195" s="50"/>
      <c r="O195" s="50"/>
      <c r="P195" s="78">
        <f t="shared" ref="P195:P196" si="155">600</f>
        <v>600</v>
      </c>
      <c r="Q195" s="57" t="s">
        <v>258</v>
      </c>
      <c r="R195" s="50">
        <v>55000</v>
      </c>
      <c r="S195" s="50">
        <f t="shared" si="150"/>
        <v>33000000</v>
      </c>
      <c r="T195" s="48">
        <f t="shared" si="139"/>
        <v>600</v>
      </c>
      <c r="U195" s="57" t="str">
        <f t="shared" ref="U195:V195" si="156">Q195</f>
        <v>pcs</v>
      </c>
      <c r="V195" s="50">
        <f t="shared" si="156"/>
        <v>55000</v>
      </c>
      <c r="W195" s="50">
        <f t="shared" si="141"/>
        <v>33000000</v>
      </c>
      <c r="X195" s="8"/>
      <c r="Y195" s="4"/>
      <c r="Z195" s="4"/>
      <c r="AA195" s="4"/>
      <c r="AB195" s="4"/>
      <c r="AC195" s="4"/>
    </row>
    <row r="196" spans="1:29" ht="20.25" customHeight="1">
      <c r="A196" s="42"/>
      <c r="B196" s="52"/>
      <c r="C196" s="113"/>
      <c r="D196" s="258" t="s">
        <v>284</v>
      </c>
      <c r="E196" s="59" t="s">
        <v>34</v>
      </c>
      <c r="F196" s="109" t="str">
        <f t="shared" si="136"/>
        <v>T1</v>
      </c>
      <c r="G196" s="216" t="s">
        <v>28</v>
      </c>
      <c r="H196" s="78"/>
      <c r="I196" s="57"/>
      <c r="J196" s="50"/>
      <c r="K196" s="50"/>
      <c r="L196" s="78"/>
      <c r="M196" s="57"/>
      <c r="N196" s="50"/>
      <c r="O196" s="50"/>
      <c r="P196" s="78">
        <f t="shared" si="155"/>
        <v>600</v>
      </c>
      <c r="Q196" s="57" t="s">
        <v>258</v>
      </c>
      <c r="R196" s="50">
        <v>350000</v>
      </c>
      <c r="S196" s="50">
        <f t="shared" si="150"/>
        <v>210000000</v>
      </c>
      <c r="T196" s="48">
        <f t="shared" si="139"/>
        <v>600</v>
      </c>
      <c r="U196" s="57" t="str">
        <f t="shared" ref="U196:V196" si="157">Q196</f>
        <v>pcs</v>
      </c>
      <c r="V196" s="50">
        <f t="shared" si="157"/>
        <v>350000</v>
      </c>
      <c r="W196" s="50">
        <f t="shared" si="141"/>
        <v>210000000</v>
      </c>
      <c r="X196" s="8"/>
      <c r="Y196" s="4"/>
      <c r="Z196" s="4"/>
      <c r="AA196" s="4"/>
      <c r="AB196" s="4"/>
      <c r="AC196" s="4"/>
    </row>
    <row r="197" spans="1:29" ht="20.25" customHeight="1">
      <c r="A197" s="151"/>
      <c r="B197" s="116"/>
      <c r="C197" s="117"/>
      <c r="D197" s="259" t="s">
        <v>285</v>
      </c>
      <c r="E197" s="126" t="s">
        <v>34</v>
      </c>
      <c r="F197" s="109" t="str">
        <f t="shared" si="136"/>
        <v>T1</v>
      </c>
      <c r="G197" s="216" t="s">
        <v>28</v>
      </c>
      <c r="H197" s="260"/>
      <c r="I197" s="123"/>
      <c r="J197" s="122"/>
      <c r="K197" s="122"/>
      <c r="L197" s="260"/>
      <c r="M197" s="123"/>
      <c r="N197" s="122"/>
      <c r="O197" s="122"/>
      <c r="P197" s="260">
        <v>14</v>
      </c>
      <c r="Q197" s="261" t="s">
        <v>136</v>
      </c>
      <c r="R197" s="122">
        <v>1800000</v>
      </c>
      <c r="S197" s="50">
        <f t="shared" si="150"/>
        <v>25200000</v>
      </c>
      <c r="T197" s="48">
        <f t="shared" si="139"/>
        <v>14</v>
      </c>
      <c r="U197" s="57" t="str">
        <f t="shared" ref="U197:V197" si="158">Q197</f>
        <v>pc</v>
      </c>
      <c r="V197" s="50">
        <f t="shared" si="158"/>
        <v>1800000</v>
      </c>
      <c r="W197" s="50">
        <f t="shared" si="141"/>
        <v>25200000</v>
      </c>
      <c r="X197" s="8"/>
      <c r="Y197" s="4"/>
      <c r="Z197" s="4"/>
      <c r="AA197" s="4"/>
      <c r="AB197" s="4"/>
      <c r="AC197" s="4"/>
    </row>
    <row r="198" spans="1:29" ht="20.25" customHeight="1">
      <c r="A198" s="14"/>
      <c r="B198" s="87"/>
      <c r="C198" s="88"/>
      <c r="D198" s="101"/>
      <c r="E198" s="102"/>
      <c r="F198" s="109">
        <f t="shared" si="136"/>
        <v>0</v>
      </c>
      <c r="G198" s="103"/>
      <c r="H198" s="102"/>
      <c r="I198" s="103"/>
      <c r="J198" s="92" t="s">
        <v>286</v>
      </c>
      <c r="K198" s="92">
        <f>SUM(K182:K197)</f>
        <v>712800000</v>
      </c>
      <c r="L198" s="102"/>
      <c r="M198" s="103"/>
      <c r="N198" s="92" t="s">
        <v>287</v>
      </c>
      <c r="O198" s="92">
        <f>SUM(O182:O197)</f>
        <v>10000000</v>
      </c>
      <c r="P198" s="102"/>
      <c r="Q198" s="103"/>
      <c r="R198" s="92" t="s">
        <v>287</v>
      </c>
      <c r="S198" s="92">
        <f>SUM(S182:S197)</f>
        <v>552700000</v>
      </c>
      <c r="T198" s="102"/>
      <c r="U198" s="103"/>
      <c r="V198" s="92" t="s">
        <v>287</v>
      </c>
      <c r="W198" s="92">
        <f>SUM(W182:W197)</f>
        <v>1255500000</v>
      </c>
      <c r="X198" s="13">
        <f>K198-O198+S198</f>
        <v>1255500000</v>
      </c>
      <c r="Y198" s="3"/>
      <c r="Z198" s="3"/>
      <c r="AA198" s="3"/>
      <c r="AB198" s="3"/>
      <c r="AC198" s="3"/>
    </row>
    <row r="199" spans="1:29" ht="20.25" customHeight="1">
      <c r="A199" s="207">
        <v>34</v>
      </c>
      <c r="B199" s="262" t="s">
        <v>288</v>
      </c>
      <c r="C199" s="263"/>
      <c r="D199" s="264" t="s">
        <v>289</v>
      </c>
      <c r="E199" s="265" t="s">
        <v>69</v>
      </c>
      <c r="F199" s="109" t="str">
        <f t="shared" si="136"/>
        <v>T1</v>
      </c>
      <c r="G199" s="216" t="s">
        <v>28</v>
      </c>
      <c r="H199" s="265">
        <v>2</v>
      </c>
      <c r="I199" s="266" t="s">
        <v>26</v>
      </c>
      <c r="J199" s="267">
        <f>35000000</f>
        <v>35000000</v>
      </c>
      <c r="K199" s="111">
        <f t="shared" ref="K199:K208" si="159">+J199*H199</f>
        <v>70000000</v>
      </c>
      <c r="L199" s="265"/>
      <c r="M199" s="266"/>
      <c r="N199" s="267"/>
      <c r="O199" s="111"/>
      <c r="P199" s="265"/>
      <c r="Q199" s="266"/>
      <c r="R199" s="267"/>
      <c r="S199" s="111"/>
      <c r="T199" s="112">
        <f t="shared" ref="T199:T213" si="160">H199-L199+P199</f>
        <v>2</v>
      </c>
      <c r="U199" s="266" t="str">
        <f t="shared" ref="U199:V199" si="161">I199</f>
        <v>unit</v>
      </c>
      <c r="V199" s="267">
        <f t="shared" si="161"/>
        <v>35000000</v>
      </c>
      <c r="W199" s="111">
        <f t="shared" ref="W199:W213" si="162">T199*V199</f>
        <v>70000000</v>
      </c>
      <c r="X199" s="8"/>
      <c r="Y199" s="4"/>
      <c r="Z199" s="4"/>
      <c r="AA199" s="4"/>
      <c r="AB199" s="4"/>
      <c r="AC199" s="4"/>
    </row>
    <row r="200" spans="1:29" ht="20.25" customHeight="1">
      <c r="A200" s="42"/>
      <c r="B200" s="268"/>
      <c r="C200" s="44"/>
      <c r="D200" s="45" t="s">
        <v>290</v>
      </c>
      <c r="E200" s="46" t="s">
        <v>69</v>
      </c>
      <c r="F200" s="109" t="str">
        <f t="shared" si="136"/>
        <v>T1</v>
      </c>
      <c r="G200" s="216" t="s">
        <v>28</v>
      </c>
      <c r="H200" s="46">
        <v>2</v>
      </c>
      <c r="I200" s="47" t="s">
        <v>26</v>
      </c>
      <c r="J200" s="50">
        <f>30000000</f>
        <v>30000000</v>
      </c>
      <c r="K200" s="50">
        <f t="shared" si="159"/>
        <v>60000000</v>
      </c>
      <c r="L200" s="46"/>
      <c r="M200" s="47"/>
      <c r="N200" s="50"/>
      <c r="O200" s="50"/>
      <c r="P200" s="46"/>
      <c r="Q200" s="47"/>
      <c r="R200" s="50"/>
      <c r="S200" s="50"/>
      <c r="T200" s="48">
        <f t="shared" si="160"/>
        <v>2</v>
      </c>
      <c r="U200" s="47" t="str">
        <f t="shared" ref="U200:V200" si="163">I200</f>
        <v>unit</v>
      </c>
      <c r="V200" s="141">
        <f t="shared" si="163"/>
        <v>30000000</v>
      </c>
      <c r="W200" s="50">
        <f t="shared" si="162"/>
        <v>60000000</v>
      </c>
      <c r="X200" s="8"/>
      <c r="Y200" s="4"/>
      <c r="Z200" s="4"/>
      <c r="AA200" s="4"/>
      <c r="AB200" s="4"/>
      <c r="AC200" s="4"/>
    </row>
    <row r="201" spans="1:29" ht="20.25" customHeight="1">
      <c r="A201" s="42"/>
      <c r="B201" s="268"/>
      <c r="C201" s="44"/>
      <c r="D201" s="45" t="s">
        <v>291</v>
      </c>
      <c r="E201" s="46" t="s">
        <v>69</v>
      </c>
      <c r="F201" s="109" t="str">
        <f t="shared" si="136"/>
        <v>T1</v>
      </c>
      <c r="G201" s="216" t="s">
        <v>28</v>
      </c>
      <c r="H201" s="46">
        <v>10</v>
      </c>
      <c r="I201" s="47" t="s">
        <v>26</v>
      </c>
      <c r="J201" s="50">
        <f>5000000</f>
        <v>5000000</v>
      </c>
      <c r="K201" s="50">
        <f t="shared" si="159"/>
        <v>50000000</v>
      </c>
      <c r="L201" s="46"/>
      <c r="M201" s="47"/>
      <c r="N201" s="50"/>
      <c r="O201" s="50"/>
      <c r="P201" s="46"/>
      <c r="Q201" s="47"/>
      <c r="R201" s="50"/>
      <c r="S201" s="50"/>
      <c r="T201" s="48">
        <f t="shared" si="160"/>
        <v>10</v>
      </c>
      <c r="U201" s="47" t="str">
        <f t="shared" ref="U201:V201" si="164">I201</f>
        <v>unit</v>
      </c>
      <c r="V201" s="141">
        <f t="shared" si="164"/>
        <v>5000000</v>
      </c>
      <c r="W201" s="50">
        <f t="shared" si="162"/>
        <v>50000000</v>
      </c>
      <c r="X201" s="8"/>
      <c r="Y201" s="4"/>
      <c r="Z201" s="4"/>
      <c r="AA201" s="4"/>
      <c r="AB201" s="4"/>
      <c r="AC201" s="4"/>
    </row>
    <row r="202" spans="1:29" ht="20.25" customHeight="1">
      <c r="A202" s="42"/>
      <c r="B202" s="268"/>
      <c r="C202" s="44"/>
      <c r="D202" s="45" t="s">
        <v>292</v>
      </c>
      <c r="E202" s="46" t="s">
        <v>69</v>
      </c>
      <c r="F202" s="109" t="str">
        <f t="shared" si="136"/>
        <v>T1</v>
      </c>
      <c r="G202" s="216" t="s">
        <v>28</v>
      </c>
      <c r="H202" s="46">
        <v>1</v>
      </c>
      <c r="I202" s="47" t="s">
        <v>26</v>
      </c>
      <c r="J202" s="50">
        <f>12000000</f>
        <v>12000000</v>
      </c>
      <c r="K202" s="50">
        <f t="shared" si="159"/>
        <v>12000000</v>
      </c>
      <c r="L202" s="46"/>
      <c r="M202" s="47"/>
      <c r="N202" s="50"/>
      <c r="O202" s="50"/>
      <c r="P202" s="46"/>
      <c r="Q202" s="47"/>
      <c r="R202" s="50"/>
      <c r="S202" s="50"/>
      <c r="T202" s="48">
        <f t="shared" si="160"/>
        <v>1</v>
      </c>
      <c r="U202" s="47" t="str">
        <f t="shared" ref="U202:V202" si="165">I202</f>
        <v>unit</v>
      </c>
      <c r="V202" s="141">
        <f t="shared" si="165"/>
        <v>12000000</v>
      </c>
      <c r="W202" s="50">
        <f t="shared" si="162"/>
        <v>12000000</v>
      </c>
      <c r="X202" s="8"/>
      <c r="Y202" s="4"/>
      <c r="Z202" s="4"/>
      <c r="AA202" s="4"/>
      <c r="AB202" s="4"/>
      <c r="AC202" s="4"/>
    </row>
    <row r="203" spans="1:29" ht="20.25" customHeight="1">
      <c r="A203" s="42"/>
      <c r="B203" s="268"/>
      <c r="C203" s="44"/>
      <c r="D203" s="45" t="s">
        <v>293</v>
      </c>
      <c r="E203" s="46" t="s">
        <v>69</v>
      </c>
      <c r="F203" s="109" t="str">
        <f t="shared" si="136"/>
        <v>T1</v>
      </c>
      <c r="G203" s="216" t="s">
        <v>28</v>
      </c>
      <c r="H203" s="46">
        <f>230*4</f>
        <v>920</v>
      </c>
      <c r="I203" s="47" t="s">
        <v>26</v>
      </c>
      <c r="J203" s="50">
        <f>1500000</f>
        <v>1500000</v>
      </c>
      <c r="K203" s="50">
        <f t="shared" si="159"/>
        <v>1380000000</v>
      </c>
      <c r="L203" s="46">
        <f>230*4</f>
        <v>920</v>
      </c>
      <c r="M203" s="47" t="s">
        <v>26</v>
      </c>
      <c r="N203" s="50">
        <f>1500000</f>
        <v>1500000</v>
      </c>
      <c r="O203" s="50">
        <f>+N203*L203</f>
        <v>1380000000</v>
      </c>
      <c r="P203" s="46"/>
      <c r="Q203" s="47"/>
      <c r="R203" s="50"/>
      <c r="S203" s="50"/>
      <c r="T203" s="48">
        <f t="shared" si="160"/>
        <v>0</v>
      </c>
      <c r="U203" s="47" t="str">
        <f t="shared" ref="U203:V203" si="166">I203</f>
        <v>unit</v>
      </c>
      <c r="V203" s="141">
        <f t="shared" si="166"/>
        <v>1500000</v>
      </c>
      <c r="W203" s="50">
        <f t="shared" si="162"/>
        <v>0</v>
      </c>
      <c r="X203" s="8"/>
      <c r="Y203" s="4"/>
      <c r="Z203" s="4"/>
      <c r="AA203" s="4"/>
      <c r="AB203" s="4"/>
      <c r="AC203" s="4"/>
    </row>
    <row r="204" spans="1:29" ht="20.25" customHeight="1">
      <c r="A204" s="42"/>
      <c r="B204" s="52"/>
      <c r="C204" s="44"/>
      <c r="D204" s="172" t="s">
        <v>294</v>
      </c>
      <c r="E204" s="46" t="s">
        <v>69</v>
      </c>
      <c r="F204" s="109" t="str">
        <f t="shared" si="136"/>
        <v>T1</v>
      </c>
      <c r="G204" s="216" t="s">
        <v>28</v>
      </c>
      <c r="H204" s="46">
        <v>2</v>
      </c>
      <c r="I204" s="47" t="s">
        <v>26</v>
      </c>
      <c r="J204" s="50">
        <f>2399000*1.2</f>
        <v>2878800</v>
      </c>
      <c r="K204" s="50">
        <f t="shared" si="159"/>
        <v>5757600</v>
      </c>
      <c r="L204" s="46"/>
      <c r="M204" s="47"/>
      <c r="N204" s="50"/>
      <c r="O204" s="50"/>
      <c r="P204" s="46"/>
      <c r="Q204" s="47"/>
      <c r="R204" s="50"/>
      <c r="S204" s="50"/>
      <c r="T204" s="48">
        <f t="shared" si="160"/>
        <v>2</v>
      </c>
      <c r="U204" s="47" t="str">
        <f t="shared" ref="U204:V204" si="167">I204</f>
        <v>unit</v>
      </c>
      <c r="V204" s="141">
        <f t="shared" si="167"/>
        <v>2878800</v>
      </c>
      <c r="W204" s="50">
        <f t="shared" si="162"/>
        <v>5757600</v>
      </c>
      <c r="X204" s="8"/>
      <c r="Y204" s="4"/>
      <c r="Z204" s="4"/>
      <c r="AA204" s="4"/>
      <c r="AB204" s="4"/>
      <c r="AC204" s="4"/>
    </row>
    <row r="205" spans="1:29" ht="31.5" customHeight="1">
      <c r="A205" s="42"/>
      <c r="B205" s="52"/>
      <c r="C205" s="44"/>
      <c r="D205" s="172" t="s">
        <v>295</v>
      </c>
      <c r="E205" s="46" t="s">
        <v>69</v>
      </c>
      <c r="F205" s="109" t="str">
        <f t="shared" si="136"/>
        <v>T1</v>
      </c>
      <c r="G205" s="216" t="s">
        <v>28</v>
      </c>
      <c r="H205" s="46">
        <v>2</v>
      </c>
      <c r="I205" s="47" t="s">
        <v>26</v>
      </c>
      <c r="J205" s="50">
        <f>(30380000*1.2)</f>
        <v>36456000</v>
      </c>
      <c r="K205" s="50">
        <f t="shared" si="159"/>
        <v>72912000</v>
      </c>
      <c r="L205" s="46">
        <v>2</v>
      </c>
      <c r="M205" s="47" t="s">
        <v>26</v>
      </c>
      <c r="N205" s="50">
        <f>(30380000*1.2)</f>
        <v>36456000</v>
      </c>
      <c r="O205" s="50">
        <f>+N205*L205</f>
        <v>72912000</v>
      </c>
      <c r="P205" s="46"/>
      <c r="Q205" s="47"/>
      <c r="R205" s="50"/>
      <c r="S205" s="50"/>
      <c r="T205" s="48">
        <f t="shared" si="160"/>
        <v>0</v>
      </c>
      <c r="U205" s="47" t="str">
        <f t="shared" ref="U205:V205" si="168">I205</f>
        <v>unit</v>
      </c>
      <c r="V205" s="141">
        <f t="shared" si="168"/>
        <v>36456000</v>
      </c>
      <c r="W205" s="50">
        <f t="shared" si="162"/>
        <v>0</v>
      </c>
      <c r="X205" s="8"/>
      <c r="Y205" s="4"/>
      <c r="Z205" s="4"/>
      <c r="AA205" s="4"/>
      <c r="AB205" s="4"/>
      <c r="AC205" s="4"/>
    </row>
    <row r="206" spans="1:29" ht="20.25" customHeight="1">
      <c r="A206" s="42"/>
      <c r="B206" s="52"/>
      <c r="C206" s="44"/>
      <c r="D206" s="45" t="s">
        <v>296</v>
      </c>
      <c r="E206" s="46" t="s">
        <v>69</v>
      </c>
      <c r="F206" s="109" t="str">
        <f t="shared" si="136"/>
        <v>T1</v>
      </c>
      <c r="G206" s="216" t="s">
        <v>28</v>
      </c>
      <c r="H206" s="46">
        <v>6</v>
      </c>
      <c r="I206" s="47" t="s">
        <v>26</v>
      </c>
      <c r="J206" s="50">
        <v>2000000</v>
      </c>
      <c r="K206" s="50">
        <f t="shared" si="159"/>
        <v>12000000</v>
      </c>
      <c r="L206" s="46"/>
      <c r="M206" s="47"/>
      <c r="N206" s="50"/>
      <c r="O206" s="50"/>
      <c r="P206" s="46"/>
      <c r="Q206" s="47"/>
      <c r="R206" s="50"/>
      <c r="S206" s="50"/>
      <c r="T206" s="48">
        <f t="shared" si="160"/>
        <v>6</v>
      </c>
      <c r="U206" s="47" t="str">
        <f t="shared" ref="U206:V206" si="169">I206</f>
        <v>unit</v>
      </c>
      <c r="V206" s="141">
        <f t="shared" si="169"/>
        <v>2000000</v>
      </c>
      <c r="W206" s="50">
        <f t="shared" si="162"/>
        <v>12000000</v>
      </c>
      <c r="X206" s="8"/>
      <c r="Y206" s="4"/>
      <c r="Z206" s="4"/>
      <c r="AA206" s="4"/>
      <c r="AB206" s="4"/>
      <c r="AC206" s="4"/>
    </row>
    <row r="207" spans="1:29" ht="34.5" customHeight="1">
      <c r="A207" s="142"/>
      <c r="B207" s="269"/>
      <c r="C207" s="270"/>
      <c r="D207" s="271" t="s">
        <v>297</v>
      </c>
      <c r="E207" s="46" t="s">
        <v>69</v>
      </c>
      <c r="F207" s="109" t="str">
        <f t="shared" si="136"/>
        <v>T1</v>
      </c>
      <c r="G207" s="216" t="s">
        <v>28</v>
      </c>
      <c r="H207" s="143">
        <v>1</v>
      </c>
      <c r="I207" s="144" t="s">
        <v>26</v>
      </c>
      <c r="J207" s="145">
        <f>27500000*1.1</f>
        <v>30250000.000000004</v>
      </c>
      <c r="K207" s="145">
        <f t="shared" si="159"/>
        <v>30250000.000000004</v>
      </c>
      <c r="L207" s="143"/>
      <c r="M207" s="144"/>
      <c r="N207" s="145"/>
      <c r="O207" s="145"/>
      <c r="P207" s="143"/>
      <c r="Q207" s="144"/>
      <c r="R207" s="145"/>
      <c r="S207" s="145"/>
      <c r="T207" s="146">
        <f t="shared" si="160"/>
        <v>1</v>
      </c>
      <c r="U207" s="144" t="s">
        <v>47</v>
      </c>
      <c r="V207" s="272">
        <f>J207</f>
        <v>30250000.000000004</v>
      </c>
      <c r="W207" s="145">
        <f t="shared" si="162"/>
        <v>30250000.000000004</v>
      </c>
      <c r="X207" s="148"/>
      <c r="Y207" s="149"/>
      <c r="Z207" s="149"/>
      <c r="AA207" s="149"/>
      <c r="AB207" s="149"/>
      <c r="AC207" s="149"/>
    </row>
    <row r="208" spans="1:29" ht="20.25" customHeight="1">
      <c r="A208" s="42"/>
      <c r="B208" s="52"/>
      <c r="C208" s="44"/>
      <c r="D208" s="172" t="s">
        <v>298</v>
      </c>
      <c r="E208" s="46" t="s">
        <v>69</v>
      </c>
      <c r="F208" s="109" t="str">
        <f t="shared" si="136"/>
        <v>T1</v>
      </c>
      <c r="G208" s="216" t="s">
        <v>28</v>
      </c>
      <c r="H208" s="46">
        <v>1</v>
      </c>
      <c r="I208" s="47" t="s">
        <v>23</v>
      </c>
      <c r="J208" s="50">
        <f>500000000</f>
        <v>500000000</v>
      </c>
      <c r="K208" s="50">
        <f t="shared" si="159"/>
        <v>500000000</v>
      </c>
      <c r="L208" s="46"/>
      <c r="M208" s="47"/>
      <c r="N208" s="50"/>
      <c r="O208" s="50"/>
      <c r="P208" s="46"/>
      <c r="Q208" s="47"/>
      <c r="R208" s="50"/>
      <c r="S208" s="50"/>
      <c r="T208" s="48">
        <f t="shared" si="160"/>
        <v>1</v>
      </c>
      <c r="U208" s="47" t="str">
        <f t="shared" ref="U208:V208" si="170">I208</f>
        <v>ls</v>
      </c>
      <c r="V208" s="141">
        <f t="shared" si="170"/>
        <v>500000000</v>
      </c>
      <c r="W208" s="50">
        <f t="shared" si="162"/>
        <v>500000000</v>
      </c>
      <c r="X208" s="8"/>
      <c r="Y208" s="4"/>
      <c r="Z208" s="4"/>
      <c r="AA208" s="4"/>
      <c r="AB208" s="4"/>
      <c r="AC208" s="4"/>
    </row>
    <row r="209" spans="1:29" ht="20.25" customHeight="1">
      <c r="A209" s="42"/>
      <c r="B209" s="52"/>
      <c r="C209" s="44"/>
      <c r="D209" s="45" t="s">
        <v>299</v>
      </c>
      <c r="E209" s="46" t="s">
        <v>69</v>
      </c>
      <c r="F209" s="109" t="str">
        <f t="shared" si="136"/>
        <v>T1</v>
      </c>
      <c r="G209" s="216" t="s">
        <v>28</v>
      </c>
      <c r="H209" s="53"/>
      <c r="I209" s="48"/>
      <c r="J209" s="50"/>
      <c r="K209" s="50"/>
      <c r="L209" s="53"/>
      <c r="M209" s="48"/>
      <c r="N209" s="50"/>
      <c r="O209" s="50"/>
      <c r="P209" s="53">
        <v>15</v>
      </c>
      <c r="Q209" s="48" t="s">
        <v>26</v>
      </c>
      <c r="R209" s="50">
        <v>3300000</v>
      </c>
      <c r="S209" s="50">
        <f t="shared" ref="S209:S213" si="171">P209*R209</f>
        <v>49500000</v>
      </c>
      <c r="T209" s="48">
        <f t="shared" si="160"/>
        <v>15</v>
      </c>
      <c r="U209" s="48" t="s">
        <v>26</v>
      </c>
      <c r="V209" s="50">
        <f t="shared" ref="V209:V213" si="172">R209</f>
        <v>3300000</v>
      </c>
      <c r="W209" s="50">
        <f t="shared" si="162"/>
        <v>49500000</v>
      </c>
      <c r="X209" s="8"/>
      <c r="Y209" s="4"/>
      <c r="Z209" s="4"/>
      <c r="AA209" s="4"/>
      <c r="AB209" s="4"/>
      <c r="AC209" s="4"/>
    </row>
    <row r="210" spans="1:29" ht="20.25" customHeight="1">
      <c r="A210" s="42"/>
      <c r="B210" s="52"/>
      <c r="C210" s="44"/>
      <c r="D210" s="45" t="s">
        <v>300</v>
      </c>
      <c r="E210" s="46" t="s">
        <v>69</v>
      </c>
      <c r="F210" s="109" t="str">
        <f t="shared" si="136"/>
        <v>T1</v>
      </c>
      <c r="G210" s="216" t="s">
        <v>28</v>
      </c>
      <c r="H210" s="46"/>
      <c r="I210" s="47"/>
      <c r="J210" s="50"/>
      <c r="K210" s="50"/>
      <c r="L210" s="46"/>
      <c r="M210" s="47"/>
      <c r="N210" s="50"/>
      <c r="O210" s="50"/>
      <c r="P210" s="46">
        <v>2</v>
      </c>
      <c r="Q210" s="47" t="s">
        <v>26</v>
      </c>
      <c r="R210" s="50">
        <v>5500000</v>
      </c>
      <c r="S210" s="50">
        <f t="shared" si="171"/>
        <v>11000000</v>
      </c>
      <c r="T210" s="48">
        <f t="shared" si="160"/>
        <v>2</v>
      </c>
      <c r="U210" s="47" t="s">
        <v>26</v>
      </c>
      <c r="V210" s="50">
        <f t="shared" si="172"/>
        <v>5500000</v>
      </c>
      <c r="W210" s="50">
        <f t="shared" si="162"/>
        <v>11000000</v>
      </c>
      <c r="X210" s="8"/>
      <c r="Y210" s="4"/>
      <c r="Z210" s="4"/>
      <c r="AA210" s="4"/>
      <c r="AB210" s="4"/>
      <c r="AC210" s="4"/>
    </row>
    <row r="211" spans="1:29" ht="20.25" customHeight="1">
      <c r="A211" s="42"/>
      <c r="B211" s="52"/>
      <c r="C211" s="44"/>
      <c r="D211" s="45" t="s">
        <v>301</v>
      </c>
      <c r="E211" s="46" t="s">
        <v>69</v>
      </c>
      <c r="F211" s="109" t="str">
        <f t="shared" si="136"/>
        <v>T1</v>
      </c>
      <c r="G211" s="216" t="s">
        <v>28</v>
      </c>
      <c r="H211" s="53"/>
      <c r="I211" s="48"/>
      <c r="J211" s="50"/>
      <c r="K211" s="50"/>
      <c r="L211" s="53"/>
      <c r="M211" s="48"/>
      <c r="N211" s="50"/>
      <c r="O211" s="50"/>
      <c r="P211" s="53">
        <v>2</v>
      </c>
      <c r="Q211" s="48" t="s">
        <v>26</v>
      </c>
      <c r="R211" s="50">
        <v>5500000</v>
      </c>
      <c r="S211" s="50">
        <f t="shared" si="171"/>
        <v>11000000</v>
      </c>
      <c r="T211" s="48">
        <f t="shared" si="160"/>
        <v>2</v>
      </c>
      <c r="U211" s="48" t="s">
        <v>26</v>
      </c>
      <c r="V211" s="50">
        <f t="shared" si="172"/>
        <v>5500000</v>
      </c>
      <c r="W211" s="50">
        <f t="shared" si="162"/>
        <v>11000000</v>
      </c>
      <c r="X211" s="8"/>
      <c r="Y211" s="4"/>
      <c r="Z211" s="4"/>
      <c r="AA211" s="4"/>
      <c r="AB211" s="4"/>
      <c r="AC211" s="4"/>
    </row>
    <row r="212" spans="1:29" ht="20.25" customHeight="1">
      <c r="A212" s="42"/>
      <c r="B212" s="52"/>
      <c r="C212" s="44"/>
      <c r="D212" s="45" t="s">
        <v>302</v>
      </c>
      <c r="E212" s="46" t="s">
        <v>69</v>
      </c>
      <c r="F212" s="109" t="str">
        <f t="shared" si="136"/>
        <v>T1</v>
      </c>
      <c r="G212" s="216" t="s">
        <v>28</v>
      </c>
      <c r="H212" s="53"/>
      <c r="I212" s="48"/>
      <c r="J212" s="50"/>
      <c r="K212" s="50"/>
      <c r="L212" s="53"/>
      <c r="M212" s="48"/>
      <c r="N212" s="50"/>
      <c r="O212" s="50"/>
      <c r="P212" s="53">
        <v>10</v>
      </c>
      <c r="Q212" s="48" t="s">
        <v>26</v>
      </c>
      <c r="R212" s="50">
        <v>4300000</v>
      </c>
      <c r="S212" s="50">
        <f t="shared" si="171"/>
        <v>43000000</v>
      </c>
      <c r="T212" s="48">
        <f t="shared" si="160"/>
        <v>10</v>
      </c>
      <c r="U212" s="48" t="s">
        <v>26</v>
      </c>
      <c r="V212" s="50">
        <f t="shared" si="172"/>
        <v>4300000</v>
      </c>
      <c r="W212" s="50">
        <f t="shared" si="162"/>
        <v>43000000</v>
      </c>
      <c r="X212" s="8"/>
      <c r="Y212" s="4"/>
      <c r="Z212" s="4"/>
      <c r="AA212" s="4"/>
      <c r="AB212" s="4"/>
      <c r="AC212" s="4"/>
    </row>
    <row r="213" spans="1:29" ht="20.25" customHeight="1">
      <c r="A213" s="151"/>
      <c r="B213" s="116"/>
      <c r="C213" s="273"/>
      <c r="D213" s="152" t="s">
        <v>303</v>
      </c>
      <c r="E213" s="46" t="s">
        <v>69</v>
      </c>
      <c r="F213" s="109" t="str">
        <f t="shared" si="136"/>
        <v>T1</v>
      </c>
      <c r="G213" s="216" t="s">
        <v>28</v>
      </c>
      <c r="H213" s="274"/>
      <c r="I213" s="125"/>
      <c r="J213" s="122"/>
      <c r="K213" s="122"/>
      <c r="L213" s="274"/>
      <c r="M213" s="125"/>
      <c r="N213" s="122"/>
      <c r="O213" s="122"/>
      <c r="P213" s="274">
        <v>10</v>
      </c>
      <c r="Q213" s="125" t="s">
        <v>26</v>
      </c>
      <c r="R213" s="122">
        <v>5445000</v>
      </c>
      <c r="S213" s="122">
        <f t="shared" si="171"/>
        <v>54450000</v>
      </c>
      <c r="T213" s="125">
        <f t="shared" si="160"/>
        <v>10</v>
      </c>
      <c r="U213" s="125" t="s">
        <v>26</v>
      </c>
      <c r="V213" s="122">
        <f t="shared" si="172"/>
        <v>5445000</v>
      </c>
      <c r="W213" s="122">
        <f t="shared" si="162"/>
        <v>54450000</v>
      </c>
      <c r="X213" s="8"/>
      <c r="Y213" s="4"/>
      <c r="Z213" s="4"/>
      <c r="AA213" s="4"/>
      <c r="AB213" s="4"/>
      <c r="AC213" s="4"/>
    </row>
    <row r="214" spans="1:29" ht="20.25" customHeight="1">
      <c r="A214" s="14"/>
      <c r="B214" s="87"/>
      <c r="C214" s="88"/>
      <c r="D214" s="89"/>
      <c r="E214" s="90"/>
      <c r="F214" s="109">
        <f t="shared" si="136"/>
        <v>0</v>
      </c>
      <c r="G214" s="91"/>
      <c r="H214" s="90"/>
      <c r="I214" s="91"/>
      <c r="J214" s="92" t="s">
        <v>287</v>
      </c>
      <c r="K214" s="92">
        <f>SUM(K199:K213)</f>
        <v>2192919600</v>
      </c>
      <c r="L214" s="90"/>
      <c r="M214" s="91"/>
      <c r="N214" s="92" t="s">
        <v>304</v>
      </c>
      <c r="O214" s="92">
        <f>SUM(O199:O213)</f>
        <v>1452912000</v>
      </c>
      <c r="P214" s="90"/>
      <c r="Q214" s="91"/>
      <c r="R214" s="92" t="s">
        <v>304</v>
      </c>
      <c r="S214" s="92">
        <f>SUM(S199:S213)</f>
        <v>168950000</v>
      </c>
      <c r="T214" s="90"/>
      <c r="U214" s="91"/>
      <c r="V214" s="92" t="s">
        <v>304</v>
      </c>
      <c r="W214" s="92">
        <f>SUM(W199:W213)</f>
        <v>908957600</v>
      </c>
      <c r="X214" s="13">
        <f>K214-O214+S214</f>
        <v>908957600</v>
      </c>
      <c r="Y214" s="3"/>
      <c r="Z214" s="3"/>
      <c r="AA214" s="3"/>
      <c r="AB214" s="3"/>
      <c r="AC214" s="3"/>
    </row>
    <row r="215" spans="1:29" ht="20.25" customHeight="1">
      <c r="A215" s="207">
        <v>35</v>
      </c>
      <c r="B215" s="262" t="s">
        <v>305</v>
      </c>
      <c r="C215" s="106"/>
      <c r="D215" s="264" t="s">
        <v>306</v>
      </c>
      <c r="E215" s="265" t="s">
        <v>69</v>
      </c>
      <c r="F215" s="109" t="str">
        <f t="shared" si="136"/>
        <v>T1</v>
      </c>
      <c r="G215" s="216" t="s">
        <v>28</v>
      </c>
      <c r="H215" s="265">
        <v>2</v>
      </c>
      <c r="I215" s="266" t="s">
        <v>26</v>
      </c>
      <c r="J215" s="111">
        <f>12000000</f>
        <v>12000000</v>
      </c>
      <c r="K215" s="111">
        <f t="shared" ref="K215:K217" si="173">+J215*H215</f>
        <v>24000000</v>
      </c>
      <c r="L215" s="265">
        <f>10*0</f>
        <v>0</v>
      </c>
      <c r="M215" s="266" t="s">
        <v>26</v>
      </c>
      <c r="N215" s="111">
        <f>12000000</f>
        <v>12000000</v>
      </c>
      <c r="O215" s="111">
        <f t="shared" ref="O215:O217" si="174">+N215*L215</f>
        <v>0</v>
      </c>
      <c r="P215" s="265"/>
      <c r="Q215" s="266"/>
      <c r="R215" s="111"/>
      <c r="S215" s="111"/>
      <c r="T215" s="112">
        <f t="shared" ref="T215:T217" si="175">H215-L215+P215</f>
        <v>2</v>
      </c>
      <c r="U215" s="266" t="str">
        <f t="shared" ref="U215:V215" si="176">I215</f>
        <v>unit</v>
      </c>
      <c r="V215" s="111">
        <f t="shared" si="176"/>
        <v>12000000</v>
      </c>
      <c r="W215" s="111">
        <f t="shared" ref="W215:W217" si="177">T215*V215</f>
        <v>24000000</v>
      </c>
      <c r="X215" s="8"/>
      <c r="Y215" s="4"/>
      <c r="Z215" s="4"/>
      <c r="AA215" s="4"/>
      <c r="AB215" s="4"/>
      <c r="AC215" s="4"/>
    </row>
    <row r="216" spans="1:29" ht="20.25" customHeight="1">
      <c r="A216" s="42"/>
      <c r="B216" s="268"/>
      <c r="C216" s="113"/>
      <c r="D216" s="45" t="s">
        <v>296</v>
      </c>
      <c r="E216" s="46" t="s">
        <v>69</v>
      </c>
      <c r="F216" s="109" t="str">
        <f t="shared" si="136"/>
        <v>T1</v>
      </c>
      <c r="G216" s="216" t="s">
        <v>28</v>
      </c>
      <c r="H216" s="46">
        <v>6</v>
      </c>
      <c r="I216" s="47" t="s">
        <v>26</v>
      </c>
      <c r="J216" s="50">
        <f>2000000</f>
        <v>2000000</v>
      </c>
      <c r="K216" s="50">
        <f t="shared" si="173"/>
        <v>12000000</v>
      </c>
      <c r="L216" s="46">
        <f t="shared" ref="L216:L217" si="178">6*0</f>
        <v>0</v>
      </c>
      <c r="M216" s="47" t="s">
        <v>26</v>
      </c>
      <c r="N216" s="50">
        <f>2000000</f>
        <v>2000000</v>
      </c>
      <c r="O216" s="50">
        <f t="shared" si="174"/>
        <v>0</v>
      </c>
      <c r="P216" s="46"/>
      <c r="Q216" s="47"/>
      <c r="R216" s="50"/>
      <c r="S216" s="50"/>
      <c r="T216" s="48">
        <f t="shared" si="175"/>
        <v>6</v>
      </c>
      <c r="U216" s="47" t="str">
        <f t="shared" ref="U216:V216" si="179">I216</f>
        <v>unit</v>
      </c>
      <c r="V216" s="50">
        <f t="shared" si="179"/>
        <v>2000000</v>
      </c>
      <c r="W216" s="50">
        <f t="shared" si="177"/>
        <v>12000000</v>
      </c>
      <c r="X216" s="8"/>
      <c r="Y216" s="4"/>
      <c r="Z216" s="4"/>
      <c r="AA216" s="4"/>
      <c r="AB216" s="4"/>
      <c r="AC216" s="4"/>
    </row>
    <row r="217" spans="1:29" ht="20.25" customHeight="1">
      <c r="A217" s="151"/>
      <c r="B217" s="275"/>
      <c r="C217" s="117"/>
      <c r="D217" s="152" t="s">
        <v>307</v>
      </c>
      <c r="E217" s="119" t="s">
        <v>69</v>
      </c>
      <c r="F217" s="109" t="str">
        <f t="shared" si="136"/>
        <v>T1</v>
      </c>
      <c r="G217" s="216" t="s">
        <v>28</v>
      </c>
      <c r="H217" s="119">
        <v>3</v>
      </c>
      <c r="I217" s="121" t="s">
        <v>26</v>
      </c>
      <c r="J217" s="122">
        <v>5000000</v>
      </c>
      <c r="K217" s="122">
        <f t="shared" si="173"/>
        <v>15000000</v>
      </c>
      <c r="L217" s="119">
        <f t="shared" si="178"/>
        <v>0</v>
      </c>
      <c r="M217" s="121" t="s">
        <v>26</v>
      </c>
      <c r="N217" s="122">
        <v>5000000</v>
      </c>
      <c r="O217" s="122">
        <f t="shared" si="174"/>
        <v>0</v>
      </c>
      <c r="P217" s="119"/>
      <c r="Q217" s="121"/>
      <c r="R217" s="122"/>
      <c r="S217" s="122"/>
      <c r="T217" s="125">
        <f t="shared" si="175"/>
        <v>3</v>
      </c>
      <c r="U217" s="121" t="str">
        <f t="shared" ref="U217:V217" si="180">I217</f>
        <v>unit</v>
      </c>
      <c r="V217" s="122">
        <f t="shared" si="180"/>
        <v>5000000</v>
      </c>
      <c r="W217" s="122">
        <f t="shared" si="177"/>
        <v>15000000</v>
      </c>
      <c r="X217" s="8"/>
      <c r="Y217" s="4"/>
      <c r="Z217" s="4"/>
      <c r="AA217" s="4"/>
      <c r="AB217" s="4"/>
      <c r="AC217" s="4"/>
    </row>
    <row r="218" spans="1:29" ht="20.25" customHeight="1">
      <c r="A218" s="14"/>
      <c r="B218" s="241"/>
      <c r="C218" s="88"/>
      <c r="D218" s="89"/>
      <c r="E218" s="90"/>
      <c r="F218" s="109">
        <f t="shared" si="136"/>
        <v>0</v>
      </c>
      <c r="G218" s="91"/>
      <c r="H218" s="90"/>
      <c r="I218" s="91"/>
      <c r="J218" s="92" t="s">
        <v>304</v>
      </c>
      <c r="K218" s="92">
        <f>SUM(K215:K217)</f>
        <v>51000000</v>
      </c>
      <c r="L218" s="90"/>
      <c r="M218" s="91"/>
      <c r="N218" s="92" t="s">
        <v>308</v>
      </c>
      <c r="O218" s="92">
        <f>SUM(O215:O217)</f>
        <v>0</v>
      </c>
      <c r="P218" s="90"/>
      <c r="Q218" s="91"/>
      <c r="R218" s="92" t="s">
        <v>308</v>
      </c>
      <c r="S218" s="92">
        <f>SUM(S215:S217)</f>
        <v>0</v>
      </c>
      <c r="T218" s="90"/>
      <c r="U218" s="91"/>
      <c r="V218" s="92" t="s">
        <v>308</v>
      </c>
      <c r="W218" s="92">
        <f>SUM(W215:W217)</f>
        <v>51000000</v>
      </c>
      <c r="X218" s="13">
        <f>K218-O218+S218</f>
        <v>51000000</v>
      </c>
      <c r="Y218" s="3"/>
      <c r="Z218" s="3"/>
      <c r="AA218" s="3"/>
      <c r="AB218" s="3"/>
      <c r="AC218" s="3"/>
    </row>
    <row r="219" spans="1:29" ht="20.25" customHeight="1">
      <c r="A219" s="104"/>
      <c r="B219" s="276"/>
      <c r="C219" s="198"/>
      <c r="D219" s="204"/>
      <c r="E219" s="205"/>
      <c r="F219" s="109">
        <f t="shared" si="136"/>
        <v>0</v>
      </c>
      <c r="G219" s="109"/>
      <c r="H219" s="205"/>
      <c r="I219" s="109"/>
      <c r="J219" s="111"/>
      <c r="K219" s="111"/>
      <c r="L219" s="205"/>
      <c r="M219" s="109"/>
      <c r="N219" s="111"/>
      <c r="O219" s="111"/>
      <c r="P219" s="205"/>
      <c r="Q219" s="109"/>
      <c r="R219" s="111"/>
      <c r="S219" s="111"/>
      <c r="T219" s="205"/>
      <c r="U219" s="109"/>
      <c r="V219" s="111"/>
      <c r="W219" s="111"/>
      <c r="X219" s="8"/>
      <c r="Y219" s="4"/>
      <c r="Z219" s="4"/>
      <c r="AA219" s="4"/>
      <c r="AB219" s="4"/>
      <c r="AC219" s="4"/>
    </row>
    <row r="220" spans="1:29" ht="20.25" customHeight="1">
      <c r="A220" s="42">
        <v>36</v>
      </c>
      <c r="B220" s="70" t="s">
        <v>309</v>
      </c>
      <c r="C220" s="113"/>
      <c r="D220" s="45" t="s">
        <v>310</v>
      </c>
      <c r="E220" s="46" t="s">
        <v>20</v>
      </c>
      <c r="F220" s="109" t="str">
        <f t="shared" si="136"/>
        <v>T1</v>
      </c>
      <c r="G220" s="216" t="s">
        <v>28</v>
      </c>
      <c r="H220" s="46">
        <v>4</v>
      </c>
      <c r="I220" s="47" t="s">
        <v>26</v>
      </c>
      <c r="J220" s="50">
        <v>6000000</v>
      </c>
      <c r="K220" s="50">
        <f t="shared" ref="K220:K223" si="181">+J220*H220</f>
        <v>24000000</v>
      </c>
      <c r="L220" s="46"/>
      <c r="M220" s="47"/>
      <c r="N220" s="50"/>
      <c r="O220" s="50"/>
      <c r="P220" s="46"/>
      <c r="Q220" s="47"/>
      <c r="R220" s="50"/>
      <c r="S220" s="50"/>
      <c r="T220" s="48">
        <f t="shared" ref="T220:T227" si="182">H220-L220+P220</f>
        <v>4</v>
      </c>
      <c r="U220" s="48" t="s">
        <v>26</v>
      </c>
      <c r="V220" s="50">
        <f t="shared" ref="V220:V223" si="183">J220</f>
        <v>6000000</v>
      </c>
      <c r="W220" s="50">
        <f t="shared" ref="W220:W228" si="184">T220*V220</f>
        <v>24000000</v>
      </c>
      <c r="X220" s="8"/>
      <c r="Y220" s="4"/>
      <c r="Z220" s="4"/>
      <c r="AA220" s="4"/>
      <c r="AB220" s="4"/>
      <c r="AC220" s="4"/>
    </row>
    <row r="221" spans="1:29" ht="20.25" customHeight="1">
      <c r="A221" s="42"/>
      <c r="B221" s="268"/>
      <c r="C221" s="113"/>
      <c r="D221" s="45" t="s">
        <v>311</v>
      </c>
      <c r="E221" s="46" t="s">
        <v>20</v>
      </c>
      <c r="F221" s="109" t="str">
        <f t="shared" si="136"/>
        <v>T1</v>
      </c>
      <c r="G221" s="216" t="s">
        <v>28</v>
      </c>
      <c r="H221" s="46">
        <f>20+17+3</f>
        <v>40</v>
      </c>
      <c r="I221" s="47" t="s">
        <v>26</v>
      </c>
      <c r="J221" s="50">
        <v>3000000</v>
      </c>
      <c r="K221" s="50">
        <f t="shared" si="181"/>
        <v>120000000</v>
      </c>
      <c r="L221" s="46"/>
      <c r="M221" s="47"/>
      <c r="N221" s="50"/>
      <c r="O221" s="50"/>
      <c r="P221" s="46"/>
      <c r="Q221" s="47"/>
      <c r="R221" s="50"/>
      <c r="S221" s="50"/>
      <c r="T221" s="48">
        <f t="shared" si="182"/>
        <v>40</v>
      </c>
      <c r="U221" s="48" t="s">
        <v>26</v>
      </c>
      <c r="V221" s="50">
        <f t="shared" si="183"/>
        <v>3000000</v>
      </c>
      <c r="W221" s="50">
        <f t="shared" si="184"/>
        <v>120000000</v>
      </c>
      <c r="X221" s="8"/>
      <c r="Y221" s="4"/>
      <c r="Z221" s="4"/>
      <c r="AA221" s="4"/>
      <c r="AB221" s="4"/>
      <c r="AC221" s="4"/>
    </row>
    <row r="222" spans="1:29" ht="20.25" customHeight="1">
      <c r="A222" s="42"/>
      <c r="B222" s="268"/>
      <c r="C222" s="113"/>
      <c r="D222" s="45" t="s">
        <v>296</v>
      </c>
      <c r="E222" s="46" t="s">
        <v>20</v>
      </c>
      <c r="F222" s="109" t="str">
        <f t="shared" si="136"/>
        <v>T1</v>
      </c>
      <c r="G222" s="216" t="s">
        <v>28</v>
      </c>
      <c r="H222" s="46">
        <v>6</v>
      </c>
      <c r="I222" s="47" t="s">
        <v>26</v>
      </c>
      <c r="J222" s="50">
        <v>2000000</v>
      </c>
      <c r="K222" s="50">
        <f t="shared" si="181"/>
        <v>12000000</v>
      </c>
      <c r="L222" s="46"/>
      <c r="M222" s="47"/>
      <c r="N222" s="50"/>
      <c r="O222" s="50"/>
      <c r="P222" s="46"/>
      <c r="Q222" s="47"/>
      <c r="R222" s="50"/>
      <c r="S222" s="50"/>
      <c r="T222" s="48">
        <f t="shared" si="182"/>
        <v>6</v>
      </c>
      <c r="U222" s="48" t="s">
        <v>26</v>
      </c>
      <c r="V222" s="50">
        <f t="shared" si="183"/>
        <v>2000000</v>
      </c>
      <c r="W222" s="50">
        <f t="shared" si="184"/>
        <v>12000000</v>
      </c>
      <c r="X222" s="8"/>
      <c r="Y222" s="4"/>
      <c r="Z222" s="4"/>
      <c r="AA222" s="4"/>
      <c r="AB222" s="4"/>
      <c r="AC222" s="4"/>
    </row>
    <row r="223" spans="1:29" ht="20.25" customHeight="1">
      <c r="A223" s="42"/>
      <c r="B223" s="268"/>
      <c r="C223" s="113"/>
      <c r="D223" s="45" t="s">
        <v>312</v>
      </c>
      <c r="E223" s="46" t="s">
        <v>20</v>
      </c>
      <c r="F223" s="109" t="str">
        <f t="shared" si="136"/>
        <v>T1</v>
      </c>
      <c r="G223" s="216" t="s">
        <v>28</v>
      </c>
      <c r="H223" s="46">
        <v>1</v>
      </c>
      <c r="I223" s="47" t="s">
        <v>26</v>
      </c>
      <c r="J223" s="50">
        <v>5000000</v>
      </c>
      <c r="K223" s="50">
        <f t="shared" si="181"/>
        <v>5000000</v>
      </c>
      <c r="L223" s="46"/>
      <c r="M223" s="47"/>
      <c r="N223" s="50"/>
      <c r="O223" s="50"/>
      <c r="P223" s="46"/>
      <c r="Q223" s="47"/>
      <c r="R223" s="50"/>
      <c r="S223" s="50"/>
      <c r="T223" s="48">
        <f t="shared" si="182"/>
        <v>1</v>
      </c>
      <c r="U223" s="48" t="s">
        <v>26</v>
      </c>
      <c r="V223" s="50">
        <f t="shared" si="183"/>
        <v>5000000</v>
      </c>
      <c r="W223" s="50">
        <f t="shared" si="184"/>
        <v>5000000</v>
      </c>
      <c r="X223" s="8"/>
      <c r="Y223" s="4"/>
      <c r="Z223" s="4"/>
      <c r="AA223" s="4"/>
      <c r="AB223" s="4"/>
      <c r="AC223" s="4"/>
    </row>
    <row r="224" spans="1:29" ht="20.25" customHeight="1">
      <c r="A224" s="42"/>
      <c r="B224" s="268"/>
      <c r="C224" s="113"/>
      <c r="D224" s="45" t="s">
        <v>313</v>
      </c>
      <c r="E224" s="46" t="s">
        <v>20</v>
      </c>
      <c r="F224" s="109" t="str">
        <f t="shared" si="136"/>
        <v>T1</v>
      </c>
      <c r="G224" s="216" t="s">
        <v>28</v>
      </c>
      <c r="H224" s="46"/>
      <c r="I224" s="47"/>
      <c r="J224" s="50"/>
      <c r="K224" s="50"/>
      <c r="L224" s="46"/>
      <c r="M224" s="47"/>
      <c r="N224" s="50"/>
      <c r="O224" s="50"/>
      <c r="P224" s="46">
        <v>2</v>
      </c>
      <c r="Q224" s="47" t="s">
        <v>26</v>
      </c>
      <c r="R224" s="50">
        <f>75000000</f>
        <v>75000000</v>
      </c>
      <c r="S224" s="50">
        <f>P224*R224</f>
        <v>150000000</v>
      </c>
      <c r="T224" s="48">
        <f t="shared" si="182"/>
        <v>2</v>
      </c>
      <c r="U224" s="47" t="s">
        <v>26</v>
      </c>
      <c r="V224" s="50">
        <f>R224</f>
        <v>75000000</v>
      </c>
      <c r="W224" s="50">
        <f t="shared" si="184"/>
        <v>150000000</v>
      </c>
      <c r="X224" s="8"/>
      <c r="Y224" s="4"/>
      <c r="Z224" s="4"/>
      <c r="AA224" s="4"/>
      <c r="AB224" s="4"/>
      <c r="AC224" s="4"/>
    </row>
    <row r="225" spans="1:29" ht="20.25" customHeight="1">
      <c r="A225" s="42"/>
      <c r="B225" s="268"/>
      <c r="C225" s="113"/>
      <c r="D225" s="172" t="s">
        <v>314</v>
      </c>
      <c r="E225" s="46" t="s">
        <v>20</v>
      </c>
      <c r="F225" s="109" t="str">
        <f t="shared" si="136"/>
        <v>T1</v>
      </c>
      <c r="G225" s="216" t="s">
        <v>28</v>
      </c>
      <c r="H225" s="46">
        <v>3</v>
      </c>
      <c r="I225" s="47" t="s">
        <v>258</v>
      </c>
      <c r="J225" s="50">
        <f>(1000000*1.2)</f>
        <v>1200000</v>
      </c>
      <c r="K225" s="50">
        <f t="shared" ref="K225:K227" si="185">+J225*H225</f>
        <v>3600000</v>
      </c>
      <c r="L225" s="46">
        <v>3</v>
      </c>
      <c r="M225" s="47" t="s">
        <v>258</v>
      </c>
      <c r="N225" s="50">
        <f>(1000000*1.2)</f>
        <v>1200000</v>
      </c>
      <c r="O225" s="50">
        <f t="shared" ref="O225:O227" si="186">+N225*L225</f>
        <v>3600000</v>
      </c>
      <c r="P225" s="46"/>
      <c r="Q225" s="47"/>
      <c r="R225" s="50"/>
      <c r="S225" s="50"/>
      <c r="T225" s="48">
        <f t="shared" si="182"/>
        <v>0</v>
      </c>
      <c r="U225" s="47" t="str">
        <f t="shared" ref="U225:V225" si="187">I225</f>
        <v>pcs</v>
      </c>
      <c r="V225" s="50">
        <f t="shared" si="187"/>
        <v>1200000</v>
      </c>
      <c r="W225" s="50">
        <f t="shared" si="184"/>
        <v>0</v>
      </c>
      <c r="X225" s="8"/>
      <c r="Y225" s="4"/>
      <c r="Z225" s="4"/>
      <c r="AA225" s="4"/>
      <c r="AB225" s="4"/>
      <c r="AC225" s="4"/>
    </row>
    <row r="226" spans="1:29" ht="20.25" customHeight="1">
      <c r="A226" s="42"/>
      <c r="B226" s="268"/>
      <c r="C226" s="113"/>
      <c r="D226" s="172" t="s">
        <v>315</v>
      </c>
      <c r="E226" s="46" t="s">
        <v>20</v>
      </c>
      <c r="F226" s="109" t="str">
        <f t="shared" si="136"/>
        <v>T1</v>
      </c>
      <c r="G226" s="216" t="s">
        <v>28</v>
      </c>
      <c r="H226" s="46">
        <f>4*4</f>
        <v>16</v>
      </c>
      <c r="I226" s="47" t="s">
        <v>51</v>
      </c>
      <c r="J226" s="50">
        <f>(1200000*1.1)</f>
        <v>1320000</v>
      </c>
      <c r="K226" s="50">
        <f t="shared" si="185"/>
        <v>21120000</v>
      </c>
      <c r="L226" s="46">
        <f>4*4</f>
        <v>16</v>
      </c>
      <c r="M226" s="47" t="s">
        <v>51</v>
      </c>
      <c r="N226" s="50">
        <f>(1200000*1.1)</f>
        <v>1320000</v>
      </c>
      <c r="O226" s="50">
        <f t="shared" si="186"/>
        <v>21120000</v>
      </c>
      <c r="P226" s="46"/>
      <c r="Q226" s="47"/>
      <c r="R226" s="50"/>
      <c r="S226" s="50"/>
      <c r="T226" s="48">
        <f t="shared" si="182"/>
        <v>0</v>
      </c>
      <c r="U226" s="47" t="str">
        <f t="shared" ref="U226:V226" si="188">I226</f>
        <v>m2</v>
      </c>
      <c r="V226" s="50">
        <f t="shared" si="188"/>
        <v>1320000</v>
      </c>
      <c r="W226" s="50">
        <f t="shared" si="184"/>
        <v>0</v>
      </c>
      <c r="X226" s="8"/>
      <c r="Y226" s="4"/>
      <c r="Z226" s="4"/>
      <c r="AA226" s="4"/>
      <c r="AB226" s="4"/>
      <c r="AC226" s="4"/>
    </row>
    <row r="227" spans="1:29" ht="20.25" customHeight="1">
      <c r="A227" s="42"/>
      <c r="B227" s="268"/>
      <c r="C227" s="113"/>
      <c r="D227" s="172" t="s">
        <v>292</v>
      </c>
      <c r="E227" s="46" t="s">
        <v>20</v>
      </c>
      <c r="F227" s="109" t="str">
        <f t="shared" si="136"/>
        <v>T1</v>
      </c>
      <c r="G227" s="216" t="s">
        <v>28</v>
      </c>
      <c r="H227" s="46">
        <v>3</v>
      </c>
      <c r="I227" s="47" t="s">
        <v>26</v>
      </c>
      <c r="J227" s="50">
        <f>(7000000*1.2)</f>
        <v>8400000</v>
      </c>
      <c r="K227" s="50">
        <f t="shared" si="185"/>
        <v>25200000</v>
      </c>
      <c r="L227" s="46">
        <v>3</v>
      </c>
      <c r="M227" s="47" t="s">
        <v>26</v>
      </c>
      <c r="N227" s="50">
        <f>(7000000*1.2)</f>
        <v>8400000</v>
      </c>
      <c r="O227" s="50">
        <f t="shared" si="186"/>
        <v>25200000</v>
      </c>
      <c r="P227" s="46"/>
      <c r="Q227" s="47"/>
      <c r="R227" s="50"/>
      <c r="S227" s="50"/>
      <c r="T227" s="48">
        <f t="shared" si="182"/>
        <v>0</v>
      </c>
      <c r="U227" s="47" t="str">
        <f t="shared" ref="U227:V227" si="189">I227</f>
        <v>unit</v>
      </c>
      <c r="V227" s="50">
        <f t="shared" si="189"/>
        <v>8400000</v>
      </c>
      <c r="W227" s="50">
        <f t="shared" si="184"/>
        <v>0</v>
      </c>
      <c r="X227" s="8"/>
      <c r="Y227" s="4"/>
      <c r="Z227" s="4"/>
      <c r="AA227" s="4"/>
      <c r="AB227" s="4"/>
      <c r="AC227" s="4"/>
    </row>
    <row r="228" spans="1:29" ht="20.25" customHeight="1">
      <c r="A228" s="186"/>
      <c r="B228" s="277"/>
      <c r="C228" s="188"/>
      <c r="D228" s="189" t="s">
        <v>316</v>
      </c>
      <c r="E228" s="190" t="s">
        <v>20</v>
      </c>
      <c r="F228" s="109" t="str">
        <f t="shared" si="136"/>
        <v>T1</v>
      </c>
      <c r="G228" s="216" t="s">
        <v>28</v>
      </c>
      <c r="H228" s="190">
        <v>20</v>
      </c>
      <c r="I228" s="120" t="s">
        <v>258</v>
      </c>
      <c r="J228" s="122">
        <f>(7200000*1.2)</f>
        <v>8640000</v>
      </c>
      <c r="K228" s="122">
        <f>+(J228*H228)*0</f>
        <v>0</v>
      </c>
      <c r="L228" s="190"/>
      <c r="M228" s="120"/>
      <c r="N228" s="122"/>
      <c r="O228" s="122"/>
      <c r="P228" s="190">
        <f>H228</f>
        <v>20</v>
      </c>
      <c r="Q228" s="120" t="s">
        <v>258</v>
      </c>
      <c r="R228" s="122">
        <f>(7200000*1.2)</f>
        <v>8640000</v>
      </c>
      <c r="S228" s="122">
        <f>+R228*P228</f>
        <v>172800000</v>
      </c>
      <c r="T228" s="48">
        <f>P228</f>
        <v>20</v>
      </c>
      <c r="U228" s="47" t="str">
        <f>I228</f>
        <v>pcs</v>
      </c>
      <c r="V228" s="50">
        <f>R228</f>
        <v>8640000</v>
      </c>
      <c r="W228" s="50">
        <f t="shared" si="184"/>
        <v>172800000</v>
      </c>
      <c r="X228" s="8"/>
      <c r="Y228" s="4"/>
      <c r="Z228" s="4"/>
      <c r="AA228" s="4"/>
      <c r="AB228" s="4"/>
      <c r="AC228" s="4"/>
    </row>
    <row r="229" spans="1:29" ht="20.25" customHeight="1">
      <c r="A229" s="14"/>
      <c r="B229" s="278"/>
      <c r="C229" s="88"/>
      <c r="D229" s="89"/>
      <c r="E229" s="90"/>
      <c r="F229" s="109">
        <f t="shared" si="136"/>
        <v>0</v>
      </c>
      <c r="G229" s="91"/>
      <c r="H229" s="90"/>
      <c r="I229" s="91"/>
      <c r="J229" s="92" t="s">
        <v>308</v>
      </c>
      <c r="K229" s="92">
        <f>SUM(K220:K228)</f>
        <v>210920000</v>
      </c>
      <c r="L229" s="90"/>
      <c r="M229" s="91"/>
      <c r="N229" s="92" t="s">
        <v>317</v>
      </c>
      <c r="O229" s="92">
        <f>SUM(O220:O228)</f>
        <v>49920000</v>
      </c>
      <c r="P229" s="90"/>
      <c r="Q229" s="91"/>
      <c r="R229" s="92" t="s">
        <v>317</v>
      </c>
      <c r="S229" s="92">
        <f>SUM(S220:S228)</f>
        <v>322800000</v>
      </c>
      <c r="T229" s="90"/>
      <c r="U229" s="91"/>
      <c r="V229" s="92" t="s">
        <v>317</v>
      </c>
      <c r="W229" s="92">
        <f>SUM(W220:W228)</f>
        <v>483800000</v>
      </c>
      <c r="X229" s="13">
        <f>K229-O229+S229</f>
        <v>483800000</v>
      </c>
      <c r="Y229" s="3"/>
      <c r="Z229" s="3"/>
      <c r="AA229" s="3"/>
      <c r="AB229" s="3"/>
      <c r="AC229" s="3"/>
    </row>
    <row r="230" spans="1:29" ht="20.25" customHeight="1">
      <c r="A230" s="27" t="s">
        <v>318</v>
      </c>
      <c r="B230" s="127" t="s">
        <v>319</v>
      </c>
      <c r="C230" s="279"/>
      <c r="D230" s="107"/>
      <c r="E230" s="108"/>
      <c r="F230" s="109">
        <f t="shared" si="136"/>
        <v>0</v>
      </c>
      <c r="G230" s="110"/>
      <c r="H230" s="210"/>
      <c r="I230" s="207"/>
      <c r="J230" s="111"/>
      <c r="K230" s="280"/>
      <c r="L230" s="210"/>
      <c r="M230" s="207"/>
      <c r="N230" s="111"/>
      <c r="O230" s="280"/>
      <c r="P230" s="210"/>
      <c r="Q230" s="207"/>
      <c r="R230" s="111"/>
      <c r="S230" s="280"/>
      <c r="T230" s="48"/>
      <c r="U230" s="47"/>
      <c r="V230" s="50"/>
      <c r="W230" s="50"/>
      <c r="X230" s="8"/>
      <c r="Y230" s="4"/>
      <c r="Z230" s="4"/>
      <c r="AA230" s="4"/>
      <c r="AB230" s="4"/>
      <c r="AC230" s="4"/>
    </row>
    <row r="231" spans="1:29" ht="20.25" customHeight="1">
      <c r="A231" s="42">
        <v>37</v>
      </c>
      <c r="B231" s="52" t="s">
        <v>320</v>
      </c>
      <c r="C231" s="44"/>
      <c r="D231" s="45" t="s">
        <v>321</v>
      </c>
      <c r="E231" s="46" t="s">
        <v>50</v>
      </c>
      <c r="F231" s="109" t="s">
        <v>32</v>
      </c>
      <c r="G231" s="216" t="s">
        <v>22</v>
      </c>
      <c r="H231" s="48">
        <v>0</v>
      </c>
      <c r="I231" s="51" t="s">
        <v>23</v>
      </c>
      <c r="J231" s="50">
        <f>15000000</f>
        <v>15000000</v>
      </c>
      <c r="K231" s="50">
        <f>+J231*H231</f>
        <v>0</v>
      </c>
      <c r="L231" s="48">
        <f>H231</f>
        <v>0</v>
      </c>
      <c r="M231" s="51" t="s">
        <v>23</v>
      </c>
      <c r="N231" s="50">
        <v>15000000</v>
      </c>
      <c r="O231" s="50">
        <f>+N231*L231</f>
        <v>0</v>
      </c>
      <c r="P231" s="48"/>
      <c r="Q231" s="51"/>
      <c r="R231" s="50"/>
      <c r="S231" s="50"/>
      <c r="T231" s="48">
        <f>H231-L231+P231</f>
        <v>0</v>
      </c>
      <c r="U231" s="47" t="str">
        <f>I231</f>
        <v>ls</v>
      </c>
      <c r="V231" s="50">
        <f>J231-N231+R231</f>
        <v>0</v>
      </c>
      <c r="W231" s="50">
        <f>T231*V231</f>
        <v>0</v>
      </c>
      <c r="X231" s="8"/>
      <c r="Y231" s="4"/>
      <c r="Z231" s="4"/>
      <c r="AA231" s="4"/>
      <c r="AB231" s="4"/>
      <c r="AC231" s="4"/>
    </row>
    <row r="232" spans="1:29" ht="20.25" customHeight="1">
      <c r="A232" s="14"/>
      <c r="B232" s="87"/>
      <c r="C232" s="88"/>
      <c r="D232" s="89"/>
      <c r="E232" s="90"/>
      <c r="F232" s="109">
        <f t="shared" ref="F232:F233" si="190">IF((G232="BARANG"),"T1",0)</f>
        <v>0</v>
      </c>
      <c r="G232" s="91"/>
      <c r="H232" s="90"/>
      <c r="I232" s="91"/>
      <c r="J232" s="92" t="s">
        <v>317</v>
      </c>
      <c r="K232" s="92">
        <f>SUM(K230:K231)</f>
        <v>0</v>
      </c>
      <c r="L232" s="90"/>
      <c r="M232" s="91"/>
      <c r="N232" s="92" t="s">
        <v>322</v>
      </c>
      <c r="O232" s="92">
        <f>SUM(O230:O231)</f>
        <v>0</v>
      </c>
      <c r="P232" s="90"/>
      <c r="Q232" s="91"/>
      <c r="R232" s="92" t="s">
        <v>322</v>
      </c>
      <c r="S232" s="92">
        <f>SUM(S230:S231)</f>
        <v>0</v>
      </c>
      <c r="T232" s="90"/>
      <c r="U232" s="91"/>
      <c r="V232" s="92" t="s">
        <v>322</v>
      </c>
      <c r="W232" s="92">
        <f>SUM(W230:W231)</f>
        <v>0</v>
      </c>
      <c r="X232" s="13">
        <f>K232-O232+S232</f>
        <v>0</v>
      </c>
      <c r="Y232" s="3"/>
      <c r="Z232" s="3"/>
      <c r="AA232" s="3"/>
      <c r="AB232" s="3"/>
      <c r="AC232" s="3"/>
    </row>
    <row r="233" spans="1:29" ht="20.25" customHeight="1">
      <c r="A233" s="27" t="s">
        <v>323</v>
      </c>
      <c r="B233" s="127" t="s">
        <v>324</v>
      </c>
      <c r="C233" s="279"/>
      <c r="D233" s="107"/>
      <c r="E233" s="108"/>
      <c r="F233" s="109">
        <f t="shared" si="190"/>
        <v>0</v>
      </c>
      <c r="G233" s="110"/>
      <c r="H233" s="210"/>
      <c r="I233" s="207"/>
      <c r="J233" s="111"/>
      <c r="K233" s="280"/>
      <c r="L233" s="210"/>
      <c r="M233" s="207"/>
      <c r="N233" s="111"/>
      <c r="O233" s="280"/>
      <c r="P233" s="210"/>
      <c r="Q233" s="207"/>
      <c r="R233" s="111"/>
      <c r="S233" s="280"/>
      <c r="T233" s="48"/>
      <c r="U233" s="47"/>
      <c r="V233" s="50"/>
      <c r="W233" s="50"/>
      <c r="X233" s="8"/>
      <c r="Y233" s="4"/>
      <c r="Z233" s="4"/>
      <c r="AA233" s="4"/>
      <c r="AB233" s="4"/>
      <c r="AC233" s="4"/>
    </row>
    <row r="234" spans="1:29" ht="20.25" customHeight="1">
      <c r="A234" s="151">
        <v>38</v>
      </c>
      <c r="B234" s="116" t="s">
        <v>325</v>
      </c>
      <c r="C234" s="273"/>
      <c r="D234" s="281" t="s">
        <v>326</v>
      </c>
      <c r="E234" s="119" t="s">
        <v>50</v>
      </c>
      <c r="F234" s="109" t="s">
        <v>25</v>
      </c>
      <c r="G234" s="216" t="s">
        <v>22</v>
      </c>
      <c r="H234" s="125"/>
      <c r="I234" s="282"/>
      <c r="J234" s="122"/>
      <c r="K234" s="122"/>
      <c r="L234" s="125"/>
      <c r="M234" s="282"/>
      <c r="N234" s="122"/>
      <c r="O234" s="122"/>
      <c r="P234" s="125">
        <v>1</v>
      </c>
      <c r="Q234" s="282" t="s">
        <v>23</v>
      </c>
      <c r="R234" s="122">
        <v>750000000</v>
      </c>
      <c r="S234" s="122">
        <f>+R234*P234</f>
        <v>750000000</v>
      </c>
      <c r="T234" s="125">
        <f>H234-L234+P234</f>
        <v>1</v>
      </c>
      <c r="U234" s="121">
        <f>I234</f>
        <v>0</v>
      </c>
      <c r="V234" s="122">
        <f>J234-N234+R234</f>
        <v>750000000</v>
      </c>
      <c r="W234" s="122">
        <f>T234*V234</f>
        <v>750000000</v>
      </c>
      <c r="X234" s="8"/>
      <c r="Y234" s="4"/>
      <c r="Z234" s="4"/>
      <c r="AA234" s="4"/>
      <c r="AB234" s="4"/>
      <c r="AC234" s="4"/>
    </row>
    <row r="235" spans="1:29" ht="20.25" customHeight="1">
      <c r="A235" s="14"/>
      <c r="B235" s="87"/>
      <c r="C235" s="88"/>
      <c r="D235" s="89"/>
      <c r="E235" s="90"/>
      <c r="F235" s="109">
        <f>IF((G235="BARANG"),"T1",0)</f>
        <v>0</v>
      </c>
      <c r="G235" s="91"/>
      <c r="H235" s="90"/>
      <c r="I235" s="91"/>
      <c r="J235" s="92" t="s">
        <v>322</v>
      </c>
      <c r="K235" s="92">
        <f>SUM(K234)</f>
        <v>0</v>
      </c>
      <c r="L235" s="90"/>
      <c r="M235" s="91"/>
      <c r="N235" s="92" t="s">
        <v>322</v>
      </c>
      <c r="O235" s="92">
        <f>SUM(O234)</f>
        <v>0</v>
      </c>
      <c r="P235" s="90"/>
      <c r="Q235" s="91"/>
      <c r="R235" s="92" t="s">
        <v>322</v>
      </c>
      <c r="S235" s="92">
        <f>SUM(S234)</f>
        <v>750000000</v>
      </c>
      <c r="T235" s="90"/>
      <c r="U235" s="91"/>
      <c r="V235" s="92" t="s">
        <v>322</v>
      </c>
      <c r="W235" s="92">
        <f>SUM(W234)</f>
        <v>750000000</v>
      </c>
      <c r="X235" s="13">
        <f>K235-O235+S235</f>
        <v>750000000</v>
      </c>
      <c r="Y235" s="3"/>
      <c r="Z235" s="3"/>
      <c r="AA235" s="3"/>
      <c r="AB235" s="3"/>
      <c r="AC235" s="3"/>
    </row>
    <row r="236" spans="1:29" ht="20.25" customHeight="1">
      <c r="A236" s="93">
        <v>39</v>
      </c>
      <c r="B236" s="283" t="s">
        <v>327</v>
      </c>
      <c r="C236" s="95"/>
      <c r="D236" s="284" t="s">
        <v>328</v>
      </c>
      <c r="E236" s="285" t="s">
        <v>50</v>
      </c>
      <c r="F236" s="109" t="s">
        <v>43</v>
      </c>
      <c r="G236" s="216" t="s">
        <v>22</v>
      </c>
      <c r="H236" s="285"/>
      <c r="I236" s="98"/>
      <c r="J236" s="286"/>
      <c r="K236" s="100"/>
      <c r="L236" s="285"/>
      <c r="M236" s="98"/>
      <c r="N236" s="286"/>
      <c r="O236" s="100"/>
      <c r="P236" s="285">
        <v>1</v>
      </c>
      <c r="Q236" s="98" t="s">
        <v>23</v>
      </c>
      <c r="R236" s="286">
        <f>48000000+52000000</f>
        <v>100000000</v>
      </c>
      <c r="S236" s="122">
        <f>+R236*P236</f>
        <v>100000000</v>
      </c>
      <c r="T236" s="285">
        <v>1</v>
      </c>
      <c r="U236" s="98" t="s">
        <v>23</v>
      </c>
      <c r="V236" s="286">
        <f>R236</f>
        <v>100000000</v>
      </c>
      <c r="W236" s="122">
        <f>+V236*T236</f>
        <v>100000000</v>
      </c>
      <c r="X236" s="8"/>
      <c r="Y236" s="4"/>
      <c r="Z236" s="4"/>
      <c r="AA236" s="4"/>
      <c r="AB236" s="4"/>
      <c r="AC236" s="4"/>
    </row>
    <row r="237" spans="1:29" ht="20.25" customHeight="1">
      <c r="A237" s="14"/>
      <c r="B237" s="241"/>
      <c r="C237" s="88"/>
      <c r="D237" s="89"/>
      <c r="E237" s="90"/>
      <c r="F237" s="109">
        <f>IF((G237="BARANG"),"T1",0)</f>
        <v>0</v>
      </c>
      <c r="G237" s="91"/>
      <c r="H237" s="90"/>
      <c r="I237" s="91"/>
      <c r="J237" s="92" t="s">
        <v>329</v>
      </c>
      <c r="K237" s="92">
        <f>K236</f>
        <v>0</v>
      </c>
      <c r="L237" s="90"/>
      <c r="M237" s="91"/>
      <c r="N237" s="92" t="s">
        <v>329</v>
      </c>
      <c r="O237" s="92">
        <f>O236</f>
        <v>0</v>
      </c>
      <c r="P237" s="90"/>
      <c r="Q237" s="91"/>
      <c r="R237" s="92" t="s">
        <v>329</v>
      </c>
      <c r="S237" s="92">
        <f>S236</f>
        <v>100000000</v>
      </c>
      <c r="T237" s="90"/>
      <c r="U237" s="91"/>
      <c r="V237" s="92" t="s">
        <v>329</v>
      </c>
      <c r="W237" s="92">
        <f>W236</f>
        <v>100000000</v>
      </c>
      <c r="X237" s="13">
        <f>K237-O237+S237</f>
        <v>100000000</v>
      </c>
      <c r="Y237" s="3"/>
      <c r="Z237" s="3"/>
      <c r="AA237" s="3"/>
      <c r="AB237" s="3"/>
      <c r="AC237" s="3"/>
    </row>
    <row r="238" spans="1:29" ht="29.25" customHeight="1">
      <c r="A238" s="207">
        <v>40</v>
      </c>
      <c r="B238" s="287" t="s">
        <v>330</v>
      </c>
      <c r="C238" s="106"/>
      <c r="D238" s="288" t="s">
        <v>331</v>
      </c>
      <c r="E238" s="265" t="s">
        <v>50</v>
      </c>
      <c r="F238" s="109" t="s">
        <v>21</v>
      </c>
      <c r="G238" s="216" t="s">
        <v>22</v>
      </c>
      <c r="H238" s="265"/>
      <c r="I238" s="266"/>
      <c r="J238" s="289"/>
      <c r="K238" s="111"/>
      <c r="L238" s="265"/>
      <c r="M238" s="266"/>
      <c r="N238" s="289"/>
      <c r="O238" s="111"/>
      <c r="P238" s="265">
        <v>1</v>
      </c>
      <c r="Q238" s="266" t="s">
        <v>23</v>
      </c>
      <c r="R238" s="289">
        <f>70000000+100000000</f>
        <v>170000000</v>
      </c>
      <c r="S238" s="111">
        <f t="shared" ref="S238:S239" si="191">+R238*P238</f>
        <v>170000000</v>
      </c>
      <c r="T238" s="265">
        <f t="shared" ref="T238:T239" si="192">P238</f>
        <v>1</v>
      </c>
      <c r="U238" s="266" t="s">
        <v>23</v>
      </c>
      <c r="V238" s="289">
        <f t="shared" ref="V238:V239" si="193">R238</f>
        <v>170000000</v>
      </c>
      <c r="W238" s="111">
        <f t="shared" ref="W238:W239" si="194">T238*V238</f>
        <v>170000000</v>
      </c>
      <c r="X238" s="8"/>
      <c r="Y238" s="4"/>
      <c r="Z238" s="4"/>
      <c r="AA238" s="4"/>
      <c r="AB238" s="4"/>
      <c r="AC238" s="4"/>
    </row>
    <row r="239" spans="1:29" ht="20.25" customHeight="1">
      <c r="A239" s="151"/>
      <c r="B239" s="243"/>
      <c r="C239" s="117"/>
      <c r="D239" s="152" t="s">
        <v>332</v>
      </c>
      <c r="E239" s="119" t="s">
        <v>50</v>
      </c>
      <c r="F239" s="109" t="s">
        <v>43</v>
      </c>
      <c r="G239" s="216" t="s">
        <v>22</v>
      </c>
      <c r="H239" s="119"/>
      <c r="I239" s="121"/>
      <c r="J239" s="290"/>
      <c r="K239" s="122"/>
      <c r="L239" s="119"/>
      <c r="M239" s="121"/>
      <c r="N239" s="290"/>
      <c r="O239" s="122"/>
      <c r="P239" s="119">
        <v>1</v>
      </c>
      <c r="Q239" s="266" t="s">
        <v>23</v>
      </c>
      <c r="R239" s="290">
        <v>90000000</v>
      </c>
      <c r="S239" s="122">
        <f t="shared" si="191"/>
        <v>90000000</v>
      </c>
      <c r="T239" s="119">
        <f t="shared" si="192"/>
        <v>1</v>
      </c>
      <c r="U239" s="121" t="s">
        <v>23</v>
      </c>
      <c r="V239" s="290">
        <f t="shared" si="193"/>
        <v>90000000</v>
      </c>
      <c r="W239" s="122">
        <f t="shared" si="194"/>
        <v>90000000</v>
      </c>
      <c r="X239" s="8"/>
      <c r="Y239" s="4"/>
      <c r="Z239" s="4"/>
      <c r="AA239" s="4"/>
      <c r="AB239" s="4"/>
      <c r="AC239" s="4"/>
    </row>
    <row r="240" spans="1:29" ht="20.25" customHeight="1">
      <c r="A240" s="226"/>
      <c r="B240" s="291"/>
      <c r="C240" s="292"/>
      <c r="D240" s="293"/>
      <c r="E240" s="294"/>
      <c r="F240" s="109">
        <f>IF((G240="BARANG"),"T1",0)</f>
        <v>0</v>
      </c>
      <c r="G240" s="295"/>
      <c r="H240" s="294"/>
      <c r="I240" s="295"/>
      <c r="J240" s="92" t="s">
        <v>333</v>
      </c>
      <c r="K240" s="92">
        <f>SUM(K238:K239)</f>
        <v>0</v>
      </c>
      <c r="L240" s="294"/>
      <c r="M240" s="295"/>
      <c r="N240" s="92" t="s">
        <v>333</v>
      </c>
      <c r="O240" s="92">
        <f>SUM(O238:O239)</f>
        <v>0</v>
      </c>
      <c r="P240" s="294"/>
      <c r="Q240" s="295"/>
      <c r="R240" s="92" t="s">
        <v>333</v>
      </c>
      <c r="S240" s="92">
        <f>SUM(S238:S239)</f>
        <v>260000000</v>
      </c>
      <c r="T240" s="294"/>
      <c r="U240" s="295"/>
      <c r="V240" s="92" t="s">
        <v>333</v>
      </c>
      <c r="W240" s="92">
        <f>SUM(W238:W239)</f>
        <v>260000000</v>
      </c>
      <c r="X240" s="13">
        <f>K240-O240+S240</f>
        <v>260000000</v>
      </c>
      <c r="Y240" s="3"/>
      <c r="Z240" s="3"/>
      <c r="AA240" s="3"/>
      <c r="AB240" s="3"/>
      <c r="AC240" s="3"/>
    </row>
    <row r="241" spans="1:29" ht="20.25" customHeight="1">
      <c r="A241" s="207">
        <v>41</v>
      </c>
      <c r="B241" s="262" t="s">
        <v>334</v>
      </c>
      <c r="C241" s="106"/>
      <c r="D241" s="107" t="s">
        <v>335</v>
      </c>
      <c r="E241" s="108" t="s">
        <v>50</v>
      </c>
      <c r="F241" s="109" t="s">
        <v>43</v>
      </c>
      <c r="G241" s="216" t="s">
        <v>22</v>
      </c>
      <c r="H241" s="108"/>
      <c r="I241" s="110"/>
      <c r="J241" s="111"/>
      <c r="K241" s="111"/>
      <c r="L241" s="108"/>
      <c r="M241" s="110"/>
      <c r="N241" s="111"/>
      <c r="O241" s="111"/>
      <c r="P241" s="108">
        <v>1</v>
      </c>
      <c r="Q241" s="110" t="s">
        <v>23</v>
      </c>
      <c r="R241" s="111">
        <v>650000000</v>
      </c>
      <c r="S241" s="111">
        <f>P241*R241</f>
        <v>650000000</v>
      </c>
      <c r="T241" s="112">
        <f>H241-L241+P241</f>
        <v>1</v>
      </c>
      <c r="U241" s="110" t="s">
        <v>23</v>
      </c>
      <c r="V241" s="111">
        <f>R241</f>
        <v>650000000</v>
      </c>
      <c r="W241" s="111">
        <f>T241*V241</f>
        <v>650000000</v>
      </c>
      <c r="X241" s="8"/>
      <c r="Y241" s="4"/>
      <c r="Z241" s="4"/>
      <c r="AA241" s="4"/>
      <c r="AB241" s="4"/>
      <c r="AC241" s="4"/>
    </row>
    <row r="242" spans="1:29" ht="20.25" customHeight="1">
      <c r="A242" s="14"/>
      <c r="B242" s="87"/>
      <c r="C242" s="88"/>
      <c r="D242" s="89"/>
      <c r="E242" s="90"/>
      <c r="F242" s="109">
        <f>IF((G242="BARANG"),"T1",0)</f>
        <v>0</v>
      </c>
      <c r="G242" s="91"/>
      <c r="H242" s="90"/>
      <c r="I242" s="91"/>
      <c r="J242" s="92" t="s">
        <v>336</v>
      </c>
      <c r="K242" s="92">
        <f>SUM(K241)</f>
        <v>0</v>
      </c>
      <c r="L242" s="90"/>
      <c r="M242" s="91"/>
      <c r="N242" s="92" t="s">
        <v>157</v>
      </c>
      <c r="O242" s="92">
        <f>SUM(O241)</f>
        <v>0</v>
      </c>
      <c r="P242" s="90"/>
      <c r="Q242" s="91"/>
      <c r="R242" s="92" t="s">
        <v>157</v>
      </c>
      <c r="S242" s="92">
        <f>SUM(S241)</f>
        <v>650000000</v>
      </c>
      <c r="T242" s="90"/>
      <c r="U242" s="91"/>
      <c r="V242" s="92" t="s">
        <v>157</v>
      </c>
      <c r="W242" s="92">
        <f>SUM(W241)</f>
        <v>650000000</v>
      </c>
      <c r="X242" s="13">
        <f>K242-O242+S242</f>
        <v>650000000</v>
      </c>
      <c r="Y242" s="3"/>
      <c r="Z242" s="3"/>
      <c r="AA242" s="3"/>
      <c r="AB242" s="3"/>
      <c r="AC242" s="3"/>
    </row>
    <row r="243" spans="1:29" ht="27" customHeight="1">
      <c r="A243" s="207">
        <v>42</v>
      </c>
      <c r="B243" s="296" t="s">
        <v>337</v>
      </c>
      <c r="C243" s="106"/>
      <c r="D243" s="107" t="s">
        <v>338</v>
      </c>
      <c r="E243" s="108" t="s">
        <v>50</v>
      </c>
      <c r="F243" s="109" t="s">
        <v>43</v>
      </c>
      <c r="G243" s="216" t="s">
        <v>22</v>
      </c>
      <c r="H243" s="108"/>
      <c r="I243" s="110"/>
      <c r="J243" s="111"/>
      <c r="K243" s="111"/>
      <c r="L243" s="108"/>
      <c r="M243" s="110"/>
      <c r="N243" s="111"/>
      <c r="O243" s="111"/>
      <c r="P243" s="108">
        <v>1</v>
      </c>
      <c r="Q243" s="110" t="s">
        <v>23</v>
      </c>
      <c r="R243" s="111">
        <v>650000000</v>
      </c>
      <c r="S243" s="111">
        <f>P243*R243</f>
        <v>650000000</v>
      </c>
      <c r="T243" s="112">
        <f>H243-L243+P243</f>
        <v>1</v>
      </c>
      <c r="U243" s="110" t="s">
        <v>23</v>
      </c>
      <c r="V243" s="111">
        <f>R243</f>
        <v>650000000</v>
      </c>
      <c r="W243" s="111">
        <f>T243*V243</f>
        <v>650000000</v>
      </c>
      <c r="X243" s="8"/>
      <c r="Y243" s="4"/>
      <c r="Z243" s="4"/>
      <c r="AA243" s="4"/>
      <c r="AB243" s="4"/>
      <c r="AC243" s="4"/>
    </row>
    <row r="244" spans="1:29" ht="20.25" customHeight="1">
      <c r="A244" s="14"/>
      <c r="B244" s="87"/>
      <c r="C244" s="88"/>
      <c r="D244" s="89"/>
      <c r="E244" s="90"/>
      <c r="F244" s="109">
        <f t="shared" ref="F244:F245" si="195">IF((G244="BARANG"),"T1",0)</f>
        <v>0</v>
      </c>
      <c r="G244" s="91"/>
      <c r="H244" s="90"/>
      <c r="I244" s="91"/>
      <c r="J244" s="92" t="s">
        <v>339</v>
      </c>
      <c r="K244" s="92">
        <f>SUM(K243)</f>
        <v>0</v>
      </c>
      <c r="L244" s="90"/>
      <c r="M244" s="91"/>
      <c r="N244" s="92" t="s">
        <v>157</v>
      </c>
      <c r="O244" s="92">
        <f>SUM(O243)</f>
        <v>0</v>
      </c>
      <c r="P244" s="90"/>
      <c r="Q244" s="91"/>
      <c r="R244" s="92" t="s">
        <v>157</v>
      </c>
      <c r="S244" s="92">
        <f>SUM(S243)</f>
        <v>650000000</v>
      </c>
      <c r="T244" s="90"/>
      <c r="U244" s="91"/>
      <c r="V244" s="92" t="s">
        <v>157</v>
      </c>
      <c r="W244" s="92">
        <f>SUM(W243)</f>
        <v>650000000</v>
      </c>
      <c r="X244" s="13">
        <f>K244-O244+S244</f>
        <v>650000000</v>
      </c>
      <c r="Y244" s="3"/>
      <c r="Z244" s="3"/>
      <c r="AA244" s="3"/>
      <c r="AB244" s="3"/>
      <c r="AC244" s="3"/>
    </row>
    <row r="245" spans="1:29" ht="20.25" customHeight="1">
      <c r="A245" s="297" t="s">
        <v>340</v>
      </c>
      <c r="B245" s="87" t="s">
        <v>341</v>
      </c>
      <c r="C245" s="298"/>
      <c r="D245" s="299"/>
      <c r="E245" s="230"/>
      <c r="F245" s="109">
        <f t="shared" si="195"/>
        <v>0</v>
      </c>
      <c r="G245" s="231"/>
      <c r="H245" s="300"/>
      <c r="I245" s="301"/>
      <c r="J245" s="232"/>
      <c r="K245" s="302"/>
      <c r="L245" s="300"/>
      <c r="M245" s="301"/>
      <c r="N245" s="232"/>
      <c r="O245" s="302"/>
      <c r="P245" s="300"/>
      <c r="Q245" s="301"/>
      <c r="R245" s="232"/>
      <c r="S245" s="302"/>
      <c r="T245" s="300"/>
      <c r="U245" s="301"/>
      <c r="V245" s="232"/>
      <c r="W245" s="232"/>
      <c r="X245" s="8"/>
      <c r="Y245" s="4"/>
      <c r="Z245" s="4"/>
      <c r="AA245" s="4"/>
      <c r="AB245" s="4"/>
      <c r="AC245" s="4"/>
    </row>
    <row r="246" spans="1:29" ht="20.25" customHeight="1">
      <c r="A246" s="303">
        <v>43</v>
      </c>
      <c r="B246" s="304" t="s">
        <v>342</v>
      </c>
      <c r="C246" s="305"/>
      <c r="D246" s="306" t="s">
        <v>343</v>
      </c>
      <c r="E246" s="307" t="s">
        <v>344</v>
      </c>
      <c r="F246" s="109" t="s">
        <v>21</v>
      </c>
      <c r="G246" s="308" t="s">
        <v>22</v>
      </c>
      <c r="H246" s="309"/>
      <c r="I246" s="310"/>
      <c r="J246" s="311"/>
      <c r="K246" s="311"/>
      <c r="L246" s="309"/>
      <c r="M246" s="310"/>
      <c r="N246" s="311"/>
      <c r="O246" s="311"/>
      <c r="P246" s="312">
        <v>1</v>
      </c>
      <c r="Q246" s="310" t="s">
        <v>23</v>
      </c>
      <c r="R246" s="311">
        <v>200000000</v>
      </c>
      <c r="S246" s="311">
        <f t="shared" ref="S246:S250" si="196">P246*R246</f>
        <v>200000000</v>
      </c>
      <c r="T246" s="309">
        <f t="shared" ref="T246:U246" si="197">P246</f>
        <v>1</v>
      </c>
      <c r="U246" s="310" t="str">
        <f t="shared" si="197"/>
        <v>ls</v>
      </c>
      <c r="V246" s="311">
        <v>270000000</v>
      </c>
      <c r="W246" s="311">
        <f t="shared" ref="W246:W250" si="198">T246*V246</f>
        <v>270000000</v>
      </c>
      <c r="X246" s="313"/>
      <c r="Y246" s="314"/>
      <c r="Z246" s="314"/>
      <c r="AA246" s="314"/>
      <c r="AB246" s="314"/>
      <c r="AC246" s="314"/>
    </row>
    <row r="247" spans="1:29" ht="20.25" customHeight="1">
      <c r="A247" s="315">
        <v>44</v>
      </c>
      <c r="B247" s="316" t="s">
        <v>345</v>
      </c>
      <c r="C247" s="317"/>
      <c r="D247" s="318" t="s">
        <v>346</v>
      </c>
      <c r="E247" s="307" t="s">
        <v>344</v>
      </c>
      <c r="F247" s="109" t="s">
        <v>32</v>
      </c>
      <c r="G247" s="308" t="s">
        <v>22</v>
      </c>
      <c r="H247" s="307"/>
      <c r="I247" s="308"/>
      <c r="J247" s="319"/>
      <c r="K247" s="319"/>
      <c r="L247" s="307"/>
      <c r="M247" s="308"/>
      <c r="N247" s="319"/>
      <c r="O247" s="319"/>
      <c r="P247" s="320">
        <v>700</v>
      </c>
      <c r="Q247" s="321" t="s">
        <v>23</v>
      </c>
      <c r="R247" s="322">
        <v>2500000</v>
      </c>
      <c r="S247" s="322">
        <f t="shared" si="196"/>
        <v>1750000000</v>
      </c>
      <c r="T247" s="323">
        <f t="shared" ref="T247:V247" si="199">P247</f>
        <v>700</v>
      </c>
      <c r="U247" s="321" t="str">
        <f t="shared" si="199"/>
        <v>ls</v>
      </c>
      <c r="V247" s="322">
        <f t="shared" si="199"/>
        <v>2500000</v>
      </c>
      <c r="W247" s="322">
        <f t="shared" si="198"/>
        <v>1750000000</v>
      </c>
      <c r="X247" s="313"/>
      <c r="Y247" s="314"/>
      <c r="Z247" s="314"/>
      <c r="AA247" s="314"/>
      <c r="AB247" s="314"/>
      <c r="AC247" s="314"/>
    </row>
    <row r="248" spans="1:29" ht="20.25" customHeight="1">
      <c r="A248" s="315"/>
      <c r="B248" s="316"/>
      <c r="C248" s="317"/>
      <c r="D248" s="318" t="s">
        <v>347</v>
      </c>
      <c r="E248" s="323" t="s">
        <v>344</v>
      </c>
      <c r="F248" s="109" t="s">
        <v>32</v>
      </c>
      <c r="G248" s="308" t="s">
        <v>22</v>
      </c>
      <c r="H248" s="323"/>
      <c r="I248" s="321"/>
      <c r="J248" s="322"/>
      <c r="K248" s="322"/>
      <c r="L248" s="323"/>
      <c r="M248" s="321"/>
      <c r="N248" s="322"/>
      <c r="O248" s="322"/>
      <c r="P248" s="320">
        <v>1950</v>
      </c>
      <c r="Q248" s="321" t="s">
        <v>23</v>
      </c>
      <c r="R248" s="322">
        <v>500000</v>
      </c>
      <c r="S248" s="322">
        <f t="shared" si="196"/>
        <v>975000000</v>
      </c>
      <c r="T248" s="323">
        <f t="shared" ref="T248:U248" si="200">P248</f>
        <v>1950</v>
      </c>
      <c r="U248" s="321" t="str">
        <f t="shared" si="200"/>
        <v>ls</v>
      </c>
      <c r="V248" s="322">
        <v>550000</v>
      </c>
      <c r="W248" s="322">
        <f t="shared" si="198"/>
        <v>1072500000</v>
      </c>
      <c r="X248" s="313"/>
      <c r="Y248" s="314"/>
      <c r="Z248" s="314"/>
      <c r="AA248" s="314"/>
      <c r="AB248" s="314"/>
      <c r="AC248" s="314"/>
    </row>
    <row r="249" spans="1:29" ht="20.25" customHeight="1">
      <c r="A249" s="315">
        <v>45</v>
      </c>
      <c r="B249" s="316" t="s">
        <v>348</v>
      </c>
      <c r="C249" s="317"/>
      <c r="D249" s="318" t="s">
        <v>349</v>
      </c>
      <c r="E249" s="323" t="s">
        <v>344</v>
      </c>
      <c r="F249" s="109" t="s">
        <v>32</v>
      </c>
      <c r="G249" s="308" t="s">
        <v>22</v>
      </c>
      <c r="H249" s="323"/>
      <c r="I249" s="321"/>
      <c r="J249" s="322"/>
      <c r="K249" s="322"/>
      <c r="L249" s="323"/>
      <c r="M249" s="321"/>
      <c r="N249" s="322"/>
      <c r="O249" s="322"/>
      <c r="P249" s="320">
        <v>700</v>
      </c>
      <c r="Q249" s="321" t="s">
        <v>23</v>
      </c>
      <c r="R249" s="322">
        <v>4000000</v>
      </c>
      <c r="S249" s="322">
        <f t="shared" si="196"/>
        <v>2800000000</v>
      </c>
      <c r="T249" s="323">
        <f t="shared" ref="T249:U249" si="201">P249</f>
        <v>700</v>
      </c>
      <c r="U249" s="321" t="str">
        <f t="shared" si="201"/>
        <v>ls</v>
      </c>
      <c r="V249" s="322">
        <v>4000000</v>
      </c>
      <c r="W249" s="322">
        <f t="shared" si="198"/>
        <v>2800000000</v>
      </c>
      <c r="X249" s="313"/>
      <c r="Y249" s="314"/>
      <c r="Z249" s="314"/>
      <c r="AA249" s="314"/>
      <c r="AB249" s="314"/>
      <c r="AC249" s="314"/>
    </row>
    <row r="250" spans="1:29" ht="20.25" customHeight="1">
      <c r="A250" s="324"/>
      <c r="B250" s="325"/>
      <c r="C250" s="326"/>
      <c r="D250" s="327" t="s">
        <v>350</v>
      </c>
      <c r="E250" s="328" t="s">
        <v>344</v>
      </c>
      <c r="F250" s="109" t="s">
        <v>32</v>
      </c>
      <c r="G250" s="308" t="s">
        <v>22</v>
      </c>
      <c r="H250" s="328"/>
      <c r="I250" s="329"/>
      <c r="J250" s="330"/>
      <c r="K250" s="330"/>
      <c r="L250" s="328"/>
      <c r="M250" s="329"/>
      <c r="N250" s="330"/>
      <c r="O250" s="330"/>
      <c r="P250" s="331">
        <v>1500</v>
      </c>
      <c r="Q250" s="329" t="s">
        <v>23</v>
      </c>
      <c r="R250" s="330">
        <v>3500000</v>
      </c>
      <c r="S250" s="330">
        <f t="shared" si="196"/>
        <v>5250000000</v>
      </c>
      <c r="T250" s="328">
        <f t="shared" ref="T250:U250" si="202">P250</f>
        <v>1500</v>
      </c>
      <c r="U250" s="329" t="str">
        <f t="shared" si="202"/>
        <v>ls</v>
      </c>
      <c r="V250" s="330">
        <v>4000000</v>
      </c>
      <c r="W250" s="330">
        <f t="shared" si="198"/>
        <v>6000000000</v>
      </c>
      <c r="X250" s="313"/>
      <c r="Y250" s="314"/>
      <c r="Z250" s="314"/>
      <c r="AA250" s="314"/>
      <c r="AB250" s="314"/>
      <c r="AC250" s="314"/>
    </row>
    <row r="251" spans="1:29" ht="20.25" customHeight="1">
      <c r="A251" s="332"/>
      <c r="B251" s="333"/>
      <c r="C251" s="334"/>
      <c r="D251" s="335"/>
      <c r="E251" s="336"/>
      <c r="F251" s="109">
        <f t="shared" ref="F251:F262" si="203">IF((G251="BARANG"),"T1",0)</f>
        <v>0</v>
      </c>
      <c r="G251" s="337"/>
      <c r="H251" s="336"/>
      <c r="I251" s="337"/>
      <c r="J251" s="338" t="s">
        <v>351</v>
      </c>
      <c r="K251" s="338">
        <f>SUM(K246:K250)</f>
        <v>0</v>
      </c>
      <c r="L251" s="336"/>
      <c r="M251" s="337"/>
      <c r="N251" s="338" t="s">
        <v>336</v>
      </c>
      <c r="O251" s="338">
        <f>SUM(O246:O250)</f>
        <v>0</v>
      </c>
      <c r="P251" s="336"/>
      <c r="Q251" s="337"/>
      <c r="R251" s="338" t="s">
        <v>336</v>
      </c>
      <c r="S251" s="338">
        <f>SUM(S246:S250)</f>
        <v>10975000000</v>
      </c>
      <c r="T251" s="336"/>
      <c r="U251" s="337"/>
      <c r="V251" s="338" t="s">
        <v>336</v>
      </c>
      <c r="W251" s="338">
        <f>SUM(W246:W250)</f>
        <v>11892500000</v>
      </c>
      <c r="X251" s="339">
        <f>K251-O251+S251</f>
        <v>10975000000</v>
      </c>
      <c r="Y251" s="340"/>
      <c r="Z251" s="341"/>
      <c r="AA251" s="341"/>
      <c r="AB251" s="341"/>
      <c r="AC251" s="341"/>
    </row>
    <row r="252" spans="1:29" ht="20.25" customHeight="1">
      <c r="A252" s="342" t="s">
        <v>352</v>
      </c>
      <c r="B252" s="592" t="s">
        <v>353</v>
      </c>
      <c r="C252" s="579"/>
      <c r="D252" s="580"/>
      <c r="E252" s="343"/>
      <c r="F252" s="109">
        <f t="shared" si="203"/>
        <v>0</v>
      </c>
      <c r="G252" s="344"/>
      <c r="H252" s="343"/>
      <c r="I252" s="344"/>
      <c r="J252" s="345"/>
      <c r="K252" s="346"/>
      <c r="L252" s="343"/>
      <c r="M252" s="344"/>
      <c r="N252" s="345"/>
      <c r="O252" s="346"/>
      <c r="P252" s="343"/>
      <c r="Q252" s="344"/>
      <c r="R252" s="345"/>
      <c r="S252" s="346"/>
      <c r="T252" s="343"/>
      <c r="U252" s="344"/>
      <c r="V252" s="345"/>
      <c r="W252" s="347"/>
      <c r="X252" s="313"/>
      <c r="Y252" s="314"/>
      <c r="Z252" s="314"/>
      <c r="AA252" s="314"/>
      <c r="AB252" s="314"/>
      <c r="AC252" s="314"/>
    </row>
    <row r="253" spans="1:29" ht="20.25" customHeight="1">
      <c r="A253" s="303">
        <v>46</v>
      </c>
      <c r="B253" s="348" t="s">
        <v>354</v>
      </c>
      <c r="C253" s="349"/>
      <c r="D253" s="350" t="s">
        <v>355</v>
      </c>
      <c r="E253" s="309" t="s">
        <v>50</v>
      </c>
      <c r="F253" s="109" t="str">
        <f t="shared" si="203"/>
        <v>T1</v>
      </c>
      <c r="G253" s="310" t="s">
        <v>28</v>
      </c>
      <c r="H253" s="309"/>
      <c r="I253" s="310"/>
      <c r="J253" s="311"/>
      <c r="K253" s="311"/>
      <c r="L253" s="309"/>
      <c r="M253" s="310"/>
      <c r="N253" s="311"/>
      <c r="O253" s="311"/>
      <c r="P253" s="312">
        <v>2</v>
      </c>
      <c r="Q253" s="351" t="s">
        <v>26</v>
      </c>
      <c r="R253" s="352">
        <v>33000000</v>
      </c>
      <c r="S253" s="311">
        <f t="shared" ref="S253:S257" si="204">P253*R253</f>
        <v>66000000</v>
      </c>
      <c r="T253" s="312">
        <f t="shared" ref="T253:T257" si="205">H253-L253+P253</f>
        <v>2</v>
      </c>
      <c r="U253" s="310" t="s">
        <v>51</v>
      </c>
      <c r="V253" s="311">
        <f t="shared" ref="V253:V257" si="206">R253</f>
        <v>33000000</v>
      </c>
      <c r="W253" s="311">
        <f t="shared" ref="W253:W257" si="207">T253*V253</f>
        <v>66000000</v>
      </c>
      <c r="X253" s="313"/>
      <c r="Y253" s="314"/>
      <c r="Z253" s="314"/>
      <c r="AA253" s="314"/>
      <c r="AB253" s="314"/>
      <c r="AC253" s="314"/>
    </row>
    <row r="254" spans="1:29" ht="20.25" customHeight="1">
      <c r="A254" s="353"/>
      <c r="B254" s="304"/>
      <c r="C254" s="305"/>
      <c r="D254" s="354" t="s">
        <v>356</v>
      </c>
      <c r="E254" s="307" t="s">
        <v>50</v>
      </c>
      <c r="F254" s="109" t="str">
        <f t="shared" si="203"/>
        <v>T1</v>
      </c>
      <c r="G254" s="310" t="s">
        <v>28</v>
      </c>
      <c r="H254" s="307"/>
      <c r="I254" s="308"/>
      <c r="J254" s="319"/>
      <c r="K254" s="319"/>
      <c r="L254" s="307"/>
      <c r="M254" s="308"/>
      <c r="N254" s="319"/>
      <c r="O254" s="319"/>
      <c r="P254" s="320">
        <v>5</v>
      </c>
      <c r="Q254" s="355" t="s">
        <v>26</v>
      </c>
      <c r="R254" s="356">
        <v>850000</v>
      </c>
      <c r="S254" s="322">
        <f t="shared" si="204"/>
        <v>4250000</v>
      </c>
      <c r="T254" s="320">
        <f t="shared" si="205"/>
        <v>5</v>
      </c>
      <c r="U254" s="321" t="s">
        <v>357</v>
      </c>
      <c r="V254" s="322">
        <f t="shared" si="206"/>
        <v>850000</v>
      </c>
      <c r="W254" s="322">
        <f t="shared" si="207"/>
        <v>4250000</v>
      </c>
      <c r="X254" s="313"/>
      <c r="Y254" s="314"/>
      <c r="Z254" s="314"/>
      <c r="AA254" s="314"/>
      <c r="AB254" s="314"/>
      <c r="AC254" s="314"/>
    </row>
    <row r="255" spans="1:29" ht="20.25" customHeight="1">
      <c r="A255" s="353"/>
      <c r="B255" s="304"/>
      <c r="C255" s="305"/>
      <c r="D255" s="354" t="s">
        <v>358</v>
      </c>
      <c r="E255" s="307" t="s">
        <v>50</v>
      </c>
      <c r="F255" s="109" t="str">
        <f t="shared" si="203"/>
        <v>T1</v>
      </c>
      <c r="G255" s="310" t="s">
        <v>28</v>
      </c>
      <c r="H255" s="307"/>
      <c r="I255" s="308"/>
      <c r="J255" s="319"/>
      <c r="K255" s="319"/>
      <c r="L255" s="307"/>
      <c r="M255" s="308"/>
      <c r="N255" s="319"/>
      <c r="O255" s="319"/>
      <c r="P255" s="320">
        <v>20</v>
      </c>
      <c r="Q255" s="355" t="s">
        <v>26</v>
      </c>
      <c r="R255" s="356">
        <v>1000000</v>
      </c>
      <c r="S255" s="322">
        <f t="shared" si="204"/>
        <v>20000000</v>
      </c>
      <c r="T255" s="320">
        <f t="shared" si="205"/>
        <v>20</v>
      </c>
      <c r="U255" s="321" t="s">
        <v>359</v>
      </c>
      <c r="V255" s="322">
        <f t="shared" si="206"/>
        <v>1000000</v>
      </c>
      <c r="W255" s="322">
        <f t="shared" si="207"/>
        <v>20000000</v>
      </c>
      <c r="X255" s="313"/>
      <c r="Y255" s="314"/>
      <c r="Z255" s="314"/>
      <c r="AA255" s="314"/>
      <c r="AB255" s="314"/>
      <c r="AC255" s="314"/>
    </row>
    <row r="256" spans="1:29" ht="20.25" customHeight="1">
      <c r="A256" s="353"/>
      <c r="B256" s="304"/>
      <c r="C256" s="305"/>
      <c r="D256" s="354" t="s">
        <v>360</v>
      </c>
      <c r="E256" s="307" t="s">
        <v>50</v>
      </c>
      <c r="F256" s="109" t="str">
        <f t="shared" si="203"/>
        <v>T1</v>
      </c>
      <c r="G256" s="310" t="s">
        <v>28</v>
      </c>
      <c r="H256" s="307"/>
      <c r="I256" s="308"/>
      <c r="J256" s="319"/>
      <c r="K256" s="319"/>
      <c r="L256" s="307"/>
      <c r="M256" s="308"/>
      <c r="N256" s="319"/>
      <c r="O256" s="319"/>
      <c r="P256" s="320">
        <v>20</v>
      </c>
      <c r="Q256" s="355" t="s">
        <v>26</v>
      </c>
      <c r="R256" s="356">
        <v>300000</v>
      </c>
      <c r="S256" s="322">
        <f t="shared" si="204"/>
        <v>6000000</v>
      </c>
      <c r="T256" s="320">
        <f t="shared" si="205"/>
        <v>20</v>
      </c>
      <c r="U256" s="321" t="s">
        <v>361</v>
      </c>
      <c r="V256" s="322">
        <f t="shared" si="206"/>
        <v>300000</v>
      </c>
      <c r="W256" s="322">
        <f t="shared" si="207"/>
        <v>6000000</v>
      </c>
      <c r="X256" s="313"/>
      <c r="Y256" s="314"/>
      <c r="Z256" s="314"/>
      <c r="AA256" s="314"/>
      <c r="AB256" s="314"/>
      <c r="AC256" s="314"/>
    </row>
    <row r="257" spans="1:29" ht="20.25" customHeight="1">
      <c r="A257" s="315"/>
      <c r="B257" s="316"/>
      <c r="C257" s="317"/>
      <c r="D257" s="357" t="s">
        <v>362</v>
      </c>
      <c r="E257" s="358" t="s">
        <v>50</v>
      </c>
      <c r="F257" s="109" t="str">
        <f t="shared" si="203"/>
        <v>T1</v>
      </c>
      <c r="G257" s="310" t="s">
        <v>28</v>
      </c>
      <c r="H257" s="323"/>
      <c r="I257" s="321"/>
      <c r="J257" s="322"/>
      <c r="K257" s="322"/>
      <c r="L257" s="323"/>
      <c r="M257" s="321"/>
      <c r="N257" s="322"/>
      <c r="O257" s="322"/>
      <c r="P257" s="331">
        <v>30</v>
      </c>
      <c r="Q257" s="359" t="s">
        <v>26</v>
      </c>
      <c r="R257" s="360">
        <v>300000</v>
      </c>
      <c r="S257" s="330">
        <f t="shared" si="204"/>
        <v>9000000</v>
      </c>
      <c r="T257" s="331">
        <f t="shared" si="205"/>
        <v>30</v>
      </c>
      <c r="U257" s="329" t="s">
        <v>363</v>
      </c>
      <c r="V257" s="330">
        <f t="shared" si="206"/>
        <v>300000</v>
      </c>
      <c r="W257" s="330">
        <f t="shared" si="207"/>
        <v>9000000</v>
      </c>
      <c r="X257" s="313"/>
      <c r="Y257" s="314"/>
      <c r="Z257" s="314"/>
      <c r="AA257" s="314"/>
      <c r="AB257" s="314"/>
      <c r="AC257" s="314"/>
    </row>
    <row r="258" spans="1:29" ht="20.25" customHeight="1">
      <c r="A258" s="14"/>
      <c r="B258" s="87"/>
      <c r="C258" s="88"/>
      <c r="D258" s="89"/>
      <c r="E258" s="90"/>
      <c r="F258" s="109">
        <f t="shared" si="203"/>
        <v>0</v>
      </c>
      <c r="G258" s="91"/>
      <c r="H258" s="90"/>
      <c r="I258" s="91"/>
      <c r="J258" s="92" t="s">
        <v>364</v>
      </c>
      <c r="K258" s="92">
        <f>SUM(K253:K257)</f>
        <v>0</v>
      </c>
      <c r="L258" s="90"/>
      <c r="M258" s="91"/>
      <c r="N258" s="92" t="s">
        <v>364</v>
      </c>
      <c r="O258" s="92">
        <f>SUM(O253:O257)</f>
        <v>0</v>
      </c>
      <c r="P258" s="90"/>
      <c r="Q258" s="91"/>
      <c r="R258" s="92" t="s">
        <v>364</v>
      </c>
      <c r="S258" s="92">
        <f>SUM(S253:S257)</f>
        <v>105250000</v>
      </c>
      <c r="T258" s="90"/>
      <c r="U258" s="91"/>
      <c r="V258" s="92" t="s">
        <v>364</v>
      </c>
      <c r="W258" s="92">
        <f>SUM(W253:W257)</f>
        <v>105250000</v>
      </c>
      <c r="X258" s="13">
        <f>K258-O258+S258</f>
        <v>105250000</v>
      </c>
      <c r="Y258" s="11"/>
      <c r="Z258" s="3"/>
      <c r="AA258" s="3"/>
      <c r="AB258" s="3"/>
      <c r="AC258" s="3"/>
    </row>
    <row r="259" spans="1:29" ht="20.25" customHeight="1">
      <c r="A259" s="14"/>
      <c r="B259" s="87"/>
      <c r="C259" s="88"/>
      <c r="D259" s="89"/>
      <c r="E259" s="90"/>
      <c r="F259" s="109">
        <f t="shared" si="203"/>
        <v>0</v>
      </c>
      <c r="G259" s="91"/>
      <c r="H259" s="90"/>
      <c r="I259" s="91"/>
      <c r="J259" s="92"/>
      <c r="K259" s="92"/>
      <c r="L259" s="90"/>
      <c r="M259" s="91"/>
      <c r="N259" s="92"/>
      <c r="O259" s="92"/>
      <c r="P259" s="90"/>
      <c r="Q259" s="91"/>
      <c r="R259" s="92"/>
      <c r="S259" s="92"/>
      <c r="T259" s="90"/>
      <c r="U259" s="91"/>
      <c r="V259" s="92"/>
      <c r="W259" s="92"/>
      <c r="X259" s="13"/>
      <c r="Y259" s="11"/>
      <c r="Z259" s="3"/>
      <c r="AA259" s="3"/>
      <c r="AB259" s="3"/>
      <c r="AC259" s="3"/>
    </row>
    <row r="260" spans="1:29" ht="20.25" customHeight="1">
      <c r="A260" s="14"/>
      <c r="B260" s="87"/>
      <c r="C260" s="88"/>
      <c r="D260" s="89"/>
      <c r="E260" s="90"/>
      <c r="F260" s="109">
        <f t="shared" si="203"/>
        <v>0</v>
      </c>
      <c r="G260" s="91"/>
      <c r="H260" s="90"/>
      <c r="I260" s="91"/>
      <c r="J260" s="92" t="s">
        <v>365</v>
      </c>
      <c r="K260" s="92" t="e">
        <f>K48+K50+K59+K64+K67+K69+K81+K83+K86+K89+K90+#REF!+#REF!+#REF!+#REF!+#REF!+#REF!+K98+K107+K113+K131+K138+K141+K146+K155+#REF!+#REF!+K157+K159+K161+K176+K180+K198+K214+K218+K229+K232+K235+K237+K240+K242+K244+K251+K258</f>
        <v>#REF!</v>
      </c>
      <c r="L260" s="90"/>
      <c r="M260" s="91"/>
      <c r="N260" s="92" t="s">
        <v>366</v>
      </c>
      <c r="O260" s="92" t="e">
        <f>O48+O50+O59+O64+O67+O69+O81+O83+O86+O89+O90+#REF!+#REF!+#REF!+#REF!+#REF!+#REF!+O98+O107+O113+O131+O138+O141+O146+O155+#REF!+#REF!+O157+O159+O161+O176+O180+O198+O214+O218+O229+O232+O235+O237+O240+O242+O244+O251+O258</f>
        <v>#REF!</v>
      </c>
      <c r="P260" s="90"/>
      <c r="Q260" s="91"/>
      <c r="R260" s="92" t="s">
        <v>366</v>
      </c>
      <c r="S260" s="92" t="e">
        <f>S48+S50+S59+S64+S67+S69+S81+S83+S86+S89+S90+#REF!+#REF!+#REF!+#REF!+#REF!+#REF!+S98+S107+S113+S131+S138+S141+S146+S155+#REF!+#REF!+S157+S159+S161+S176+S180+S198+S214+S218+S229+S232+S235+S237+S240+S242+S244+S251+S258</f>
        <v>#REF!</v>
      </c>
      <c r="T260" s="90"/>
      <c r="U260" s="91"/>
      <c r="V260" s="92" t="s">
        <v>366</v>
      </c>
      <c r="W260" s="92" t="e">
        <f>W48+W50+W59+W64+W67+W69+W81+W83+W86+W89+W90+#REF!+#REF!+#REF!+#REF!+#REF!+#REF!+W98+W107+W113+W131+W138+W141+W146+W155+#REF!+#REF!+W157+W159+W161+W176+W180+W198+W214+W218+W229+W232+W235+W237+W240+W242+W244+W251+W258</f>
        <v>#REF!</v>
      </c>
      <c r="X260" s="13" t="e">
        <f t="shared" ref="X260:X267" si="208">K260-O260+S260</f>
        <v>#REF!</v>
      </c>
      <c r="Y260" s="11" t="e">
        <f>SUM(X9:X258)</f>
        <v>#REF!</v>
      </c>
      <c r="Z260" s="13" t="e">
        <f>W260-Y260</f>
        <v>#REF!</v>
      </c>
      <c r="AA260" s="3"/>
      <c r="AB260" s="3"/>
      <c r="AC260" s="3"/>
    </row>
    <row r="261" spans="1:29" ht="20.25" customHeight="1">
      <c r="A261" s="361"/>
      <c r="B261" s="362"/>
      <c r="C261" s="5"/>
      <c r="D261" s="363"/>
      <c r="E261" s="364"/>
      <c r="F261" s="109">
        <f t="shared" si="203"/>
        <v>0</v>
      </c>
      <c r="G261" s="365"/>
      <c r="H261" s="364"/>
      <c r="I261" s="365"/>
      <c r="J261" s="92" t="s">
        <v>367</v>
      </c>
      <c r="K261" s="92" t="e">
        <f>+K260*0.1</f>
        <v>#REF!</v>
      </c>
      <c r="L261" s="364"/>
      <c r="M261" s="365"/>
      <c r="N261" s="92" t="s">
        <v>367</v>
      </c>
      <c r="O261" s="92" t="e">
        <f>+O260*0.1</f>
        <v>#REF!</v>
      </c>
      <c r="P261" s="364"/>
      <c r="Q261" s="365"/>
      <c r="R261" s="92" t="s">
        <v>367</v>
      </c>
      <c r="S261" s="92" t="e">
        <f>+S260*0.1</f>
        <v>#REF!</v>
      </c>
      <c r="T261" s="364"/>
      <c r="U261" s="365"/>
      <c r="V261" s="92" t="s">
        <v>367</v>
      </c>
      <c r="W261" s="92" t="e">
        <f>+W260*0.1</f>
        <v>#REF!</v>
      </c>
      <c r="X261" s="13" t="e">
        <f t="shared" si="208"/>
        <v>#REF!</v>
      </c>
      <c r="Y261" s="3"/>
      <c r="Z261" s="3"/>
      <c r="AA261" s="3"/>
      <c r="AB261" s="3"/>
      <c r="AC261" s="3"/>
    </row>
    <row r="262" spans="1:29" ht="20.25" customHeight="1">
      <c r="A262" s="14"/>
      <c r="B262" s="87"/>
      <c r="C262" s="88"/>
      <c r="D262" s="89"/>
      <c r="E262" s="90"/>
      <c r="F262" s="109">
        <f t="shared" si="203"/>
        <v>0</v>
      </c>
      <c r="G262" s="91"/>
      <c r="H262" s="90"/>
      <c r="I262" s="91"/>
      <c r="J262" s="92" t="s">
        <v>368</v>
      </c>
      <c r="K262" s="92" t="e">
        <f>+K260+K261</f>
        <v>#REF!</v>
      </c>
      <c r="L262" s="90"/>
      <c r="M262" s="91"/>
      <c r="N262" s="92" t="s">
        <v>368</v>
      </c>
      <c r="O262" s="92" t="e">
        <f>+O260+O261</f>
        <v>#REF!</v>
      </c>
      <c r="P262" s="90"/>
      <c r="Q262" s="91"/>
      <c r="R262" s="92" t="s">
        <v>368</v>
      </c>
      <c r="S262" s="92" t="e">
        <f>+S260+S261</f>
        <v>#REF!</v>
      </c>
      <c r="T262" s="90"/>
      <c r="U262" s="91"/>
      <c r="V262" s="92" t="s">
        <v>368</v>
      </c>
      <c r="W262" s="92" t="e">
        <f>+W260+W261</f>
        <v>#REF!</v>
      </c>
      <c r="X262" s="13" t="e">
        <f t="shared" si="208"/>
        <v>#REF!</v>
      </c>
      <c r="Y262" s="3"/>
      <c r="Z262" s="3"/>
      <c r="AA262" s="3"/>
      <c r="AB262" s="3"/>
      <c r="AC262" s="3"/>
    </row>
    <row r="263" spans="1:29" ht="20.25" customHeight="1">
      <c r="A263" s="14" t="s">
        <v>395</v>
      </c>
      <c r="B263" s="378" t="s">
        <v>396</v>
      </c>
      <c r="C263" s="379"/>
      <c r="D263" s="380" t="s">
        <v>397</v>
      </c>
      <c r="E263" s="381" t="s">
        <v>398</v>
      </c>
      <c r="F263" s="109" t="s">
        <v>399</v>
      </c>
      <c r="G263" s="382" t="s">
        <v>396</v>
      </c>
      <c r="H263" s="381"/>
      <c r="I263" s="382"/>
      <c r="J263" s="383"/>
      <c r="K263" s="383" t="e">
        <f>K260*1.8/100</f>
        <v>#REF!</v>
      </c>
      <c r="L263" s="381"/>
      <c r="M263" s="382"/>
      <c r="N263" s="383"/>
      <c r="O263" s="383" t="e">
        <f t="shared" ref="O263:O267" si="209">K263</f>
        <v>#REF!</v>
      </c>
      <c r="P263" s="381"/>
      <c r="Q263" s="382"/>
      <c r="R263" s="383"/>
      <c r="S263" s="383"/>
      <c r="T263" s="381"/>
      <c r="U263" s="382"/>
      <c r="V263" s="383"/>
      <c r="W263" s="383"/>
      <c r="X263" s="13" t="e">
        <f t="shared" si="208"/>
        <v>#REF!</v>
      </c>
      <c r="Y263" s="384">
        <v>1.4999999999999999E-2</v>
      </c>
      <c r="Z263" s="384">
        <v>1.4999999999999999E-2</v>
      </c>
      <c r="AA263" s="4"/>
      <c r="AB263" s="4"/>
      <c r="AC263" s="4"/>
    </row>
    <row r="264" spans="1:29" ht="20.25" customHeight="1">
      <c r="A264" s="385"/>
      <c r="B264" s="378"/>
      <c r="C264" s="379"/>
      <c r="D264" s="380" t="s">
        <v>400</v>
      </c>
      <c r="E264" s="381" t="s">
        <v>398</v>
      </c>
      <c r="F264" s="109" t="s">
        <v>399</v>
      </c>
      <c r="G264" s="382" t="s">
        <v>396</v>
      </c>
      <c r="H264" s="381"/>
      <c r="I264" s="382"/>
      <c r="J264" s="386"/>
      <c r="K264" s="386" t="e">
        <f>+K263</f>
        <v>#REF!</v>
      </c>
      <c r="L264" s="381"/>
      <c r="M264" s="382"/>
      <c r="N264" s="386"/>
      <c r="O264" s="383" t="e">
        <f t="shared" si="209"/>
        <v>#REF!</v>
      </c>
      <c r="P264" s="381"/>
      <c r="Q264" s="382"/>
      <c r="R264" s="386"/>
      <c r="S264" s="386"/>
      <c r="T264" s="381"/>
      <c r="U264" s="382"/>
      <c r="V264" s="386"/>
      <c r="W264" s="386"/>
      <c r="X264" s="13" t="e">
        <f t="shared" si="208"/>
        <v>#REF!</v>
      </c>
      <c r="Y264" s="4"/>
      <c r="Z264" s="4"/>
      <c r="AA264" s="4"/>
      <c r="AB264" s="4"/>
      <c r="AC264" s="4"/>
    </row>
    <row r="265" spans="1:29" ht="20.25" customHeight="1">
      <c r="A265" s="385"/>
      <c r="B265" s="378"/>
      <c r="C265" s="379"/>
      <c r="D265" s="380" t="s">
        <v>401</v>
      </c>
      <c r="E265" s="381" t="s">
        <v>398</v>
      </c>
      <c r="F265" s="109" t="s">
        <v>399</v>
      </c>
      <c r="G265" s="382" t="s">
        <v>396</v>
      </c>
      <c r="H265" s="381"/>
      <c r="I265" s="382"/>
      <c r="J265" s="386"/>
      <c r="K265" s="386" t="e">
        <f>K260*1/100</f>
        <v>#REF!</v>
      </c>
      <c r="L265" s="381"/>
      <c r="M265" s="382"/>
      <c r="N265" s="386"/>
      <c r="O265" s="383" t="e">
        <f t="shared" si="209"/>
        <v>#REF!</v>
      </c>
      <c r="P265" s="381"/>
      <c r="Q265" s="382"/>
      <c r="R265" s="386"/>
      <c r="S265" s="386"/>
      <c r="T265" s="381"/>
      <c r="U265" s="382"/>
      <c r="V265" s="386"/>
      <c r="W265" s="386"/>
      <c r="X265" s="13" t="e">
        <f t="shared" si="208"/>
        <v>#REF!</v>
      </c>
      <c r="Y265" s="4"/>
      <c r="Z265" s="4"/>
      <c r="AA265" s="4"/>
      <c r="AB265" s="4"/>
      <c r="AC265" s="4"/>
    </row>
    <row r="266" spans="1:29" ht="20.25" customHeight="1">
      <c r="A266" s="385"/>
      <c r="B266" s="378"/>
      <c r="C266" s="379"/>
      <c r="D266" s="380" t="s">
        <v>402</v>
      </c>
      <c r="E266" s="381" t="s">
        <v>398</v>
      </c>
      <c r="F266" s="109" t="s">
        <v>399</v>
      </c>
      <c r="G266" s="382" t="s">
        <v>396</v>
      </c>
      <c r="H266" s="381"/>
      <c r="I266" s="382"/>
      <c r="J266" s="386"/>
      <c r="K266" s="386" t="e">
        <f>K260*1/100</f>
        <v>#REF!</v>
      </c>
      <c r="L266" s="381"/>
      <c r="M266" s="382"/>
      <c r="N266" s="386"/>
      <c r="O266" s="383" t="e">
        <f t="shared" si="209"/>
        <v>#REF!</v>
      </c>
      <c r="P266" s="381"/>
      <c r="Q266" s="382"/>
      <c r="R266" s="386"/>
      <c r="S266" s="386"/>
      <c r="T266" s="381"/>
      <c r="U266" s="382"/>
      <c r="V266" s="386"/>
      <c r="W266" s="386"/>
      <c r="X266" s="13" t="e">
        <f t="shared" si="208"/>
        <v>#REF!</v>
      </c>
      <c r="Y266" s="4"/>
      <c r="Z266" s="4"/>
      <c r="AA266" s="4"/>
      <c r="AB266" s="4"/>
      <c r="AC266" s="4"/>
    </row>
    <row r="267" spans="1:29" ht="20.25" customHeight="1">
      <c r="A267" s="385"/>
      <c r="B267" s="378"/>
      <c r="C267" s="379"/>
      <c r="D267" s="380" t="s">
        <v>403</v>
      </c>
      <c r="E267" s="381" t="s">
        <v>398</v>
      </c>
      <c r="F267" s="109" t="s">
        <v>399</v>
      </c>
      <c r="G267" s="382" t="s">
        <v>396</v>
      </c>
      <c r="H267" s="381"/>
      <c r="I267" s="382"/>
      <c r="J267" s="232"/>
      <c r="K267" s="386" t="e">
        <f>(K260-K229-K218-K214-K198)*1%-12726319+100+32606020</f>
        <v>#REF!</v>
      </c>
      <c r="L267" s="381"/>
      <c r="M267" s="382"/>
      <c r="N267" s="232"/>
      <c r="O267" s="383" t="e">
        <f t="shared" si="209"/>
        <v>#REF!</v>
      </c>
      <c r="P267" s="381"/>
      <c r="Q267" s="382"/>
      <c r="R267" s="232"/>
      <c r="S267" s="386"/>
      <c r="T267" s="381"/>
      <c r="U267" s="382"/>
      <c r="V267" s="232"/>
      <c r="W267" s="386"/>
      <c r="X267" s="13" t="e">
        <f t="shared" si="208"/>
        <v>#REF!</v>
      </c>
      <c r="Y267" s="4"/>
      <c r="Z267" s="4"/>
      <c r="AA267" s="4"/>
      <c r="AB267" s="4"/>
      <c r="AC267" s="4"/>
    </row>
    <row r="268" spans="1:29" ht="20.25" customHeight="1">
      <c r="A268" s="385"/>
      <c r="B268" s="378"/>
      <c r="C268" s="379"/>
      <c r="D268" s="380"/>
      <c r="E268" s="381"/>
      <c r="F268" s="109">
        <f>IF((G268="BARANG"),"T1",0)</f>
        <v>0</v>
      </c>
      <c r="G268" s="382"/>
      <c r="H268" s="381"/>
      <c r="I268" s="382"/>
      <c r="J268" s="232"/>
      <c r="K268" s="386"/>
      <c r="L268" s="381"/>
      <c r="M268" s="382"/>
      <c r="N268" s="232"/>
      <c r="O268" s="386"/>
      <c r="P268" s="381"/>
      <c r="Q268" s="382"/>
      <c r="R268" s="232"/>
      <c r="S268" s="386"/>
      <c r="T268" s="381"/>
      <c r="U268" s="382"/>
      <c r="V268" s="232"/>
      <c r="W268" s="386"/>
      <c r="X268" s="13"/>
      <c r="Y268" s="4"/>
      <c r="Z268" s="4"/>
      <c r="AA268" s="4"/>
      <c r="AB268" s="4"/>
      <c r="AC268" s="4"/>
    </row>
    <row r="269" spans="1:29" ht="20.25" customHeight="1">
      <c r="A269" s="385"/>
      <c r="B269" s="378"/>
      <c r="C269" s="379"/>
      <c r="D269" s="380" t="s">
        <v>404</v>
      </c>
      <c r="E269" s="381" t="s">
        <v>398</v>
      </c>
      <c r="F269" s="109" t="s">
        <v>399</v>
      </c>
      <c r="G269" s="382" t="s">
        <v>396</v>
      </c>
      <c r="H269" s="381"/>
      <c r="I269" s="382"/>
      <c r="J269" s="232"/>
      <c r="K269" s="386"/>
      <c r="L269" s="381"/>
      <c r="M269" s="382"/>
      <c r="N269" s="232"/>
      <c r="O269" s="386"/>
      <c r="P269" s="381">
        <v>1</v>
      </c>
      <c r="Q269" s="382" t="s">
        <v>23</v>
      </c>
      <c r="R269" s="232" t="e">
        <f t="shared" ref="R269:R272" si="210">#REF!</f>
        <v>#REF!</v>
      </c>
      <c r="S269" s="386" t="e">
        <f t="shared" ref="S269:S273" si="211">P269*R269</f>
        <v>#REF!</v>
      </c>
      <c r="T269" s="381">
        <f t="shared" ref="T269:T273" si="212">P269</f>
        <v>1</v>
      </c>
      <c r="U269" s="382" t="s">
        <v>23</v>
      </c>
      <c r="V269" s="387" t="e">
        <f>W260*3%</f>
        <v>#REF!</v>
      </c>
      <c r="W269" s="386" t="e">
        <f t="shared" ref="W269:W273" si="213">T269*V269</f>
        <v>#REF!</v>
      </c>
      <c r="X269" s="13"/>
      <c r="Y269" s="4"/>
      <c r="Z269" s="4"/>
      <c r="AA269" s="4"/>
      <c r="AB269" s="4"/>
      <c r="AC269" s="4"/>
    </row>
    <row r="270" spans="1:29" ht="20.25" customHeight="1">
      <c r="A270" s="385"/>
      <c r="B270" s="378"/>
      <c r="C270" s="379"/>
      <c r="D270" s="380" t="s">
        <v>405</v>
      </c>
      <c r="E270" s="381" t="s">
        <v>398</v>
      </c>
      <c r="F270" s="109" t="s">
        <v>399</v>
      </c>
      <c r="G270" s="382" t="s">
        <v>396</v>
      </c>
      <c r="H270" s="381"/>
      <c r="I270" s="382"/>
      <c r="J270" s="232"/>
      <c r="K270" s="386"/>
      <c r="L270" s="381"/>
      <c r="M270" s="382"/>
      <c r="N270" s="232"/>
      <c r="O270" s="386"/>
      <c r="P270" s="381">
        <v>0</v>
      </c>
      <c r="Q270" s="382" t="s">
        <v>23</v>
      </c>
      <c r="R270" s="232" t="e">
        <f t="shared" si="210"/>
        <v>#REF!</v>
      </c>
      <c r="S270" s="386" t="e">
        <f t="shared" si="211"/>
        <v>#REF!</v>
      </c>
      <c r="T270" s="381">
        <f t="shared" si="212"/>
        <v>0</v>
      </c>
      <c r="U270" s="382" t="s">
        <v>23</v>
      </c>
      <c r="V270" s="387">
        <v>2780350000</v>
      </c>
      <c r="W270" s="386">
        <f t="shared" si="213"/>
        <v>0</v>
      </c>
      <c r="X270" s="13"/>
      <c r="Y270" s="4"/>
      <c r="Z270" s="4"/>
      <c r="AA270" s="4"/>
      <c r="AB270" s="4"/>
      <c r="AC270" s="4"/>
    </row>
    <row r="271" spans="1:29" ht="20.25" customHeight="1">
      <c r="A271" s="385"/>
      <c r="B271" s="378"/>
      <c r="C271" s="379"/>
      <c r="D271" s="380" t="s">
        <v>406</v>
      </c>
      <c r="E271" s="381" t="s">
        <v>398</v>
      </c>
      <c r="F271" s="109" t="s">
        <v>399</v>
      </c>
      <c r="G271" s="382" t="s">
        <v>396</v>
      </c>
      <c r="H271" s="381"/>
      <c r="I271" s="382"/>
      <c r="J271" s="232"/>
      <c r="K271" s="386"/>
      <c r="L271" s="381"/>
      <c r="M271" s="382"/>
      <c r="N271" s="232"/>
      <c r="O271" s="386"/>
      <c r="P271" s="381">
        <v>1</v>
      </c>
      <c r="Q271" s="382" t="s">
        <v>23</v>
      </c>
      <c r="R271" s="232" t="e">
        <f t="shared" si="210"/>
        <v>#REF!</v>
      </c>
      <c r="S271" s="386" t="e">
        <f t="shared" si="211"/>
        <v>#REF!</v>
      </c>
      <c r="T271" s="381">
        <f t="shared" si="212"/>
        <v>1</v>
      </c>
      <c r="U271" s="382" t="s">
        <v>23</v>
      </c>
      <c r="V271" s="387">
        <v>2058550000</v>
      </c>
      <c r="W271" s="386">
        <f t="shared" si="213"/>
        <v>2058550000</v>
      </c>
      <c r="X271" s="13"/>
      <c r="Y271" s="4"/>
      <c r="Z271" s="4"/>
      <c r="AA271" s="4"/>
      <c r="AB271" s="4"/>
      <c r="AC271" s="4"/>
    </row>
    <row r="272" spans="1:29" ht="20.25" customHeight="1">
      <c r="A272" s="385"/>
      <c r="B272" s="378"/>
      <c r="C272" s="379"/>
      <c r="D272" s="380" t="s">
        <v>407</v>
      </c>
      <c r="E272" s="381" t="s">
        <v>398</v>
      </c>
      <c r="F272" s="109" t="s">
        <v>399</v>
      </c>
      <c r="G272" s="382" t="s">
        <v>396</v>
      </c>
      <c r="H272" s="381"/>
      <c r="I272" s="382"/>
      <c r="J272" s="232"/>
      <c r="K272" s="386"/>
      <c r="L272" s="381"/>
      <c r="M272" s="382"/>
      <c r="N272" s="232"/>
      <c r="O272" s="386"/>
      <c r="P272" s="381">
        <v>1</v>
      </c>
      <c r="Q272" s="382" t="s">
        <v>23</v>
      </c>
      <c r="R272" s="232" t="e">
        <f t="shared" si="210"/>
        <v>#REF!</v>
      </c>
      <c r="S272" s="386" t="e">
        <f t="shared" si="211"/>
        <v>#REF!</v>
      </c>
      <c r="T272" s="381">
        <f t="shared" si="212"/>
        <v>1</v>
      </c>
      <c r="U272" s="382" t="s">
        <v>23</v>
      </c>
      <c r="V272" s="387">
        <v>557050000</v>
      </c>
      <c r="W272" s="386">
        <f t="shared" si="213"/>
        <v>557050000</v>
      </c>
      <c r="X272" s="13"/>
      <c r="Y272" s="4"/>
      <c r="Z272" s="4"/>
      <c r="AA272" s="4"/>
      <c r="AB272" s="4"/>
      <c r="AC272" s="4"/>
    </row>
    <row r="273" spans="1:29" ht="20.25" customHeight="1">
      <c r="A273" s="385"/>
      <c r="B273" s="378"/>
      <c r="C273" s="379"/>
      <c r="D273" s="380" t="s">
        <v>408</v>
      </c>
      <c r="E273" s="381" t="s">
        <v>398</v>
      </c>
      <c r="F273" s="109" t="s">
        <v>399</v>
      </c>
      <c r="G273" s="382" t="s">
        <v>396</v>
      </c>
      <c r="H273" s="381"/>
      <c r="I273" s="382"/>
      <c r="J273" s="232"/>
      <c r="K273" s="386"/>
      <c r="L273" s="381"/>
      <c r="M273" s="382"/>
      <c r="N273" s="232"/>
      <c r="O273" s="386"/>
      <c r="P273" s="381">
        <v>1</v>
      </c>
      <c r="Q273" s="382" t="s">
        <v>23</v>
      </c>
      <c r="R273" s="232" t="e">
        <f>W260*1%</f>
        <v>#REF!</v>
      </c>
      <c r="S273" s="386" t="e">
        <f t="shared" si="211"/>
        <v>#REF!</v>
      </c>
      <c r="T273" s="381">
        <f t="shared" si="212"/>
        <v>1</v>
      </c>
      <c r="U273" s="382" t="s">
        <v>23</v>
      </c>
      <c r="V273" s="387">
        <v>557050000</v>
      </c>
      <c r="W273" s="386">
        <f t="shared" si="213"/>
        <v>557050000</v>
      </c>
      <c r="X273" s="13"/>
      <c r="Y273" s="4"/>
      <c r="Z273" s="4"/>
      <c r="AA273" s="4"/>
      <c r="AB273" s="4"/>
      <c r="AC273" s="4"/>
    </row>
    <row r="274" spans="1:29" ht="20.25" customHeight="1">
      <c r="A274" s="14"/>
      <c r="B274" s="87"/>
      <c r="C274" s="88"/>
      <c r="D274" s="89"/>
      <c r="E274" s="90"/>
      <c r="F274" s="109">
        <f>IF((G274="BARANG"),"T1",0)</f>
        <v>0</v>
      </c>
      <c r="G274" s="91"/>
      <c r="H274" s="90"/>
      <c r="I274" s="91"/>
      <c r="J274" s="92" t="s">
        <v>339</v>
      </c>
      <c r="K274" s="92" t="e">
        <f>SUM(K263:K273)</f>
        <v>#REF!</v>
      </c>
      <c r="L274" s="90"/>
      <c r="M274" s="91"/>
      <c r="N274" s="92" t="s">
        <v>286</v>
      </c>
      <c r="O274" s="92" t="e">
        <f>SUM(O263:O273)</f>
        <v>#REF!</v>
      </c>
      <c r="P274" s="90"/>
      <c r="Q274" s="91"/>
      <c r="R274" s="92" t="s">
        <v>286</v>
      </c>
      <c r="S274" s="92" t="e">
        <f>SUM(S263:S273)</f>
        <v>#REF!</v>
      </c>
      <c r="T274" s="90"/>
      <c r="U274" s="91"/>
      <c r="V274" s="92" t="s">
        <v>286</v>
      </c>
      <c r="W274" s="92" t="e">
        <f>SUM(W263:W273)</f>
        <v>#REF!</v>
      </c>
      <c r="X274" s="13" t="e">
        <f>K274-O274+S274</f>
        <v>#REF!</v>
      </c>
      <c r="Y274" s="3" t="e">
        <f>SUM(R273)</f>
        <v>#REF!</v>
      </c>
      <c r="Z274" s="3"/>
      <c r="AA274" s="3"/>
      <c r="AB274" s="3"/>
      <c r="AC274" s="3"/>
    </row>
    <row r="275" spans="1:29" ht="20.25" customHeight="1">
      <c r="A275" s="361" t="s">
        <v>409</v>
      </c>
      <c r="B275" s="94" t="s">
        <v>410</v>
      </c>
      <c r="C275" s="95"/>
      <c r="D275" s="388" t="s">
        <v>411</v>
      </c>
      <c r="E275" s="285"/>
      <c r="F275" s="109" t="s">
        <v>399</v>
      </c>
      <c r="G275" s="98" t="s">
        <v>28</v>
      </c>
      <c r="H275" s="285">
        <v>1</v>
      </c>
      <c r="I275" s="98" t="s">
        <v>26</v>
      </c>
      <c r="J275" s="100">
        <f>500000000</f>
        <v>500000000</v>
      </c>
      <c r="K275" s="386">
        <f>J275*H275</f>
        <v>500000000</v>
      </c>
      <c r="L275" s="285">
        <v>1</v>
      </c>
      <c r="M275" s="98" t="s">
        <v>26</v>
      </c>
      <c r="N275" s="100">
        <f>500000000</f>
        <v>500000000</v>
      </c>
      <c r="O275" s="386">
        <f>N275*L275</f>
        <v>500000000</v>
      </c>
      <c r="P275" s="285"/>
      <c r="Q275" s="98" t="s">
        <v>26</v>
      </c>
      <c r="R275" s="100">
        <f>500000000*0</f>
        <v>0</v>
      </c>
      <c r="S275" s="386">
        <f>R275*P275</f>
        <v>0</v>
      </c>
      <c r="T275" s="48">
        <f>H275-L275+P275</f>
        <v>0</v>
      </c>
      <c r="U275" s="98" t="s">
        <v>26</v>
      </c>
      <c r="V275" s="100">
        <f>J275</f>
        <v>500000000</v>
      </c>
      <c r="W275" s="386">
        <f>V275*T275</f>
        <v>0</v>
      </c>
      <c r="X275" s="13"/>
      <c r="Y275" s="4"/>
      <c r="Z275" s="4"/>
      <c r="AA275" s="4"/>
      <c r="AB275" s="4"/>
      <c r="AC275" s="4"/>
    </row>
    <row r="276" spans="1:29" ht="20.25" customHeight="1">
      <c r="A276" s="14"/>
      <c r="B276" s="87"/>
      <c r="C276" s="88"/>
      <c r="D276" s="89"/>
      <c r="E276" s="90"/>
      <c r="F276" s="109">
        <f>IF((G276="BARANG"),"T1",0)</f>
        <v>0</v>
      </c>
      <c r="G276" s="91"/>
      <c r="H276" s="90"/>
      <c r="I276" s="91"/>
      <c r="J276" s="92" t="s">
        <v>287</v>
      </c>
      <c r="K276" s="92">
        <f>K275</f>
        <v>500000000</v>
      </c>
      <c r="L276" s="90"/>
      <c r="M276" s="91"/>
      <c r="N276" s="92" t="s">
        <v>287</v>
      </c>
      <c r="O276" s="92">
        <f>O275</f>
        <v>500000000</v>
      </c>
      <c r="P276" s="90"/>
      <c r="Q276" s="91"/>
      <c r="R276" s="92" t="s">
        <v>287</v>
      </c>
      <c r="S276" s="92">
        <f>S275</f>
        <v>0</v>
      </c>
      <c r="T276" s="90"/>
      <c r="U276" s="91"/>
      <c r="V276" s="92" t="s">
        <v>287</v>
      </c>
      <c r="W276" s="92">
        <f>W275</f>
        <v>0</v>
      </c>
      <c r="X276" s="13">
        <f>K276-O276+S276</f>
        <v>0</v>
      </c>
      <c r="Y276" s="3"/>
      <c r="Z276" s="3"/>
      <c r="AA276" s="3"/>
      <c r="AB276" s="3"/>
      <c r="AC276" s="3"/>
    </row>
    <row r="277" spans="1:29" ht="20.25" customHeight="1">
      <c r="A277" s="361" t="s">
        <v>412</v>
      </c>
      <c r="B277" s="87" t="s">
        <v>413</v>
      </c>
      <c r="C277" s="95"/>
      <c r="D277" s="388"/>
      <c r="E277" s="285"/>
      <c r="F277" s="109" t="s">
        <v>399</v>
      </c>
      <c r="G277" s="98" t="s">
        <v>414</v>
      </c>
      <c r="H277" s="285">
        <v>1</v>
      </c>
      <c r="I277" s="98" t="s">
        <v>415</v>
      </c>
      <c r="J277" s="286">
        <v>1500000000</v>
      </c>
      <c r="K277" s="100">
        <f>+J277*H277</f>
        <v>1500000000</v>
      </c>
      <c r="L277" s="285"/>
      <c r="M277" s="98"/>
      <c r="N277" s="286"/>
      <c r="O277" s="100"/>
      <c r="P277" s="285">
        <v>1</v>
      </c>
      <c r="Q277" s="98" t="s">
        <v>415</v>
      </c>
      <c r="R277" s="286">
        <v>2023620223</v>
      </c>
      <c r="S277" s="100">
        <f>+R277*P277</f>
        <v>2023620223</v>
      </c>
      <c r="T277" s="48">
        <v>1</v>
      </c>
      <c r="U277" s="98" t="s">
        <v>47</v>
      </c>
      <c r="V277" s="100">
        <f>2000000000+Y286</f>
        <v>2016477889.1609344</v>
      </c>
      <c r="W277" s="386">
        <f>V277*T277</f>
        <v>2016477889.1609344</v>
      </c>
      <c r="X277" s="8"/>
      <c r="Y277" s="4"/>
      <c r="Z277" s="4"/>
      <c r="AA277" s="4"/>
      <c r="AB277" s="4"/>
      <c r="AC277" s="4"/>
    </row>
    <row r="278" spans="1:29" ht="20.25" customHeight="1">
      <c r="A278" s="14"/>
      <c r="B278" s="87"/>
      <c r="C278" s="88"/>
      <c r="D278" s="89"/>
      <c r="E278" s="90"/>
      <c r="F278" s="109">
        <f>IF((G278="BARANG"),"T1",0)</f>
        <v>0</v>
      </c>
      <c r="G278" s="91"/>
      <c r="H278" s="90"/>
      <c r="I278" s="91"/>
      <c r="J278" s="92" t="s">
        <v>304</v>
      </c>
      <c r="K278" s="92">
        <f>+K277</f>
        <v>1500000000</v>
      </c>
      <c r="L278" s="90"/>
      <c r="M278" s="91"/>
      <c r="N278" s="92" t="s">
        <v>304</v>
      </c>
      <c r="O278" s="92">
        <f>+O277</f>
        <v>0</v>
      </c>
      <c r="P278" s="90"/>
      <c r="Q278" s="91"/>
      <c r="R278" s="92" t="s">
        <v>304</v>
      </c>
      <c r="S278" s="92">
        <f>+S277</f>
        <v>2023620223</v>
      </c>
      <c r="T278" s="90"/>
      <c r="U278" s="91"/>
      <c r="V278" s="92" t="s">
        <v>304</v>
      </c>
      <c r="W278" s="92">
        <f>+W277</f>
        <v>2016477889.1609344</v>
      </c>
      <c r="X278" s="13">
        <f>K278-O278+S278</f>
        <v>3523620223</v>
      </c>
      <c r="Y278" s="11" t="e">
        <f>X2+V277</f>
        <v>#REF!</v>
      </c>
      <c r="Z278" s="3"/>
      <c r="AA278" s="3"/>
      <c r="AB278" s="3"/>
      <c r="AC278" s="3"/>
    </row>
    <row r="279" spans="1:29" ht="20.25" customHeight="1">
      <c r="A279" s="207"/>
      <c r="B279" s="105"/>
      <c r="C279" s="106"/>
      <c r="D279" s="288"/>
      <c r="E279" s="265"/>
      <c r="F279" s="266"/>
      <c r="G279" s="266"/>
      <c r="H279" s="265"/>
      <c r="I279" s="266"/>
      <c r="J279" s="111"/>
      <c r="K279" s="111"/>
      <c r="L279" s="265"/>
      <c r="M279" s="266"/>
      <c r="N279" s="111"/>
      <c r="O279" s="111"/>
      <c r="P279" s="265"/>
      <c r="Q279" s="266"/>
      <c r="R279" s="111"/>
      <c r="S279" s="111"/>
      <c r="T279" s="265"/>
      <c r="U279" s="266"/>
      <c r="V279" s="111"/>
      <c r="W279" s="111"/>
      <c r="X279" s="8"/>
      <c r="Y279" s="4"/>
      <c r="Z279" s="4"/>
      <c r="AA279" s="4"/>
      <c r="AB279" s="4"/>
      <c r="AC279" s="4"/>
    </row>
    <row r="280" spans="1:29" ht="20.25" customHeight="1">
      <c r="A280" s="42"/>
      <c r="B280" s="52"/>
      <c r="C280" s="113"/>
      <c r="D280" s="172"/>
      <c r="E280" s="46"/>
      <c r="F280" s="47"/>
      <c r="G280" s="47"/>
      <c r="H280" s="46"/>
      <c r="I280" s="47"/>
      <c r="J280" s="50"/>
      <c r="K280" s="50"/>
      <c r="L280" s="46"/>
      <c r="M280" s="47"/>
      <c r="N280" s="50"/>
      <c r="O280" s="50"/>
      <c r="P280" s="46"/>
      <c r="Q280" s="47"/>
      <c r="R280" s="50"/>
      <c r="S280" s="50"/>
      <c r="T280" s="46"/>
      <c r="U280" s="47"/>
      <c r="V280" s="50"/>
      <c r="W280" s="50"/>
      <c r="X280" s="8"/>
      <c r="Y280" s="4"/>
      <c r="Z280" s="4"/>
      <c r="AA280" s="4"/>
      <c r="AB280" s="4"/>
      <c r="AC280" s="4"/>
    </row>
    <row r="281" spans="1:29" ht="20.25" customHeight="1">
      <c r="A281" s="151"/>
      <c r="B281" s="116"/>
      <c r="C281" s="117"/>
      <c r="D281" s="281"/>
      <c r="E281" s="119"/>
      <c r="F281" s="121"/>
      <c r="G281" s="121"/>
      <c r="H281" s="119"/>
      <c r="I281" s="121"/>
      <c r="J281" s="122"/>
      <c r="K281" s="122"/>
      <c r="L281" s="119"/>
      <c r="M281" s="121"/>
      <c r="N281" s="122"/>
      <c r="O281" s="122"/>
      <c r="P281" s="119"/>
      <c r="Q281" s="121"/>
      <c r="R281" s="122"/>
      <c r="S281" s="122"/>
      <c r="T281" s="119"/>
      <c r="U281" s="121"/>
      <c r="V281" s="122"/>
      <c r="W281" s="122"/>
      <c r="X281" s="8"/>
      <c r="Y281" s="4"/>
      <c r="Z281" s="4"/>
      <c r="AA281" s="4"/>
      <c r="AB281" s="4"/>
      <c r="AC281" s="4"/>
    </row>
    <row r="282" spans="1:29" ht="20.25" customHeight="1">
      <c r="A282" s="366"/>
      <c r="B282" s="367"/>
      <c r="C282" s="368"/>
      <c r="D282" s="369"/>
      <c r="E282" s="370"/>
      <c r="F282" s="371"/>
      <c r="G282" s="371"/>
      <c r="H282" s="370"/>
      <c r="I282" s="371"/>
      <c r="J282" s="372" t="s">
        <v>369</v>
      </c>
      <c r="K282" s="372" t="e">
        <f>+K274+K262+K276+K278</f>
        <v>#REF!</v>
      </c>
      <c r="L282" s="370"/>
      <c r="M282" s="371"/>
      <c r="N282" s="372" t="s">
        <v>369</v>
      </c>
      <c r="O282" s="372" t="e">
        <f>+O274+O262+O276+O278</f>
        <v>#REF!</v>
      </c>
      <c r="P282" s="370"/>
      <c r="Q282" s="371"/>
      <c r="R282" s="372" t="s">
        <v>369</v>
      </c>
      <c r="S282" s="372" t="e">
        <f>+S274+S262+S276+S278</f>
        <v>#REF!</v>
      </c>
      <c r="T282" s="370"/>
      <c r="U282" s="371"/>
      <c r="V282" s="372" t="s">
        <v>369</v>
      </c>
      <c r="W282" s="372" t="e">
        <f>+W274+W262+W276+W278</f>
        <v>#REF!</v>
      </c>
      <c r="X282" s="13" t="e">
        <f>K282-O282+S282</f>
        <v>#REF!</v>
      </c>
      <c r="Y282" s="13" t="e">
        <f>K282-O282+S282</f>
        <v>#REF!</v>
      </c>
      <c r="Z282" s="3"/>
      <c r="AA282" s="3"/>
      <c r="AB282" s="3"/>
      <c r="AC282" s="3"/>
    </row>
    <row r="283" spans="1:29" ht="20.25" hidden="1" customHeight="1">
      <c r="A283" s="373"/>
      <c r="B283" s="4"/>
      <c r="C283" s="4"/>
      <c r="D283" s="4"/>
      <c r="E283" s="374"/>
      <c r="F283" s="373"/>
      <c r="G283" s="373"/>
      <c r="H283" s="374"/>
      <c r="I283" s="373"/>
      <c r="J283" s="8" t="s">
        <v>370</v>
      </c>
      <c r="K283" s="8">
        <v>92196000000</v>
      </c>
      <c r="L283" s="374"/>
      <c r="M283" s="373"/>
      <c r="N283" s="8" t="s">
        <v>370</v>
      </c>
      <c r="O283" s="8">
        <v>92196000000</v>
      </c>
      <c r="P283" s="374"/>
      <c r="Q283" s="373"/>
      <c r="R283" s="8" t="s">
        <v>370</v>
      </c>
      <c r="S283" s="8">
        <v>92196000000</v>
      </c>
      <c r="T283" s="374"/>
      <c r="U283" s="373"/>
      <c r="V283" s="8" t="s">
        <v>370</v>
      </c>
      <c r="W283" s="8">
        <v>92196000000</v>
      </c>
      <c r="X283" s="8"/>
      <c r="Y283" s="4"/>
      <c r="Z283" s="4"/>
      <c r="AA283" s="4"/>
      <c r="AB283" s="4"/>
      <c r="AC283" s="4"/>
    </row>
    <row r="284" spans="1:29" ht="20.25" hidden="1" customHeight="1">
      <c r="A284" s="373"/>
      <c r="B284" s="4"/>
      <c r="C284" s="4"/>
      <c r="D284" s="4"/>
      <c r="E284" s="374"/>
      <c r="F284" s="373"/>
      <c r="G284" s="373"/>
      <c r="H284" s="374"/>
      <c r="I284" s="373"/>
      <c r="J284" s="8" t="s">
        <v>371</v>
      </c>
      <c r="K284" s="8" t="e">
        <f>+K283-K282</f>
        <v>#REF!</v>
      </c>
      <c r="L284" s="374"/>
      <c r="M284" s="373"/>
      <c r="N284" s="8" t="s">
        <v>371</v>
      </c>
      <c r="O284" s="8"/>
      <c r="P284" s="374"/>
      <c r="Q284" s="373"/>
      <c r="R284" s="8" t="s">
        <v>371</v>
      </c>
      <c r="S284" s="8" t="e">
        <f>W284</f>
        <v>#REF!</v>
      </c>
      <c r="T284" s="374"/>
      <c r="U284" s="373"/>
      <c r="V284" s="8" t="s">
        <v>372</v>
      </c>
      <c r="W284" s="375" t="e">
        <f>W283-W282</f>
        <v>#REF!</v>
      </c>
      <c r="X284" s="8"/>
      <c r="Y284" s="8" t="e">
        <f>S283-Y282</f>
        <v>#REF!</v>
      </c>
      <c r="Z284" s="4"/>
      <c r="AA284" s="4"/>
      <c r="AB284" s="4"/>
      <c r="AC284" s="4"/>
    </row>
    <row r="285" spans="1:29" ht="20.25" customHeight="1">
      <c r="A285" s="373"/>
      <c r="B285" s="4"/>
      <c r="C285" s="4"/>
      <c r="D285" s="4"/>
      <c r="E285" s="374"/>
      <c r="F285" s="373"/>
      <c r="G285" s="373"/>
      <c r="H285" s="374"/>
      <c r="I285" s="373"/>
      <c r="J285" s="8"/>
      <c r="K285" s="8"/>
      <c r="L285" s="374"/>
      <c r="M285" s="373"/>
      <c r="N285" s="8"/>
      <c r="O285" s="8"/>
      <c r="P285" s="374"/>
      <c r="Q285" s="373"/>
      <c r="R285" s="8"/>
      <c r="S285" s="8"/>
      <c r="T285" s="374"/>
      <c r="U285" s="373"/>
      <c r="V285" s="8"/>
      <c r="W285" s="8"/>
      <c r="X285" s="8"/>
      <c r="Y285" s="4" t="e">
        <f>W284+R277</f>
        <v>#REF!</v>
      </c>
      <c r="Z285" s="4"/>
      <c r="AA285" s="4"/>
      <c r="AB285" s="4"/>
      <c r="AC285" s="4"/>
    </row>
    <row r="286" spans="1:29" ht="20.25" customHeight="1">
      <c r="A286" s="373"/>
      <c r="B286" s="590" t="s">
        <v>416</v>
      </c>
      <c r="C286" s="591"/>
      <c r="D286" s="589"/>
      <c r="E286" s="374"/>
      <c r="F286" s="373"/>
      <c r="G286" s="373"/>
      <c r="H286" s="374"/>
      <c r="I286" s="373"/>
      <c r="J286" s="590"/>
      <c r="K286" s="589"/>
      <c r="L286" s="374"/>
      <c r="M286" s="373"/>
      <c r="N286" s="590"/>
      <c r="O286" s="589"/>
      <c r="P286" s="374"/>
      <c r="Q286" s="373"/>
      <c r="R286" s="590"/>
      <c r="S286" s="589"/>
      <c r="T286" s="374"/>
      <c r="U286" s="373"/>
      <c r="V286" s="590"/>
      <c r="W286" s="589"/>
      <c r="X286" s="389"/>
      <c r="Y286" s="4">
        <v>16477889.160934448</v>
      </c>
      <c r="Z286" s="4"/>
      <c r="AA286" s="4"/>
      <c r="AB286" s="4"/>
      <c r="AC286" s="4"/>
    </row>
    <row r="287" spans="1:29" ht="20.25" customHeight="1">
      <c r="A287" s="373"/>
      <c r="B287" s="590" t="s">
        <v>417</v>
      </c>
      <c r="C287" s="591"/>
      <c r="D287" s="589"/>
      <c r="E287" s="374"/>
      <c r="F287" s="373"/>
      <c r="G287" s="373"/>
      <c r="H287" s="374"/>
      <c r="I287" s="373"/>
      <c r="J287" s="588"/>
      <c r="K287" s="589"/>
      <c r="L287" s="374"/>
      <c r="M287" s="373"/>
      <c r="N287" s="588"/>
      <c r="O287" s="589"/>
      <c r="P287" s="374"/>
      <c r="Q287" s="373"/>
      <c r="R287" s="588"/>
      <c r="S287" s="589"/>
      <c r="T287" s="374"/>
      <c r="U287" s="373"/>
      <c r="V287" s="588" t="s">
        <v>418</v>
      </c>
      <c r="W287" s="589"/>
      <c r="X287" s="390"/>
      <c r="Y287" s="4"/>
      <c r="Z287" s="4"/>
      <c r="AA287" s="4"/>
      <c r="AB287" s="4"/>
      <c r="AC287" s="4"/>
    </row>
    <row r="288" spans="1:29" ht="20.25" customHeight="1">
      <c r="A288" s="373"/>
      <c r="B288" s="590" t="s">
        <v>419</v>
      </c>
      <c r="C288" s="591"/>
      <c r="D288" s="589"/>
      <c r="E288" s="374"/>
      <c r="F288" s="373"/>
      <c r="G288" s="373"/>
      <c r="H288" s="374"/>
      <c r="I288" s="373"/>
      <c r="J288" s="590"/>
      <c r="K288" s="589"/>
      <c r="L288" s="374"/>
      <c r="M288" s="373"/>
      <c r="N288" s="590"/>
      <c r="O288" s="589"/>
      <c r="P288" s="374"/>
      <c r="Q288" s="373"/>
      <c r="R288" s="590"/>
      <c r="S288" s="589"/>
      <c r="T288" s="374"/>
      <c r="U288" s="373"/>
      <c r="V288" s="590" t="s">
        <v>420</v>
      </c>
      <c r="W288" s="589"/>
      <c r="X288" s="389"/>
      <c r="Y288" s="4"/>
      <c r="Z288" s="4"/>
      <c r="AA288" s="4"/>
      <c r="AB288" s="4"/>
      <c r="AC288" s="4"/>
    </row>
    <row r="289" spans="1:29" ht="20.25" customHeight="1">
      <c r="A289" s="373"/>
      <c r="B289" s="4"/>
      <c r="C289" s="4"/>
      <c r="D289" s="373"/>
      <c r="E289" s="374"/>
      <c r="F289" s="373"/>
      <c r="G289" s="373"/>
      <c r="H289" s="374"/>
      <c r="I289" s="373"/>
      <c r="J289" s="373"/>
      <c r="K289" s="4"/>
      <c r="L289" s="374"/>
      <c r="M289" s="373"/>
      <c r="N289" s="373"/>
      <c r="O289" s="4"/>
      <c r="P289" s="374"/>
      <c r="Q289" s="373"/>
      <c r="R289" s="373"/>
      <c r="S289" s="4"/>
      <c r="T289" s="374"/>
      <c r="U289" s="373"/>
      <c r="V289" s="373"/>
      <c r="W289" s="4"/>
      <c r="X289" s="4"/>
      <c r="Y289" s="4"/>
      <c r="Z289" s="4"/>
      <c r="AA289" s="4"/>
      <c r="AB289" s="4"/>
      <c r="AC289" s="4"/>
    </row>
    <row r="290" spans="1:29" ht="20.25" customHeight="1">
      <c r="A290" s="373"/>
      <c r="B290" s="4"/>
      <c r="C290" s="4"/>
      <c r="D290" s="373"/>
      <c r="E290" s="374"/>
      <c r="F290" s="373"/>
      <c r="G290" s="373"/>
      <c r="H290" s="374"/>
      <c r="I290" s="373"/>
      <c r="J290" s="373"/>
      <c r="K290" s="4"/>
      <c r="L290" s="374"/>
      <c r="M290" s="373"/>
      <c r="N290" s="373"/>
      <c r="O290" s="4"/>
      <c r="P290" s="374"/>
      <c r="Q290" s="373"/>
      <c r="R290" s="373"/>
      <c r="S290" s="4"/>
      <c r="T290" s="374"/>
      <c r="U290" s="373"/>
      <c r="V290" s="373"/>
      <c r="W290" s="4"/>
      <c r="X290" s="4"/>
      <c r="Y290" s="4"/>
      <c r="Z290" s="4"/>
      <c r="AA290" s="4"/>
      <c r="AB290" s="4"/>
      <c r="AC290" s="4"/>
    </row>
    <row r="291" spans="1:29" ht="20.25" customHeight="1">
      <c r="A291" s="373"/>
      <c r="B291" s="4"/>
      <c r="C291" s="4"/>
      <c r="D291" s="373"/>
      <c r="E291" s="374"/>
      <c r="F291" s="373"/>
      <c r="G291" s="373"/>
      <c r="H291" s="374"/>
      <c r="I291" s="373"/>
      <c r="J291" s="373"/>
      <c r="K291" s="4"/>
      <c r="L291" s="374"/>
      <c r="M291" s="373"/>
      <c r="N291" s="373"/>
      <c r="O291" s="4"/>
      <c r="P291" s="374"/>
      <c r="Q291" s="373"/>
      <c r="R291" s="373"/>
      <c r="S291" s="4"/>
      <c r="T291" s="374"/>
      <c r="U291" s="373"/>
      <c r="V291" s="373"/>
      <c r="W291" s="4"/>
      <c r="X291" s="4"/>
      <c r="Y291" s="4"/>
      <c r="Z291" s="4"/>
      <c r="AA291" s="4"/>
      <c r="AB291" s="4"/>
      <c r="AC291" s="4"/>
    </row>
    <row r="292" spans="1:29" ht="20.25" customHeight="1">
      <c r="A292" s="373"/>
      <c r="B292" s="4"/>
      <c r="C292" s="4"/>
      <c r="D292" s="373"/>
      <c r="E292" s="374"/>
      <c r="F292" s="373"/>
      <c r="G292" s="373"/>
      <c r="H292" s="374"/>
      <c r="I292" s="373"/>
      <c r="J292" s="373"/>
      <c r="K292" s="4"/>
      <c r="L292" s="374"/>
      <c r="M292" s="373"/>
      <c r="N292" s="373"/>
      <c r="O292" s="4"/>
      <c r="P292" s="374"/>
      <c r="Q292" s="373"/>
      <c r="R292" s="373"/>
      <c r="S292" s="4"/>
      <c r="T292" s="374"/>
      <c r="U292" s="373"/>
      <c r="V292" s="373"/>
      <c r="W292" s="4"/>
      <c r="X292" s="4"/>
      <c r="Y292" s="4"/>
      <c r="Z292" s="4"/>
      <c r="AA292" s="4"/>
      <c r="AB292" s="4"/>
      <c r="AC292" s="4"/>
    </row>
    <row r="293" spans="1:29" ht="20.25" customHeight="1">
      <c r="A293" s="373"/>
      <c r="B293" s="4"/>
      <c r="C293" s="4"/>
      <c r="D293" s="4"/>
      <c r="E293" s="374"/>
      <c r="F293" s="373"/>
      <c r="G293" s="373"/>
      <c r="H293" s="374"/>
      <c r="I293" s="373"/>
      <c r="J293" s="8"/>
      <c r="K293" s="8"/>
      <c r="L293" s="374"/>
      <c r="M293" s="373"/>
      <c r="N293" s="8"/>
      <c r="O293" s="8"/>
      <c r="P293" s="374"/>
      <c r="Q293" s="373"/>
      <c r="R293" s="8"/>
      <c r="S293" s="8"/>
      <c r="T293" s="374"/>
      <c r="U293" s="373"/>
      <c r="V293" s="8"/>
      <c r="W293" s="8"/>
      <c r="X293" s="8"/>
      <c r="Y293" s="4"/>
      <c r="Z293" s="4"/>
      <c r="AA293" s="4"/>
      <c r="AB293" s="4"/>
      <c r="AC293" s="4"/>
    </row>
    <row r="294" spans="1:29" ht="20.25" customHeight="1">
      <c r="A294" s="373"/>
      <c r="B294" s="4"/>
      <c r="C294" s="4"/>
      <c r="D294" s="4"/>
      <c r="E294" s="374"/>
      <c r="F294" s="373"/>
      <c r="G294" s="373"/>
      <c r="H294" s="374"/>
      <c r="I294" s="373"/>
      <c r="J294" s="8"/>
      <c r="K294" s="8"/>
      <c r="L294" s="374"/>
      <c r="M294" s="373"/>
      <c r="N294" s="8"/>
      <c r="O294" s="8"/>
      <c r="P294" s="374"/>
      <c r="Q294" s="373"/>
      <c r="R294" s="8"/>
      <c r="S294" s="8"/>
      <c r="T294" s="374"/>
      <c r="U294" s="373"/>
      <c r="V294" s="8"/>
      <c r="W294" s="8"/>
      <c r="X294" s="8"/>
      <c r="Y294" s="4"/>
      <c r="Z294" s="4"/>
      <c r="AA294" s="4"/>
      <c r="AB294" s="4"/>
      <c r="AC294" s="4"/>
    </row>
    <row r="295" spans="1:29" ht="20.25" customHeight="1">
      <c r="A295" s="373"/>
      <c r="B295" s="4"/>
      <c r="C295" s="4"/>
      <c r="D295" s="4"/>
      <c r="E295" s="374"/>
      <c r="F295" s="373"/>
      <c r="G295" s="373"/>
      <c r="H295" s="374"/>
      <c r="I295" s="373"/>
      <c r="J295" s="8"/>
      <c r="K295" s="8"/>
      <c r="L295" s="374"/>
      <c r="M295" s="373"/>
      <c r="N295" s="8"/>
      <c r="O295" s="8"/>
      <c r="P295" s="374"/>
      <c r="Q295" s="373"/>
      <c r="R295" s="8"/>
      <c r="S295" s="8"/>
      <c r="T295" s="374"/>
      <c r="U295" s="373"/>
      <c r="V295" s="8"/>
      <c r="W295" s="8"/>
      <c r="X295" s="8"/>
      <c r="Y295" s="4"/>
      <c r="Z295" s="4"/>
      <c r="AA295" s="4"/>
      <c r="AB295" s="4"/>
      <c r="AC295" s="4"/>
    </row>
    <row r="296" spans="1:29" ht="20.25" customHeight="1">
      <c r="A296" s="4"/>
      <c r="B296" s="4"/>
      <c r="C296" s="4"/>
      <c r="D296" s="4"/>
      <c r="E296" s="373"/>
      <c r="F296" s="373"/>
      <c r="G296" s="373"/>
      <c r="H296" s="4"/>
      <c r="I296" s="4"/>
      <c r="J296" s="4"/>
      <c r="K296" s="4"/>
      <c r="L296" s="374"/>
      <c r="M296" s="373"/>
      <c r="N296" s="4"/>
      <c r="O296" s="4"/>
      <c r="P296" s="374"/>
      <c r="Q296" s="373"/>
      <c r="R296" s="4"/>
      <c r="S296" s="4"/>
      <c r="T296" s="374"/>
      <c r="U296" s="373"/>
      <c r="V296" s="4"/>
      <c r="W296" s="4"/>
      <c r="X296" s="4"/>
      <c r="Y296" s="4"/>
      <c r="Z296" s="4"/>
      <c r="AA296" s="4"/>
      <c r="AB296" s="4"/>
      <c r="AC296" s="4"/>
    </row>
    <row r="297" spans="1:29" ht="20.25" customHeight="1">
      <c r="A297" s="4"/>
      <c r="B297" s="4"/>
      <c r="C297" s="4"/>
      <c r="D297" s="4"/>
      <c r="E297" s="373"/>
      <c r="F297" s="373"/>
      <c r="G297" s="373"/>
      <c r="H297" s="4"/>
      <c r="I297" s="4"/>
      <c r="J297" s="4"/>
      <c r="K297" s="4"/>
      <c r="L297" s="374"/>
      <c r="M297" s="373"/>
      <c r="N297" s="4"/>
      <c r="O297" s="4"/>
      <c r="P297" s="374"/>
      <c r="Q297" s="373"/>
      <c r="R297" s="4"/>
      <c r="S297" s="4"/>
      <c r="T297" s="374"/>
      <c r="U297" s="373"/>
      <c r="V297" s="4"/>
      <c r="W297" s="4"/>
      <c r="X297" s="4"/>
      <c r="Y297" s="4"/>
      <c r="Z297" s="4"/>
      <c r="AA297" s="4"/>
      <c r="AB297" s="4"/>
      <c r="AC297" s="4"/>
    </row>
    <row r="298" spans="1:29" ht="20.25" customHeight="1">
      <c r="A298" s="4"/>
      <c r="B298" s="4"/>
      <c r="C298" s="4"/>
      <c r="D298" s="4"/>
      <c r="E298" s="373"/>
      <c r="F298" s="373"/>
      <c r="G298" s="373"/>
      <c r="H298" s="4"/>
      <c r="I298" s="4"/>
      <c r="J298" s="4"/>
      <c r="K298" s="4"/>
      <c r="L298" s="374"/>
      <c r="M298" s="373"/>
      <c r="N298" s="4"/>
      <c r="O298" s="4"/>
      <c r="P298" s="374"/>
      <c r="Q298" s="373"/>
      <c r="R298" s="4"/>
      <c r="S298" s="4"/>
      <c r="T298" s="374"/>
      <c r="U298" s="373"/>
      <c r="V298" s="4"/>
      <c r="W298" s="4"/>
      <c r="X298" s="4"/>
      <c r="Y298" s="4"/>
      <c r="Z298" s="4"/>
      <c r="AA298" s="4"/>
      <c r="AB298" s="4"/>
      <c r="AC298" s="4"/>
    </row>
    <row r="299" spans="1:29" ht="20.25" customHeight="1">
      <c r="A299" s="4"/>
      <c r="B299" s="4"/>
      <c r="C299" s="4"/>
      <c r="D299" s="4"/>
      <c r="E299" s="373"/>
      <c r="F299" s="373"/>
      <c r="G299" s="373"/>
      <c r="H299" s="4"/>
      <c r="I299" s="4"/>
      <c r="J299" s="4"/>
      <c r="K299" s="4"/>
      <c r="L299" s="374"/>
      <c r="M299" s="373"/>
      <c r="N299" s="4"/>
      <c r="O299" s="4"/>
      <c r="P299" s="374"/>
      <c r="Q299" s="373"/>
      <c r="R299" s="4"/>
      <c r="S299" s="4"/>
      <c r="T299" s="374"/>
      <c r="U299" s="373"/>
      <c r="V299" s="4"/>
      <c r="W299" s="4"/>
      <c r="X299" s="4"/>
      <c r="Y299" s="4"/>
      <c r="Z299" s="4"/>
      <c r="AA299" s="4"/>
      <c r="AB299" s="4"/>
      <c r="AC299" s="4"/>
    </row>
    <row r="300" spans="1:29" ht="20.25" customHeight="1">
      <c r="A300" s="4"/>
      <c r="B300" s="4"/>
      <c r="C300" s="4"/>
      <c r="D300" s="4"/>
      <c r="E300" s="373"/>
      <c r="F300" s="373"/>
      <c r="G300" s="373"/>
      <c r="H300" s="4"/>
      <c r="I300" s="4"/>
      <c r="J300" s="4"/>
      <c r="K300" s="4"/>
      <c r="L300" s="374"/>
      <c r="M300" s="373"/>
      <c r="N300" s="4"/>
      <c r="O300" s="4"/>
      <c r="P300" s="374"/>
      <c r="Q300" s="373"/>
      <c r="R300" s="4"/>
      <c r="S300" s="4"/>
      <c r="T300" s="374"/>
      <c r="U300" s="373"/>
      <c r="V300" s="4"/>
      <c r="W300" s="4"/>
      <c r="X300" s="4"/>
      <c r="Y300" s="4"/>
      <c r="Z300" s="4"/>
      <c r="AA300" s="4"/>
      <c r="AB300" s="4"/>
      <c r="AC300" s="4"/>
    </row>
    <row r="301" spans="1:29" ht="20.25" customHeight="1">
      <c r="A301" s="4"/>
      <c r="B301" s="4"/>
      <c r="C301" s="4"/>
      <c r="D301" s="4"/>
      <c r="E301" s="373"/>
      <c r="F301" s="373"/>
      <c r="G301" s="373"/>
      <c r="H301" s="4"/>
      <c r="I301" s="4"/>
      <c r="J301" s="4"/>
      <c r="K301" s="4"/>
      <c r="L301" s="374"/>
      <c r="M301" s="373"/>
      <c r="N301" s="4"/>
      <c r="O301" s="4"/>
      <c r="P301" s="374"/>
      <c r="Q301" s="373"/>
      <c r="R301" s="4"/>
      <c r="S301" s="4"/>
      <c r="T301" s="374"/>
      <c r="U301" s="373"/>
      <c r="V301" s="4"/>
      <c r="W301" s="4"/>
      <c r="X301" s="4"/>
      <c r="Y301" s="4"/>
      <c r="Z301" s="4"/>
      <c r="AA301" s="4"/>
      <c r="AB301" s="4"/>
      <c r="AC301" s="4"/>
    </row>
    <row r="302" spans="1:29" ht="20.25" customHeight="1">
      <c r="A302" s="4"/>
      <c r="B302" s="4"/>
      <c r="C302" s="4"/>
      <c r="D302" s="4"/>
      <c r="E302" s="373"/>
      <c r="F302" s="373"/>
      <c r="G302" s="373"/>
      <c r="H302" s="4"/>
      <c r="I302" s="4"/>
      <c r="J302" s="4"/>
      <c r="K302" s="4"/>
      <c r="L302" s="374"/>
      <c r="M302" s="373"/>
      <c r="N302" s="4"/>
      <c r="O302" s="4"/>
      <c r="P302" s="374"/>
      <c r="Q302" s="373"/>
      <c r="R302" s="4"/>
      <c r="S302" s="4"/>
      <c r="T302" s="374"/>
      <c r="U302" s="373"/>
      <c r="V302" s="4"/>
      <c r="W302" s="4"/>
      <c r="X302" s="4"/>
      <c r="Y302" s="4"/>
      <c r="Z302" s="4"/>
      <c r="AA302" s="4"/>
      <c r="AB302" s="4"/>
      <c r="AC302" s="4"/>
    </row>
    <row r="303" spans="1:29" ht="20.25" customHeight="1">
      <c r="A303" s="4"/>
      <c r="B303" s="4"/>
      <c r="C303" s="4"/>
      <c r="D303" s="4"/>
      <c r="E303" s="373"/>
      <c r="F303" s="373"/>
      <c r="G303" s="373"/>
      <c r="H303" s="4"/>
      <c r="I303" s="4"/>
      <c r="J303" s="4"/>
      <c r="K303" s="4"/>
      <c r="L303" s="374"/>
      <c r="M303" s="373"/>
      <c r="N303" s="4"/>
      <c r="O303" s="4"/>
      <c r="P303" s="374"/>
      <c r="Q303" s="373"/>
      <c r="R303" s="4"/>
      <c r="S303" s="4"/>
      <c r="T303" s="374"/>
      <c r="U303" s="373"/>
      <c r="V303" s="4"/>
      <c r="W303" s="4"/>
      <c r="X303" s="4"/>
      <c r="Y303" s="4"/>
      <c r="Z303" s="4"/>
      <c r="AA303" s="4"/>
      <c r="AB303" s="4"/>
      <c r="AC303" s="4"/>
    </row>
    <row r="304" spans="1:29" ht="20.25" customHeight="1">
      <c r="A304" s="4"/>
      <c r="B304" s="4"/>
      <c r="C304" s="4"/>
      <c r="D304" s="4"/>
      <c r="E304" s="373"/>
      <c r="F304" s="373"/>
      <c r="G304" s="373"/>
      <c r="H304" s="4"/>
      <c r="I304" s="4"/>
      <c r="J304" s="4"/>
      <c r="K304" s="4"/>
      <c r="L304" s="374"/>
      <c r="M304" s="373"/>
      <c r="N304" s="4"/>
      <c r="O304" s="4"/>
      <c r="P304" s="374"/>
      <c r="Q304" s="373"/>
      <c r="R304" s="4"/>
      <c r="S304" s="4"/>
      <c r="T304" s="374"/>
      <c r="U304" s="373"/>
      <c r="V304" s="4"/>
      <c r="W304" s="4"/>
      <c r="X304" s="4"/>
      <c r="Y304" s="4"/>
      <c r="Z304" s="4"/>
      <c r="AA304" s="4"/>
      <c r="AB304" s="4"/>
      <c r="AC304" s="4"/>
    </row>
    <row r="305" spans="1:29" ht="20.25" customHeight="1">
      <c r="A305" s="4"/>
      <c r="B305" s="4"/>
      <c r="C305" s="4"/>
      <c r="D305" s="4"/>
      <c r="E305" s="373"/>
      <c r="F305" s="373"/>
      <c r="G305" s="373"/>
      <c r="H305" s="4"/>
      <c r="I305" s="4"/>
      <c r="J305" s="4"/>
      <c r="K305" s="4"/>
      <c r="L305" s="374"/>
      <c r="M305" s="373"/>
      <c r="N305" s="4"/>
      <c r="O305" s="4"/>
      <c r="P305" s="374"/>
      <c r="Q305" s="373"/>
      <c r="R305" s="4"/>
      <c r="S305" s="4"/>
      <c r="T305" s="374"/>
      <c r="U305" s="373"/>
      <c r="V305" s="4"/>
      <c r="W305" s="4"/>
      <c r="X305" s="4"/>
      <c r="Y305" s="4"/>
      <c r="Z305" s="4"/>
      <c r="AA305" s="4"/>
      <c r="AB305" s="4"/>
      <c r="AC305" s="4"/>
    </row>
    <row r="306" spans="1:29" ht="20.25" customHeight="1">
      <c r="A306" s="4"/>
      <c r="B306" s="4"/>
      <c r="C306" s="4"/>
      <c r="D306" s="4"/>
      <c r="E306" s="373"/>
      <c r="F306" s="373"/>
      <c r="G306" s="373"/>
      <c r="H306" s="4"/>
      <c r="I306" s="4"/>
      <c r="J306" s="4"/>
      <c r="K306" s="4"/>
      <c r="L306" s="374"/>
      <c r="M306" s="373"/>
      <c r="N306" s="4"/>
      <c r="O306" s="4"/>
      <c r="P306" s="374"/>
      <c r="Q306" s="373"/>
      <c r="R306" s="4"/>
      <c r="S306" s="4"/>
      <c r="T306" s="374"/>
      <c r="U306" s="373"/>
      <c r="V306" s="4"/>
      <c r="W306" s="4"/>
      <c r="X306" s="4"/>
      <c r="Y306" s="4"/>
      <c r="Z306" s="4"/>
      <c r="AA306" s="4"/>
      <c r="AB306" s="4"/>
      <c r="AC306" s="4"/>
    </row>
    <row r="307" spans="1:29" ht="20.25" customHeight="1">
      <c r="A307" s="4"/>
      <c r="B307" s="4"/>
      <c r="C307" s="4"/>
      <c r="D307" s="4"/>
      <c r="E307" s="373"/>
      <c r="F307" s="373"/>
      <c r="G307" s="373"/>
      <c r="H307" s="4"/>
      <c r="I307" s="4"/>
      <c r="J307" s="4"/>
      <c r="K307" s="4"/>
      <c r="L307" s="374"/>
      <c r="M307" s="373"/>
      <c r="N307" s="4"/>
      <c r="O307" s="4"/>
      <c r="P307" s="374"/>
      <c r="Q307" s="373"/>
      <c r="R307" s="4"/>
      <c r="S307" s="4"/>
      <c r="T307" s="374"/>
      <c r="U307" s="373"/>
      <c r="V307" s="4"/>
      <c r="W307" s="4"/>
      <c r="X307" s="4"/>
      <c r="Y307" s="4"/>
      <c r="Z307" s="4"/>
      <c r="AA307" s="4"/>
      <c r="AB307" s="4"/>
      <c r="AC307" s="4"/>
    </row>
    <row r="308" spans="1:29" ht="20.25" customHeight="1">
      <c r="A308" s="4"/>
      <c r="B308" s="4"/>
      <c r="C308" s="4"/>
      <c r="D308" s="4"/>
      <c r="E308" s="373"/>
      <c r="F308" s="373"/>
      <c r="G308" s="373"/>
      <c r="H308" s="4"/>
      <c r="I308" s="4"/>
      <c r="J308" s="4"/>
      <c r="K308" s="4"/>
      <c r="L308" s="374"/>
      <c r="M308" s="373"/>
      <c r="N308" s="4"/>
      <c r="O308" s="4"/>
      <c r="P308" s="374"/>
      <c r="Q308" s="373"/>
      <c r="R308" s="4"/>
      <c r="S308" s="4"/>
      <c r="T308" s="374"/>
      <c r="U308" s="373"/>
      <c r="V308" s="4"/>
      <c r="W308" s="4"/>
      <c r="X308" s="4"/>
      <c r="Y308" s="4"/>
      <c r="Z308" s="4"/>
      <c r="AA308" s="4"/>
      <c r="AB308" s="4"/>
      <c r="AC308" s="4"/>
    </row>
    <row r="309" spans="1:29" ht="20.25" customHeight="1">
      <c r="A309" s="4"/>
      <c r="B309" s="4"/>
      <c r="C309" s="4"/>
      <c r="D309" s="4"/>
      <c r="E309" s="373"/>
      <c r="F309" s="373"/>
      <c r="G309" s="373"/>
      <c r="H309" s="4"/>
      <c r="I309" s="4"/>
      <c r="J309" s="4"/>
      <c r="K309" s="4"/>
      <c r="L309" s="374"/>
      <c r="M309" s="373"/>
      <c r="N309" s="4"/>
      <c r="O309" s="4"/>
      <c r="P309" s="374"/>
      <c r="Q309" s="373"/>
      <c r="R309" s="4"/>
      <c r="S309" s="4"/>
      <c r="T309" s="374"/>
      <c r="U309" s="373"/>
      <c r="V309" s="4"/>
      <c r="W309" s="4"/>
      <c r="X309" s="4"/>
      <c r="Y309" s="4"/>
      <c r="Z309" s="4"/>
      <c r="AA309" s="4"/>
      <c r="AB309" s="4"/>
      <c r="AC309" s="4"/>
    </row>
    <row r="310" spans="1:29" ht="20.25" customHeight="1">
      <c r="A310" s="4"/>
      <c r="B310" s="4"/>
      <c r="C310" s="4"/>
      <c r="D310" s="4"/>
      <c r="E310" s="373"/>
      <c r="F310" s="373"/>
      <c r="G310" s="373"/>
      <c r="H310" s="4"/>
      <c r="I310" s="4"/>
      <c r="J310" s="4"/>
      <c r="K310" s="4"/>
      <c r="L310" s="374"/>
      <c r="M310" s="373"/>
      <c r="N310" s="4"/>
      <c r="O310" s="4"/>
      <c r="P310" s="374"/>
      <c r="Q310" s="373"/>
      <c r="R310" s="4"/>
      <c r="S310" s="4"/>
      <c r="T310" s="374"/>
      <c r="U310" s="373"/>
      <c r="V310" s="4"/>
      <c r="W310" s="4"/>
      <c r="X310" s="4"/>
      <c r="Y310" s="4"/>
      <c r="Z310" s="4"/>
      <c r="AA310" s="4"/>
      <c r="AB310" s="4"/>
      <c r="AC310" s="4"/>
    </row>
    <row r="311" spans="1:29" ht="20.25" customHeight="1">
      <c r="A311" s="4"/>
      <c r="B311" s="4"/>
      <c r="C311" s="4"/>
      <c r="D311" s="4"/>
      <c r="E311" s="373"/>
      <c r="F311" s="373"/>
      <c r="G311" s="373"/>
      <c r="H311" s="4"/>
      <c r="I311" s="4"/>
      <c r="J311" s="4"/>
      <c r="K311" s="4"/>
      <c r="L311" s="374"/>
      <c r="M311" s="373"/>
      <c r="N311" s="4"/>
      <c r="O311" s="4"/>
      <c r="P311" s="374"/>
      <c r="Q311" s="373"/>
      <c r="R311" s="4"/>
      <c r="S311" s="4"/>
      <c r="T311" s="374"/>
      <c r="U311" s="373"/>
      <c r="V311" s="4"/>
      <c r="W311" s="4"/>
      <c r="X311" s="4"/>
      <c r="Y311" s="4"/>
      <c r="Z311" s="4"/>
      <c r="AA311" s="4"/>
      <c r="AB311" s="4"/>
      <c r="AC311" s="4"/>
    </row>
    <row r="312" spans="1:29" ht="20.25" customHeight="1">
      <c r="A312" s="4"/>
      <c r="B312" s="4"/>
      <c r="C312" s="4"/>
      <c r="D312" s="4"/>
      <c r="E312" s="373"/>
      <c r="F312" s="373"/>
      <c r="G312" s="373"/>
      <c r="H312" s="4"/>
      <c r="I312" s="4"/>
      <c r="J312" s="4"/>
      <c r="K312" s="4"/>
      <c r="L312" s="374"/>
      <c r="M312" s="373"/>
      <c r="N312" s="4"/>
      <c r="O312" s="4"/>
      <c r="P312" s="374"/>
      <c r="Q312" s="373"/>
      <c r="R312" s="4"/>
      <c r="S312" s="4"/>
      <c r="T312" s="374"/>
      <c r="U312" s="373"/>
      <c r="V312" s="4"/>
      <c r="W312" s="4"/>
      <c r="X312" s="4"/>
      <c r="Y312" s="4"/>
      <c r="Z312" s="4"/>
      <c r="AA312" s="4"/>
      <c r="AB312" s="4"/>
      <c r="AC312" s="4"/>
    </row>
    <row r="313" spans="1:29" ht="20.25" customHeight="1">
      <c r="A313" s="4"/>
      <c r="B313" s="4"/>
      <c r="C313" s="4"/>
      <c r="D313" s="4"/>
      <c r="E313" s="373"/>
      <c r="F313" s="373"/>
      <c r="G313" s="373"/>
      <c r="H313" s="4"/>
      <c r="I313" s="4"/>
      <c r="J313" s="4"/>
      <c r="K313" s="4"/>
      <c r="L313" s="374"/>
      <c r="M313" s="373"/>
      <c r="N313" s="4"/>
      <c r="O313" s="4"/>
      <c r="P313" s="374"/>
      <c r="Q313" s="373"/>
      <c r="R313" s="4"/>
      <c r="S313" s="4"/>
      <c r="T313" s="374"/>
      <c r="U313" s="373"/>
      <c r="V313" s="4"/>
      <c r="W313" s="4"/>
      <c r="X313" s="4"/>
      <c r="Y313" s="4"/>
      <c r="Z313" s="4"/>
      <c r="AA313" s="4"/>
      <c r="AB313" s="4"/>
      <c r="AC313" s="4"/>
    </row>
    <row r="314" spans="1:29" ht="20.25" customHeight="1">
      <c r="A314" s="4"/>
      <c r="B314" s="4"/>
      <c r="C314" s="4"/>
      <c r="D314" s="4"/>
      <c r="E314" s="373"/>
      <c r="F314" s="373"/>
      <c r="G314" s="373"/>
      <c r="H314" s="4"/>
      <c r="I314" s="4"/>
      <c r="J314" s="4"/>
      <c r="K314" s="4"/>
      <c r="L314" s="374"/>
      <c r="M314" s="373"/>
      <c r="N314" s="4"/>
      <c r="O314" s="4"/>
      <c r="P314" s="374"/>
      <c r="Q314" s="373"/>
      <c r="R314" s="4"/>
      <c r="S314" s="4"/>
      <c r="T314" s="374"/>
      <c r="U314" s="373"/>
      <c r="V314" s="4"/>
      <c r="W314" s="4"/>
      <c r="X314" s="4"/>
      <c r="Y314" s="4"/>
      <c r="Z314" s="4"/>
      <c r="AA314" s="4"/>
      <c r="AB314" s="4"/>
      <c r="AC314" s="4"/>
    </row>
    <row r="315" spans="1:29" ht="20.25" customHeight="1">
      <c r="A315" s="4"/>
      <c r="B315" s="4"/>
      <c r="C315" s="4"/>
      <c r="D315" s="4"/>
      <c r="E315" s="373"/>
      <c r="F315" s="373"/>
      <c r="G315" s="373"/>
      <c r="H315" s="4"/>
      <c r="I315" s="4"/>
      <c r="J315" s="4"/>
      <c r="K315" s="4"/>
      <c r="L315" s="374"/>
      <c r="M315" s="373"/>
      <c r="N315" s="4"/>
      <c r="O315" s="4"/>
      <c r="P315" s="374"/>
      <c r="Q315" s="373"/>
      <c r="R315" s="4"/>
      <c r="S315" s="4"/>
      <c r="T315" s="374"/>
      <c r="U315" s="373"/>
      <c r="V315" s="4"/>
      <c r="W315" s="4"/>
      <c r="X315" s="4"/>
      <c r="Y315" s="4"/>
      <c r="Z315" s="4"/>
      <c r="AA315" s="4"/>
      <c r="AB315" s="4"/>
      <c r="AC315" s="4"/>
    </row>
    <row r="316" spans="1:29" ht="20.25" customHeight="1">
      <c r="A316" s="4"/>
      <c r="B316" s="4"/>
      <c r="C316" s="4"/>
      <c r="D316" s="4"/>
      <c r="E316" s="373"/>
      <c r="F316" s="373"/>
      <c r="G316" s="373"/>
      <c r="H316" s="4"/>
      <c r="I316" s="4"/>
      <c r="J316" s="4"/>
      <c r="K316" s="4"/>
      <c r="L316" s="374"/>
      <c r="M316" s="373"/>
      <c r="N316" s="4"/>
      <c r="O316" s="4"/>
      <c r="P316" s="374"/>
      <c r="Q316" s="373"/>
      <c r="R316" s="4"/>
      <c r="S316" s="4"/>
      <c r="T316" s="374"/>
      <c r="U316" s="373"/>
      <c r="V316" s="4"/>
      <c r="W316" s="4"/>
      <c r="X316" s="4"/>
      <c r="Y316" s="4"/>
      <c r="Z316" s="4"/>
      <c r="AA316" s="4"/>
      <c r="AB316" s="4"/>
      <c r="AC316" s="4"/>
    </row>
    <row r="317" spans="1:29" ht="20.25" customHeight="1">
      <c r="A317" s="4"/>
      <c r="B317" s="4"/>
      <c r="C317" s="4"/>
      <c r="D317" s="4"/>
      <c r="E317" s="373"/>
      <c r="F317" s="373"/>
      <c r="G317" s="373"/>
      <c r="H317" s="4"/>
      <c r="I317" s="4"/>
      <c r="J317" s="4"/>
      <c r="K317" s="4"/>
      <c r="L317" s="374"/>
      <c r="M317" s="373"/>
      <c r="N317" s="4"/>
      <c r="O317" s="4"/>
      <c r="P317" s="374"/>
      <c r="Q317" s="373"/>
      <c r="R317" s="4"/>
      <c r="S317" s="4"/>
      <c r="T317" s="374"/>
      <c r="U317" s="373"/>
      <c r="V317" s="4"/>
      <c r="W317" s="4"/>
      <c r="X317" s="4"/>
      <c r="Y317" s="4"/>
      <c r="Z317" s="4"/>
      <c r="AA317" s="4"/>
      <c r="AB317" s="4"/>
      <c r="AC317" s="4"/>
    </row>
    <row r="318" spans="1:29" ht="20.25" customHeight="1">
      <c r="A318" s="4"/>
      <c r="B318" s="4"/>
      <c r="C318" s="4"/>
      <c r="D318" s="4"/>
      <c r="E318" s="373"/>
      <c r="F318" s="373"/>
      <c r="G318" s="373"/>
      <c r="H318" s="4"/>
      <c r="I318" s="4"/>
      <c r="J318" s="4"/>
      <c r="K318" s="4"/>
      <c r="L318" s="374"/>
      <c r="M318" s="373"/>
      <c r="N318" s="4"/>
      <c r="O318" s="4"/>
      <c r="P318" s="374"/>
      <c r="Q318" s="373"/>
      <c r="R318" s="4"/>
      <c r="S318" s="4"/>
      <c r="T318" s="374"/>
      <c r="U318" s="373"/>
      <c r="V318" s="4"/>
      <c r="W318" s="4"/>
      <c r="X318" s="4"/>
      <c r="Y318" s="4"/>
      <c r="Z318" s="4"/>
      <c r="AA318" s="4"/>
      <c r="AB318" s="4"/>
      <c r="AC318" s="4"/>
    </row>
    <row r="319" spans="1:29" ht="20.25" customHeight="1">
      <c r="A319" s="4"/>
      <c r="B319" s="4"/>
      <c r="C319" s="4"/>
      <c r="D319" s="4"/>
      <c r="E319" s="373"/>
      <c r="F319" s="373"/>
      <c r="G319" s="373"/>
      <c r="H319" s="4"/>
      <c r="I319" s="4"/>
      <c r="J319" s="4"/>
      <c r="K319" s="4"/>
      <c r="L319" s="374"/>
      <c r="M319" s="373"/>
      <c r="N319" s="4"/>
      <c r="O319" s="4"/>
      <c r="P319" s="374"/>
      <c r="Q319" s="373"/>
      <c r="R319" s="4"/>
      <c r="S319" s="4"/>
      <c r="T319" s="374"/>
      <c r="U319" s="373"/>
      <c r="V319" s="4"/>
      <c r="W319" s="4"/>
      <c r="X319" s="4"/>
      <c r="Y319" s="4"/>
      <c r="Z319" s="4"/>
      <c r="AA319" s="4"/>
      <c r="AB319" s="4"/>
      <c r="AC319" s="4"/>
    </row>
    <row r="320" spans="1:29" ht="20.25" customHeight="1">
      <c r="A320" s="4"/>
      <c r="B320" s="4"/>
      <c r="C320" s="4"/>
      <c r="D320" s="4"/>
      <c r="E320" s="373"/>
      <c r="F320" s="373"/>
      <c r="G320" s="373"/>
      <c r="H320" s="4"/>
      <c r="I320" s="4"/>
      <c r="J320" s="4"/>
      <c r="K320" s="4"/>
      <c r="L320" s="374"/>
      <c r="M320" s="373"/>
      <c r="N320" s="4"/>
      <c r="O320" s="4"/>
      <c r="P320" s="374"/>
      <c r="Q320" s="373"/>
      <c r="R320" s="4"/>
      <c r="S320" s="4"/>
      <c r="T320" s="374"/>
      <c r="U320" s="373"/>
      <c r="V320" s="4"/>
      <c r="W320" s="4"/>
      <c r="X320" s="4"/>
      <c r="Y320" s="4"/>
      <c r="Z320" s="4"/>
      <c r="AA320" s="4"/>
      <c r="AB320" s="4"/>
      <c r="AC320" s="4"/>
    </row>
    <row r="321" spans="1:29" ht="20.25" customHeight="1">
      <c r="A321" s="4"/>
      <c r="B321" s="4"/>
      <c r="C321" s="4"/>
      <c r="D321" s="4"/>
      <c r="E321" s="373"/>
      <c r="F321" s="373"/>
      <c r="G321" s="373"/>
      <c r="H321" s="4"/>
      <c r="I321" s="4"/>
      <c r="J321" s="4"/>
      <c r="K321" s="4"/>
      <c r="L321" s="374"/>
      <c r="M321" s="373"/>
      <c r="N321" s="4"/>
      <c r="O321" s="4"/>
      <c r="P321" s="374"/>
      <c r="Q321" s="373"/>
      <c r="R321" s="4"/>
      <c r="S321" s="4"/>
      <c r="T321" s="374"/>
      <c r="U321" s="373"/>
      <c r="V321" s="4"/>
      <c r="W321" s="4"/>
      <c r="X321" s="4"/>
      <c r="Y321" s="4"/>
      <c r="Z321" s="4"/>
      <c r="AA321" s="4"/>
      <c r="AB321" s="4"/>
      <c r="AC321" s="4"/>
    </row>
    <row r="322" spans="1:29" ht="20.25" customHeight="1">
      <c r="A322" s="4"/>
      <c r="B322" s="4"/>
      <c r="C322" s="4"/>
      <c r="D322" s="4"/>
      <c r="E322" s="373"/>
      <c r="F322" s="373"/>
      <c r="G322" s="373"/>
      <c r="H322" s="4"/>
      <c r="I322" s="4"/>
      <c r="J322" s="4"/>
      <c r="K322" s="4"/>
      <c r="L322" s="374"/>
      <c r="M322" s="373"/>
      <c r="N322" s="4"/>
      <c r="O322" s="4"/>
      <c r="P322" s="374"/>
      <c r="Q322" s="373"/>
      <c r="R322" s="4"/>
      <c r="S322" s="4"/>
      <c r="T322" s="374"/>
      <c r="U322" s="373"/>
      <c r="V322" s="4"/>
      <c r="W322" s="4"/>
      <c r="X322" s="4"/>
      <c r="Y322" s="4"/>
      <c r="Z322" s="4"/>
      <c r="AA322" s="4"/>
      <c r="AB322" s="4"/>
      <c r="AC322" s="4"/>
    </row>
    <row r="323" spans="1:29" ht="20.25" customHeight="1">
      <c r="A323" s="4"/>
      <c r="B323" s="4"/>
      <c r="C323" s="4"/>
      <c r="D323" s="4"/>
      <c r="E323" s="373"/>
      <c r="F323" s="373"/>
      <c r="G323" s="373"/>
      <c r="H323" s="4"/>
      <c r="I323" s="4"/>
      <c r="J323" s="4"/>
      <c r="K323" s="4"/>
      <c r="L323" s="374"/>
      <c r="M323" s="373"/>
      <c r="N323" s="4"/>
      <c r="O323" s="4"/>
      <c r="P323" s="374"/>
      <c r="Q323" s="373"/>
      <c r="R323" s="4"/>
      <c r="S323" s="4"/>
      <c r="T323" s="374"/>
      <c r="U323" s="373"/>
      <c r="V323" s="4"/>
      <c r="W323" s="4"/>
      <c r="X323" s="4"/>
      <c r="Y323" s="4"/>
      <c r="Z323" s="4"/>
      <c r="AA323" s="4"/>
      <c r="AB323" s="4"/>
      <c r="AC323" s="4"/>
    </row>
    <row r="324" spans="1:29" ht="20.25" customHeight="1">
      <c r="A324" s="4"/>
      <c r="B324" s="4"/>
      <c r="C324" s="4"/>
      <c r="D324" s="4"/>
      <c r="E324" s="373"/>
      <c r="F324" s="373"/>
      <c r="G324" s="373"/>
      <c r="H324" s="4"/>
      <c r="I324" s="4"/>
      <c r="J324" s="4"/>
      <c r="K324" s="4"/>
      <c r="L324" s="374"/>
      <c r="M324" s="373"/>
      <c r="N324" s="4"/>
      <c r="O324" s="4"/>
      <c r="P324" s="374"/>
      <c r="Q324" s="373"/>
      <c r="R324" s="4"/>
      <c r="S324" s="4"/>
      <c r="T324" s="374"/>
      <c r="U324" s="373"/>
      <c r="V324" s="4"/>
      <c r="W324" s="4"/>
      <c r="X324" s="4"/>
      <c r="Y324" s="4"/>
      <c r="Z324" s="4"/>
      <c r="AA324" s="4"/>
      <c r="AB324" s="4"/>
      <c r="AC324" s="4"/>
    </row>
    <row r="325" spans="1:29" ht="20.25" customHeight="1">
      <c r="A325" s="4"/>
      <c r="B325" s="4"/>
      <c r="C325" s="4"/>
      <c r="D325" s="4"/>
      <c r="E325" s="373"/>
      <c r="F325" s="373"/>
      <c r="G325" s="373"/>
      <c r="H325" s="4"/>
      <c r="I325" s="4"/>
      <c r="J325" s="4"/>
      <c r="K325" s="4"/>
      <c r="L325" s="374"/>
      <c r="M325" s="373"/>
      <c r="N325" s="4"/>
      <c r="O325" s="4"/>
      <c r="P325" s="374"/>
      <c r="Q325" s="373"/>
      <c r="R325" s="4"/>
      <c r="S325" s="4"/>
      <c r="T325" s="374"/>
      <c r="U325" s="373"/>
      <c r="V325" s="4"/>
      <c r="W325" s="4"/>
      <c r="X325" s="4"/>
      <c r="Y325" s="4"/>
      <c r="Z325" s="4"/>
      <c r="AA325" s="4"/>
      <c r="AB325" s="4"/>
      <c r="AC325" s="4"/>
    </row>
    <row r="326" spans="1:29" ht="20.25" customHeight="1">
      <c r="A326" s="4"/>
      <c r="B326" s="4"/>
      <c r="C326" s="4"/>
      <c r="D326" s="4"/>
      <c r="E326" s="373"/>
      <c r="F326" s="373"/>
      <c r="G326" s="373"/>
      <c r="H326" s="4"/>
      <c r="I326" s="4"/>
      <c r="J326" s="4"/>
      <c r="K326" s="4"/>
      <c r="L326" s="374"/>
      <c r="M326" s="373"/>
      <c r="N326" s="4"/>
      <c r="O326" s="4"/>
      <c r="P326" s="374"/>
      <c r="Q326" s="373"/>
      <c r="R326" s="4"/>
      <c r="S326" s="4"/>
      <c r="T326" s="374"/>
      <c r="U326" s="373"/>
      <c r="V326" s="4"/>
      <c r="W326" s="4"/>
      <c r="X326" s="4"/>
      <c r="Y326" s="4"/>
      <c r="Z326" s="4"/>
      <c r="AA326" s="4"/>
      <c r="AB326" s="4"/>
      <c r="AC326" s="4"/>
    </row>
    <row r="327" spans="1:29" ht="20.25" customHeight="1">
      <c r="A327" s="4"/>
      <c r="B327" s="4"/>
      <c r="C327" s="4"/>
      <c r="D327" s="4"/>
      <c r="E327" s="373"/>
      <c r="F327" s="373"/>
      <c r="G327" s="373"/>
      <c r="H327" s="4"/>
      <c r="I327" s="4"/>
      <c r="J327" s="4"/>
      <c r="K327" s="4"/>
      <c r="L327" s="374"/>
      <c r="M327" s="373"/>
      <c r="N327" s="4"/>
      <c r="O327" s="4"/>
      <c r="P327" s="374"/>
      <c r="Q327" s="373"/>
      <c r="R327" s="4"/>
      <c r="S327" s="4"/>
      <c r="T327" s="374"/>
      <c r="U327" s="373"/>
      <c r="V327" s="4"/>
      <c r="W327" s="4"/>
      <c r="X327" s="4"/>
      <c r="Y327" s="4"/>
      <c r="Z327" s="4"/>
      <c r="AA327" s="4"/>
      <c r="AB327" s="4"/>
      <c r="AC327" s="4"/>
    </row>
    <row r="328" spans="1:29" ht="20.25" customHeight="1">
      <c r="A328" s="4"/>
      <c r="B328" s="4"/>
      <c r="C328" s="4"/>
      <c r="D328" s="4"/>
      <c r="E328" s="373"/>
      <c r="F328" s="373"/>
      <c r="G328" s="373"/>
      <c r="H328" s="4"/>
      <c r="I328" s="4"/>
      <c r="J328" s="4"/>
      <c r="K328" s="4"/>
      <c r="L328" s="374"/>
      <c r="M328" s="373"/>
      <c r="N328" s="4"/>
      <c r="O328" s="4"/>
      <c r="P328" s="374"/>
      <c r="Q328" s="373"/>
      <c r="R328" s="4"/>
      <c r="S328" s="4"/>
      <c r="T328" s="374"/>
      <c r="U328" s="373"/>
      <c r="V328" s="4"/>
      <c r="W328" s="4"/>
      <c r="X328" s="4"/>
      <c r="Y328" s="4"/>
      <c r="Z328" s="4"/>
      <c r="AA328" s="4"/>
      <c r="AB328" s="4"/>
      <c r="AC328" s="4"/>
    </row>
    <row r="329" spans="1:29" ht="20.25" customHeight="1">
      <c r="A329" s="4"/>
      <c r="B329" s="4"/>
      <c r="C329" s="4"/>
      <c r="D329" s="4"/>
      <c r="E329" s="373"/>
      <c r="F329" s="373"/>
      <c r="G329" s="373"/>
      <c r="H329" s="4"/>
      <c r="I329" s="4"/>
      <c r="J329" s="4"/>
      <c r="K329" s="4"/>
      <c r="L329" s="374"/>
      <c r="M329" s="373"/>
      <c r="N329" s="4"/>
      <c r="O329" s="4"/>
      <c r="P329" s="374"/>
      <c r="Q329" s="373"/>
      <c r="R329" s="4"/>
      <c r="S329" s="4"/>
      <c r="T329" s="374"/>
      <c r="U329" s="373"/>
      <c r="V329" s="4"/>
      <c r="W329" s="4"/>
      <c r="X329" s="4"/>
      <c r="Y329" s="4"/>
      <c r="Z329" s="4"/>
      <c r="AA329" s="4"/>
      <c r="AB329" s="4"/>
      <c r="AC329" s="4"/>
    </row>
    <row r="330" spans="1:29" ht="20.25" customHeight="1">
      <c r="A330" s="4"/>
      <c r="B330" s="4"/>
      <c r="C330" s="4"/>
      <c r="D330" s="4"/>
      <c r="E330" s="373"/>
      <c r="F330" s="373"/>
      <c r="G330" s="373"/>
      <c r="H330" s="4"/>
      <c r="I330" s="4"/>
      <c r="J330" s="4"/>
      <c r="K330" s="4"/>
      <c r="L330" s="374"/>
      <c r="M330" s="373"/>
      <c r="N330" s="4"/>
      <c r="O330" s="4"/>
      <c r="P330" s="374"/>
      <c r="Q330" s="373"/>
      <c r="R330" s="4"/>
      <c r="S330" s="4"/>
      <c r="T330" s="374"/>
      <c r="U330" s="373"/>
      <c r="V330" s="4"/>
      <c r="W330" s="4"/>
      <c r="X330" s="4"/>
      <c r="Y330" s="4"/>
      <c r="Z330" s="4"/>
      <c r="AA330" s="4"/>
      <c r="AB330" s="4"/>
      <c r="AC330" s="4"/>
    </row>
    <row r="331" spans="1:29" ht="20.25" customHeight="1">
      <c r="A331" s="4"/>
      <c r="B331" s="4"/>
      <c r="C331" s="4"/>
      <c r="D331" s="4"/>
      <c r="E331" s="373"/>
      <c r="F331" s="373"/>
      <c r="G331" s="373"/>
      <c r="H331" s="4"/>
      <c r="I331" s="4"/>
      <c r="J331" s="4"/>
      <c r="K331" s="4"/>
      <c r="L331" s="374"/>
      <c r="M331" s="373"/>
      <c r="N331" s="4"/>
      <c r="O331" s="4"/>
      <c r="P331" s="374"/>
      <c r="Q331" s="373"/>
      <c r="R331" s="4"/>
      <c r="S331" s="4"/>
      <c r="T331" s="374"/>
      <c r="U331" s="373"/>
      <c r="V331" s="4"/>
      <c r="W331" s="4"/>
      <c r="X331" s="4"/>
      <c r="Y331" s="4"/>
      <c r="Z331" s="4"/>
      <c r="AA331" s="4"/>
      <c r="AB331" s="4"/>
      <c r="AC331" s="4"/>
    </row>
    <row r="332" spans="1:29" ht="20.25" customHeight="1">
      <c r="A332" s="4"/>
      <c r="B332" s="4"/>
      <c r="C332" s="4"/>
      <c r="D332" s="4"/>
      <c r="E332" s="373"/>
      <c r="F332" s="373"/>
      <c r="G332" s="373"/>
      <c r="H332" s="4"/>
      <c r="I332" s="4"/>
      <c r="J332" s="4"/>
      <c r="K332" s="4"/>
      <c r="L332" s="374"/>
      <c r="M332" s="373"/>
      <c r="N332" s="4"/>
      <c r="O332" s="4"/>
      <c r="P332" s="374"/>
      <c r="Q332" s="373"/>
      <c r="R332" s="4"/>
      <c r="S332" s="4"/>
      <c r="T332" s="374"/>
      <c r="U332" s="373"/>
      <c r="V332" s="4"/>
      <c r="W332" s="4"/>
      <c r="X332" s="4"/>
      <c r="Y332" s="4"/>
      <c r="Z332" s="4"/>
      <c r="AA332" s="4"/>
      <c r="AB332" s="4"/>
      <c r="AC332" s="4"/>
    </row>
    <row r="333" spans="1:29" ht="20.25" customHeight="1">
      <c r="A333" s="4"/>
      <c r="B333" s="4"/>
      <c r="C333" s="4"/>
      <c r="D333" s="4"/>
      <c r="E333" s="373"/>
      <c r="F333" s="373"/>
      <c r="G333" s="373"/>
      <c r="H333" s="4"/>
      <c r="I333" s="4"/>
      <c r="J333" s="4"/>
      <c r="K333" s="4"/>
      <c r="L333" s="374"/>
      <c r="M333" s="373"/>
      <c r="N333" s="4"/>
      <c r="O333" s="4"/>
      <c r="P333" s="374"/>
      <c r="Q333" s="373"/>
      <c r="R333" s="4"/>
      <c r="S333" s="4"/>
      <c r="T333" s="374"/>
      <c r="U333" s="373"/>
      <c r="V333" s="4"/>
      <c r="W333" s="4"/>
      <c r="X333" s="4"/>
      <c r="Y333" s="4"/>
      <c r="Z333" s="4"/>
      <c r="AA333" s="4"/>
      <c r="AB333" s="4"/>
      <c r="AC333" s="4"/>
    </row>
    <row r="334" spans="1:29" ht="20.25" customHeight="1">
      <c r="A334" s="4"/>
      <c r="B334" s="4"/>
      <c r="C334" s="4"/>
      <c r="D334" s="4"/>
      <c r="E334" s="373"/>
      <c r="F334" s="373"/>
      <c r="G334" s="373"/>
      <c r="H334" s="4"/>
      <c r="I334" s="4"/>
      <c r="J334" s="4"/>
      <c r="K334" s="4"/>
      <c r="L334" s="374"/>
      <c r="M334" s="373"/>
      <c r="N334" s="4"/>
      <c r="O334" s="4"/>
      <c r="P334" s="374"/>
      <c r="Q334" s="373"/>
      <c r="R334" s="4"/>
      <c r="S334" s="4"/>
      <c r="T334" s="374"/>
      <c r="U334" s="373"/>
      <c r="V334" s="4"/>
      <c r="W334" s="4"/>
      <c r="X334" s="4"/>
      <c r="Y334" s="4"/>
      <c r="Z334" s="4"/>
      <c r="AA334" s="4"/>
      <c r="AB334" s="4"/>
      <c r="AC334" s="4"/>
    </row>
    <row r="335" spans="1:29" ht="20.25" customHeight="1">
      <c r="A335" s="4"/>
      <c r="B335" s="4"/>
      <c r="C335" s="4"/>
      <c r="D335" s="4"/>
      <c r="E335" s="373"/>
      <c r="F335" s="373"/>
      <c r="G335" s="373"/>
      <c r="H335" s="4"/>
      <c r="I335" s="4"/>
      <c r="J335" s="4"/>
      <c r="K335" s="4"/>
      <c r="L335" s="374"/>
      <c r="M335" s="373"/>
      <c r="N335" s="4"/>
      <c r="O335" s="4"/>
      <c r="P335" s="374"/>
      <c r="Q335" s="373"/>
      <c r="R335" s="4"/>
      <c r="S335" s="4"/>
      <c r="T335" s="374"/>
      <c r="U335" s="373"/>
      <c r="V335" s="4"/>
      <c r="W335" s="4"/>
      <c r="X335" s="4"/>
      <c r="Y335" s="4"/>
      <c r="Z335" s="4"/>
      <c r="AA335" s="4"/>
      <c r="AB335" s="4"/>
      <c r="AC335" s="4"/>
    </row>
    <row r="336" spans="1:29" ht="20.25" customHeight="1">
      <c r="A336" s="4"/>
      <c r="B336" s="4"/>
      <c r="C336" s="4"/>
      <c r="D336" s="4"/>
      <c r="E336" s="373"/>
      <c r="F336" s="373"/>
      <c r="G336" s="373"/>
      <c r="H336" s="4"/>
      <c r="I336" s="4"/>
      <c r="J336" s="4"/>
      <c r="K336" s="4"/>
      <c r="L336" s="374"/>
      <c r="M336" s="373"/>
      <c r="N336" s="4"/>
      <c r="O336" s="4"/>
      <c r="P336" s="374"/>
      <c r="Q336" s="373"/>
      <c r="R336" s="4"/>
      <c r="S336" s="4"/>
      <c r="T336" s="374"/>
      <c r="U336" s="373"/>
      <c r="V336" s="4"/>
      <c r="W336" s="4"/>
      <c r="X336" s="4"/>
      <c r="Y336" s="4"/>
      <c r="Z336" s="4"/>
      <c r="AA336" s="4"/>
      <c r="AB336" s="4"/>
      <c r="AC336" s="4"/>
    </row>
    <row r="337" spans="1:29" ht="20.25" customHeight="1">
      <c r="A337" s="4"/>
      <c r="B337" s="4"/>
      <c r="C337" s="4"/>
      <c r="D337" s="4"/>
      <c r="E337" s="373"/>
      <c r="F337" s="373"/>
      <c r="G337" s="373"/>
      <c r="H337" s="4"/>
      <c r="I337" s="4"/>
      <c r="J337" s="4"/>
      <c r="K337" s="4"/>
      <c r="L337" s="374"/>
      <c r="M337" s="373"/>
      <c r="N337" s="4"/>
      <c r="O337" s="4"/>
      <c r="P337" s="374"/>
      <c r="Q337" s="373"/>
      <c r="R337" s="4"/>
      <c r="S337" s="4"/>
      <c r="T337" s="374"/>
      <c r="U337" s="373"/>
      <c r="V337" s="4"/>
      <c r="W337" s="4"/>
      <c r="X337" s="4"/>
      <c r="Y337" s="4"/>
      <c r="Z337" s="4"/>
      <c r="AA337" s="4"/>
      <c r="AB337" s="4"/>
      <c r="AC337" s="4"/>
    </row>
    <row r="338" spans="1:29" ht="20.25" customHeight="1">
      <c r="A338" s="4"/>
      <c r="B338" s="4"/>
      <c r="C338" s="4"/>
      <c r="D338" s="4"/>
      <c r="E338" s="373"/>
      <c r="F338" s="373"/>
      <c r="G338" s="373"/>
      <c r="H338" s="4"/>
      <c r="I338" s="4"/>
      <c r="J338" s="4"/>
      <c r="K338" s="4"/>
      <c r="L338" s="374"/>
      <c r="M338" s="373"/>
      <c r="N338" s="4"/>
      <c r="O338" s="4"/>
      <c r="P338" s="374"/>
      <c r="Q338" s="373"/>
      <c r="R338" s="4"/>
      <c r="S338" s="4"/>
      <c r="T338" s="374"/>
      <c r="U338" s="373"/>
      <c r="V338" s="4"/>
      <c r="W338" s="4"/>
      <c r="X338" s="4"/>
      <c r="Y338" s="4"/>
      <c r="Z338" s="4"/>
      <c r="AA338" s="4"/>
      <c r="AB338" s="4"/>
      <c r="AC338" s="4"/>
    </row>
    <row r="339" spans="1:29" ht="20.25" customHeight="1">
      <c r="A339" s="4"/>
      <c r="B339" s="4"/>
      <c r="C339" s="4"/>
      <c r="D339" s="4"/>
      <c r="E339" s="373"/>
      <c r="F339" s="373"/>
      <c r="G339" s="373"/>
      <c r="H339" s="4"/>
      <c r="I339" s="4"/>
      <c r="J339" s="4"/>
      <c r="K339" s="4"/>
      <c r="L339" s="374"/>
      <c r="M339" s="373"/>
      <c r="N339" s="4"/>
      <c r="O339" s="4"/>
      <c r="P339" s="374"/>
      <c r="Q339" s="373"/>
      <c r="R339" s="4"/>
      <c r="S339" s="4"/>
      <c r="T339" s="374"/>
      <c r="U339" s="373"/>
      <c r="V339" s="4"/>
      <c r="W339" s="4"/>
      <c r="X339" s="4"/>
      <c r="Y339" s="4"/>
      <c r="Z339" s="4"/>
      <c r="AA339" s="4"/>
      <c r="AB339" s="4"/>
      <c r="AC339" s="4"/>
    </row>
    <row r="340" spans="1:29" ht="20.25" customHeight="1">
      <c r="A340" s="4"/>
      <c r="B340" s="4"/>
      <c r="C340" s="4"/>
      <c r="D340" s="4"/>
      <c r="E340" s="373"/>
      <c r="F340" s="373"/>
      <c r="G340" s="373"/>
      <c r="H340" s="4"/>
      <c r="I340" s="4"/>
      <c r="J340" s="4"/>
      <c r="K340" s="4"/>
      <c r="L340" s="374"/>
      <c r="M340" s="373"/>
      <c r="N340" s="4"/>
      <c r="O340" s="4"/>
      <c r="P340" s="374"/>
      <c r="Q340" s="373"/>
      <c r="R340" s="4"/>
      <c r="S340" s="4"/>
      <c r="T340" s="374"/>
      <c r="U340" s="373"/>
      <c r="V340" s="4"/>
      <c r="W340" s="4"/>
      <c r="X340" s="4"/>
      <c r="Y340" s="4"/>
      <c r="Z340" s="4"/>
      <c r="AA340" s="4"/>
      <c r="AB340" s="4"/>
      <c r="AC340" s="4"/>
    </row>
    <row r="341" spans="1:29" ht="20.25" customHeight="1">
      <c r="A341" s="4"/>
      <c r="B341" s="4"/>
      <c r="C341" s="4"/>
      <c r="D341" s="4"/>
      <c r="E341" s="373"/>
      <c r="F341" s="373"/>
      <c r="G341" s="373"/>
      <c r="H341" s="4"/>
      <c r="I341" s="4"/>
      <c r="J341" s="4"/>
      <c r="K341" s="4"/>
      <c r="L341" s="374"/>
      <c r="M341" s="373"/>
      <c r="N341" s="4"/>
      <c r="O341" s="4"/>
      <c r="P341" s="374"/>
      <c r="Q341" s="373"/>
      <c r="R341" s="4"/>
      <c r="S341" s="4"/>
      <c r="T341" s="374"/>
      <c r="U341" s="373"/>
      <c r="V341" s="4"/>
      <c r="W341" s="4"/>
      <c r="X341" s="4"/>
      <c r="Y341" s="4"/>
      <c r="Z341" s="4"/>
      <c r="AA341" s="4"/>
      <c r="AB341" s="4"/>
      <c r="AC341" s="4"/>
    </row>
    <row r="342" spans="1:29" ht="20.25" customHeight="1">
      <c r="A342" s="4"/>
      <c r="B342" s="4"/>
      <c r="C342" s="4"/>
      <c r="D342" s="4"/>
      <c r="E342" s="373"/>
      <c r="F342" s="373"/>
      <c r="G342" s="373"/>
      <c r="H342" s="4"/>
      <c r="I342" s="4"/>
      <c r="J342" s="4"/>
      <c r="K342" s="4"/>
      <c r="L342" s="374"/>
      <c r="M342" s="373"/>
      <c r="N342" s="4"/>
      <c r="O342" s="4"/>
      <c r="P342" s="374"/>
      <c r="Q342" s="373"/>
      <c r="R342" s="4"/>
      <c r="S342" s="4"/>
      <c r="T342" s="374"/>
      <c r="U342" s="373"/>
      <c r="V342" s="4"/>
      <c r="W342" s="4"/>
      <c r="X342" s="4"/>
      <c r="Y342" s="4"/>
      <c r="Z342" s="4"/>
      <c r="AA342" s="4"/>
      <c r="AB342" s="4"/>
      <c r="AC342" s="4"/>
    </row>
    <row r="343" spans="1:29" ht="20.25" customHeight="1">
      <c r="A343" s="4"/>
      <c r="B343" s="4"/>
      <c r="C343" s="4"/>
      <c r="D343" s="4"/>
      <c r="E343" s="373"/>
      <c r="F343" s="373"/>
      <c r="G343" s="373"/>
      <c r="H343" s="4"/>
      <c r="I343" s="4"/>
      <c r="J343" s="4"/>
      <c r="K343" s="4"/>
      <c r="L343" s="374"/>
      <c r="M343" s="373"/>
      <c r="N343" s="4"/>
      <c r="O343" s="4"/>
      <c r="P343" s="374"/>
      <c r="Q343" s="373"/>
      <c r="R343" s="4"/>
      <c r="S343" s="4"/>
      <c r="T343" s="374"/>
      <c r="U343" s="373"/>
      <c r="V343" s="4"/>
      <c r="W343" s="4"/>
      <c r="X343" s="4"/>
      <c r="Y343" s="4"/>
      <c r="Z343" s="4"/>
      <c r="AA343" s="4"/>
      <c r="AB343" s="4"/>
      <c r="AC343" s="4"/>
    </row>
    <row r="344" spans="1:29" ht="20.25" customHeight="1">
      <c r="A344" s="4"/>
      <c r="B344" s="4"/>
      <c r="C344" s="4"/>
      <c r="D344" s="4"/>
      <c r="E344" s="373"/>
      <c r="F344" s="373"/>
      <c r="G344" s="373"/>
      <c r="H344" s="4"/>
      <c r="I344" s="4"/>
      <c r="J344" s="4"/>
      <c r="K344" s="4"/>
      <c r="L344" s="374"/>
      <c r="M344" s="373"/>
      <c r="N344" s="4"/>
      <c r="O344" s="4"/>
      <c r="P344" s="374"/>
      <c r="Q344" s="373"/>
      <c r="R344" s="4"/>
      <c r="S344" s="4"/>
      <c r="T344" s="374"/>
      <c r="U344" s="373"/>
      <c r="V344" s="4"/>
      <c r="W344" s="4"/>
      <c r="X344" s="4"/>
      <c r="Y344" s="4"/>
      <c r="Z344" s="4"/>
      <c r="AA344" s="4"/>
      <c r="AB344" s="4"/>
      <c r="AC344" s="4"/>
    </row>
    <row r="345" spans="1:29" ht="20.25" customHeight="1">
      <c r="A345" s="4"/>
      <c r="B345" s="4"/>
      <c r="C345" s="4"/>
      <c r="D345" s="4"/>
      <c r="E345" s="373"/>
      <c r="F345" s="373"/>
      <c r="G345" s="373"/>
      <c r="H345" s="4"/>
      <c r="I345" s="4"/>
      <c r="J345" s="4"/>
      <c r="K345" s="4"/>
      <c r="L345" s="374"/>
      <c r="M345" s="373"/>
      <c r="N345" s="4"/>
      <c r="O345" s="4"/>
      <c r="P345" s="374"/>
      <c r="Q345" s="373"/>
      <c r="R345" s="4"/>
      <c r="S345" s="4"/>
      <c r="T345" s="374"/>
      <c r="U345" s="373"/>
      <c r="V345" s="4"/>
      <c r="W345" s="4"/>
      <c r="X345" s="4"/>
      <c r="Y345" s="4"/>
      <c r="Z345" s="4"/>
      <c r="AA345" s="4"/>
      <c r="AB345" s="4"/>
      <c r="AC345" s="4"/>
    </row>
    <row r="346" spans="1:29" ht="20.25" customHeight="1">
      <c r="A346" s="4"/>
      <c r="B346" s="4"/>
      <c r="C346" s="4"/>
      <c r="D346" s="4"/>
      <c r="E346" s="373"/>
      <c r="F346" s="373"/>
      <c r="G346" s="373"/>
      <c r="H346" s="4"/>
      <c r="I346" s="4"/>
      <c r="J346" s="4"/>
      <c r="K346" s="4"/>
      <c r="L346" s="374"/>
      <c r="M346" s="373"/>
      <c r="N346" s="4"/>
      <c r="O346" s="4"/>
      <c r="P346" s="374"/>
      <c r="Q346" s="373"/>
      <c r="R346" s="4"/>
      <c r="S346" s="4"/>
      <c r="T346" s="374"/>
      <c r="U346" s="373"/>
      <c r="V346" s="4"/>
      <c r="W346" s="4"/>
      <c r="X346" s="4"/>
      <c r="Y346" s="4"/>
      <c r="Z346" s="4"/>
      <c r="AA346" s="4"/>
      <c r="AB346" s="4"/>
      <c r="AC346" s="4"/>
    </row>
    <row r="347" spans="1:29" ht="20.25" customHeight="1">
      <c r="A347" s="4"/>
      <c r="B347" s="4"/>
      <c r="C347" s="4"/>
      <c r="D347" s="4"/>
      <c r="E347" s="373"/>
      <c r="F347" s="373"/>
      <c r="G347" s="373"/>
      <c r="H347" s="4"/>
      <c r="I347" s="4"/>
      <c r="J347" s="4"/>
      <c r="K347" s="4"/>
      <c r="L347" s="374"/>
      <c r="M347" s="373"/>
      <c r="N347" s="4"/>
      <c r="O347" s="4"/>
      <c r="P347" s="374"/>
      <c r="Q347" s="373"/>
      <c r="R347" s="4"/>
      <c r="S347" s="4"/>
      <c r="T347" s="374"/>
      <c r="U347" s="373"/>
      <c r="V347" s="4"/>
      <c r="W347" s="4"/>
      <c r="X347" s="4"/>
      <c r="Y347" s="4"/>
      <c r="Z347" s="4"/>
      <c r="AA347" s="4"/>
      <c r="AB347" s="4"/>
      <c r="AC347" s="4"/>
    </row>
    <row r="348" spans="1:29" ht="20.25" customHeight="1">
      <c r="A348" s="4"/>
      <c r="B348" s="4"/>
      <c r="C348" s="4"/>
      <c r="D348" s="4"/>
      <c r="E348" s="373"/>
      <c r="F348" s="373"/>
      <c r="G348" s="373"/>
      <c r="H348" s="4"/>
      <c r="I348" s="4"/>
      <c r="J348" s="4"/>
      <c r="K348" s="4"/>
      <c r="L348" s="374"/>
      <c r="M348" s="373"/>
      <c r="N348" s="4"/>
      <c r="O348" s="4"/>
      <c r="P348" s="374"/>
      <c r="Q348" s="373"/>
      <c r="R348" s="4"/>
      <c r="S348" s="4"/>
      <c r="T348" s="374"/>
      <c r="U348" s="373"/>
      <c r="V348" s="4"/>
      <c r="W348" s="4"/>
      <c r="X348" s="4"/>
      <c r="Y348" s="4"/>
      <c r="Z348" s="4"/>
      <c r="AA348" s="4"/>
      <c r="AB348" s="4"/>
      <c r="AC348" s="4"/>
    </row>
    <row r="349" spans="1:29" ht="20.25" customHeight="1">
      <c r="A349" s="4"/>
      <c r="B349" s="4"/>
      <c r="C349" s="4"/>
      <c r="D349" s="4"/>
      <c r="E349" s="373"/>
      <c r="F349" s="373"/>
      <c r="G349" s="373"/>
      <c r="H349" s="4"/>
      <c r="I349" s="4"/>
      <c r="J349" s="4"/>
      <c r="K349" s="4"/>
      <c r="L349" s="374"/>
      <c r="M349" s="373"/>
      <c r="N349" s="4"/>
      <c r="O349" s="4"/>
      <c r="P349" s="374"/>
      <c r="Q349" s="373"/>
      <c r="R349" s="4"/>
      <c r="S349" s="4"/>
      <c r="T349" s="374"/>
      <c r="U349" s="373"/>
      <c r="V349" s="4"/>
      <c r="W349" s="4"/>
      <c r="X349" s="4"/>
      <c r="Y349" s="4"/>
      <c r="Z349" s="4"/>
      <c r="AA349" s="4"/>
      <c r="AB349" s="4"/>
      <c r="AC349" s="4"/>
    </row>
    <row r="350" spans="1:29" ht="20.25" customHeight="1">
      <c r="A350" s="4"/>
      <c r="B350" s="4"/>
      <c r="C350" s="4"/>
      <c r="D350" s="4"/>
      <c r="E350" s="373"/>
      <c r="F350" s="373"/>
      <c r="G350" s="373"/>
      <c r="H350" s="4"/>
      <c r="I350" s="4"/>
      <c r="J350" s="4"/>
      <c r="K350" s="4"/>
      <c r="L350" s="374"/>
      <c r="M350" s="373"/>
      <c r="N350" s="4"/>
      <c r="O350" s="4"/>
      <c r="P350" s="374"/>
      <c r="Q350" s="373"/>
      <c r="R350" s="4"/>
      <c r="S350" s="4"/>
      <c r="T350" s="374"/>
      <c r="U350" s="373"/>
      <c r="V350" s="4"/>
      <c r="W350" s="4"/>
      <c r="X350" s="4"/>
      <c r="Y350" s="4"/>
      <c r="Z350" s="4"/>
      <c r="AA350" s="4"/>
      <c r="AB350" s="4"/>
      <c r="AC350" s="4"/>
    </row>
    <row r="351" spans="1:29" ht="20.25" customHeight="1">
      <c r="A351" s="4"/>
      <c r="B351" s="4"/>
      <c r="C351" s="4"/>
      <c r="D351" s="4"/>
      <c r="E351" s="373"/>
      <c r="F351" s="373"/>
      <c r="G351" s="373"/>
      <c r="H351" s="4"/>
      <c r="I351" s="4"/>
      <c r="J351" s="4"/>
      <c r="K351" s="4"/>
      <c r="L351" s="374"/>
      <c r="M351" s="373"/>
      <c r="N351" s="4"/>
      <c r="O351" s="4"/>
      <c r="P351" s="374"/>
      <c r="Q351" s="373"/>
      <c r="R351" s="4"/>
      <c r="S351" s="4"/>
      <c r="T351" s="374"/>
      <c r="U351" s="373"/>
      <c r="V351" s="4"/>
      <c r="W351" s="4"/>
      <c r="X351" s="4"/>
      <c r="Y351" s="4"/>
      <c r="Z351" s="4"/>
      <c r="AA351" s="4"/>
      <c r="AB351" s="4"/>
      <c r="AC351" s="4"/>
    </row>
    <row r="352" spans="1:29" ht="20.25" customHeight="1">
      <c r="A352" s="4"/>
      <c r="B352" s="4"/>
      <c r="C352" s="4"/>
      <c r="D352" s="4"/>
      <c r="E352" s="373"/>
      <c r="F352" s="373"/>
      <c r="G352" s="373"/>
      <c r="H352" s="4"/>
      <c r="I352" s="4"/>
      <c r="J352" s="4"/>
      <c r="K352" s="4"/>
      <c r="L352" s="374"/>
      <c r="M352" s="373"/>
      <c r="N352" s="4"/>
      <c r="O352" s="4"/>
      <c r="P352" s="374"/>
      <c r="Q352" s="373"/>
      <c r="R352" s="4"/>
      <c r="S352" s="4"/>
      <c r="T352" s="374"/>
      <c r="U352" s="373"/>
      <c r="V352" s="4"/>
      <c r="W352" s="4"/>
      <c r="X352" s="4"/>
      <c r="Y352" s="4"/>
      <c r="Z352" s="4"/>
      <c r="AA352" s="4"/>
      <c r="AB352" s="4"/>
      <c r="AC352" s="4"/>
    </row>
    <row r="353" spans="1:29" ht="20.25" customHeight="1">
      <c r="A353" s="4"/>
      <c r="B353" s="4"/>
      <c r="C353" s="4"/>
      <c r="D353" s="4"/>
      <c r="E353" s="373"/>
      <c r="F353" s="373"/>
      <c r="G353" s="373"/>
      <c r="H353" s="4"/>
      <c r="I353" s="4"/>
      <c r="J353" s="4"/>
      <c r="K353" s="4"/>
      <c r="L353" s="374"/>
      <c r="M353" s="373"/>
      <c r="N353" s="4"/>
      <c r="O353" s="4"/>
      <c r="P353" s="374"/>
      <c r="Q353" s="373"/>
      <c r="R353" s="4"/>
      <c r="S353" s="4"/>
      <c r="T353" s="374"/>
      <c r="U353" s="373"/>
      <c r="V353" s="4"/>
      <c r="W353" s="4"/>
      <c r="X353" s="4"/>
      <c r="Y353" s="4"/>
      <c r="Z353" s="4"/>
      <c r="AA353" s="4"/>
      <c r="AB353" s="4"/>
      <c r="AC353" s="4"/>
    </row>
    <row r="354" spans="1:29" ht="20.25" customHeight="1">
      <c r="A354" s="4"/>
      <c r="B354" s="4"/>
      <c r="C354" s="4"/>
      <c r="D354" s="4"/>
      <c r="E354" s="373"/>
      <c r="F354" s="373"/>
      <c r="G354" s="373"/>
      <c r="H354" s="4"/>
      <c r="I354" s="4"/>
      <c r="J354" s="4"/>
      <c r="K354" s="4"/>
      <c r="L354" s="374"/>
      <c r="M354" s="373"/>
      <c r="N354" s="4"/>
      <c r="O354" s="4"/>
      <c r="P354" s="374"/>
      <c r="Q354" s="373"/>
      <c r="R354" s="4"/>
      <c r="S354" s="4"/>
      <c r="T354" s="374"/>
      <c r="U354" s="373"/>
      <c r="V354" s="4"/>
      <c r="W354" s="4"/>
      <c r="X354" s="4"/>
      <c r="Y354" s="4"/>
      <c r="Z354" s="4"/>
      <c r="AA354" s="4"/>
      <c r="AB354" s="4"/>
      <c r="AC354" s="4"/>
    </row>
    <row r="355" spans="1:29" ht="20.25" customHeight="1">
      <c r="A355" s="4"/>
      <c r="B355" s="4"/>
      <c r="C355" s="4"/>
      <c r="D355" s="4"/>
      <c r="E355" s="373"/>
      <c r="F355" s="373"/>
      <c r="G355" s="373"/>
      <c r="H355" s="4"/>
      <c r="I355" s="4"/>
      <c r="J355" s="4"/>
      <c r="K355" s="4"/>
      <c r="L355" s="374"/>
      <c r="M355" s="373"/>
      <c r="N355" s="4"/>
      <c r="O355" s="4"/>
      <c r="P355" s="374"/>
      <c r="Q355" s="373"/>
      <c r="R355" s="4"/>
      <c r="S355" s="4"/>
      <c r="T355" s="374"/>
      <c r="U355" s="373"/>
      <c r="V355" s="4"/>
      <c r="W355" s="4"/>
      <c r="X355" s="4"/>
      <c r="Y355" s="4"/>
      <c r="Z355" s="4"/>
      <c r="AA355" s="4"/>
      <c r="AB355" s="4"/>
      <c r="AC355" s="4"/>
    </row>
    <row r="356" spans="1:29" ht="20.25" customHeight="1">
      <c r="A356" s="4"/>
      <c r="B356" s="4"/>
      <c r="C356" s="4"/>
      <c r="D356" s="4"/>
      <c r="E356" s="373"/>
      <c r="F356" s="373"/>
      <c r="G356" s="373"/>
      <c r="H356" s="4"/>
      <c r="I356" s="4"/>
      <c r="J356" s="4"/>
      <c r="K356" s="4"/>
      <c r="L356" s="374"/>
      <c r="M356" s="373"/>
      <c r="N356" s="4"/>
      <c r="O356" s="4"/>
      <c r="P356" s="374"/>
      <c r="Q356" s="373"/>
      <c r="R356" s="4"/>
      <c r="S356" s="4"/>
      <c r="T356" s="374"/>
      <c r="U356" s="373"/>
      <c r="V356" s="4"/>
      <c r="W356" s="4"/>
      <c r="X356" s="4"/>
      <c r="Y356" s="4"/>
      <c r="Z356" s="4"/>
      <c r="AA356" s="4"/>
      <c r="AB356" s="4"/>
      <c r="AC356" s="4"/>
    </row>
    <row r="357" spans="1:29" ht="20.25" customHeight="1">
      <c r="A357" s="4"/>
      <c r="B357" s="4"/>
      <c r="C357" s="4"/>
      <c r="D357" s="4"/>
      <c r="E357" s="373"/>
      <c r="F357" s="373"/>
      <c r="G357" s="373"/>
      <c r="H357" s="4"/>
      <c r="I357" s="4"/>
      <c r="J357" s="4"/>
      <c r="K357" s="4"/>
      <c r="L357" s="374"/>
      <c r="M357" s="373"/>
      <c r="N357" s="4"/>
      <c r="O357" s="4"/>
      <c r="P357" s="374"/>
      <c r="Q357" s="373"/>
      <c r="R357" s="4"/>
      <c r="S357" s="4"/>
      <c r="T357" s="374"/>
      <c r="U357" s="373"/>
      <c r="V357" s="4"/>
      <c r="W357" s="4"/>
      <c r="X357" s="4"/>
      <c r="Y357" s="4"/>
      <c r="Z357" s="4"/>
      <c r="AA357" s="4"/>
      <c r="AB357" s="4"/>
      <c r="AC357" s="4"/>
    </row>
    <row r="358" spans="1:29" ht="20.25" customHeight="1">
      <c r="A358" s="4"/>
      <c r="B358" s="4"/>
      <c r="C358" s="4"/>
      <c r="D358" s="4"/>
      <c r="E358" s="373"/>
      <c r="F358" s="373"/>
      <c r="G358" s="373"/>
      <c r="H358" s="4"/>
      <c r="I358" s="4"/>
      <c r="J358" s="4"/>
      <c r="K358" s="4"/>
      <c r="L358" s="374"/>
      <c r="M358" s="373"/>
      <c r="N358" s="4"/>
      <c r="O358" s="4"/>
      <c r="P358" s="374"/>
      <c r="Q358" s="373"/>
      <c r="R358" s="4"/>
      <c r="S358" s="4"/>
      <c r="T358" s="374"/>
      <c r="U358" s="373"/>
      <c r="V358" s="4"/>
      <c r="W358" s="4"/>
      <c r="X358" s="4"/>
      <c r="Y358" s="4"/>
      <c r="Z358" s="4"/>
      <c r="AA358" s="4"/>
      <c r="AB358" s="4"/>
      <c r="AC358" s="4"/>
    </row>
    <row r="359" spans="1:29" ht="20.25" customHeight="1">
      <c r="A359" s="4"/>
      <c r="B359" s="4"/>
      <c r="C359" s="4"/>
      <c r="D359" s="4"/>
      <c r="E359" s="373"/>
      <c r="F359" s="373"/>
      <c r="G359" s="373"/>
      <c r="H359" s="4"/>
      <c r="I359" s="4"/>
      <c r="J359" s="4"/>
      <c r="K359" s="4"/>
      <c r="L359" s="374"/>
      <c r="M359" s="373"/>
      <c r="N359" s="4"/>
      <c r="O359" s="4"/>
      <c r="P359" s="374"/>
      <c r="Q359" s="373"/>
      <c r="R359" s="4"/>
      <c r="S359" s="4"/>
      <c r="T359" s="374"/>
      <c r="U359" s="373"/>
      <c r="V359" s="4"/>
      <c r="W359" s="4"/>
      <c r="X359" s="4"/>
      <c r="Y359" s="4"/>
      <c r="Z359" s="4"/>
      <c r="AA359" s="4"/>
      <c r="AB359" s="4"/>
      <c r="AC359" s="4"/>
    </row>
    <row r="360" spans="1:29" ht="20.25" customHeight="1">
      <c r="A360" s="4"/>
      <c r="B360" s="4"/>
      <c r="C360" s="4"/>
      <c r="D360" s="4"/>
      <c r="E360" s="373"/>
      <c r="F360" s="373"/>
      <c r="G360" s="373"/>
      <c r="H360" s="4"/>
      <c r="I360" s="4"/>
      <c r="J360" s="4"/>
      <c r="K360" s="4"/>
      <c r="L360" s="374"/>
      <c r="M360" s="373"/>
      <c r="N360" s="4"/>
      <c r="O360" s="4"/>
      <c r="P360" s="374"/>
      <c r="Q360" s="373"/>
      <c r="R360" s="4"/>
      <c r="S360" s="4"/>
      <c r="T360" s="374"/>
      <c r="U360" s="373"/>
      <c r="V360" s="4"/>
      <c r="W360" s="4"/>
      <c r="X360" s="4"/>
      <c r="Y360" s="4"/>
      <c r="Z360" s="4"/>
      <c r="AA360" s="4"/>
      <c r="AB360" s="4"/>
      <c r="AC360" s="4"/>
    </row>
    <row r="361" spans="1:29" ht="20.25" customHeight="1">
      <c r="A361" s="4"/>
      <c r="B361" s="4"/>
      <c r="C361" s="4"/>
      <c r="D361" s="4"/>
      <c r="E361" s="373"/>
      <c r="F361" s="373"/>
      <c r="G361" s="373"/>
      <c r="H361" s="4"/>
      <c r="I361" s="4"/>
      <c r="J361" s="4"/>
      <c r="K361" s="4"/>
      <c r="L361" s="374"/>
      <c r="M361" s="373"/>
      <c r="N361" s="4"/>
      <c r="O361" s="4"/>
      <c r="P361" s="374"/>
      <c r="Q361" s="373"/>
      <c r="R361" s="4"/>
      <c r="S361" s="4"/>
      <c r="T361" s="374"/>
      <c r="U361" s="373"/>
      <c r="V361" s="4"/>
      <c r="W361" s="4"/>
      <c r="X361" s="4"/>
      <c r="Y361" s="4"/>
      <c r="Z361" s="4"/>
      <c r="AA361" s="4"/>
      <c r="AB361" s="4"/>
      <c r="AC361" s="4"/>
    </row>
    <row r="362" spans="1:29" ht="20.25" customHeight="1">
      <c r="A362" s="4"/>
      <c r="B362" s="4"/>
      <c r="C362" s="4"/>
      <c r="D362" s="4"/>
      <c r="E362" s="373"/>
      <c r="F362" s="373"/>
      <c r="G362" s="373"/>
      <c r="H362" s="4"/>
      <c r="I362" s="4"/>
      <c r="J362" s="4"/>
      <c r="K362" s="4"/>
      <c r="L362" s="374"/>
      <c r="M362" s="373"/>
      <c r="N362" s="4"/>
      <c r="O362" s="4"/>
      <c r="P362" s="374"/>
      <c r="Q362" s="373"/>
      <c r="R362" s="4"/>
      <c r="S362" s="4"/>
      <c r="T362" s="374"/>
      <c r="U362" s="373"/>
      <c r="V362" s="4"/>
      <c r="W362" s="4"/>
      <c r="X362" s="4"/>
      <c r="Y362" s="4"/>
      <c r="Z362" s="4"/>
      <c r="AA362" s="4"/>
      <c r="AB362" s="4"/>
      <c r="AC362" s="4"/>
    </row>
    <row r="363" spans="1:29" ht="20.25" customHeight="1">
      <c r="A363" s="4"/>
      <c r="B363" s="4"/>
      <c r="C363" s="4"/>
      <c r="D363" s="4"/>
      <c r="E363" s="373"/>
      <c r="F363" s="373"/>
      <c r="G363" s="373"/>
      <c r="H363" s="4"/>
      <c r="I363" s="4"/>
      <c r="J363" s="4"/>
      <c r="K363" s="4"/>
      <c r="L363" s="374"/>
      <c r="M363" s="373"/>
      <c r="N363" s="4"/>
      <c r="O363" s="4"/>
      <c r="P363" s="374"/>
      <c r="Q363" s="373"/>
      <c r="R363" s="4"/>
      <c r="S363" s="4"/>
      <c r="T363" s="374"/>
      <c r="U363" s="373"/>
      <c r="V363" s="4"/>
      <c r="W363" s="4"/>
      <c r="X363" s="4"/>
      <c r="Y363" s="4"/>
      <c r="Z363" s="4"/>
      <c r="AA363" s="4"/>
      <c r="AB363" s="4"/>
      <c r="AC363" s="4"/>
    </row>
    <row r="364" spans="1:29" ht="20.25" customHeight="1">
      <c r="A364" s="4"/>
      <c r="B364" s="4"/>
      <c r="C364" s="4"/>
      <c r="D364" s="4"/>
      <c r="E364" s="373"/>
      <c r="F364" s="373"/>
      <c r="G364" s="373"/>
      <c r="H364" s="4"/>
      <c r="I364" s="4"/>
      <c r="J364" s="4"/>
      <c r="K364" s="4"/>
      <c r="L364" s="374"/>
      <c r="M364" s="373"/>
      <c r="N364" s="4"/>
      <c r="O364" s="4"/>
      <c r="P364" s="374"/>
      <c r="Q364" s="373"/>
      <c r="R364" s="4"/>
      <c r="S364" s="4"/>
      <c r="T364" s="374"/>
      <c r="U364" s="373"/>
      <c r="V364" s="4"/>
      <c r="W364" s="4"/>
      <c r="X364" s="4"/>
      <c r="Y364" s="4"/>
      <c r="Z364" s="4"/>
      <c r="AA364" s="4"/>
      <c r="AB364" s="4"/>
      <c r="AC364" s="4"/>
    </row>
    <row r="365" spans="1:29" ht="20.25" customHeight="1">
      <c r="A365" s="4"/>
      <c r="B365" s="4"/>
      <c r="C365" s="4"/>
      <c r="D365" s="4"/>
      <c r="E365" s="373"/>
      <c r="F365" s="373"/>
      <c r="G365" s="373"/>
      <c r="H365" s="4"/>
      <c r="I365" s="4"/>
      <c r="J365" s="4"/>
      <c r="K365" s="4"/>
      <c r="L365" s="374"/>
      <c r="M365" s="373"/>
      <c r="N365" s="4"/>
      <c r="O365" s="4"/>
      <c r="P365" s="374"/>
      <c r="Q365" s="373"/>
      <c r="R365" s="4"/>
      <c r="S365" s="4"/>
      <c r="T365" s="374"/>
      <c r="U365" s="373"/>
      <c r="V365" s="4"/>
      <c r="W365" s="4"/>
      <c r="X365" s="4"/>
      <c r="Y365" s="4"/>
      <c r="Z365" s="4"/>
      <c r="AA365" s="4"/>
      <c r="AB365" s="4"/>
      <c r="AC365" s="4"/>
    </row>
    <row r="366" spans="1:29" ht="20.25" customHeight="1">
      <c r="A366" s="4"/>
      <c r="B366" s="4"/>
      <c r="C366" s="4"/>
      <c r="D366" s="4"/>
      <c r="E366" s="373"/>
      <c r="F366" s="373"/>
      <c r="G366" s="373"/>
      <c r="H366" s="4"/>
      <c r="I366" s="4"/>
      <c r="J366" s="4"/>
      <c r="K366" s="4"/>
      <c r="L366" s="374"/>
      <c r="M366" s="373"/>
      <c r="N366" s="4"/>
      <c r="O366" s="4"/>
      <c r="P366" s="374"/>
      <c r="Q366" s="373"/>
      <c r="R366" s="4"/>
      <c r="S366" s="4"/>
      <c r="T366" s="374"/>
      <c r="U366" s="373"/>
      <c r="V366" s="4"/>
      <c r="W366" s="4"/>
      <c r="X366" s="4"/>
      <c r="Y366" s="4"/>
      <c r="Z366" s="4"/>
      <c r="AA366" s="4"/>
      <c r="AB366" s="4"/>
      <c r="AC366" s="4"/>
    </row>
    <row r="367" spans="1:29" ht="20.25" customHeight="1">
      <c r="A367" s="4"/>
      <c r="B367" s="4"/>
      <c r="C367" s="4"/>
      <c r="D367" s="4"/>
      <c r="E367" s="373"/>
      <c r="F367" s="373"/>
      <c r="G367" s="373"/>
      <c r="H367" s="4"/>
      <c r="I367" s="4"/>
      <c r="J367" s="4"/>
      <c r="K367" s="4"/>
      <c r="L367" s="374"/>
      <c r="M367" s="373"/>
      <c r="N367" s="4"/>
      <c r="O367" s="4"/>
      <c r="P367" s="374"/>
      <c r="Q367" s="373"/>
      <c r="R367" s="4"/>
      <c r="S367" s="4"/>
      <c r="T367" s="374"/>
      <c r="U367" s="373"/>
      <c r="V367" s="4"/>
      <c r="W367" s="4"/>
      <c r="X367" s="4"/>
      <c r="Y367" s="4"/>
      <c r="Z367" s="4"/>
      <c r="AA367" s="4"/>
      <c r="AB367" s="4"/>
      <c r="AC367" s="4"/>
    </row>
    <row r="368" spans="1:29" ht="20.25" customHeight="1">
      <c r="A368" s="4"/>
      <c r="B368" s="4"/>
      <c r="C368" s="4"/>
      <c r="D368" s="4"/>
      <c r="E368" s="373"/>
      <c r="F368" s="373"/>
      <c r="G368" s="373"/>
      <c r="H368" s="4"/>
      <c r="I368" s="4"/>
      <c r="J368" s="4"/>
      <c r="K368" s="4"/>
      <c r="L368" s="374"/>
      <c r="M368" s="373"/>
      <c r="N368" s="4"/>
      <c r="O368" s="4"/>
      <c r="P368" s="374"/>
      <c r="Q368" s="373"/>
      <c r="R368" s="4"/>
      <c r="S368" s="4"/>
      <c r="T368" s="374"/>
      <c r="U368" s="373"/>
      <c r="V368" s="4"/>
      <c r="W368" s="4"/>
      <c r="X368" s="4"/>
      <c r="Y368" s="4"/>
      <c r="Z368" s="4"/>
      <c r="AA368" s="4"/>
      <c r="AB368" s="4"/>
      <c r="AC368" s="4"/>
    </row>
    <row r="369" spans="1:29" ht="20.25" customHeight="1">
      <c r="A369" s="4"/>
      <c r="B369" s="4"/>
      <c r="C369" s="4"/>
      <c r="D369" s="4"/>
      <c r="E369" s="373"/>
      <c r="F369" s="373"/>
      <c r="G369" s="373"/>
      <c r="H369" s="4"/>
      <c r="I369" s="4"/>
      <c r="J369" s="4"/>
      <c r="K369" s="4"/>
      <c r="L369" s="374"/>
      <c r="M369" s="373"/>
      <c r="N369" s="4"/>
      <c r="O369" s="4"/>
      <c r="P369" s="374"/>
      <c r="Q369" s="373"/>
      <c r="R369" s="4"/>
      <c r="S369" s="4"/>
      <c r="T369" s="374"/>
      <c r="U369" s="373"/>
      <c r="V369" s="4"/>
      <c r="W369" s="4"/>
      <c r="X369" s="4"/>
      <c r="Y369" s="4"/>
      <c r="Z369" s="4"/>
      <c r="AA369" s="4"/>
      <c r="AB369" s="4"/>
      <c r="AC369" s="4"/>
    </row>
    <row r="370" spans="1:29" ht="20.25" customHeight="1">
      <c r="A370" s="4"/>
      <c r="B370" s="4"/>
      <c r="C370" s="4"/>
      <c r="D370" s="4"/>
      <c r="E370" s="373"/>
      <c r="F370" s="373"/>
      <c r="G370" s="373"/>
      <c r="H370" s="4"/>
      <c r="I370" s="4"/>
      <c r="J370" s="4"/>
      <c r="K370" s="4"/>
      <c r="L370" s="374"/>
      <c r="M370" s="373"/>
      <c r="N370" s="4"/>
      <c r="O370" s="4"/>
      <c r="P370" s="374"/>
      <c r="Q370" s="373"/>
      <c r="R370" s="4"/>
      <c r="S370" s="4"/>
      <c r="T370" s="374"/>
      <c r="U370" s="373"/>
      <c r="V370" s="4"/>
      <c r="W370" s="4"/>
      <c r="X370" s="4"/>
      <c r="Y370" s="4"/>
      <c r="Z370" s="4"/>
      <c r="AA370" s="4"/>
      <c r="AB370" s="4"/>
      <c r="AC370" s="4"/>
    </row>
    <row r="371" spans="1:29" ht="20.25" customHeight="1">
      <c r="A371" s="4"/>
      <c r="B371" s="4"/>
      <c r="C371" s="4"/>
      <c r="D371" s="4"/>
      <c r="E371" s="373"/>
      <c r="F371" s="373"/>
      <c r="G371" s="373"/>
      <c r="H371" s="4"/>
      <c r="I371" s="4"/>
      <c r="J371" s="4"/>
      <c r="K371" s="4"/>
      <c r="L371" s="374"/>
      <c r="M371" s="373"/>
      <c r="N371" s="4"/>
      <c r="O371" s="4"/>
      <c r="P371" s="374"/>
      <c r="Q371" s="373"/>
      <c r="R371" s="4"/>
      <c r="S371" s="4"/>
      <c r="T371" s="374"/>
      <c r="U371" s="373"/>
      <c r="V371" s="4"/>
      <c r="W371" s="4"/>
      <c r="X371" s="4"/>
      <c r="Y371" s="4"/>
      <c r="Z371" s="4"/>
      <c r="AA371" s="4"/>
      <c r="AB371" s="4"/>
      <c r="AC371" s="4"/>
    </row>
    <row r="372" spans="1:29" ht="20.25" customHeight="1">
      <c r="A372" s="4"/>
      <c r="B372" s="4"/>
      <c r="C372" s="4"/>
      <c r="D372" s="4"/>
      <c r="E372" s="373"/>
      <c r="F372" s="373"/>
      <c r="G372" s="373"/>
      <c r="H372" s="4"/>
      <c r="I372" s="4"/>
      <c r="J372" s="4"/>
      <c r="K372" s="4"/>
      <c r="L372" s="374"/>
      <c r="M372" s="373"/>
      <c r="N372" s="4"/>
      <c r="O372" s="4"/>
      <c r="P372" s="374"/>
      <c r="Q372" s="373"/>
      <c r="R372" s="4"/>
      <c r="S372" s="4"/>
      <c r="T372" s="374"/>
      <c r="U372" s="373"/>
      <c r="V372" s="4"/>
      <c r="W372" s="4"/>
      <c r="X372" s="4"/>
      <c r="Y372" s="4"/>
      <c r="Z372" s="4"/>
      <c r="AA372" s="4"/>
      <c r="AB372" s="4"/>
      <c r="AC372" s="4"/>
    </row>
    <row r="373" spans="1:29" ht="20.25" customHeight="1">
      <c r="A373" s="4"/>
      <c r="B373" s="4"/>
      <c r="C373" s="4"/>
      <c r="D373" s="4"/>
      <c r="E373" s="373"/>
      <c r="F373" s="373"/>
      <c r="G373" s="373"/>
      <c r="H373" s="4"/>
      <c r="I373" s="4"/>
      <c r="J373" s="4"/>
      <c r="K373" s="4"/>
      <c r="L373" s="374"/>
      <c r="M373" s="373"/>
      <c r="N373" s="4"/>
      <c r="O373" s="4"/>
      <c r="P373" s="374"/>
      <c r="Q373" s="373"/>
      <c r="R373" s="4"/>
      <c r="S373" s="4"/>
      <c r="T373" s="374"/>
      <c r="U373" s="373"/>
      <c r="V373" s="4"/>
      <c r="W373" s="4"/>
      <c r="X373" s="4"/>
      <c r="Y373" s="4"/>
      <c r="Z373" s="4"/>
      <c r="AA373" s="4"/>
      <c r="AB373" s="4"/>
      <c r="AC373" s="4"/>
    </row>
    <row r="374" spans="1:29" ht="20.25" customHeight="1">
      <c r="A374" s="4"/>
      <c r="B374" s="4"/>
      <c r="C374" s="4"/>
      <c r="D374" s="4"/>
      <c r="E374" s="373"/>
      <c r="F374" s="373"/>
      <c r="G374" s="373"/>
      <c r="H374" s="4"/>
      <c r="I374" s="4"/>
      <c r="J374" s="4"/>
      <c r="K374" s="4"/>
      <c r="L374" s="374"/>
      <c r="M374" s="373"/>
      <c r="N374" s="4"/>
      <c r="O374" s="4"/>
      <c r="P374" s="374"/>
      <c r="Q374" s="373"/>
      <c r="R374" s="4"/>
      <c r="S374" s="4"/>
      <c r="T374" s="374"/>
      <c r="U374" s="373"/>
      <c r="V374" s="4"/>
      <c r="W374" s="4"/>
      <c r="X374" s="4"/>
      <c r="Y374" s="4"/>
      <c r="Z374" s="4"/>
      <c r="AA374" s="4"/>
      <c r="AB374" s="4"/>
      <c r="AC374" s="4"/>
    </row>
    <row r="375" spans="1:29" ht="20.25" customHeight="1">
      <c r="A375" s="4"/>
      <c r="B375" s="4"/>
      <c r="C375" s="4"/>
      <c r="D375" s="4"/>
      <c r="E375" s="373"/>
      <c r="F375" s="373"/>
      <c r="G375" s="373"/>
      <c r="H375" s="4"/>
      <c r="I375" s="4"/>
      <c r="J375" s="4"/>
      <c r="K375" s="4"/>
      <c r="L375" s="374"/>
      <c r="M375" s="373"/>
      <c r="N375" s="4"/>
      <c r="O375" s="4"/>
      <c r="P375" s="374"/>
      <c r="Q375" s="373"/>
      <c r="R375" s="4"/>
      <c r="S375" s="4"/>
      <c r="T375" s="374"/>
      <c r="U375" s="373"/>
      <c r="V375" s="4"/>
      <c r="W375" s="4"/>
      <c r="X375" s="4"/>
      <c r="Y375" s="4"/>
      <c r="Z375" s="4"/>
      <c r="AA375" s="4"/>
      <c r="AB375" s="4"/>
      <c r="AC375" s="4"/>
    </row>
    <row r="376" spans="1:29" ht="20.25" customHeight="1">
      <c r="A376" s="4"/>
      <c r="B376" s="4"/>
      <c r="C376" s="4"/>
      <c r="D376" s="4"/>
      <c r="E376" s="373"/>
      <c r="F376" s="373"/>
      <c r="G376" s="373"/>
      <c r="H376" s="4"/>
      <c r="I376" s="4"/>
      <c r="J376" s="4"/>
      <c r="K376" s="4"/>
      <c r="L376" s="374"/>
      <c r="M376" s="373"/>
      <c r="N376" s="4"/>
      <c r="O376" s="4"/>
      <c r="P376" s="374"/>
      <c r="Q376" s="373"/>
      <c r="R376" s="4"/>
      <c r="S376" s="4"/>
      <c r="T376" s="374"/>
      <c r="U376" s="373"/>
      <c r="V376" s="4"/>
      <c r="W376" s="4"/>
      <c r="X376" s="4"/>
      <c r="Y376" s="4"/>
      <c r="Z376" s="4"/>
      <c r="AA376" s="4"/>
      <c r="AB376" s="4"/>
      <c r="AC376" s="4"/>
    </row>
    <row r="377" spans="1:29" ht="20.25" customHeight="1">
      <c r="A377" s="4"/>
      <c r="B377" s="4"/>
      <c r="C377" s="4"/>
      <c r="D377" s="4"/>
      <c r="E377" s="373"/>
      <c r="F377" s="373"/>
      <c r="G377" s="373"/>
      <c r="H377" s="4"/>
      <c r="I377" s="4"/>
      <c r="J377" s="4"/>
      <c r="K377" s="4"/>
      <c r="L377" s="374"/>
      <c r="M377" s="373"/>
      <c r="N377" s="4"/>
      <c r="O377" s="4"/>
      <c r="P377" s="374"/>
      <c r="Q377" s="373"/>
      <c r="R377" s="4"/>
      <c r="S377" s="4"/>
      <c r="T377" s="374"/>
      <c r="U377" s="373"/>
      <c r="V377" s="4"/>
      <c r="W377" s="4"/>
      <c r="X377" s="4"/>
      <c r="Y377" s="4"/>
      <c r="Z377" s="4"/>
      <c r="AA377" s="4"/>
      <c r="AB377" s="4"/>
      <c r="AC377" s="4"/>
    </row>
    <row r="378" spans="1:29" ht="20.25" customHeight="1">
      <c r="A378" s="4"/>
      <c r="B378" s="4"/>
      <c r="C378" s="4"/>
      <c r="D378" s="4"/>
      <c r="E378" s="373"/>
      <c r="F378" s="373"/>
      <c r="G378" s="373"/>
      <c r="H378" s="4"/>
      <c r="I378" s="4"/>
      <c r="J378" s="4"/>
      <c r="K378" s="4"/>
      <c r="L378" s="374"/>
      <c r="M378" s="373"/>
      <c r="N378" s="4"/>
      <c r="O378" s="4"/>
      <c r="P378" s="374"/>
      <c r="Q378" s="373"/>
      <c r="R378" s="4"/>
      <c r="S378" s="4"/>
      <c r="T378" s="374"/>
      <c r="U378" s="373"/>
      <c r="V378" s="4"/>
      <c r="W378" s="4"/>
      <c r="X378" s="4"/>
      <c r="Y378" s="4"/>
      <c r="Z378" s="4"/>
      <c r="AA378" s="4"/>
      <c r="AB378" s="4"/>
      <c r="AC378" s="4"/>
    </row>
    <row r="379" spans="1:29" ht="20.25" customHeight="1">
      <c r="A379" s="4"/>
      <c r="B379" s="4"/>
      <c r="C379" s="4"/>
      <c r="D379" s="4"/>
      <c r="E379" s="373"/>
      <c r="F379" s="373"/>
      <c r="G379" s="373"/>
      <c r="H379" s="4"/>
      <c r="I379" s="4"/>
      <c r="J379" s="4"/>
      <c r="K379" s="4"/>
      <c r="L379" s="374"/>
      <c r="M379" s="373"/>
      <c r="N379" s="4"/>
      <c r="O379" s="4"/>
      <c r="P379" s="374"/>
      <c r="Q379" s="373"/>
      <c r="R379" s="4"/>
      <c r="S379" s="4"/>
      <c r="T379" s="374"/>
      <c r="U379" s="373"/>
      <c r="V379" s="4"/>
      <c r="W379" s="4"/>
      <c r="X379" s="4"/>
      <c r="Y379" s="4"/>
      <c r="Z379" s="4"/>
      <c r="AA379" s="4"/>
      <c r="AB379" s="4"/>
      <c r="AC379" s="4"/>
    </row>
    <row r="380" spans="1:29" ht="20.25" customHeight="1">
      <c r="A380" s="4"/>
      <c r="B380" s="4"/>
      <c r="C380" s="4"/>
      <c r="D380" s="4"/>
      <c r="E380" s="373"/>
      <c r="F380" s="373"/>
      <c r="G380" s="373"/>
      <c r="H380" s="4"/>
      <c r="I380" s="4"/>
      <c r="J380" s="4"/>
      <c r="K380" s="4"/>
      <c r="L380" s="374"/>
      <c r="M380" s="373"/>
      <c r="N380" s="4"/>
      <c r="O380" s="4"/>
      <c r="P380" s="374"/>
      <c r="Q380" s="373"/>
      <c r="R380" s="4"/>
      <c r="S380" s="4"/>
      <c r="T380" s="374"/>
      <c r="U380" s="373"/>
      <c r="V380" s="4"/>
      <c r="W380" s="4"/>
      <c r="X380" s="4"/>
      <c r="Y380" s="4"/>
      <c r="Z380" s="4"/>
      <c r="AA380" s="4"/>
      <c r="AB380" s="4"/>
      <c r="AC380" s="4"/>
    </row>
    <row r="381" spans="1:29" ht="20.25" customHeight="1">
      <c r="A381" s="4"/>
      <c r="B381" s="4"/>
      <c r="C381" s="4"/>
      <c r="D381" s="4"/>
      <c r="E381" s="373"/>
      <c r="F381" s="373"/>
      <c r="G381" s="373"/>
      <c r="H381" s="4"/>
      <c r="I381" s="4"/>
      <c r="J381" s="4"/>
      <c r="K381" s="4"/>
      <c r="L381" s="374"/>
      <c r="M381" s="373"/>
      <c r="N381" s="4"/>
      <c r="O381" s="4"/>
      <c r="P381" s="374"/>
      <c r="Q381" s="373"/>
      <c r="R381" s="4"/>
      <c r="S381" s="4"/>
      <c r="T381" s="374"/>
      <c r="U381" s="373"/>
      <c r="V381" s="4"/>
      <c r="W381" s="4"/>
      <c r="X381" s="4"/>
      <c r="Y381" s="4"/>
      <c r="Z381" s="4"/>
      <c r="AA381" s="4"/>
      <c r="AB381" s="4"/>
      <c r="AC381" s="4"/>
    </row>
    <row r="382" spans="1:29" ht="20.25" customHeight="1">
      <c r="A382" s="4"/>
      <c r="B382" s="4"/>
      <c r="C382" s="4"/>
      <c r="D382" s="4"/>
      <c r="E382" s="373"/>
      <c r="F382" s="373"/>
      <c r="G382" s="373"/>
      <c r="H382" s="4"/>
      <c r="I382" s="4"/>
      <c r="J382" s="4"/>
      <c r="K382" s="4"/>
      <c r="L382" s="374"/>
      <c r="M382" s="373"/>
      <c r="N382" s="4"/>
      <c r="O382" s="4"/>
      <c r="P382" s="374"/>
      <c r="Q382" s="373"/>
      <c r="R382" s="4"/>
      <c r="S382" s="4"/>
      <c r="T382" s="374"/>
      <c r="U382" s="373"/>
      <c r="V382" s="4"/>
      <c r="W382" s="4"/>
      <c r="X382" s="4"/>
      <c r="Y382" s="4"/>
      <c r="Z382" s="4"/>
      <c r="AA382" s="4"/>
      <c r="AB382" s="4"/>
      <c r="AC382" s="4"/>
    </row>
    <row r="383" spans="1:29" ht="20.25" customHeight="1">
      <c r="A383" s="4"/>
      <c r="B383" s="4"/>
      <c r="C383" s="4"/>
      <c r="D383" s="4"/>
      <c r="E383" s="373"/>
      <c r="F383" s="373"/>
      <c r="G383" s="373"/>
      <c r="H383" s="4"/>
      <c r="I383" s="4"/>
      <c r="J383" s="4"/>
      <c r="K383" s="4"/>
      <c r="L383" s="374"/>
      <c r="M383" s="373"/>
      <c r="N383" s="4"/>
      <c r="O383" s="4"/>
      <c r="P383" s="374"/>
      <c r="Q383" s="373"/>
      <c r="R383" s="4"/>
      <c r="S383" s="4"/>
      <c r="T383" s="374"/>
      <c r="U383" s="373"/>
      <c r="V383" s="4"/>
      <c r="W383" s="4"/>
      <c r="X383" s="4"/>
      <c r="Y383" s="4"/>
      <c r="Z383" s="4"/>
      <c r="AA383" s="4"/>
      <c r="AB383" s="4"/>
      <c r="AC383" s="4"/>
    </row>
    <row r="384" spans="1:29" ht="20.25" customHeight="1">
      <c r="A384" s="4"/>
      <c r="B384" s="4"/>
      <c r="C384" s="4"/>
      <c r="D384" s="4"/>
      <c r="E384" s="373"/>
      <c r="F384" s="373"/>
      <c r="G384" s="373"/>
      <c r="H384" s="4"/>
      <c r="I384" s="4"/>
      <c r="J384" s="4"/>
      <c r="K384" s="4"/>
      <c r="L384" s="374"/>
      <c r="M384" s="373"/>
      <c r="N384" s="4"/>
      <c r="O384" s="4"/>
      <c r="P384" s="374"/>
      <c r="Q384" s="373"/>
      <c r="R384" s="4"/>
      <c r="S384" s="4"/>
      <c r="T384" s="374"/>
      <c r="U384" s="373"/>
      <c r="V384" s="4"/>
      <c r="W384" s="4"/>
      <c r="X384" s="4"/>
      <c r="Y384" s="4"/>
      <c r="Z384" s="4"/>
      <c r="AA384" s="4"/>
      <c r="AB384" s="4"/>
      <c r="AC384" s="4"/>
    </row>
    <row r="385" spans="1:29" ht="20.25" customHeight="1">
      <c r="A385" s="4"/>
      <c r="B385" s="4"/>
      <c r="C385" s="4"/>
      <c r="D385" s="4"/>
      <c r="E385" s="373"/>
      <c r="F385" s="373"/>
      <c r="G385" s="373"/>
      <c r="H385" s="4"/>
      <c r="I385" s="4"/>
      <c r="J385" s="4"/>
      <c r="K385" s="4"/>
      <c r="L385" s="374"/>
      <c r="M385" s="373"/>
      <c r="N385" s="4"/>
      <c r="O385" s="4"/>
      <c r="P385" s="374"/>
      <c r="Q385" s="373"/>
      <c r="R385" s="4"/>
      <c r="S385" s="4"/>
      <c r="T385" s="374"/>
      <c r="U385" s="373"/>
      <c r="V385" s="4"/>
      <c r="W385" s="4"/>
      <c r="X385" s="4"/>
      <c r="Y385" s="4"/>
      <c r="Z385" s="4"/>
      <c r="AA385" s="4"/>
      <c r="AB385" s="4"/>
      <c r="AC385" s="4"/>
    </row>
    <row r="386" spans="1:29" ht="20.25" customHeight="1">
      <c r="A386" s="4"/>
      <c r="B386" s="4"/>
      <c r="C386" s="4"/>
      <c r="D386" s="4"/>
      <c r="E386" s="373"/>
      <c r="F386" s="373"/>
      <c r="G386" s="373"/>
      <c r="H386" s="4"/>
      <c r="I386" s="4"/>
      <c r="J386" s="4"/>
      <c r="K386" s="4"/>
      <c r="L386" s="374"/>
      <c r="M386" s="373"/>
      <c r="N386" s="4"/>
      <c r="O386" s="4"/>
      <c r="P386" s="374"/>
      <c r="Q386" s="373"/>
      <c r="R386" s="4"/>
      <c r="S386" s="4"/>
      <c r="T386" s="374"/>
      <c r="U386" s="373"/>
      <c r="V386" s="4"/>
      <c r="W386" s="4"/>
      <c r="X386" s="4"/>
      <c r="Y386" s="4"/>
      <c r="Z386" s="4"/>
      <c r="AA386" s="4"/>
      <c r="AB386" s="4"/>
      <c r="AC386" s="4"/>
    </row>
    <row r="387" spans="1:29" ht="20.25" customHeight="1">
      <c r="A387" s="4"/>
      <c r="B387" s="4"/>
      <c r="C387" s="4"/>
      <c r="D387" s="4"/>
      <c r="E387" s="373"/>
      <c r="F387" s="373"/>
      <c r="G387" s="373"/>
      <c r="H387" s="4"/>
      <c r="I387" s="4"/>
      <c r="J387" s="4"/>
      <c r="K387" s="4"/>
      <c r="L387" s="374"/>
      <c r="M387" s="373"/>
      <c r="N387" s="4"/>
      <c r="O387" s="4"/>
      <c r="P387" s="374"/>
      <c r="Q387" s="373"/>
      <c r="R387" s="4"/>
      <c r="S387" s="4"/>
      <c r="T387" s="374"/>
      <c r="U387" s="373"/>
      <c r="V387" s="4"/>
      <c r="W387" s="4"/>
      <c r="X387" s="4"/>
      <c r="Y387" s="4"/>
      <c r="Z387" s="4"/>
      <c r="AA387" s="4"/>
      <c r="AB387" s="4"/>
      <c r="AC387" s="4"/>
    </row>
    <row r="388" spans="1:29" ht="20.25" customHeight="1">
      <c r="A388" s="4"/>
      <c r="B388" s="4"/>
      <c r="C388" s="4"/>
      <c r="D388" s="4"/>
      <c r="E388" s="373"/>
      <c r="F388" s="373"/>
      <c r="G388" s="373"/>
      <c r="H388" s="4"/>
      <c r="I388" s="4"/>
      <c r="J388" s="4"/>
      <c r="K388" s="4"/>
      <c r="L388" s="374"/>
      <c r="M388" s="373"/>
      <c r="N388" s="4"/>
      <c r="O388" s="4"/>
      <c r="P388" s="374"/>
      <c r="Q388" s="373"/>
      <c r="R388" s="4"/>
      <c r="S388" s="4"/>
      <c r="T388" s="374"/>
      <c r="U388" s="373"/>
      <c r="V388" s="4"/>
      <c r="W388" s="4"/>
      <c r="X388" s="4"/>
      <c r="Y388" s="4"/>
      <c r="Z388" s="4"/>
      <c r="AA388" s="4"/>
      <c r="AB388" s="4"/>
      <c r="AC388" s="4"/>
    </row>
    <row r="389" spans="1:29" ht="20.25" customHeight="1">
      <c r="A389" s="4"/>
      <c r="B389" s="4"/>
      <c r="C389" s="4"/>
      <c r="D389" s="4"/>
      <c r="E389" s="373"/>
      <c r="F389" s="373"/>
      <c r="G389" s="373"/>
      <c r="H389" s="4"/>
      <c r="I389" s="4"/>
      <c r="J389" s="4"/>
      <c r="K389" s="4"/>
      <c r="L389" s="374"/>
      <c r="M389" s="373"/>
      <c r="N389" s="4"/>
      <c r="O389" s="4"/>
      <c r="P389" s="374"/>
      <c r="Q389" s="373"/>
      <c r="R389" s="4"/>
      <c r="S389" s="4"/>
      <c r="T389" s="374"/>
      <c r="U389" s="373"/>
      <c r="V389" s="4"/>
      <c r="W389" s="4"/>
      <c r="X389" s="4"/>
      <c r="Y389" s="4"/>
      <c r="Z389" s="4"/>
      <c r="AA389" s="4"/>
      <c r="AB389" s="4"/>
      <c r="AC389" s="4"/>
    </row>
    <row r="390" spans="1:29" ht="20.25" customHeight="1">
      <c r="A390" s="4"/>
      <c r="B390" s="4"/>
      <c r="C390" s="4"/>
      <c r="D390" s="4"/>
      <c r="E390" s="373"/>
      <c r="F390" s="373"/>
      <c r="G390" s="373"/>
      <c r="H390" s="4"/>
      <c r="I390" s="4"/>
      <c r="J390" s="4"/>
      <c r="K390" s="4"/>
      <c r="L390" s="374"/>
      <c r="M390" s="373"/>
      <c r="N390" s="4"/>
      <c r="O390" s="4"/>
      <c r="P390" s="374"/>
      <c r="Q390" s="373"/>
      <c r="R390" s="4"/>
      <c r="S390" s="4"/>
      <c r="T390" s="374"/>
      <c r="U390" s="373"/>
      <c r="V390" s="4"/>
      <c r="W390" s="4"/>
      <c r="X390" s="4"/>
      <c r="Y390" s="4"/>
      <c r="Z390" s="4"/>
      <c r="AA390" s="4"/>
      <c r="AB390" s="4"/>
      <c r="AC390" s="4"/>
    </row>
    <row r="391" spans="1:29" ht="20.25" customHeight="1">
      <c r="A391" s="4"/>
      <c r="B391" s="4"/>
      <c r="C391" s="4"/>
      <c r="D391" s="4"/>
      <c r="E391" s="373"/>
      <c r="F391" s="373"/>
      <c r="G391" s="373"/>
      <c r="H391" s="4"/>
      <c r="I391" s="4"/>
      <c r="J391" s="4"/>
      <c r="K391" s="4"/>
      <c r="L391" s="374"/>
      <c r="M391" s="373"/>
      <c r="N391" s="4"/>
      <c r="O391" s="4"/>
      <c r="P391" s="374"/>
      <c r="Q391" s="373"/>
      <c r="R391" s="4"/>
      <c r="S391" s="4"/>
      <c r="T391" s="374"/>
      <c r="U391" s="373"/>
      <c r="V391" s="4"/>
      <c r="W391" s="4"/>
      <c r="X391" s="4"/>
      <c r="Y391" s="4"/>
      <c r="Z391" s="4"/>
      <c r="AA391" s="4"/>
      <c r="AB391" s="4"/>
      <c r="AC391" s="4"/>
    </row>
    <row r="392" spans="1:29" ht="20.25" customHeight="1">
      <c r="A392" s="4"/>
      <c r="B392" s="4"/>
      <c r="C392" s="4"/>
      <c r="D392" s="4"/>
      <c r="E392" s="374"/>
      <c r="F392" s="373"/>
      <c r="G392" s="373"/>
      <c r="H392" s="374"/>
      <c r="I392" s="373"/>
      <c r="J392" s="4"/>
      <c r="K392" s="4"/>
      <c r="L392" s="374"/>
      <c r="M392" s="373"/>
      <c r="N392" s="4"/>
      <c r="O392" s="4"/>
      <c r="P392" s="374"/>
      <c r="Q392" s="373"/>
      <c r="R392" s="4"/>
      <c r="S392" s="4"/>
      <c r="T392" s="374"/>
      <c r="U392" s="373"/>
      <c r="V392" s="4"/>
      <c r="W392" s="4"/>
      <c r="X392" s="4"/>
      <c r="Y392" s="4"/>
      <c r="Z392" s="4"/>
      <c r="AA392" s="4"/>
      <c r="AB392" s="4"/>
      <c r="AC392" s="4"/>
    </row>
    <row r="393" spans="1:29" ht="20.25" customHeight="1">
      <c r="A393" s="373"/>
      <c r="B393" s="4"/>
      <c r="C393" s="4"/>
      <c r="D393" s="4"/>
      <c r="E393" s="374"/>
      <c r="F393" s="373"/>
      <c r="G393" s="373"/>
      <c r="H393" s="374"/>
      <c r="I393" s="373"/>
      <c r="J393" s="8"/>
      <c r="K393" s="8"/>
      <c r="L393" s="374"/>
      <c r="M393" s="373"/>
      <c r="N393" s="8"/>
      <c r="O393" s="8"/>
      <c r="P393" s="374"/>
      <c r="Q393" s="373"/>
      <c r="R393" s="8"/>
      <c r="S393" s="8"/>
      <c r="T393" s="374"/>
      <c r="U393" s="373"/>
      <c r="V393" s="8"/>
      <c r="W393" s="8"/>
      <c r="X393" s="8"/>
      <c r="Y393" s="4"/>
      <c r="Z393" s="4"/>
      <c r="AA393" s="4"/>
      <c r="AB393" s="4"/>
      <c r="AC393" s="4"/>
    </row>
    <row r="394" spans="1:29" ht="20.25" customHeight="1">
      <c r="A394" s="373"/>
      <c r="B394" s="4"/>
      <c r="C394" s="4"/>
      <c r="D394" s="4"/>
      <c r="E394" s="374"/>
      <c r="F394" s="373"/>
      <c r="G394" s="373"/>
      <c r="H394" s="374"/>
      <c r="I394" s="373"/>
      <c r="J394" s="8"/>
      <c r="K394" s="8"/>
      <c r="L394" s="374"/>
      <c r="M394" s="373"/>
      <c r="N394" s="8"/>
      <c r="O394" s="8"/>
      <c r="P394" s="374"/>
      <c r="Q394" s="373"/>
      <c r="R394" s="8"/>
      <c r="S394" s="8"/>
      <c r="T394" s="374"/>
      <c r="U394" s="373"/>
      <c r="V394" s="8"/>
      <c r="W394" s="8"/>
      <c r="X394" s="8"/>
      <c r="Y394" s="4"/>
      <c r="Z394" s="4"/>
      <c r="AA394" s="4"/>
      <c r="AB394" s="4"/>
      <c r="AC394" s="4"/>
    </row>
    <row r="395" spans="1:29" ht="20.25" customHeight="1">
      <c r="A395" s="373"/>
      <c r="B395" s="4"/>
      <c r="C395" s="4"/>
      <c r="D395" s="4"/>
      <c r="E395" s="374"/>
      <c r="F395" s="373"/>
      <c r="G395" s="373"/>
      <c r="H395" s="374"/>
      <c r="I395" s="373"/>
      <c r="J395" s="8"/>
      <c r="K395" s="8"/>
      <c r="L395" s="374"/>
      <c r="M395" s="373"/>
      <c r="N395" s="8"/>
      <c r="O395" s="8"/>
      <c r="P395" s="374"/>
      <c r="Q395" s="373"/>
      <c r="R395" s="8"/>
      <c r="S395" s="8"/>
      <c r="T395" s="374"/>
      <c r="U395" s="373"/>
      <c r="V395" s="8"/>
      <c r="W395" s="8"/>
      <c r="X395" s="8"/>
      <c r="Y395" s="4"/>
      <c r="Z395" s="4"/>
      <c r="AA395" s="4"/>
      <c r="AB395" s="4"/>
      <c r="AC395" s="4"/>
    </row>
    <row r="396" spans="1:29" ht="20.25" customHeight="1">
      <c r="A396" s="4"/>
      <c r="B396" s="3" t="s">
        <v>373</v>
      </c>
      <c r="C396" s="4"/>
      <c r="D396" s="4"/>
      <c r="E396" s="374"/>
      <c r="F396" s="373"/>
      <c r="G396" s="373"/>
      <c r="H396" s="374"/>
      <c r="I396" s="373"/>
      <c r="J396" s="8"/>
      <c r="K396" s="8"/>
      <c r="L396" s="374"/>
      <c r="M396" s="373"/>
      <c r="N396" s="8"/>
      <c r="O396" s="8"/>
      <c r="P396" s="374"/>
      <c r="Q396" s="373"/>
      <c r="R396" s="8"/>
      <c r="S396" s="8"/>
      <c r="T396" s="374"/>
      <c r="U396" s="373"/>
      <c r="V396" s="8"/>
      <c r="W396" s="8"/>
      <c r="X396" s="8"/>
      <c r="Y396" s="4"/>
      <c r="Z396" s="4"/>
      <c r="AA396" s="4"/>
      <c r="AB396" s="4"/>
      <c r="AC396" s="4"/>
    </row>
    <row r="397" spans="1:29" ht="20.25" customHeight="1">
      <c r="A397" s="4"/>
      <c r="B397" s="4" t="s">
        <v>374</v>
      </c>
      <c r="C397" s="4"/>
      <c r="D397" s="8">
        <f>+O131</f>
        <v>13272000000</v>
      </c>
      <c r="E397" s="374"/>
      <c r="F397" s="373"/>
      <c r="G397" s="373"/>
      <c r="H397" s="374"/>
      <c r="I397" s="373"/>
      <c r="J397" s="8"/>
      <c r="K397" s="8"/>
      <c r="L397" s="374"/>
      <c r="M397" s="373"/>
      <c r="N397" s="8"/>
      <c r="O397" s="8"/>
      <c r="P397" s="374"/>
      <c r="Q397" s="373"/>
      <c r="R397" s="8"/>
      <c r="S397" s="8"/>
      <c r="T397" s="374"/>
      <c r="U397" s="373"/>
      <c r="V397" s="8"/>
      <c r="W397" s="8"/>
      <c r="X397" s="8"/>
      <c r="Y397" s="4"/>
      <c r="Z397" s="4"/>
      <c r="AA397" s="4"/>
      <c r="AB397" s="4"/>
      <c r="AC397" s="4"/>
    </row>
    <row r="398" spans="1:29" ht="20.25" customHeight="1">
      <c r="A398" s="4"/>
      <c r="B398" s="4" t="s">
        <v>375</v>
      </c>
      <c r="C398" s="4"/>
      <c r="D398" s="8">
        <f>+O141</f>
        <v>0</v>
      </c>
      <c r="E398" s="374"/>
      <c r="F398" s="373"/>
      <c r="G398" s="373"/>
      <c r="H398" s="374"/>
      <c r="I398" s="373"/>
      <c r="J398" s="8"/>
      <c r="K398" s="8"/>
      <c r="L398" s="374"/>
      <c r="M398" s="373"/>
      <c r="N398" s="8"/>
      <c r="O398" s="8"/>
      <c r="P398" s="374"/>
      <c r="Q398" s="373"/>
      <c r="R398" s="8"/>
      <c r="S398" s="8"/>
      <c r="T398" s="374"/>
      <c r="U398" s="373"/>
      <c r="V398" s="8"/>
      <c r="W398" s="8"/>
      <c r="X398" s="8"/>
      <c r="Y398" s="4"/>
      <c r="Z398" s="4"/>
      <c r="AA398" s="4"/>
      <c r="AB398" s="4"/>
      <c r="AC398" s="4"/>
    </row>
    <row r="399" spans="1:29" ht="20.25" customHeight="1">
      <c r="A399" s="4"/>
      <c r="B399" s="4" t="s">
        <v>376</v>
      </c>
      <c r="C399" s="4"/>
      <c r="D399" s="8" t="e">
        <f>+O81+O83+O86+O90+#REF!+#REF!+#REF!</f>
        <v>#REF!</v>
      </c>
      <c r="E399" s="374"/>
      <c r="F399" s="373"/>
      <c r="G399" s="373"/>
      <c r="H399" s="374"/>
      <c r="I399" s="373"/>
      <c r="J399" s="8"/>
      <c r="K399" s="8"/>
      <c r="L399" s="374"/>
      <c r="M399" s="373"/>
      <c r="N399" s="8"/>
      <c r="O399" s="8"/>
      <c r="P399" s="374"/>
      <c r="Q399" s="373"/>
      <c r="R399" s="8"/>
      <c r="S399" s="8"/>
      <c r="T399" s="374"/>
      <c r="U399" s="373"/>
      <c r="V399" s="8"/>
      <c r="W399" s="8"/>
      <c r="X399" s="8"/>
      <c r="Y399" s="4"/>
      <c r="Z399" s="4"/>
      <c r="AA399" s="4"/>
      <c r="AB399" s="4"/>
      <c r="AC399" s="4"/>
    </row>
    <row r="400" spans="1:29" ht="20.25" customHeight="1">
      <c r="A400" s="4"/>
      <c r="B400" s="4" t="s">
        <v>377</v>
      </c>
      <c r="C400" s="4"/>
      <c r="D400" s="8" t="e">
        <f>+O113+#REF!+O89+O107+O155+O157+#REF!+#REF!+O159+O161+O176+O50+O59+O48</f>
        <v>#REF!</v>
      </c>
      <c r="E400" s="374"/>
      <c r="F400" s="373"/>
      <c r="G400" s="373"/>
      <c r="H400" s="374"/>
      <c r="I400" s="373"/>
      <c r="J400" s="8"/>
      <c r="K400" s="8"/>
      <c r="L400" s="374"/>
      <c r="M400" s="373"/>
      <c r="N400" s="8"/>
      <c r="O400" s="8"/>
      <c r="P400" s="374"/>
      <c r="Q400" s="373"/>
      <c r="R400" s="8"/>
      <c r="S400" s="8"/>
      <c r="T400" s="374"/>
      <c r="U400" s="373"/>
      <c r="V400" s="8"/>
      <c r="W400" s="8"/>
      <c r="X400" s="8"/>
      <c r="Y400" s="4"/>
      <c r="Z400" s="4"/>
      <c r="AA400" s="4"/>
      <c r="AB400" s="4"/>
      <c r="AC400" s="4"/>
    </row>
    <row r="401" spans="1:29" ht="20.25" customHeight="1">
      <c r="A401" s="4"/>
      <c r="B401" s="4" t="s">
        <v>378</v>
      </c>
      <c r="C401" s="4"/>
      <c r="D401" s="8">
        <f>+O98+O64+O198+O214+O218+O138+O229</f>
        <v>1592832000</v>
      </c>
      <c r="E401" s="374"/>
      <c r="F401" s="373"/>
      <c r="G401" s="373"/>
      <c r="H401" s="374"/>
      <c r="I401" s="373"/>
      <c r="J401" s="8"/>
      <c r="K401" s="8"/>
      <c r="L401" s="374"/>
      <c r="M401" s="373"/>
      <c r="N401" s="8"/>
      <c r="O401" s="8"/>
      <c r="P401" s="374"/>
      <c r="Q401" s="373"/>
      <c r="R401" s="8"/>
      <c r="S401" s="8"/>
      <c r="T401" s="374"/>
      <c r="U401" s="373"/>
      <c r="V401" s="8"/>
      <c r="W401" s="8"/>
      <c r="X401" s="8"/>
      <c r="Y401" s="4"/>
      <c r="Z401" s="4"/>
      <c r="AA401" s="4"/>
      <c r="AB401" s="4"/>
      <c r="AC401" s="4"/>
    </row>
    <row r="402" spans="1:29" ht="20.25" customHeight="1">
      <c r="A402" s="4"/>
      <c r="B402" s="4" t="s">
        <v>379</v>
      </c>
      <c r="C402" s="4"/>
      <c r="D402" s="8">
        <f>+O235+O146</f>
        <v>5590000000</v>
      </c>
      <c r="E402" s="374"/>
      <c r="F402" s="373"/>
      <c r="G402" s="373"/>
      <c r="H402" s="374"/>
      <c r="I402" s="373"/>
      <c r="J402" s="8"/>
      <c r="K402" s="8"/>
      <c r="L402" s="374"/>
      <c r="M402" s="373"/>
      <c r="N402" s="8"/>
      <c r="O402" s="8"/>
      <c r="P402" s="374"/>
      <c r="Q402" s="373"/>
      <c r="R402" s="8"/>
      <c r="S402" s="8"/>
      <c r="T402" s="374"/>
      <c r="U402" s="373"/>
      <c r="V402" s="8"/>
      <c r="W402" s="8"/>
      <c r="X402" s="8"/>
      <c r="Y402" s="4"/>
      <c r="Z402" s="4"/>
      <c r="AA402" s="4"/>
      <c r="AB402" s="4"/>
      <c r="AC402" s="4"/>
    </row>
    <row r="403" spans="1:29" ht="20.25" customHeight="1">
      <c r="A403" s="4"/>
      <c r="B403" s="4" t="s">
        <v>380</v>
      </c>
      <c r="C403" s="4"/>
      <c r="D403" s="8" t="e">
        <f>SUM(D396:D402)</f>
        <v>#REF!</v>
      </c>
      <c r="E403" s="374"/>
      <c r="F403" s="373"/>
      <c r="G403" s="373"/>
      <c r="H403" s="374"/>
      <c r="I403" s="373"/>
      <c r="J403" s="8"/>
      <c r="K403" s="8"/>
      <c r="L403" s="374"/>
      <c r="M403" s="373"/>
      <c r="N403" s="8"/>
      <c r="O403" s="8"/>
      <c r="P403" s="374"/>
      <c r="Q403" s="373"/>
      <c r="R403" s="8"/>
      <c r="S403" s="8"/>
      <c r="T403" s="374"/>
      <c r="U403" s="373"/>
      <c r="V403" s="8"/>
      <c r="W403" s="8"/>
      <c r="X403" s="8"/>
      <c r="Y403" s="4"/>
      <c r="Z403" s="4"/>
      <c r="AA403" s="4"/>
      <c r="AB403" s="4"/>
      <c r="AC403" s="4"/>
    </row>
    <row r="404" spans="1:29" ht="20.25" customHeight="1">
      <c r="A404" s="4"/>
      <c r="B404" s="4" t="s">
        <v>367</v>
      </c>
      <c r="C404" s="4"/>
      <c r="D404" s="8" t="e">
        <f>+D403*10/100</f>
        <v>#REF!</v>
      </c>
      <c r="E404" s="374"/>
      <c r="F404" s="373"/>
      <c r="G404" s="373"/>
      <c r="H404" s="374"/>
      <c r="I404" s="373"/>
      <c r="J404" s="8"/>
      <c r="K404" s="8"/>
      <c r="L404" s="374"/>
      <c r="M404" s="373"/>
      <c r="N404" s="8"/>
      <c r="O404" s="8"/>
      <c r="P404" s="374"/>
      <c r="Q404" s="373"/>
      <c r="R404" s="8"/>
      <c r="S404" s="8"/>
      <c r="T404" s="374"/>
      <c r="U404" s="373"/>
      <c r="V404" s="8"/>
      <c r="W404" s="8"/>
      <c r="X404" s="8"/>
      <c r="Y404" s="4"/>
      <c r="Z404" s="4"/>
      <c r="AA404" s="4"/>
      <c r="AB404" s="4"/>
      <c r="AC404" s="4"/>
    </row>
    <row r="405" spans="1:29" ht="20.25" customHeight="1">
      <c r="A405" s="4"/>
      <c r="B405" s="4" t="s">
        <v>381</v>
      </c>
      <c r="C405" s="4"/>
      <c r="D405" s="8">
        <f t="shared" ref="D405:D406" si="214">+O276</f>
        <v>500000000</v>
      </c>
      <c r="E405" s="374"/>
      <c r="F405" s="373"/>
      <c r="G405" s="373"/>
      <c r="H405" s="374"/>
      <c r="I405" s="373"/>
      <c r="J405" s="8"/>
      <c r="K405" s="8"/>
      <c r="L405" s="374"/>
      <c r="M405" s="373"/>
      <c r="N405" s="8"/>
      <c r="O405" s="8"/>
      <c r="P405" s="374"/>
      <c r="Q405" s="373"/>
      <c r="R405" s="8"/>
      <c r="S405" s="8"/>
      <c r="T405" s="374"/>
      <c r="U405" s="373"/>
      <c r="V405" s="8"/>
      <c r="W405" s="8"/>
      <c r="X405" s="8"/>
      <c r="Y405" s="4"/>
      <c r="Z405" s="4"/>
      <c r="AA405" s="4"/>
      <c r="AB405" s="4"/>
      <c r="AC405" s="4"/>
    </row>
    <row r="406" spans="1:29" ht="20.25" customHeight="1">
      <c r="A406" s="4"/>
      <c r="B406" s="4" t="s">
        <v>382</v>
      </c>
      <c r="C406" s="4"/>
      <c r="D406" s="8">
        <f t="shared" si="214"/>
        <v>0</v>
      </c>
      <c r="E406" s="374"/>
      <c r="F406" s="373"/>
      <c r="G406" s="373"/>
      <c r="H406" s="374"/>
      <c r="I406" s="373"/>
      <c r="J406" s="8"/>
      <c r="K406" s="8"/>
      <c r="L406" s="374"/>
      <c r="M406" s="373"/>
      <c r="N406" s="8"/>
      <c r="O406" s="8"/>
      <c r="P406" s="374"/>
      <c r="Q406" s="373"/>
      <c r="R406" s="8"/>
      <c r="S406" s="8"/>
      <c r="T406" s="374"/>
      <c r="U406" s="373"/>
      <c r="V406" s="8"/>
      <c r="W406" s="8"/>
      <c r="X406" s="8"/>
      <c r="Y406" s="4"/>
      <c r="Z406" s="4"/>
      <c r="AA406" s="4"/>
      <c r="AB406" s="4"/>
      <c r="AC406" s="4"/>
    </row>
    <row r="407" spans="1:29" ht="20.25" customHeight="1">
      <c r="A407" s="4"/>
      <c r="B407" s="4" t="s">
        <v>383</v>
      </c>
      <c r="C407" s="4"/>
      <c r="D407" s="8" t="e">
        <f>+O274</f>
        <v>#REF!</v>
      </c>
      <c r="E407" s="374"/>
      <c r="F407" s="373"/>
      <c r="G407" s="373"/>
      <c r="H407" s="374"/>
      <c r="I407" s="373"/>
      <c r="J407" s="8"/>
      <c r="K407" s="8"/>
      <c r="L407" s="374"/>
      <c r="M407" s="373"/>
      <c r="N407" s="8"/>
      <c r="O407" s="8"/>
      <c r="P407" s="374"/>
      <c r="Q407" s="373"/>
      <c r="R407" s="8"/>
      <c r="S407" s="8"/>
      <c r="T407" s="374"/>
      <c r="U407" s="373"/>
      <c r="V407" s="8"/>
      <c r="W407" s="8"/>
      <c r="X407" s="8"/>
      <c r="Y407" s="4"/>
      <c r="Z407" s="4"/>
      <c r="AA407" s="4"/>
      <c r="AB407" s="4"/>
      <c r="AC407" s="4"/>
    </row>
    <row r="408" spans="1:29" ht="20.25" customHeight="1">
      <c r="A408" s="4"/>
      <c r="B408" s="4" t="s">
        <v>380</v>
      </c>
      <c r="C408" s="4"/>
      <c r="D408" s="8" t="e">
        <f>SUM(D403:D407)</f>
        <v>#REF!</v>
      </c>
      <c r="E408" s="373"/>
      <c r="F408" s="373"/>
      <c r="G408" s="37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20.25" customHeight="1">
      <c r="A409" s="373"/>
      <c r="B409" s="4"/>
      <c r="C409" s="4"/>
      <c r="D409" s="4"/>
      <c r="E409" s="374"/>
      <c r="F409" s="373"/>
      <c r="G409" s="373"/>
      <c r="H409" s="374"/>
      <c r="I409" s="373"/>
      <c r="J409" s="8"/>
      <c r="K409" s="8"/>
      <c r="L409" s="374"/>
      <c r="M409" s="373"/>
      <c r="N409" s="8"/>
      <c r="O409" s="8"/>
      <c r="P409" s="374"/>
      <c r="Q409" s="373"/>
      <c r="R409" s="8"/>
      <c r="S409" s="8"/>
      <c r="T409" s="374"/>
      <c r="U409" s="373"/>
      <c r="V409" s="8"/>
      <c r="W409" s="8"/>
      <c r="X409" s="8"/>
      <c r="Y409" s="4"/>
      <c r="Z409" s="4"/>
      <c r="AA409" s="4"/>
      <c r="AB409" s="4"/>
      <c r="AC409" s="4"/>
    </row>
    <row r="410" spans="1:29" ht="20.25" customHeight="1">
      <c r="A410" s="373"/>
      <c r="B410" s="4"/>
      <c r="C410" s="4"/>
      <c r="D410" s="4"/>
      <c r="E410" s="374"/>
      <c r="F410" s="373"/>
      <c r="G410" s="373"/>
      <c r="H410" s="374"/>
      <c r="I410" s="373"/>
      <c r="J410" s="8"/>
      <c r="K410" s="8"/>
      <c r="L410" s="374"/>
      <c r="M410" s="373"/>
      <c r="N410" s="8"/>
      <c r="O410" s="8"/>
      <c r="P410" s="374"/>
      <c r="Q410" s="373"/>
      <c r="R410" s="8"/>
      <c r="S410" s="8"/>
      <c r="T410" s="374"/>
      <c r="U410" s="373"/>
      <c r="V410" s="8"/>
      <c r="W410" s="8"/>
      <c r="X410" s="8"/>
      <c r="Y410" s="4"/>
      <c r="Z410" s="4"/>
      <c r="AA410" s="4"/>
      <c r="AB410" s="4"/>
      <c r="AC410" s="4"/>
    </row>
    <row r="411" spans="1:29" ht="20.25" customHeight="1">
      <c r="A411" s="373"/>
      <c r="B411" s="4"/>
      <c r="C411" s="4"/>
      <c r="D411" s="4"/>
      <c r="E411" s="374"/>
      <c r="F411" s="373"/>
      <c r="G411" s="373"/>
      <c r="H411" s="374"/>
      <c r="I411" s="373"/>
      <c r="J411" s="8"/>
      <c r="K411" s="8"/>
      <c r="L411" s="374"/>
      <c r="M411" s="373"/>
      <c r="N411" s="8"/>
      <c r="O411" s="8"/>
      <c r="P411" s="374"/>
      <c r="Q411" s="373"/>
      <c r="R411" s="8"/>
      <c r="S411" s="8"/>
      <c r="T411" s="374"/>
      <c r="U411" s="373"/>
      <c r="V411" s="8"/>
      <c r="W411" s="8"/>
      <c r="X411" s="8"/>
      <c r="Y411" s="4"/>
      <c r="Z411" s="4"/>
      <c r="AA411" s="4"/>
      <c r="AB411" s="4"/>
      <c r="AC411" s="4"/>
    </row>
    <row r="412" spans="1:29" ht="20.25" customHeight="1">
      <c r="A412" s="373"/>
      <c r="B412" s="4"/>
      <c r="C412" s="4"/>
      <c r="D412" s="4"/>
      <c r="E412" s="374"/>
      <c r="F412" s="373"/>
      <c r="G412" s="373"/>
      <c r="H412" s="374"/>
      <c r="I412" s="373"/>
      <c r="J412" s="8"/>
      <c r="K412" s="8"/>
      <c r="L412" s="374"/>
      <c r="M412" s="373"/>
      <c r="N412" s="8"/>
      <c r="O412" s="8"/>
      <c r="P412" s="374"/>
      <c r="Q412" s="373"/>
      <c r="R412" s="8"/>
      <c r="S412" s="8"/>
      <c r="T412" s="374"/>
      <c r="U412" s="373"/>
      <c r="V412" s="8"/>
      <c r="W412" s="8"/>
      <c r="X412" s="8"/>
      <c r="Y412" s="4"/>
      <c r="Z412" s="4"/>
      <c r="AA412" s="4"/>
      <c r="AB412" s="4"/>
      <c r="AC412" s="4"/>
    </row>
    <row r="413" spans="1:29" ht="20.25" customHeight="1">
      <c r="A413" s="373"/>
      <c r="B413" s="4"/>
      <c r="C413" s="4"/>
      <c r="D413" s="4"/>
      <c r="E413" s="374"/>
      <c r="F413" s="373"/>
      <c r="G413" s="373"/>
      <c r="H413" s="374"/>
      <c r="I413" s="373"/>
      <c r="J413" s="8"/>
      <c r="K413" s="8"/>
      <c r="L413" s="374"/>
      <c r="M413" s="373"/>
      <c r="N413" s="8"/>
      <c r="O413" s="8"/>
      <c r="P413" s="374"/>
      <c r="Q413" s="373"/>
      <c r="R413" s="8"/>
      <c r="S413" s="8"/>
      <c r="T413" s="374"/>
      <c r="U413" s="373"/>
      <c r="V413" s="8"/>
      <c r="W413" s="8"/>
      <c r="X413" s="8"/>
      <c r="Y413" s="4"/>
      <c r="Z413" s="4"/>
      <c r="AA413" s="4"/>
      <c r="AB413" s="4"/>
      <c r="AC413" s="4"/>
    </row>
    <row r="414" spans="1:29" ht="20.25" customHeight="1">
      <c r="A414" s="373"/>
      <c r="B414" s="4"/>
      <c r="C414" s="4"/>
      <c r="D414" s="4"/>
      <c r="E414" s="374"/>
      <c r="F414" s="373"/>
      <c r="G414" s="373"/>
      <c r="H414" s="374"/>
      <c r="I414" s="373"/>
      <c r="J414" s="8"/>
      <c r="K414" s="8"/>
      <c r="L414" s="374"/>
      <c r="M414" s="373"/>
      <c r="N414" s="8"/>
      <c r="O414" s="8"/>
      <c r="P414" s="374"/>
      <c r="Q414" s="373"/>
      <c r="R414" s="8"/>
      <c r="S414" s="8"/>
      <c r="T414" s="374"/>
      <c r="U414" s="373"/>
      <c r="V414" s="8"/>
      <c r="W414" s="8"/>
      <c r="X414" s="8"/>
      <c r="Y414" s="4"/>
      <c r="Z414" s="4"/>
      <c r="AA414" s="4"/>
      <c r="AB414" s="4"/>
      <c r="AC414" s="4"/>
    </row>
    <row r="415" spans="1:29" ht="20.25" customHeight="1">
      <c r="A415" s="373"/>
      <c r="B415" s="4"/>
      <c r="C415" s="4"/>
      <c r="D415" s="4"/>
      <c r="E415" s="374"/>
      <c r="F415" s="373"/>
      <c r="G415" s="373"/>
      <c r="H415" s="374"/>
      <c r="I415" s="373"/>
      <c r="J415" s="8"/>
      <c r="K415" s="8"/>
      <c r="L415" s="374"/>
      <c r="M415" s="373"/>
      <c r="N415" s="8"/>
      <c r="O415" s="8"/>
      <c r="P415" s="374"/>
      <c r="Q415" s="373"/>
      <c r="R415" s="8"/>
      <c r="S415" s="8"/>
      <c r="T415" s="374"/>
      <c r="U415" s="373"/>
      <c r="V415" s="8"/>
      <c r="W415" s="8"/>
      <c r="X415" s="8"/>
      <c r="Y415" s="4"/>
      <c r="Z415" s="4"/>
      <c r="AA415" s="4"/>
      <c r="AB415" s="4"/>
      <c r="AC415" s="4"/>
    </row>
    <row r="416" spans="1:29" ht="20.25" customHeight="1">
      <c r="A416" s="373"/>
      <c r="B416" s="4"/>
      <c r="C416" s="4"/>
      <c r="D416" s="4"/>
      <c r="E416" s="374"/>
      <c r="F416" s="373"/>
      <c r="G416" s="373"/>
      <c r="H416" s="374"/>
      <c r="I416" s="373"/>
      <c r="J416" s="8"/>
      <c r="K416" s="8"/>
      <c r="L416" s="374"/>
      <c r="M416" s="373"/>
      <c r="N416" s="8"/>
      <c r="O416" s="8"/>
      <c r="P416" s="374"/>
      <c r="Q416" s="373"/>
      <c r="R416" s="8"/>
      <c r="S416" s="8"/>
      <c r="T416" s="374"/>
      <c r="U416" s="373"/>
      <c r="V416" s="8"/>
      <c r="W416" s="8"/>
      <c r="X416" s="8"/>
      <c r="Y416" s="4"/>
      <c r="Z416" s="4"/>
      <c r="AA416" s="4"/>
      <c r="AB416" s="4"/>
      <c r="AC416" s="4"/>
    </row>
    <row r="417" spans="1:29" ht="20.25" customHeight="1">
      <c r="A417" s="373"/>
      <c r="B417" s="4"/>
      <c r="C417" s="4"/>
      <c r="D417" s="4"/>
      <c r="E417" s="374"/>
      <c r="F417" s="373"/>
      <c r="G417" s="373"/>
      <c r="H417" s="374"/>
      <c r="I417" s="373"/>
      <c r="J417" s="8"/>
      <c r="K417" s="8"/>
      <c r="L417" s="374"/>
      <c r="M417" s="373"/>
      <c r="N417" s="8"/>
      <c r="O417" s="8"/>
      <c r="P417" s="374"/>
      <c r="Q417" s="373"/>
      <c r="R417" s="8"/>
      <c r="S417" s="8"/>
      <c r="T417" s="374"/>
      <c r="U417" s="373"/>
      <c r="V417" s="8"/>
      <c r="W417" s="8"/>
      <c r="X417" s="8"/>
      <c r="Y417" s="4"/>
      <c r="Z417" s="4"/>
      <c r="AA417" s="4"/>
      <c r="AB417" s="4"/>
      <c r="AC417" s="4"/>
    </row>
    <row r="418" spans="1:29" ht="20.25" customHeight="1">
      <c r="A418" s="373"/>
      <c r="B418" s="4"/>
      <c r="C418" s="4"/>
      <c r="D418" s="4"/>
      <c r="E418" s="374"/>
      <c r="F418" s="373"/>
      <c r="G418" s="373"/>
      <c r="H418" s="374"/>
      <c r="I418" s="373"/>
      <c r="J418" s="8"/>
      <c r="K418" s="8"/>
      <c r="L418" s="374"/>
      <c r="M418" s="373"/>
      <c r="N418" s="8"/>
      <c r="O418" s="8"/>
      <c r="P418" s="374"/>
      <c r="Q418" s="373"/>
      <c r="R418" s="8"/>
      <c r="S418" s="8"/>
      <c r="T418" s="374"/>
      <c r="U418" s="373"/>
      <c r="V418" s="8"/>
      <c r="W418" s="8"/>
      <c r="X418" s="8"/>
      <c r="Y418" s="4"/>
      <c r="Z418" s="4"/>
      <c r="AA418" s="4"/>
      <c r="AB418" s="4"/>
      <c r="AC418" s="4"/>
    </row>
    <row r="419" spans="1:29" ht="20.25" customHeight="1">
      <c r="A419" s="373"/>
      <c r="B419" s="4"/>
      <c r="C419" s="4"/>
      <c r="D419" s="4"/>
      <c r="E419" s="374"/>
      <c r="F419" s="373"/>
      <c r="G419" s="373"/>
      <c r="H419" s="374"/>
      <c r="I419" s="373"/>
      <c r="J419" s="8"/>
      <c r="K419" s="8"/>
      <c r="L419" s="374"/>
      <c r="M419" s="373"/>
      <c r="N419" s="8"/>
      <c r="O419" s="8"/>
      <c r="P419" s="374"/>
      <c r="Q419" s="373"/>
      <c r="R419" s="8"/>
      <c r="S419" s="8"/>
      <c r="T419" s="374"/>
      <c r="U419" s="373"/>
      <c r="V419" s="8"/>
      <c r="W419" s="8"/>
      <c r="X419" s="8"/>
      <c r="Y419" s="4"/>
      <c r="Z419" s="4"/>
      <c r="AA419" s="4"/>
      <c r="AB419" s="4"/>
      <c r="AC419" s="4"/>
    </row>
    <row r="420" spans="1:29" ht="20.25" customHeight="1">
      <c r="A420" s="373"/>
      <c r="B420" s="4"/>
      <c r="C420" s="4"/>
      <c r="D420" s="4"/>
      <c r="E420" s="374"/>
      <c r="F420" s="373"/>
      <c r="G420" s="373"/>
      <c r="H420" s="374"/>
      <c r="I420" s="373"/>
      <c r="J420" s="8"/>
      <c r="K420" s="8"/>
      <c r="L420" s="374"/>
      <c r="M420" s="373"/>
      <c r="N420" s="8"/>
      <c r="O420" s="8"/>
      <c r="P420" s="374"/>
      <c r="Q420" s="373"/>
      <c r="R420" s="8"/>
      <c r="S420" s="8"/>
      <c r="T420" s="374"/>
      <c r="U420" s="373"/>
      <c r="V420" s="8"/>
      <c r="W420" s="8"/>
      <c r="X420" s="8"/>
      <c r="Y420" s="4"/>
      <c r="Z420" s="4"/>
      <c r="AA420" s="4"/>
      <c r="AB420" s="4"/>
      <c r="AC420" s="4"/>
    </row>
    <row r="421" spans="1:29" ht="20.25" customHeight="1">
      <c r="A421" s="373"/>
      <c r="B421" s="4"/>
      <c r="C421" s="4"/>
      <c r="D421" s="4"/>
      <c r="E421" s="374"/>
      <c r="F421" s="373"/>
      <c r="G421" s="373"/>
      <c r="H421" s="374"/>
      <c r="I421" s="373"/>
      <c r="J421" s="8"/>
      <c r="K421" s="8"/>
      <c r="L421" s="374"/>
      <c r="M421" s="373"/>
      <c r="N421" s="8"/>
      <c r="O421" s="8"/>
      <c r="P421" s="374"/>
      <c r="Q421" s="373"/>
      <c r="R421" s="8"/>
      <c r="S421" s="8"/>
      <c r="T421" s="374"/>
      <c r="U421" s="373"/>
      <c r="V421" s="8"/>
      <c r="W421" s="8"/>
      <c r="X421" s="8"/>
      <c r="Y421" s="4"/>
      <c r="Z421" s="4"/>
      <c r="AA421" s="4"/>
      <c r="AB421" s="4"/>
      <c r="AC421" s="4"/>
    </row>
    <row r="422" spans="1:29" ht="20.25" customHeight="1">
      <c r="A422" s="373"/>
      <c r="B422" s="4"/>
      <c r="C422" s="4"/>
      <c r="D422" s="4"/>
      <c r="E422" s="374"/>
      <c r="F422" s="373"/>
      <c r="G422" s="373"/>
      <c r="H422" s="374"/>
      <c r="I422" s="373"/>
      <c r="J422" s="8"/>
      <c r="K422" s="8"/>
      <c r="L422" s="374"/>
      <c r="M422" s="373"/>
      <c r="N422" s="8"/>
      <c r="O422" s="8"/>
      <c r="P422" s="374"/>
      <c r="Q422" s="373"/>
      <c r="R422" s="8"/>
      <c r="S422" s="8"/>
      <c r="T422" s="374"/>
      <c r="U422" s="373"/>
      <c r="V422" s="8"/>
      <c r="W422" s="8"/>
      <c r="X422" s="8"/>
      <c r="Y422" s="4"/>
      <c r="Z422" s="4"/>
      <c r="AA422" s="4"/>
      <c r="AB422" s="4"/>
      <c r="AC422" s="4"/>
    </row>
    <row r="423" spans="1:29" ht="20.25" customHeight="1">
      <c r="A423" s="373"/>
      <c r="B423" s="4"/>
      <c r="C423" s="4"/>
      <c r="D423" s="4"/>
      <c r="E423" s="374"/>
      <c r="F423" s="373"/>
      <c r="G423" s="373"/>
      <c r="H423" s="374"/>
      <c r="I423" s="373"/>
      <c r="J423" s="8"/>
      <c r="K423" s="8"/>
      <c r="L423" s="374"/>
      <c r="M423" s="373"/>
      <c r="N423" s="8"/>
      <c r="O423" s="8"/>
      <c r="P423" s="374"/>
      <c r="Q423" s="373"/>
      <c r="R423" s="8"/>
      <c r="S423" s="8"/>
      <c r="T423" s="374"/>
      <c r="U423" s="373"/>
      <c r="V423" s="8"/>
      <c r="W423" s="8"/>
      <c r="X423" s="8"/>
      <c r="Y423" s="4"/>
      <c r="Z423" s="4"/>
      <c r="AA423" s="4"/>
      <c r="AB423" s="4"/>
      <c r="AC423" s="4"/>
    </row>
    <row r="424" spans="1:29" ht="20.25" customHeight="1">
      <c r="A424" s="373"/>
      <c r="B424" s="4"/>
      <c r="C424" s="4"/>
      <c r="D424" s="4"/>
      <c r="E424" s="374"/>
      <c r="F424" s="373"/>
      <c r="G424" s="373"/>
      <c r="H424" s="374"/>
      <c r="I424" s="373"/>
      <c r="J424" s="8"/>
      <c r="K424" s="8"/>
      <c r="L424" s="374"/>
      <c r="M424" s="373"/>
      <c r="N424" s="8"/>
      <c r="O424" s="8"/>
      <c r="P424" s="374"/>
      <c r="Q424" s="373"/>
      <c r="R424" s="8"/>
      <c r="S424" s="8"/>
      <c r="T424" s="374"/>
      <c r="U424" s="373"/>
      <c r="V424" s="8"/>
      <c r="W424" s="8"/>
      <c r="X424" s="8"/>
      <c r="Y424" s="4"/>
      <c r="Z424" s="4"/>
      <c r="AA424" s="4"/>
      <c r="AB424" s="4"/>
      <c r="AC424" s="4"/>
    </row>
    <row r="425" spans="1:29" ht="20.25" customHeight="1">
      <c r="A425" s="373"/>
      <c r="B425" s="4"/>
      <c r="C425" s="4"/>
      <c r="D425" s="4"/>
      <c r="E425" s="374"/>
      <c r="F425" s="373"/>
      <c r="G425" s="373"/>
      <c r="H425" s="374"/>
      <c r="I425" s="373"/>
      <c r="J425" s="8"/>
      <c r="K425" s="8"/>
      <c r="L425" s="374"/>
      <c r="M425" s="373"/>
      <c r="N425" s="8"/>
      <c r="O425" s="8"/>
      <c r="P425" s="374"/>
      <c r="Q425" s="373"/>
      <c r="R425" s="8"/>
      <c r="S425" s="8"/>
      <c r="T425" s="374"/>
      <c r="U425" s="373"/>
      <c r="V425" s="8"/>
      <c r="W425" s="8"/>
      <c r="X425" s="8"/>
      <c r="Y425" s="4"/>
      <c r="Z425" s="4"/>
      <c r="AA425" s="4"/>
      <c r="AB425" s="4"/>
      <c r="AC425" s="4"/>
    </row>
    <row r="426" spans="1:29" ht="20.25" customHeight="1">
      <c r="A426" s="373"/>
      <c r="B426" s="4"/>
      <c r="C426" s="4"/>
      <c r="D426" s="4"/>
      <c r="E426" s="374"/>
      <c r="F426" s="373"/>
      <c r="G426" s="373"/>
      <c r="H426" s="374"/>
      <c r="I426" s="373"/>
      <c r="J426" s="8"/>
      <c r="K426" s="8"/>
      <c r="L426" s="374"/>
      <c r="M426" s="373"/>
      <c r="N426" s="8"/>
      <c r="O426" s="8"/>
      <c r="P426" s="374"/>
      <c r="Q426" s="373"/>
      <c r="R426" s="8"/>
      <c r="S426" s="8"/>
      <c r="T426" s="374"/>
      <c r="U426" s="373"/>
      <c r="V426" s="8"/>
      <c r="W426" s="8"/>
      <c r="X426" s="8"/>
      <c r="Y426" s="4"/>
      <c r="Z426" s="4"/>
      <c r="AA426" s="4"/>
      <c r="AB426" s="4"/>
      <c r="AC426" s="4"/>
    </row>
    <row r="427" spans="1:29" ht="20.25" customHeight="1">
      <c r="A427" s="373"/>
      <c r="B427" s="4"/>
      <c r="C427" s="4"/>
      <c r="D427" s="4"/>
      <c r="E427" s="374"/>
      <c r="F427" s="373"/>
      <c r="G427" s="373"/>
      <c r="H427" s="374"/>
      <c r="I427" s="373"/>
      <c r="J427" s="8"/>
      <c r="K427" s="8"/>
      <c r="L427" s="374"/>
      <c r="M427" s="373"/>
      <c r="N427" s="8"/>
      <c r="O427" s="8"/>
      <c r="P427" s="374"/>
      <c r="Q427" s="373"/>
      <c r="R427" s="8"/>
      <c r="S427" s="8"/>
      <c r="T427" s="374"/>
      <c r="U427" s="373"/>
      <c r="V427" s="8"/>
      <c r="W427" s="8"/>
      <c r="X427" s="8"/>
      <c r="Y427" s="4"/>
      <c r="Z427" s="4"/>
      <c r="AA427" s="4"/>
      <c r="AB427" s="4"/>
      <c r="AC427" s="4"/>
    </row>
    <row r="428" spans="1:29" ht="20.25" customHeight="1">
      <c r="A428" s="373"/>
      <c r="B428" s="4"/>
      <c r="C428" s="4"/>
      <c r="D428" s="4"/>
      <c r="E428" s="374"/>
      <c r="F428" s="373"/>
      <c r="G428" s="373"/>
      <c r="H428" s="374"/>
      <c r="I428" s="373"/>
      <c r="J428" s="8"/>
      <c r="K428" s="8"/>
      <c r="L428" s="374"/>
      <c r="M428" s="373"/>
      <c r="N428" s="8"/>
      <c r="O428" s="8"/>
      <c r="P428" s="374"/>
      <c r="Q428" s="373"/>
      <c r="R428" s="8"/>
      <c r="S428" s="8"/>
      <c r="T428" s="374"/>
      <c r="U428" s="373"/>
      <c r="V428" s="8"/>
      <c r="W428" s="8"/>
      <c r="X428" s="8"/>
      <c r="Y428" s="4"/>
      <c r="Z428" s="4"/>
      <c r="AA428" s="4"/>
      <c r="AB428" s="4"/>
      <c r="AC428" s="4"/>
    </row>
    <row r="429" spans="1:29" ht="20.25" customHeight="1">
      <c r="A429" s="373"/>
      <c r="B429" s="4"/>
      <c r="C429" s="4"/>
      <c r="D429" s="4"/>
      <c r="E429" s="374"/>
      <c r="F429" s="373"/>
      <c r="G429" s="373"/>
      <c r="H429" s="374"/>
      <c r="I429" s="373"/>
      <c r="J429" s="8"/>
      <c r="K429" s="8"/>
      <c r="L429" s="374"/>
      <c r="M429" s="373"/>
      <c r="N429" s="8"/>
      <c r="O429" s="8"/>
      <c r="P429" s="374"/>
      <c r="Q429" s="373"/>
      <c r="R429" s="8"/>
      <c r="S429" s="8"/>
      <c r="T429" s="374"/>
      <c r="U429" s="373"/>
      <c r="V429" s="8"/>
      <c r="W429" s="8"/>
      <c r="X429" s="8"/>
      <c r="Y429" s="4"/>
      <c r="Z429" s="4"/>
      <c r="AA429" s="4"/>
      <c r="AB429" s="4"/>
      <c r="AC429" s="4"/>
    </row>
    <row r="430" spans="1:29" ht="20.25" customHeight="1">
      <c r="A430" s="373"/>
      <c r="B430" s="4"/>
      <c r="C430" s="4"/>
      <c r="D430" s="4"/>
      <c r="E430" s="374"/>
      <c r="F430" s="373"/>
      <c r="G430" s="373"/>
      <c r="H430" s="374"/>
      <c r="I430" s="373"/>
      <c r="J430" s="8"/>
      <c r="K430" s="8"/>
      <c r="L430" s="374"/>
      <c r="M430" s="373"/>
      <c r="N430" s="8"/>
      <c r="O430" s="8"/>
      <c r="P430" s="374"/>
      <c r="Q430" s="373"/>
      <c r="R430" s="8"/>
      <c r="S430" s="8"/>
      <c r="T430" s="374"/>
      <c r="U430" s="373"/>
      <c r="V430" s="8"/>
      <c r="W430" s="8"/>
      <c r="X430" s="8"/>
      <c r="Y430" s="4"/>
      <c r="Z430" s="4"/>
      <c r="AA430" s="4"/>
      <c r="AB430" s="4"/>
      <c r="AC430" s="4"/>
    </row>
    <row r="431" spans="1:29" ht="20.25" customHeight="1">
      <c r="A431" s="373"/>
      <c r="B431" s="4"/>
      <c r="C431" s="4"/>
      <c r="D431" s="4"/>
      <c r="E431" s="374"/>
      <c r="F431" s="373"/>
      <c r="G431" s="373"/>
      <c r="H431" s="374"/>
      <c r="I431" s="373"/>
      <c r="J431" s="8"/>
      <c r="K431" s="8"/>
      <c r="L431" s="374"/>
      <c r="M431" s="373"/>
      <c r="N431" s="8"/>
      <c r="O431" s="8"/>
      <c r="P431" s="374"/>
      <c r="Q431" s="373"/>
      <c r="R431" s="8"/>
      <c r="S431" s="8"/>
      <c r="T431" s="374"/>
      <c r="U431" s="373"/>
      <c r="V431" s="8"/>
      <c r="W431" s="8"/>
      <c r="X431" s="8"/>
      <c r="Y431" s="4"/>
      <c r="Z431" s="4"/>
      <c r="AA431" s="4"/>
      <c r="AB431" s="4"/>
      <c r="AC431" s="4"/>
    </row>
    <row r="432" spans="1:29" ht="20.25" customHeight="1">
      <c r="A432" s="373"/>
      <c r="B432" s="4"/>
      <c r="C432" s="4"/>
      <c r="D432" s="4"/>
      <c r="E432" s="374"/>
      <c r="F432" s="373"/>
      <c r="G432" s="373"/>
      <c r="H432" s="374"/>
      <c r="I432" s="373"/>
      <c r="J432" s="8"/>
      <c r="K432" s="8"/>
      <c r="L432" s="374"/>
      <c r="M432" s="373"/>
      <c r="N432" s="8"/>
      <c r="O432" s="8"/>
      <c r="P432" s="374"/>
      <c r="Q432" s="373"/>
      <c r="R432" s="8"/>
      <c r="S432" s="8"/>
      <c r="T432" s="374"/>
      <c r="U432" s="373"/>
      <c r="V432" s="8"/>
      <c r="W432" s="8"/>
      <c r="X432" s="8"/>
      <c r="Y432" s="4"/>
      <c r="Z432" s="4"/>
      <c r="AA432" s="4"/>
      <c r="AB432" s="4"/>
      <c r="AC432" s="4"/>
    </row>
    <row r="433" spans="1:29" ht="20.25" customHeight="1">
      <c r="A433" s="373"/>
      <c r="B433" s="4"/>
      <c r="C433" s="4"/>
      <c r="D433" s="4"/>
      <c r="E433" s="374"/>
      <c r="F433" s="373"/>
      <c r="G433" s="373"/>
      <c r="H433" s="374"/>
      <c r="I433" s="373"/>
      <c r="J433" s="8"/>
      <c r="K433" s="8"/>
      <c r="L433" s="374"/>
      <c r="M433" s="373"/>
      <c r="N433" s="8"/>
      <c r="O433" s="8"/>
      <c r="P433" s="374"/>
      <c r="Q433" s="373"/>
      <c r="R433" s="8"/>
      <c r="S433" s="8"/>
      <c r="T433" s="374"/>
      <c r="U433" s="373"/>
      <c r="V433" s="8"/>
      <c r="W433" s="8"/>
      <c r="X433" s="8"/>
      <c r="Y433" s="4"/>
      <c r="Z433" s="4"/>
      <c r="AA433" s="4"/>
      <c r="AB433" s="4"/>
      <c r="AC433" s="4"/>
    </row>
    <row r="434" spans="1:29" ht="20.25" customHeight="1">
      <c r="A434" s="373"/>
      <c r="B434" s="4"/>
      <c r="C434" s="4"/>
      <c r="D434" s="4"/>
      <c r="E434" s="374"/>
      <c r="F434" s="373"/>
      <c r="G434" s="373"/>
      <c r="H434" s="374"/>
      <c r="I434" s="373"/>
      <c r="J434" s="8"/>
      <c r="K434" s="8"/>
      <c r="L434" s="374"/>
      <c r="M434" s="373"/>
      <c r="N434" s="8"/>
      <c r="O434" s="8"/>
      <c r="P434" s="374"/>
      <c r="Q434" s="373"/>
      <c r="R434" s="8"/>
      <c r="S434" s="8"/>
      <c r="T434" s="374"/>
      <c r="U434" s="373"/>
      <c r="V434" s="8"/>
      <c r="W434" s="8"/>
      <c r="X434" s="8"/>
      <c r="Y434" s="4"/>
      <c r="Z434" s="4"/>
      <c r="AA434" s="4"/>
      <c r="AB434" s="4"/>
      <c r="AC434" s="4"/>
    </row>
    <row r="435" spans="1:29" ht="20.25" customHeight="1">
      <c r="A435" s="373"/>
      <c r="B435" s="4"/>
      <c r="C435" s="4"/>
      <c r="D435" s="4"/>
      <c r="E435" s="374"/>
      <c r="F435" s="373"/>
      <c r="G435" s="373"/>
      <c r="H435" s="374"/>
      <c r="I435" s="373"/>
      <c r="J435" s="8"/>
      <c r="K435" s="8"/>
      <c r="L435" s="374"/>
      <c r="M435" s="373"/>
      <c r="N435" s="8"/>
      <c r="O435" s="8"/>
      <c r="P435" s="374"/>
      <c r="Q435" s="373"/>
      <c r="R435" s="8"/>
      <c r="S435" s="8"/>
      <c r="T435" s="374"/>
      <c r="U435" s="373"/>
      <c r="V435" s="8"/>
      <c r="W435" s="8"/>
      <c r="X435" s="8"/>
      <c r="Y435" s="4"/>
      <c r="Z435" s="4"/>
      <c r="AA435" s="4"/>
      <c r="AB435" s="4"/>
      <c r="AC435" s="4"/>
    </row>
    <row r="436" spans="1:29" ht="20.25" customHeight="1">
      <c r="A436" s="373"/>
      <c r="B436" s="4"/>
      <c r="C436" s="4"/>
      <c r="D436" s="4"/>
      <c r="E436" s="374"/>
      <c r="F436" s="373"/>
      <c r="G436" s="373"/>
      <c r="H436" s="374"/>
      <c r="I436" s="373"/>
      <c r="J436" s="8"/>
      <c r="K436" s="8"/>
      <c r="L436" s="374"/>
      <c r="M436" s="373"/>
      <c r="N436" s="8"/>
      <c r="O436" s="8"/>
      <c r="P436" s="374"/>
      <c r="Q436" s="373"/>
      <c r="R436" s="8"/>
      <c r="S436" s="8"/>
      <c r="T436" s="374"/>
      <c r="U436" s="373"/>
      <c r="V436" s="8"/>
      <c r="W436" s="8"/>
      <c r="X436" s="8"/>
      <c r="Y436" s="4"/>
      <c r="Z436" s="4"/>
      <c r="AA436" s="4"/>
      <c r="AB436" s="4"/>
      <c r="AC436" s="4"/>
    </row>
    <row r="437" spans="1:29" ht="20.25" customHeight="1">
      <c r="A437" s="373"/>
      <c r="B437" s="4"/>
      <c r="C437" s="4"/>
      <c r="D437" s="4"/>
      <c r="E437" s="374"/>
      <c r="F437" s="373"/>
      <c r="G437" s="373"/>
      <c r="H437" s="374"/>
      <c r="I437" s="373"/>
      <c r="J437" s="8"/>
      <c r="K437" s="8"/>
      <c r="L437" s="374"/>
      <c r="M437" s="373"/>
      <c r="N437" s="8"/>
      <c r="O437" s="8"/>
      <c r="P437" s="374"/>
      <c r="Q437" s="373"/>
      <c r="R437" s="8"/>
      <c r="S437" s="8"/>
      <c r="T437" s="374"/>
      <c r="U437" s="373"/>
      <c r="V437" s="8"/>
      <c r="W437" s="8"/>
      <c r="X437" s="8"/>
      <c r="Y437" s="4"/>
      <c r="Z437" s="4"/>
      <c r="AA437" s="4"/>
      <c r="AB437" s="4"/>
      <c r="AC437" s="4"/>
    </row>
    <row r="438" spans="1:29" ht="20.25" customHeight="1">
      <c r="A438" s="373"/>
      <c r="B438" s="4"/>
      <c r="C438" s="4"/>
      <c r="D438" s="4"/>
      <c r="E438" s="374"/>
      <c r="F438" s="373"/>
      <c r="G438" s="373"/>
      <c r="H438" s="374"/>
      <c r="I438" s="373"/>
      <c r="J438" s="8"/>
      <c r="K438" s="8"/>
      <c r="L438" s="374"/>
      <c r="M438" s="373"/>
      <c r="N438" s="8"/>
      <c r="O438" s="8"/>
      <c r="P438" s="374"/>
      <c r="Q438" s="373"/>
      <c r="R438" s="8"/>
      <c r="S438" s="8"/>
      <c r="T438" s="374"/>
      <c r="U438" s="373"/>
      <c r="V438" s="8"/>
      <c r="W438" s="8"/>
      <c r="X438" s="8"/>
      <c r="Y438" s="4"/>
      <c r="Z438" s="4"/>
      <c r="AA438" s="4"/>
      <c r="AB438" s="4"/>
      <c r="AC438" s="4"/>
    </row>
    <row r="439" spans="1:29" ht="20.25" customHeight="1">
      <c r="A439" s="373"/>
      <c r="B439" s="4"/>
      <c r="C439" s="4"/>
      <c r="D439" s="4"/>
      <c r="E439" s="374"/>
      <c r="F439" s="373"/>
      <c r="G439" s="373"/>
      <c r="H439" s="374"/>
      <c r="I439" s="373"/>
      <c r="J439" s="8"/>
      <c r="K439" s="8"/>
      <c r="L439" s="374"/>
      <c r="M439" s="373"/>
      <c r="N439" s="8"/>
      <c r="O439" s="8"/>
      <c r="P439" s="374"/>
      <c r="Q439" s="373"/>
      <c r="R439" s="8"/>
      <c r="S439" s="8"/>
      <c r="T439" s="374"/>
      <c r="U439" s="373"/>
      <c r="V439" s="8"/>
      <c r="W439" s="8"/>
      <c r="X439" s="8"/>
      <c r="Y439" s="4"/>
      <c r="Z439" s="4"/>
      <c r="AA439" s="4"/>
      <c r="AB439" s="4"/>
      <c r="AC439" s="4"/>
    </row>
    <row r="440" spans="1:29" ht="20.25" customHeight="1">
      <c r="A440" s="373"/>
      <c r="B440" s="4"/>
      <c r="C440" s="4"/>
      <c r="D440" s="4"/>
      <c r="E440" s="374"/>
      <c r="F440" s="373"/>
      <c r="G440" s="373"/>
      <c r="H440" s="374"/>
      <c r="I440" s="373"/>
      <c r="J440" s="8"/>
      <c r="K440" s="8"/>
      <c r="L440" s="374"/>
      <c r="M440" s="373"/>
      <c r="N440" s="8"/>
      <c r="O440" s="8"/>
      <c r="P440" s="374"/>
      <c r="Q440" s="373"/>
      <c r="R440" s="8"/>
      <c r="S440" s="8"/>
      <c r="T440" s="374"/>
      <c r="U440" s="373"/>
      <c r="V440" s="8"/>
      <c r="W440" s="8"/>
      <c r="X440" s="8"/>
      <c r="Y440" s="4"/>
      <c r="Z440" s="4"/>
      <c r="AA440" s="4"/>
      <c r="AB440" s="4"/>
      <c r="AC440" s="4"/>
    </row>
    <row r="441" spans="1:29" ht="20.25" customHeight="1">
      <c r="A441" s="373"/>
      <c r="B441" s="4"/>
      <c r="C441" s="4"/>
      <c r="D441" s="4"/>
      <c r="E441" s="374"/>
      <c r="F441" s="373"/>
      <c r="G441" s="373"/>
      <c r="H441" s="374"/>
      <c r="I441" s="373"/>
      <c r="J441" s="8"/>
      <c r="K441" s="8"/>
      <c r="L441" s="374"/>
      <c r="M441" s="373"/>
      <c r="N441" s="8"/>
      <c r="O441" s="8"/>
      <c r="P441" s="374"/>
      <c r="Q441" s="373"/>
      <c r="R441" s="8"/>
      <c r="S441" s="8"/>
      <c r="T441" s="374"/>
      <c r="U441" s="373"/>
      <c r="V441" s="8"/>
      <c r="W441" s="8"/>
      <c r="X441" s="8"/>
      <c r="Y441" s="4"/>
      <c r="Z441" s="4"/>
      <c r="AA441" s="4"/>
      <c r="AB441" s="4"/>
      <c r="AC441" s="4"/>
    </row>
    <row r="442" spans="1:29" ht="20.25" customHeight="1">
      <c r="A442" s="373"/>
      <c r="B442" s="4"/>
      <c r="C442" s="4"/>
      <c r="D442" s="4"/>
      <c r="E442" s="374"/>
      <c r="F442" s="373"/>
      <c r="G442" s="373"/>
      <c r="H442" s="374"/>
      <c r="I442" s="373"/>
      <c r="J442" s="8"/>
      <c r="K442" s="8"/>
      <c r="L442" s="374"/>
      <c r="M442" s="373"/>
      <c r="N442" s="8"/>
      <c r="O442" s="8"/>
      <c r="P442" s="374"/>
      <c r="Q442" s="373"/>
      <c r="R442" s="8"/>
      <c r="S442" s="8"/>
      <c r="T442" s="374"/>
      <c r="U442" s="373"/>
      <c r="V442" s="8"/>
      <c r="W442" s="8"/>
      <c r="X442" s="8"/>
      <c r="Y442" s="4"/>
      <c r="Z442" s="4"/>
      <c r="AA442" s="4"/>
      <c r="AB442" s="4"/>
      <c r="AC442" s="4"/>
    </row>
    <row r="443" spans="1:29" ht="20.25" customHeight="1">
      <c r="A443" s="373"/>
      <c r="B443" s="4"/>
      <c r="C443" s="4"/>
      <c r="D443" s="4"/>
      <c r="E443" s="374"/>
      <c r="F443" s="373"/>
      <c r="G443" s="373"/>
      <c r="H443" s="374"/>
      <c r="I443" s="373"/>
      <c r="J443" s="8"/>
      <c r="K443" s="8"/>
      <c r="L443" s="374"/>
      <c r="M443" s="373"/>
      <c r="N443" s="8"/>
      <c r="O443" s="8"/>
      <c r="P443" s="374"/>
      <c r="Q443" s="373"/>
      <c r="R443" s="8"/>
      <c r="S443" s="8"/>
      <c r="T443" s="374"/>
      <c r="U443" s="373"/>
      <c r="V443" s="8"/>
      <c r="W443" s="8"/>
      <c r="X443" s="8"/>
      <c r="Y443" s="4"/>
      <c r="Z443" s="4"/>
      <c r="AA443" s="4"/>
      <c r="AB443" s="4"/>
      <c r="AC443" s="4"/>
    </row>
    <row r="444" spans="1:29" ht="20.25" customHeight="1">
      <c r="A444" s="373"/>
      <c r="B444" s="4"/>
      <c r="C444" s="4"/>
      <c r="D444" s="4"/>
      <c r="E444" s="374"/>
      <c r="F444" s="373"/>
      <c r="G444" s="373"/>
      <c r="H444" s="374"/>
      <c r="I444" s="373"/>
      <c r="J444" s="8"/>
      <c r="K444" s="8"/>
      <c r="L444" s="374"/>
      <c r="M444" s="373"/>
      <c r="N444" s="8"/>
      <c r="O444" s="8"/>
      <c r="P444" s="374"/>
      <c r="Q444" s="373"/>
      <c r="R444" s="8"/>
      <c r="S444" s="8"/>
      <c r="T444" s="374"/>
      <c r="U444" s="373"/>
      <c r="V444" s="8"/>
      <c r="W444" s="8"/>
      <c r="X444" s="8"/>
      <c r="Y444" s="4"/>
      <c r="Z444" s="4"/>
      <c r="AA444" s="4"/>
      <c r="AB444" s="4"/>
      <c r="AC444" s="4"/>
    </row>
    <row r="445" spans="1:29" ht="20.25" customHeight="1">
      <c r="A445" s="373"/>
      <c r="B445" s="4"/>
      <c r="C445" s="4"/>
      <c r="D445" s="4"/>
      <c r="E445" s="374"/>
      <c r="F445" s="373"/>
      <c r="G445" s="373"/>
      <c r="H445" s="374"/>
      <c r="I445" s="373"/>
      <c r="J445" s="8"/>
      <c r="K445" s="8"/>
      <c r="L445" s="374"/>
      <c r="M445" s="373"/>
      <c r="N445" s="8"/>
      <c r="O445" s="8"/>
      <c r="P445" s="374"/>
      <c r="Q445" s="373"/>
      <c r="R445" s="8"/>
      <c r="S445" s="8"/>
      <c r="T445" s="374"/>
      <c r="U445" s="373"/>
      <c r="V445" s="8"/>
      <c r="W445" s="8"/>
      <c r="X445" s="8"/>
      <c r="Y445" s="4"/>
      <c r="Z445" s="4"/>
      <c r="AA445" s="4"/>
      <c r="AB445" s="4"/>
      <c r="AC445" s="4"/>
    </row>
    <row r="446" spans="1:29" ht="20.25" customHeight="1">
      <c r="A446" s="373"/>
      <c r="B446" s="4"/>
      <c r="C446" s="4"/>
      <c r="D446" s="4"/>
      <c r="E446" s="374"/>
      <c r="F446" s="373"/>
      <c r="G446" s="373"/>
      <c r="H446" s="374"/>
      <c r="I446" s="373"/>
      <c r="J446" s="8"/>
      <c r="K446" s="8"/>
      <c r="L446" s="374"/>
      <c r="M446" s="373"/>
      <c r="N446" s="8"/>
      <c r="O446" s="8"/>
      <c r="P446" s="374"/>
      <c r="Q446" s="373"/>
      <c r="R446" s="8"/>
      <c r="S446" s="8"/>
      <c r="T446" s="374"/>
      <c r="U446" s="373"/>
      <c r="V446" s="8"/>
      <c r="W446" s="8"/>
      <c r="X446" s="8"/>
      <c r="Y446" s="4"/>
      <c r="Z446" s="4"/>
      <c r="AA446" s="4"/>
      <c r="AB446" s="4"/>
      <c r="AC446" s="4"/>
    </row>
    <row r="447" spans="1:29" ht="20.25" customHeight="1">
      <c r="A447" s="373"/>
      <c r="B447" s="4"/>
      <c r="C447" s="4"/>
      <c r="D447" s="4"/>
      <c r="E447" s="374"/>
      <c r="F447" s="373"/>
      <c r="G447" s="373"/>
      <c r="H447" s="374"/>
      <c r="I447" s="373"/>
      <c r="J447" s="8"/>
      <c r="K447" s="8"/>
      <c r="L447" s="374"/>
      <c r="M447" s="373"/>
      <c r="N447" s="8"/>
      <c r="O447" s="8"/>
      <c r="P447" s="374"/>
      <c r="Q447" s="373"/>
      <c r="R447" s="8"/>
      <c r="S447" s="8"/>
      <c r="T447" s="374"/>
      <c r="U447" s="373"/>
      <c r="V447" s="8"/>
      <c r="W447" s="8"/>
      <c r="X447" s="8"/>
      <c r="Y447" s="4"/>
      <c r="Z447" s="4"/>
      <c r="AA447" s="4"/>
      <c r="AB447" s="4"/>
      <c r="AC447" s="4"/>
    </row>
    <row r="448" spans="1:29" ht="20.25" customHeight="1">
      <c r="A448" s="373"/>
      <c r="B448" s="4"/>
      <c r="C448" s="4"/>
      <c r="D448" s="4"/>
      <c r="E448" s="374"/>
      <c r="F448" s="373"/>
      <c r="G448" s="373"/>
      <c r="H448" s="374"/>
      <c r="I448" s="373"/>
      <c r="J448" s="8"/>
      <c r="K448" s="8"/>
      <c r="L448" s="374"/>
      <c r="M448" s="373"/>
      <c r="N448" s="8"/>
      <c r="O448" s="8"/>
      <c r="P448" s="374"/>
      <c r="Q448" s="373"/>
      <c r="R448" s="8"/>
      <c r="S448" s="8"/>
      <c r="T448" s="374"/>
      <c r="U448" s="373"/>
      <c r="V448" s="8"/>
      <c r="W448" s="8"/>
      <c r="X448" s="8"/>
      <c r="Y448" s="4"/>
      <c r="Z448" s="4"/>
      <c r="AA448" s="4"/>
      <c r="AB448" s="4"/>
      <c r="AC448" s="4"/>
    </row>
    <row r="449" spans="1:29" ht="20.25" customHeight="1">
      <c r="A449" s="373"/>
      <c r="B449" s="4"/>
      <c r="C449" s="4"/>
      <c r="D449" s="4"/>
      <c r="E449" s="374"/>
      <c r="F449" s="373"/>
      <c r="G449" s="373"/>
      <c r="H449" s="374"/>
      <c r="I449" s="373"/>
      <c r="J449" s="8"/>
      <c r="K449" s="8"/>
      <c r="L449" s="374"/>
      <c r="M449" s="373"/>
      <c r="N449" s="8"/>
      <c r="O449" s="8"/>
      <c r="P449" s="374"/>
      <c r="Q449" s="373"/>
      <c r="R449" s="8"/>
      <c r="S449" s="8"/>
      <c r="T449" s="374"/>
      <c r="U449" s="373"/>
      <c r="V449" s="8"/>
      <c r="W449" s="8"/>
      <c r="X449" s="8"/>
      <c r="Y449" s="4"/>
      <c r="Z449" s="4"/>
      <c r="AA449" s="4"/>
      <c r="AB449" s="4"/>
      <c r="AC449" s="4"/>
    </row>
    <row r="450" spans="1:29" ht="20.25" customHeight="1">
      <c r="A450" s="373"/>
      <c r="B450" s="4"/>
      <c r="C450" s="4"/>
      <c r="D450" s="4"/>
      <c r="E450" s="374"/>
      <c r="F450" s="373"/>
      <c r="G450" s="373"/>
      <c r="H450" s="374"/>
      <c r="I450" s="373"/>
      <c r="J450" s="8"/>
      <c r="K450" s="8"/>
      <c r="L450" s="374"/>
      <c r="M450" s="373"/>
      <c r="N450" s="8"/>
      <c r="O450" s="8"/>
      <c r="P450" s="374"/>
      <c r="Q450" s="373"/>
      <c r="R450" s="8"/>
      <c r="S450" s="8"/>
      <c r="T450" s="374"/>
      <c r="U450" s="373"/>
      <c r="V450" s="8"/>
      <c r="W450" s="8"/>
      <c r="X450" s="8"/>
      <c r="Y450" s="4"/>
      <c r="Z450" s="4"/>
      <c r="AA450" s="4"/>
      <c r="AB450" s="4"/>
      <c r="AC450" s="4"/>
    </row>
    <row r="451" spans="1:29" ht="20.25" customHeight="1">
      <c r="A451" s="373"/>
      <c r="B451" s="4"/>
      <c r="C451" s="4"/>
      <c r="D451" s="4"/>
      <c r="E451" s="374"/>
      <c r="F451" s="373"/>
      <c r="G451" s="373"/>
      <c r="H451" s="374"/>
      <c r="I451" s="373"/>
      <c r="J451" s="8"/>
      <c r="K451" s="8"/>
      <c r="L451" s="374"/>
      <c r="M451" s="373"/>
      <c r="N451" s="8"/>
      <c r="O451" s="8"/>
      <c r="P451" s="374"/>
      <c r="Q451" s="373"/>
      <c r="R451" s="8"/>
      <c r="S451" s="8"/>
      <c r="T451" s="374"/>
      <c r="U451" s="373"/>
      <c r="V451" s="8"/>
      <c r="W451" s="8"/>
      <c r="X451" s="8"/>
      <c r="Y451" s="4"/>
      <c r="Z451" s="4"/>
      <c r="AA451" s="4"/>
      <c r="AB451" s="4"/>
      <c r="AC451" s="4"/>
    </row>
    <row r="452" spans="1:29" ht="20.25" customHeight="1">
      <c r="A452" s="373"/>
      <c r="B452" s="4"/>
      <c r="C452" s="4"/>
      <c r="D452" s="4"/>
      <c r="E452" s="374"/>
      <c r="F452" s="373"/>
      <c r="G452" s="373"/>
      <c r="H452" s="374"/>
      <c r="I452" s="373"/>
      <c r="J452" s="8"/>
      <c r="K452" s="8"/>
      <c r="L452" s="374"/>
      <c r="M452" s="373"/>
      <c r="N452" s="8"/>
      <c r="O452" s="8"/>
      <c r="P452" s="374"/>
      <c r="Q452" s="373"/>
      <c r="R452" s="8"/>
      <c r="S452" s="8"/>
      <c r="T452" s="374"/>
      <c r="U452" s="373"/>
      <c r="V452" s="8"/>
      <c r="W452" s="8"/>
      <c r="X452" s="8"/>
      <c r="Y452" s="4"/>
      <c r="Z452" s="4"/>
      <c r="AA452" s="4"/>
      <c r="AB452" s="4"/>
      <c r="AC452" s="4"/>
    </row>
    <row r="453" spans="1:29" ht="20.25" customHeight="1">
      <c r="A453" s="373"/>
      <c r="B453" s="4"/>
      <c r="C453" s="4"/>
      <c r="D453" s="4"/>
      <c r="E453" s="374"/>
      <c r="F453" s="373"/>
      <c r="G453" s="373"/>
      <c r="H453" s="374"/>
      <c r="I453" s="373"/>
      <c r="J453" s="8"/>
      <c r="K453" s="8"/>
      <c r="L453" s="374"/>
      <c r="M453" s="373"/>
      <c r="N453" s="8"/>
      <c r="O453" s="8"/>
      <c r="P453" s="374"/>
      <c r="Q453" s="373"/>
      <c r="R453" s="8"/>
      <c r="S453" s="8"/>
      <c r="T453" s="374"/>
      <c r="U453" s="373"/>
      <c r="V453" s="8"/>
      <c r="W453" s="8"/>
      <c r="X453" s="8"/>
      <c r="Y453" s="4"/>
      <c r="Z453" s="4"/>
      <c r="AA453" s="4"/>
      <c r="AB453" s="4"/>
      <c r="AC453" s="4"/>
    </row>
    <row r="454" spans="1:29" ht="20.25" customHeight="1">
      <c r="A454" s="373"/>
      <c r="B454" s="4"/>
      <c r="C454" s="4"/>
      <c r="D454" s="4"/>
      <c r="E454" s="374"/>
      <c r="F454" s="373"/>
      <c r="G454" s="373"/>
      <c r="H454" s="374"/>
      <c r="I454" s="373"/>
      <c r="J454" s="8"/>
      <c r="K454" s="8"/>
      <c r="L454" s="374"/>
      <c r="M454" s="373"/>
      <c r="N454" s="8"/>
      <c r="O454" s="8"/>
      <c r="P454" s="374"/>
      <c r="Q454" s="373"/>
      <c r="R454" s="8"/>
      <c r="S454" s="8"/>
      <c r="T454" s="374"/>
      <c r="U454" s="373"/>
      <c r="V454" s="8"/>
      <c r="W454" s="8"/>
      <c r="X454" s="8"/>
      <c r="Y454" s="4"/>
      <c r="Z454" s="4"/>
      <c r="AA454" s="4"/>
      <c r="AB454" s="4"/>
      <c r="AC454" s="4"/>
    </row>
    <row r="455" spans="1:29" ht="20.25" customHeight="1">
      <c r="A455" s="373"/>
      <c r="B455" s="4"/>
      <c r="C455" s="4"/>
      <c r="D455" s="4"/>
      <c r="E455" s="374"/>
      <c r="F455" s="373"/>
      <c r="G455" s="373"/>
      <c r="H455" s="374"/>
      <c r="I455" s="373"/>
      <c r="J455" s="8"/>
      <c r="K455" s="8"/>
      <c r="L455" s="374"/>
      <c r="M455" s="373"/>
      <c r="N455" s="8"/>
      <c r="O455" s="8"/>
      <c r="P455" s="374"/>
      <c r="Q455" s="373"/>
      <c r="R455" s="8"/>
      <c r="S455" s="8"/>
      <c r="T455" s="374"/>
      <c r="U455" s="373"/>
      <c r="V455" s="8"/>
      <c r="W455" s="8"/>
      <c r="X455" s="8"/>
      <c r="Y455" s="4"/>
      <c r="Z455" s="4"/>
      <c r="AA455" s="4"/>
      <c r="AB455" s="4"/>
      <c r="AC455" s="4"/>
    </row>
    <row r="456" spans="1:29" ht="20.25" customHeight="1">
      <c r="A456" s="373"/>
      <c r="B456" s="4"/>
      <c r="C456" s="4"/>
      <c r="D456" s="4"/>
      <c r="E456" s="374"/>
      <c r="F456" s="373"/>
      <c r="G456" s="373"/>
      <c r="H456" s="374"/>
      <c r="I456" s="373"/>
      <c r="J456" s="8"/>
      <c r="K456" s="8"/>
      <c r="L456" s="374"/>
      <c r="M456" s="373"/>
      <c r="N456" s="8"/>
      <c r="O456" s="8"/>
      <c r="P456" s="374"/>
      <c r="Q456" s="373"/>
      <c r="R456" s="8"/>
      <c r="S456" s="8"/>
      <c r="T456" s="374"/>
      <c r="U456" s="373"/>
      <c r="V456" s="8"/>
      <c r="W456" s="8"/>
      <c r="X456" s="8"/>
      <c r="Y456" s="4"/>
      <c r="Z456" s="4"/>
      <c r="AA456" s="4"/>
      <c r="AB456" s="4"/>
      <c r="AC456" s="4"/>
    </row>
    <row r="457" spans="1:29" ht="20.25" customHeight="1">
      <c r="A457" s="373"/>
      <c r="B457" s="4"/>
      <c r="C457" s="4"/>
      <c r="D457" s="4"/>
      <c r="E457" s="374"/>
      <c r="F457" s="373"/>
      <c r="G457" s="373"/>
      <c r="H457" s="374"/>
      <c r="I457" s="373"/>
      <c r="J457" s="8"/>
      <c r="K457" s="8"/>
      <c r="L457" s="374"/>
      <c r="M457" s="373"/>
      <c r="N457" s="8"/>
      <c r="O457" s="8"/>
      <c r="P457" s="374"/>
      <c r="Q457" s="373"/>
      <c r="R457" s="8"/>
      <c r="S457" s="8"/>
      <c r="T457" s="374"/>
      <c r="U457" s="373"/>
      <c r="V457" s="8"/>
      <c r="W457" s="8"/>
      <c r="X457" s="8"/>
      <c r="Y457" s="4"/>
      <c r="Z457" s="4"/>
      <c r="AA457" s="4"/>
      <c r="AB457" s="4"/>
      <c r="AC457" s="4"/>
    </row>
    <row r="458" spans="1:29" ht="20.25" customHeight="1">
      <c r="A458" s="373"/>
      <c r="B458" s="4"/>
      <c r="C458" s="4"/>
      <c r="D458" s="4"/>
      <c r="E458" s="374"/>
      <c r="F458" s="373"/>
      <c r="G458" s="373"/>
      <c r="H458" s="374"/>
      <c r="I458" s="373"/>
      <c r="J458" s="8"/>
      <c r="K458" s="8"/>
      <c r="L458" s="374"/>
      <c r="M458" s="373"/>
      <c r="N458" s="8"/>
      <c r="O458" s="8"/>
      <c r="P458" s="374"/>
      <c r="Q458" s="373"/>
      <c r="R458" s="8"/>
      <c r="S458" s="8"/>
      <c r="T458" s="374"/>
      <c r="U458" s="373"/>
      <c r="V458" s="8"/>
      <c r="W458" s="8"/>
      <c r="X458" s="8"/>
      <c r="Y458" s="4"/>
      <c r="Z458" s="4"/>
      <c r="AA458" s="4"/>
      <c r="AB458" s="4"/>
      <c r="AC458" s="4"/>
    </row>
    <row r="459" spans="1:29" ht="20.25" customHeight="1">
      <c r="A459" s="373"/>
      <c r="B459" s="4"/>
      <c r="C459" s="4"/>
      <c r="D459" s="4"/>
      <c r="E459" s="374"/>
      <c r="F459" s="373"/>
      <c r="G459" s="373"/>
      <c r="H459" s="374"/>
      <c r="I459" s="373"/>
      <c r="J459" s="8"/>
      <c r="K459" s="8"/>
      <c r="L459" s="374"/>
      <c r="M459" s="373"/>
      <c r="N459" s="8"/>
      <c r="O459" s="8"/>
      <c r="P459" s="374"/>
      <c r="Q459" s="373"/>
      <c r="R459" s="8"/>
      <c r="S459" s="8"/>
      <c r="T459" s="374"/>
      <c r="U459" s="373"/>
      <c r="V459" s="8"/>
      <c r="W459" s="8"/>
      <c r="X459" s="8"/>
      <c r="Y459" s="4"/>
      <c r="Z459" s="4"/>
      <c r="AA459" s="4"/>
      <c r="AB459" s="4"/>
      <c r="AC459" s="4"/>
    </row>
    <row r="460" spans="1:29" ht="20.25" customHeight="1">
      <c r="A460" s="373"/>
      <c r="B460" s="4"/>
      <c r="C460" s="4"/>
      <c r="D460" s="4"/>
      <c r="E460" s="374"/>
      <c r="F460" s="373"/>
      <c r="G460" s="373"/>
      <c r="H460" s="374"/>
      <c r="I460" s="373"/>
      <c r="J460" s="8"/>
      <c r="K460" s="8"/>
      <c r="L460" s="374"/>
      <c r="M460" s="373"/>
      <c r="N460" s="8"/>
      <c r="O460" s="8"/>
      <c r="P460" s="374"/>
      <c r="Q460" s="373"/>
      <c r="R460" s="8"/>
      <c r="S460" s="8"/>
      <c r="T460" s="374"/>
      <c r="U460" s="373"/>
      <c r="V460" s="8"/>
      <c r="W460" s="8"/>
      <c r="X460" s="8"/>
      <c r="Y460" s="4"/>
      <c r="Z460" s="4"/>
      <c r="AA460" s="4"/>
      <c r="AB460" s="4"/>
      <c r="AC460" s="4"/>
    </row>
    <row r="461" spans="1:29" ht="20.25" customHeight="1">
      <c r="A461" s="373"/>
      <c r="B461" s="4"/>
      <c r="C461" s="4"/>
      <c r="D461" s="4"/>
      <c r="E461" s="374"/>
      <c r="F461" s="373"/>
      <c r="G461" s="373"/>
      <c r="H461" s="374"/>
      <c r="I461" s="373"/>
      <c r="J461" s="8"/>
      <c r="K461" s="8"/>
      <c r="L461" s="374"/>
      <c r="M461" s="373"/>
      <c r="N461" s="8"/>
      <c r="O461" s="8"/>
      <c r="P461" s="374"/>
      <c r="Q461" s="373"/>
      <c r="R461" s="8"/>
      <c r="S461" s="8"/>
      <c r="T461" s="374"/>
      <c r="U461" s="373"/>
      <c r="V461" s="8"/>
      <c r="W461" s="8"/>
      <c r="X461" s="8"/>
      <c r="Y461" s="4"/>
      <c r="Z461" s="4"/>
      <c r="AA461" s="4"/>
      <c r="AB461" s="4"/>
      <c r="AC461" s="4"/>
    </row>
    <row r="462" spans="1:29" ht="20.25" customHeight="1">
      <c r="A462" s="373"/>
      <c r="B462" s="4"/>
      <c r="C462" s="4"/>
      <c r="D462" s="4"/>
      <c r="E462" s="374"/>
      <c r="F462" s="373"/>
      <c r="G462" s="373"/>
      <c r="H462" s="374"/>
      <c r="I462" s="373"/>
      <c r="J462" s="8"/>
      <c r="K462" s="8"/>
      <c r="L462" s="374"/>
      <c r="M462" s="373"/>
      <c r="N462" s="8"/>
      <c r="O462" s="8"/>
      <c r="P462" s="374"/>
      <c r="Q462" s="373"/>
      <c r="R462" s="8"/>
      <c r="S462" s="8"/>
      <c r="T462" s="374"/>
      <c r="U462" s="373"/>
      <c r="V462" s="8"/>
      <c r="W462" s="8"/>
      <c r="X462" s="8"/>
      <c r="Y462" s="4"/>
      <c r="Z462" s="4"/>
      <c r="AA462" s="4"/>
      <c r="AB462" s="4"/>
      <c r="AC462" s="4"/>
    </row>
    <row r="463" spans="1:29" ht="20.25" customHeight="1">
      <c r="A463" s="373"/>
      <c r="B463" s="4"/>
      <c r="C463" s="4"/>
      <c r="D463" s="4"/>
      <c r="E463" s="374"/>
      <c r="F463" s="373"/>
      <c r="G463" s="373"/>
      <c r="H463" s="374"/>
      <c r="I463" s="373"/>
      <c r="J463" s="8"/>
      <c r="K463" s="8"/>
      <c r="L463" s="374"/>
      <c r="M463" s="373"/>
      <c r="N463" s="8"/>
      <c r="O463" s="8"/>
      <c r="P463" s="374"/>
      <c r="Q463" s="373"/>
      <c r="R463" s="8"/>
      <c r="S463" s="8"/>
      <c r="T463" s="374"/>
      <c r="U463" s="373"/>
      <c r="V463" s="8"/>
      <c r="W463" s="8"/>
      <c r="X463" s="8"/>
      <c r="Y463" s="4"/>
      <c r="Z463" s="4"/>
      <c r="AA463" s="4"/>
      <c r="AB463" s="4"/>
      <c r="AC463" s="4"/>
    </row>
    <row r="464" spans="1:29" ht="20.25" customHeight="1">
      <c r="A464" s="373"/>
      <c r="B464" s="4"/>
      <c r="C464" s="4"/>
      <c r="D464" s="4"/>
      <c r="E464" s="374"/>
      <c r="F464" s="373"/>
      <c r="G464" s="373"/>
      <c r="H464" s="374"/>
      <c r="I464" s="373"/>
      <c r="J464" s="8"/>
      <c r="K464" s="8"/>
      <c r="L464" s="374"/>
      <c r="M464" s="373"/>
      <c r="N464" s="8"/>
      <c r="O464" s="8"/>
      <c r="P464" s="374"/>
      <c r="Q464" s="373"/>
      <c r="R464" s="8"/>
      <c r="S464" s="8"/>
      <c r="T464" s="374"/>
      <c r="U464" s="373"/>
      <c r="V464" s="8"/>
      <c r="W464" s="8"/>
      <c r="X464" s="8"/>
      <c r="Y464" s="4"/>
      <c r="Z464" s="4"/>
      <c r="AA464" s="4"/>
      <c r="AB464" s="4"/>
      <c r="AC464" s="4"/>
    </row>
    <row r="465" spans="1:29" ht="20.25" customHeight="1">
      <c r="A465" s="373"/>
      <c r="B465" s="4"/>
      <c r="C465" s="4"/>
      <c r="D465" s="4"/>
      <c r="E465" s="374"/>
      <c r="F465" s="373"/>
      <c r="G465" s="373"/>
      <c r="H465" s="374"/>
      <c r="I465" s="373"/>
      <c r="J465" s="8"/>
      <c r="K465" s="8"/>
      <c r="L465" s="374"/>
      <c r="M465" s="373"/>
      <c r="N465" s="8"/>
      <c r="O465" s="8"/>
      <c r="P465" s="374"/>
      <c r="Q465" s="373"/>
      <c r="R465" s="8"/>
      <c r="S465" s="8"/>
      <c r="T465" s="374"/>
      <c r="U465" s="373"/>
      <c r="V465" s="8"/>
      <c r="W465" s="8"/>
      <c r="X465" s="8"/>
      <c r="Y465" s="4"/>
      <c r="Z465" s="4"/>
      <c r="AA465" s="4"/>
      <c r="AB465" s="4"/>
      <c r="AC465" s="4"/>
    </row>
    <row r="466" spans="1:29" ht="20.25" customHeight="1">
      <c r="A466" s="373"/>
      <c r="B466" s="4"/>
      <c r="C466" s="4"/>
      <c r="D466" s="4"/>
      <c r="E466" s="374"/>
      <c r="F466" s="373"/>
      <c r="G466" s="373"/>
      <c r="H466" s="374"/>
      <c r="I466" s="373"/>
      <c r="J466" s="8"/>
      <c r="K466" s="8"/>
      <c r="L466" s="374"/>
      <c r="M466" s="373"/>
      <c r="N466" s="8"/>
      <c r="O466" s="8"/>
      <c r="P466" s="374"/>
      <c r="Q466" s="373"/>
      <c r="R466" s="8"/>
      <c r="S466" s="8"/>
      <c r="T466" s="374"/>
      <c r="U466" s="373"/>
      <c r="V466" s="8"/>
      <c r="W466" s="8"/>
      <c r="X466" s="8"/>
      <c r="Y466" s="4"/>
      <c r="Z466" s="4"/>
      <c r="AA466" s="4"/>
      <c r="AB466" s="4"/>
      <c r="AC466" s="4"/>
    </row>
    <row r="467" spans="1:29" ht="20.25" customHeight="1">
      <c r="A467" s="373"/>
      <c r="B467" s="4"/>
      <c r="C467" s="4"/>
      <c r="D467" s="4"/>
      <c r="E467" s="374"/>
      <c r="F467" s="373"/>
      <c r="G467" s="373"/>
      <c r="H467" s="374"/>
      <c r="I467" s="373"/>
      <c r="J467" s="8"/>
      <c r="K467" s="8"/>
      <c r="L467" s="374"/>
      <c r="M467" s="373"/>
      <c r="N467" s="8"/>
      <c r="O467" s="8"/>
      <c r="P467" s="374"/>
      <c r="Q467" s="373"/>
      <c r="R467" s="8"/>
      <c r="S467" s="8"/>
      <c r="T467" s="374"/>
      <c r="U467" s="373"/>
      <c r="V467" s="8"/>
      <c r="W467" s="8"/>
      <c r="X467" s="8"/>
      <c r="Y467" s="4"/>
      <c r="Z467" s="4"/>
      <c r="AA467" s="4"/>
      <c r="AB467" s="4"/>
      <c r="AC467" s="4"/>
    </row>
    <row r="468" spans="1:29" ht="20.25" customHeight="1">
      <c r="A468" s="373"/>
      <c r="B468" s="4"/>
      <c r="C468" s="4"/>
      <c r="D468" s="4"/>
      <c r="E468" s="374"/>
      <c r="F468" s="373"/>
      <c r="G468" s="373"/>
      <c r="H468" s="374"/>
      <c r="I468" s="373"/>
      <c r="J468" s="8"/>
      <c r="K468" s="8"/>
      <c r="L468" s="374"/>
      <c r="M468" s="373"/>
      <c r="N468" s="8"/>
      <c r="O468" s="8"/>
      <c r="P468" s="374"/>
      <c r="Q468" s="373"/>
      <c r="R468" s="8"/>
      <c r="S468" s="8"/>
      <c r="T468" s="374"/>
      <c r="U468" s="373"/>
      <c r="V468" s="8"/>
      <c r="W468" s="8"/>
      <c r="X468" s="8"/>
      <c r="Y468" s="4"/>
      <c r="Z468" s="4"/>
      <c r="AA468" s="4"/>
      <c r="AB468" s="4"/>
      <c r="AC468" s="4"/>
    </row>
    <row r="469" spans="1:29" ht="20.25" customHeight="1">
      <c r="A469" s="373"/>
      <c r="B469" s="4"/>
      <c r="C469" s="4"/>
      <c r="D469" s="4"/>
      <c r="E469" s="374"/>
      <c r="F469" s="373"/>
      <c r="G469" s="373"/>
      <c r="H469" s="374"/>
      <c r="I469" s="373"/>
      <c r="J469" s="8"/>
      <c r="K469" s="8"/>
      <c r="L469" s="374"/>
      <c r="M469" s="373"/>
      <c r="N469" s="8"/>
      <c r="O469" s="8"/>
      <c r="P469" s="374"/>
      <c r="Q469" s="373"/>
      <c r="R469" s="8"/>
      <c r="S469" s="8"/>
      <c r="T469" s="374"/>
      <c r="U469" s="373"/>
      <c r="V469" s="8"/>
      <c r="W469" s="8"/>
      <c r="X469" s="8"/>
      <c r="Y469" s="4"/>
      <c r="Z469" s="4"/>
      <c r="AA469" s="4"/>
      <c r="AB469" s="4"/>
      <c r="AC469" s="4"/>
    </row>
    <row r="470" spans="1:29" ht="20.25" customHeight="1">
      <c r="A470" s="373"/>
      <c r="B470" s="4"/>
      <c r="C470" s="4"/>
      <c r="D470" s="4"/>
      <c r="E470" s="374"/>
      <c r="F470" s="373"/>
      <c r="G470" s="373"/>
      <c r="H470" s="374"/>
      <c r="I470" s="373"/>
      <c r="J470" s="8"/>
      <c r="K470" s="8"/>
      <c r="L470" s="374"/>
      <c r="M470" s="373"/>
      <c r="N470" s="8"/>
      <c r="O470" s="8"/>
      <c r="P470" s="374"/>
      <c r="Q470" s="373"/>
      <c r="R470" s="8"/>
      <c r="S470" s="8"/>
      <c r="T470" s="374"/>
      <c r="U470" s="373"/>
      <c r="V470" s="8"/>
      <c r="W470" s="8"/>
      <c r="X470" s="8"/>
      <c r="Y470" s="4"/>
      <c r="Z470" s="4"/>
      <c r="AA470" s="4"/>
      <c r="AB470" s="4"/>
      <c r="AC470" s="4"/>
    </row>
    <row r="471" spans="1:29" ht="20.25" customHeight="1">
      <c r="A471" s="373"/>
      <c r="B471" s="4"/>
      <c r="C471" s="4"/>
      <c r="D471" s="4"/>
      <c r="E471" s="374"/>
      <c r="F471" s="373"/>
      <c r="G471" s="373"/>
      <c r="H471" s="374"/>
      <c r="I471" s="373"/>
      <c r="J471" s="8"/>
      <c r="K471" s="8"/>
      <c r="L471" s="374"/>
      <c r="M471" s="373"/>
      <c r="N471" s="8"/>
      <c r="O471" s="8"/>
      <c r="P471" s="374"/>
      <c r="Q471" s="373"/>
      <c r="R471" s="8"/>
      <c r="S471" s="8"/>
      <c r="T471" s="374"/>
      <c r="U471" s="373"/>
      <c r="V471" s="8"/>
      <c r="W471" s="8"/>
      <c r="X471" s="8"/>
      <c r="Y471" s="4"/>
      <c r="Z471" s="4"/>
      <c r="AA471" s="4"/>
      <c r="AB471" s="4"/>
      <c r="AC471" s="4"/>
    </row>
    <row r="472" spans="1:29" ht="20.25" customHeight="1">
      <c r="A472" s="373"/>
      <c r="B472" s="4"/>
      <c r="C472" s="4"/>
      <c r="D472" s="4"/>
      <c r="E472" s="374"/>
      <c r="F472" s="373"/>
      <c r="G472" s="373"/>
      <c r="H472" s="374"/>
      <c r="I472" s="373"/>
      <c r="J472" s="8"/>
      <c r="K472" s="8"/>
      <c r="L472" s="374"/>
      <c r="M472" s="373"/>
      <c r="N472" s="8"/>
      <c r="O472" s="8"/>
      <c r="P472" s="374"/>
      <c r="Q472" s="373"/>
      <c r="R472" s="8"/>
      <c r="S472" s="8"/>
      <c r="T472" s="374"/>
      <c r="U472" s="373"/>
      <c r="V472" s="8"/>
      <c r="W472" s="8"/>
      <c r="X472" s="8"/>
      <c r="Y472" s="4"/>
      <c r="Z472" s="4"/>
      <c r="AA472" s="4"/>
      <c r="AB472" s="4"/>
      <c r="AC472" s="4"/>
    </row>
    <row r="473" spans="1:29" ht="20.25" customHeight="1">
      <c r="A473" s="373"/>
      <c r="B473" s="4"/>
      <c r="C473" s="4"/>
      <c r="D473" s="4"/>
      <c r="E473" s="374"/>
      <c r="F473" s="373"/>
      <c r="G473" s="373"/>
      <c r="H473" s="374"/>
      <c r="I473" s="373"/>
      <c r="J473" s="8"/>
      <c r="K473" s="8"/>
      <c r="L473" s="374"/>
      <c r="M473" s="373"/>
      <c r="N473" s="8"/>
      <c r="O473" s="8"/>
      <c r="P473" s="374"/>
      <c r="Q473" s="373"/>
      <c r="R473" s="8"/>
      <c r="S473" s="8"/>
      <c r="T473" s="374"/>
      <c r="U473" s="373"/>
      <c r="V473" s="8"/>
      <c r="W473" s="8"/>
      <c r="X473" s="8"/>
      <c r="Y473" s="4"/>
      <c r="Z473" s="4"/>
      <c r="AA473" s="4"/>
      <c r="AB473" s="4"/>
      <c r="AC473" s="4"/>
    </row>
    <row r="474" spans="1:29" ht="20.25" customHeight="1">
      <c r="A474" s="373"/>
      <c r="B474" s="4"/>
      <c r="C474" s="4"/>
      <c r="D474" s="4"/>
      <c r="E474" s="374"/>
      <c r="F474" s="373"/>
      <c r="G474" s="373"/>
      <c r="H474" s="374"/>
      <c r="I474" s="373"/>
      <c r="J474" s="8"/>
      <c r="K474" s="8"/>
      <c r="L474" s="374"/>
      <c r="M474" s="373"/>
      <c r="N474" s="8"/>
      <c r="O474" s="8"/>
      <c r="P474" s="374"/>
      <c r="Q474" s="373"/>
      <c r="R474" s="8"/>
      <c r="S474" s="8"/>
      <c r="T474" s="374"/>
      <c r="U474" s="373"/>
      <c r="V474" s="8"/>
      <c r="W474" s="8"/>
      <c r="X474" s="8"/>
      <c r="Y474" s="4"/>
      <c r="Z474" s="4"/>
      <c r="AA474" s="4"/>
      <c r="AB474" s="4"/>
      <c r="AC474" s="4"/>
    </row>
    <row r="475" spans="1:29" ht="20.25" customHeight="1">
      <c r="A475" s="373"/>
      <c r="B475" s="4"/>
      <c r="C475" s="4"/>
      <c r="D475" s="4"/>
      <c r="E475" s="374"/>
      <c r="F475" s="373"/>
      <c r="G475" s="373"/>
      <c r="H475" s="374"/>
      <c r="I475" s="373"/>
      <c r="J475" s="8"/>
      <c r="K475" s="8"/>
      <c r="L475" s="374"/>
      <c r="M475" s="373"/>
      <c r="N475" s="8"/>
      <c r="O475" s="8"/>
      <c r="P475" s="374"/>
      <c r="Q475" s="373"/>
      <c r="R475" s="8"/>
      <c r="S475" s="8"/>
      <c r="T475" s="374"/>
      <c r="U475" s="373"/>
      <c r="V475" s="8"/>
      <c r="W475" s="8"/>
      <c r="X475" s="8"/>
      <c r="Y475" s="4"/>
      <c r="Z475" s="4"/>
      <c r="AA475" s="4"/>
      <c r="AB475" s="4"/>
      <c r="AC475" s="4"/>
    </row>
    <row r="476" spans="1:29" ht="20.25" customHeight="1">
      <c r="A476" s="373"/>
      <c r="B476" s="4"/>
      <c r="C476" s="4"/>
      <c r="D476" s="4"/>
      <c r="E476" s="374"/>
      <c r="F476" s="373"/>
      <c r="G476" s="373"/>
      <c r="H476" s="374"/>
      <c r="I476" s="373"/>
      <c r="J476" s="8"/>
      <c r="K476" s="8"/>
      <c r="L476" s="374"/>
      <c r="M476" s="373"/>
      <c r="N476" s="8"/>
      <c r="O476" s="8"/>
      <c r="P476" s="374"/>
      <c r="Q476" s="373"/>
      <c r="R476" s="8"/>
      <c r="S476" s="8"/>
      <c r="T476" s="374"/>
      <c r="U476" s="373"/>
      <c r="V476" s="8"/>
      <c r="W476" s="8"/>
      <c r="X476" s="8"/>
      <c r="Y476" s="4"/>
      <c r="Z476" s="4"/>
      <c r="AA476" s="4"/>
      <c r="AB476" s="4"/>
      <c r="AC476" s="4"/>
    </row>
    <row r="477" spans="1:29" ht="20.25" customHeight="1">
      <c r="A477" s="373"/>
      <c r="B477" s="4"/>
      <c r="C477" s="4"/>
      <c r="D477" s="4"/>
      <c r="E477" s="374"/>
      <c r="F477" s="373"/>
      <c r="G477" s="373"/>
      <c r="H477" s="374"/>
      <c r="I477" s="373"/>
      <c r="J477" s="8"/>
      <c r="K477" s="8"/>
      <c r="L477" s="374"/>
      <c r="M477" s="373"/>
      <c r="N477" s="8"/>
      <c r="O477" s="8"/>
      <c r="P477" s="374"/>
      <c r="Q477" s="373"/>
      <c r="R477" s="8"/>
      <c r="S477" s="8"/>
      <c r="T477" s="374"/>
      <c r="U477" s="373"/>
      <c r="V477" s="8"/>
      <c r="W477" s="8"/>
      <c r="X477" s="8"/>
      <c r="Y477" s="4"/>
      <c r="Z477" s="4"/>
      <c r="AA477" s="4"/>
      <c r="AB477" s="4"/>
      <c r="AC477" s="4"/>
    </row>
    <row r="478" spans="1:29" ht="20.25" customHeight="1">
      <c r="A478" s="373"/>
      <c r="B478" s="4"/>
      <c r="C478" s="4"/>
      <c r="D478" s="4"/>
      <c r="E478" s="374"/>
      <c r="F478" s="373"/>
      <c r="G478" s="373"/>
      <c r="H478" s="374"/>
      <c r="I478" s="373"/>
      <c r="J478" s="8"/>
      <c r="K478" s="8"/>
      <c r="L478" s="374"/>
      <c r="M478" s="373"/>
      <c r="N478" s="8"/>
      <c r="O478" s="8"/>
      <c r="P478" s="374"/>
      <c r="Q478" s="373"/>
      <c r="R478" s="8"/>
      <c r="S478" s="8"/>
      <c r="T478" s="374"/>
      <c r="U478" s="373"/>
      <c r="V478" s="8"/>
      <c r="W478" s="8"/>
      <c r="X478" s="8"/>
      <c r="Y478" s="4"/>
      <c r="Z478" s="4"/>
      <c r="AA478" s="4"/>
      <c r="AB478" s="4"/>
      <c r="AC478" s="4"/>
    </row>
    <row r="479" spans="1:29" ht="20.25" customHeight="1">
      <c r="A479" s="373"/>
      <c r="B479" s="4"/>
      <c r="C479" s="4"/>
      <c r="D479" s="4"/>
      <c r="E479" s="374"/>
      <c r="F479" s="373"/>
      <c r="G479" s="373"/>
      <c r="H479" s="374"/>
      <c r="I479" s="373"/>
      <c r="J479" s="8"/>
      <c r="K479" s="8"/>
      <c r="L479" s="374"/>
      <c r="M479" s="373"/>
      <c r="N479" s="8"/>
      <c r="O479" s="8"/>
      <c r="P479" s="374"/>
      <c r="Q479" s="373"/>
      <c r="R479" s="8"/>
      <c r="S479" s="8"/>
      <c r="T479" s="374"/>
      <c r="U479" s="373"/>
      <c r="V479" s="8"/>
      <c r="W479" s="8"/>
      <c r="X479" s="8"/>
      <c r="Y479" s="4"/>
      <c r="Z479" s="4"/>
      <c r="AA479" s="4"/>
      <c r="AB479" s="4"/>
      <c r="AC479" s="4"/>
    </row>
    <row r="480" spans="1:29" ht="20.25" customHeight="1">
      <c r="A480" s="373"/>
      <c r="B480" s="4"/>
      <c r="C480" s="4"/>
      <c r="D480" s="4"/>
      <c r="E480" s="374"/>
      <c r="F480" s="373"/>
      <c r="G480" s="373"/>
      <c r="H480" s="374"/>
      <c r="I480" s="373"/>
      <c r="J480" s="8"/>
      <c r="K480" s="8"/>
      <c r="L480" s="374"/>
      <c r="M480" s="373"/>
      <c r="N480" s="8"/>
      <c r="O480" s="8"/>
      <c r="P480" s="374"/>
      <c r="Q480" s="373"/>
      <c r="R480" s="8"/>
      <c r="S480" s="8"/>
      <c r="T480" s="374"/>
      <c r="U480" s="373"/>
      <c r="V480" s="8"/>
      <c r="W480" s="8"/>
      <c r="X480" s="8"/>
      <c r="Y480" s="4"/>
      <c r="Z480" s="4"/>
      <c r="AA480" s="4"/>
      <c r="AB480" s="4"/>
      <c r="AC480" s="4"/>
    </row>
    <row r="481" spans="1:29" ht="20.25" customHeight="1">
      <c r="A481" s="373"/>
      <c r="B481" s="4"/>
      <c r="C481" s="4"/>
      <c r="D481" s="4"/>
      <c r="E481" s="374"/>
      <c r="F481" s="373"/>
      <c r="G481" s="373"/>
      <c r="H481" s="374"/>
      <c r="I481" s="373"/>
      <c r="J481" s="8"/>
      <c r="K481" s="8"/>
      <c r="L481" s="374"/>
      <c r="M481" s="373"/>
      <c r="N481" s="8"/>
      <c r="O481" s="8"/>
      <c r="P481" s="374"/>
      <c r="Q481" s="373"/>
      <c r="R481" s="8"/>
      <c r="S481" s="8"/>
      <c r="T481" s="374"/>
      <c r="U481" s="373"/>
      <c r="V481" s="8"/>
      <c r="W481" s="8"/>
      <c r="X481" s="8"/>
      <c r="Y481" s="4"/>
      <c r="Z481" s="4"/>
      <c r="AA481" s="4"/>
      <c r="AB481" s="4"/>
      <c r="AC481" s="4"/>
    </row>
    <row r="482" spans="1:29" ht="20.25" customHeight="1">
      <c r="A482" s="373"/>
      <c r="B482" s="4"/>
      <c r="C482" s="4"/>
      <c r="D482" s="4"/>
      <c r="E482" s="374"/>
      <c r="F482" s="373"/>
      <c r="G482" s="373"/>
      <c r="H482" s="374"/>
      <c r="I482" s="373"/>
      <c r="J482" s="8"/>
      <c r="K482" s="8"/>
      <c r="L482" s="374"/>
      <c r="M482" s="373"/>
      <c r="N482" s="8"/>
      <c r="O482" s="8"/>
      <c r="P482" s="374"/>
      <c r="Q482" s="373"/>
      <c r="R482" s="8"/>
      <c r="S482" s="8"/>
      <c r="T482" s="374"/>
      <c r="U482" s="373"/>
      <c r="V482" s="8"/>
      <c r="W482" s="8"/>
      <c r="X482" s="8"/>
      <c r="Y482" s="4"/>
      <c r="Z482" s="4"/>
      <c r="AA482" s="4"/>
      <c r="AB482" s="4"/>
      <c r="AC482" s="4"/>
    </row>
    <row r="483" spans="1:29" ht="20.25" customHeight="1">
      <c r="A483" s="373"/>
      <c r="B483" s="4"/>
      <c r="C483" s="4"/>
      <c r="D483" s="4"/>
      <c r="E483" s="374"/>
      <c r="F483" s="373"/>
      <c r="G483" s="373"/>
      <c r="H483" s="374"/>
      <c r="I483" s="373"/>
      <c r="J483" s="8"/>
      <c r="K483" s="8"/>
      <c r="L483" s="374"/>
      <c r="M483" s="373"/>
      <c r="N483" s="8"/>
      <c r="O483" s="8"/>
      <c r="P483" s="374"/>
      <c r="Q483" s="373"/>
      <c r="R483" s="8"/>
      <c r="S483" s="8"/>
      <c r="T483" s="374"/>
      <c r="U483" s="373"/>
      <c r="V483" s="8"/>
      <c r="W483" s="8"/>
      <c r="X483" s="8"/>
      <c r="Y483" s="4"/>
      <c r="Z483" s="4"/>
      <c r="AA483" s="4"/>
      <c r="AB483" s="4"/>
      <c r="AC483" s="4"/>
    </row>
    <row r="484" spans="1:29" ht="20.25" customHeight="1">
      <c r="A484" s="373"/>
      <c r="B484" s="4"/>
      <c r="C484" s="4"/>
      <c r="D484" s="4"/>
      <c r="E484" s="374"/>
      <c r="F484" s="373"/>
      <c r="G484" s="373"/>
      <c r="H484" s="374"/>
      <c r="I484" s="373"/>
      <c r="J484" s="8"/>
      <c r="K484" s="8"/>
      <c r="L484" s="374"/>
      <c r="M484" s="373"/>
      <c r="N484" s="8"/>
      <c r="O484" s="8"/>
      <c r="P484" s="374"/>
      <c r="Q484" s="373"/>
      <c r="R484" s="8"/>
      <c r="S484" s="8"/>
      <c r="T484" s="374"/>
      <c r="U484" s="373"/>
      <c r="V484" s="8"/>
      <c r="W484" s="8"/>
      <c r="X484" s="8"/>
      <c r="Y484" s="4"/>
      <c r="Z484" s="4"/>
      <c r="AA484" s="4"/>
      <c r="AB484" s="4"/>
      <c r="AC484" s="4"/>
    </row>
    <row r="485" spans="1:29" ht="20.25" customHeight="1">
      <c r="A485" s="373"/>
      <c r="B485" s="4"/>
      <c r="C485" s="4"/>
      <c r="D485" s="4"/>
      <c r="E485" s="374"/>
      <c r="F485" s="373"/>
      <c r="G485" s="373"/>
      <c r="H485" s="374"/>
      <c r="I485" s="373"/>
      <c r="J485" s="8"/>
      <c r="K485" s="8"/>
      <c r="L485" s="374"/>
      <c r="M485" s="373"/>
      <c r="N485" s="8"/>
      <c r="O485" s="8"/>
      <c r="P485" s="374"/>
      <c r="Q485" s="373"/>
      <c r="R485" s="8"/>
      <c r="S485" s="8"/>
      <c r="T485" s="374"/>
      <c r="U485" s="373"/>
      <c r="V485" s="8"/>
      <c r="W485" s="8"/>
      <c r="X485" s="8"/>
      <c r="Y485" s="4"/>
      <c r="Z485" s="4"/>
      <c r="AA485" s="4"/>
      <c r="AB485" s="4"/>
      <c r="AC485" s="4"/>
    </row>
    <row r="486" spans="1:29" ht="20.25" customHeight="1">
      <c r="A486" s="373"/>
      <c r="B486" s="4"/>
      <c r="C486" s="4"/>
      <c r="D486" s="4"/>
      <c r="E486" s="374"/>
      <c r="F486" s="373"/>
      <c r="G486" s="373"/>
      <c r="H486" s="374"/>
      <c r="I486" s="373"/>
      <c r="J486" s="8"/>
      <c r="K486" s="8"/>
      <c r="L486" s="374"/>
      <c r="M486" s="373"/>
      <c r="N486" s="8"/>
      <c r="O486" s="8"/>
      <c r="P486" s="374"/>
      <c r="Q486" s="373"/>
      <c r="R486" s="8"/>
      <c r="S486" s="8"/>
      <c r="T486" s="374"/>
      <c r="U486" s="373"/>
      <c r="V486" s="8"/>
      <c r="W486" s="8"/>
      <c r="X486" s="8"/>
      <c r="Y486" s="4"/>
      <c r="Z486" s="4"/>
      <c r="AA486" s="4"/>
      <c r="AB486" s="4"/>
      <c r="AC486" s="4"/>
    </row>
    <row r="487" spans="1:29" ht="20.25" customHeight="1">
      <c r="A487" s="373"/>
      <c r="B487" s="4"/>
      <c r="C487" s="4"/>
      <c r="D487" s="4"/>
      <c r="E487" s="374"/>
      <c r="F487" s="373"/>
      <c r="G487" s="373"/>
      <c r="H487" s="374"/>
      <c r="I487" s="373"/>
      <c r="J487" s="8"/>
      <c r="K487" s="8"/>
      <c r="L487" s="374"/>
      <c r="M487" s="373"/>
      <c r="N487" s="8"/>
      <c r="O487" s="8"/>
      <c r="P487" s="374"/>
      <c r="Q487" s="373"/>
      <c r="R487" s="8"/>
      <c r="S487" s="8"/>
      <c r="T487" s="374"/>
      <c r="U487" s="373"/>
      <c r="V487" s="8"/>
      <c r="W487" s="8"/>
      <c r="X487" s="8"/>
      <c r="Y487" s="4"/>
      <c r="Z487" s="4"/>
      <c r="AA487" s="4"/>
      <c r="AB487" s="4"/>
      <c r="AC487" s="4"/>
    </row>
    <row r="488" spans="1:29" ht="20.25" customHeight="1">
      <c r="A488" s="373"/>
      <c r="B488" s="4"/>
      <c r="C488" s="4"/>
      <c r="D488" s="4"/>
      <c r="E488" s="374"/>
      <c r="F488" s="373"/>
      <c r="G488" s="373"/>
      <c r="H488" s="374"/>
      <c r="I488" s="373"/>
      <c r="J488" s="8"/>
      <c r="K488" s="8"/>
      <c r="L488" s="374"/>
      <c r="M488" s="373"/>
      <c r="N488" s="8"/>
      <c r="O488" s="8"/>
      <c r="P488" s="374"/>
      <c r="Q488" s="373"/>
      <c r="R488" s="8"/>
      <c r="S488" s="8"/>
      <c r="T488" s="374"/>
      <c r="U488" s="373"/>
      <c r="V488" s="8"/>
      <c r="W488" s="8"/>
      <c r="X488" s="8"/>
      <c r="Y488" s="4"/>
      <c r="Z488" s="4"/>
      <c r="AA488" s="4"/>
      <c r="AB488" s="4"/>
      <c r="AC488" s="4"/>
    </row>
    <row r="489" spans="1:29" ht="20.25" customHeight="1">
      <c r="A489" s="373"/>
      <c r="B489" s="4"/>
      <c r="C489" s="4"/>
      <c r="D489" s="4"/>
      <c r="E489" s="374"/>
      <c r="F489" s="373"/>
      <c r="G489" s="373"/>
      <c r="H489" s="374"/>
      <c r="I489" s="373"/>
      <c r="J489" s="8"/>
      <c r="K489" s="8"/>
      <c r="L489" s="374"/>
      <c r="M489" s="373"/>
      <c r="N489" s="8"/>
      <c r="O489" s="8"/>
      <c r="P489" s="374"/>
      <c r="Q489" s="373"/>
      <c r="R489" s="8"/>
      <c r="S489" s="8"/>
      <c r="T489" s="374"/>
      <c r="U489" s="373"/>
      <c r="V489" s="8"/>
      <c r="W489" s="8"/>
      <c r="X489" s="8"/>
      <c r="Y489" s="4"/>
      <c r="Z489" s="4"/>
      <c r="AA489" s="4"/>
      <c r="AB489" s="4"/>
      <c r="AC489" s="4"/>
    </row>
    <row r="490" spans="1:29" ht="20.25" customHeight="1">
      <c r="A490" s="373"/>
      <c r="B490" s="4"/>
      <c r="C490" s="4"/>
      <c r="D490" s="4"/>
      <c r="E490" s="374"/>
      <c r="F490" s="373"/>
      <c r="G490" s="373"/>
      <c r="H490" s="374"/>
      <c r="I490" s="373"/>
      <c r="J490" s="8"/>
      <c r="K490" s="8"/>
      <c r="L490" s="374"/>
      <c r="M490" s="373"/>
      <c r="N490" s="8"/>
      <c r="O490" s="8"/>
      <c r="P490" s="374"/>
      <c r="Q490" s="373"/>
      <c r="R490" s="8"/>
      <c r="S490" s="8"/>
      <c r="T490" s="374"/>
      <c r="U490" s="373"/>
      <c r="V490" s="8"/>
      <c r="W490" s="8"/>
      <c r="X490" s="8"/>
      <c r="Y490" s="4"/>
      <c r="Z490" s="4"/>
      <c r="AA490" s="4"/>
      <c r="AB490" s="4"/>
      <c r="AC490" s="4"/>
    </row>
    <row r="491" spans="1:29" ht="20.25" customHeight="1">
      <c r="A491" s="373"/>
      <c r="B491" s="4"/>
      <c r="C491" s="4"/>
      <c r="D491" s="4"/>
      <c r="E491" s="374"/>
      <c r="F491" s="373"/>
      <c r="G491" s="373"/>
      <c r="H491" s="374"/>
      <c r="I491" s="373"/>
      <c r="J491" s="8"/>
      <c r="K491" s="8"/>
      <c r="L491" s="374"/>
      <c r="M491" s="373"/>
      <c r="N491" s="8"/>
      <c r="O491" s="8"/>
      <c r="P491" s="374"/>
      <c r="Q491" s="373"/>
      <c r="R491" s="8"/>
      <c r="S491" s="8"/>
      <c r="T491" s="374"/>
      <c r="U491" s="373"/>
      <c r="V491" s="8"/>
      <c r="W491" s="8"/>
      <c r="X491" s="8"/>
      <c r="Y491" s="4"/>
      <c r="Z491" s="4"/>
      <c r="AA491" s="4"/>
      <c r="AB491" s="4"/>
      <c r="AC491" s="4"/>
    </row>
    <row r="492" spans="1:29" ht="20.25" customHeight="1">
      <c r="A492" s="373"/>
      <c r="B492" s="4"/>
      <c r="C492" s="4"/>
      <c r="D492" s="4"/>
      <c r="E492" s="374"/>
      <c r="F492" s="373"/>
      <c r="G492" s="373"/>
      <c r="H492" s="374"/>
      <c r="I492" s="373"/>
      <c r="J492" s="8"/>
      <c r="K492" s="8"/>
      <c r="L492" s="374"/>
      <c r="M492" s="373"/>
      <c r="N492" s="8"/>
      <c r="O492" s="8"/>
      <c r="P492" s="374"/>
      <c r="Q492" s="373"/>
      <c r="R492" s="8"/>
      <c r="S492" s="8"/>
      <c r="T492" s="374"/>
      <c r="U492" s="373"/>
      <c r="V492" s="8"/>
      <c r="W492" s="8"/>
      <c r="X492" s="8"/>
      <c r="Y492" s="4"/>
      <c r="Z492" s="4"/>
      <c r="AA492" s="4"/>
      <c r="AB492" s="4"/>
      <c r="AC492" s="4"/>
    </row>
    <row r="493" spans="1:29" ht="20.25" customHeight="1">
      <c r="A493" s="373"/>
      <c r="B493" s="4"/>
      <c r="C493" s="4"/>
      <c r="D493" s="4"/>
      <c r="E493" s="374"/>
      <c r="F493" s="373"/>
      <c r="G493" s="373"/>
      <c r="H493" s="374"/>
      <c r="I493" s="373"/>
      <c r="J493" s="8"/>
      <c r="K493" s="8"/>
      <c r="L493" s="374"/>
      <c r="M493" s="373"/>
      <c r="N493" s="8"/>
      <c r="O493" s="8"/>
      <c r="P493" s="374"/>
      <c r="Q493" s="373"/>
      <c r="R493" s="8"/>
      <c r="S493" s="8"/>
      <c r="T493" s="374"/>
      <c r="U493" s="373"/>
      <c r="V493" s="8"/>
      <c r="W493" s="8"/>
      <c r="X493" s="8"/>
      <c r="Y493" s="4"/>
      <c r="Z493" s="4"/>
      <c r="AA493" s="4"/>
      <c r="AB493" s="4"/>
      <c r="AC493" s="4"/>
    </row>
    <row r="494" spans="1:29" ht="20.25" customHeight="1">
      <c r="A494" s="373"/>
      <c r="B494" s="4"/>
      <c r="C494" s="4"/>
      <c r="D494" s="4"/>
      <c r="E494" s="374"/>
      <c r="F494" s="373"/>
      <c r="G494" s="373"/>
      <c r="H494" s="374"/>
      <c r="I494" s="373"/>
      <c r="J494" s="8"/>
      <c r="K494" s="8"/>
      <c r="L494" s="374"/>
      <c r="M494" s="373"/>
      <c r="N494" s="8"/>
      <c r="O494" s="8"/>
      <c r="P494" s="374"/>
      <c r="Q494" s="373"/>
      <c r="R494" s="8"/>
      <c r="S494" s="8"/>
      <c r="T494" s="374"/>
      <c r="U494" s="373"/>
      <c r="V494" s="8"/>
      <c r="W494" s="8"/>
      <c r="X494" s="8"/>
      <c r="Y494" s="4"/>
      <c r="Z494" s="4"/>
      <c r="AA494" s="4"/>
      <c r="AB494" s="4"/>
      <c r="AC494" s="4"/>
    </row>
    <row r="495" spans="1:29" ht="20.25" customHeight="1">
      <c r="A495" s="373"/>
      <c r="B495" s="4"/>
      <c r="C495" s="4"/>
      <c r="D495" s="4"/>
      <c r="E495" s="374"/>
      <c r="F495" s="373"/>
      <c r="G495" s="373"/>
      <c r="H495" s="374"/>
      <c r="I495" s="373"/>
      <c r="J495" s="8"/>
      <c r="K495" s="8"/>
      <c r="L495" s="374"/>
      <c r="M495" s="373"/>
      <c r="N495" s="8"/>
      <c r="O495" s="8"/>
      <c r="P495" s="374"/>
      <c r="Q495" s="373"/>
      <c r="R495" s="8"/>
      <c r="S495" s="8"/>
      <c r="T495" s="374"/>
      <c r="U495" s="373"/>
      <c r="V495" s="8"/>
      <c r="W495" s="8"/>
      <c r="X495" s="8"/>
      <c r="Y495" s="4"/>
      <c r="Z495" s="4"/>
      <c r="AA495" s="4"/>
      <c r="AB495" s="4"/>
      <c r="AC495" s="4"/>
    </row>
    <row r="496" spans="1:29" ht="20.25" customHeight="1">
      <c r="A496" s="373"/>
      <c r="B496" s="4"/>
      <c r="C496" s="4"/>
      <c r="D496" s="4"/>
      <c r="E496" s="374"/>
      <c r="F496" s="373"/>
      <c r="G496" s="373"/>
      <c r="H496" s="374"/>
      <c r="I496" s="373"/>
      <c r="J496" s="8"/>
      <c r="K496" s="8"/>
      <c r="L496" s="374"/>
      <c r="M496" s="373"/>
      <c r="N496" s="8"/>
      <c r="O496" s="8"/>
      <c r="P496" s="374"/>
      <c r="Q496" s="373"/>
      <c r="R496" s="8"/>
      <c r="S496" s="8"/>
      <c r="T496" s="374"/>
      <c r="U496" s="373"/>
      <c r="V496" s="8"/>
      <c r="W496" s="8"/>
      <c r="X496" s="8"/>
      <c r="Y496" s="4"/>
      <c r="Z496" s="4"/>
      <c r="AA496" s="4"/>
      <c r="AB496" s="4"/>
      <c r="AC496" s="4"/>
    </row>
    <row r="497" spans="1:29" ht="20.25" customHeight="1">
      <c r="A497" s="373"/>
      <c r="B497" s="4"/>
      <c r="C497" s="4"/>
      <c r="D497" s="4"/>
      <c r="E497" s="374"/>
      <c r="F497" s="373"/>
      <c r="G497" s="373"/>
      <c r="H497" s="374"/>
      <c r="I497" s="373"/>
      <c r="J497" s="8"/>
      <c r="K497" s="8"/>
      <c r="L497" s="374"/>
      <c r="M497" s="373"/>
      <c r="N497" s="8"/>
      <c r="O497" s="8"/>
      <c r="P497" s="374"/>
      <c r="Q497" s="373"/>
      <c r="R497" s="8"/>
      <c r="S497" s="8"/>
      <c r="T497" s="374"/>
      <c r="U497" s="373"/>
      <c r="V497" s="8"/>
      <c r="W497" s="8"/>
      <c r="X497" s="8"/>
      <c r="Y497" s="4"/>
      <c r="Z497" s="4"/>
      <c r="AA497" s="4"/>
      <c r="AB497" s="4"/>
      <c r="AC497" s="4"/>
    </row>
    <row r="498" spans="1:29" ht="20.25" customHeight="1">
      <c r="A498" s="373"/>
      <c r="B498" s="4"/>
      <c r="C498" s="4"/>
      <c r="D498" s="4"/>
      <c r="E498" s="374"/>
      <c r="F498" s="373"/>
      <c r="G498" s="373"/>
      <c r="H498" s="374"/>
      <c r="I498" s="373"/>
      <c r="J498" s="8"/>
      <c r="K498" s="8"/>
      <c r="L498" s="374"/>
      <c r="M498" s="373"/>
      <c r="N498" s="8"/>
      <c r="O498" s="8"/>
      <c r="P498" s="374"/>
      <c r="Q498" s="373"/>
      <c r="R498" s="8"/>
      <c r="S498" s="8"/>
      <c r="T498" s="374"/>
      <c r="U498" s="373"/>
      <c r="V498" s="8"/>
      <c r="W498" s="8"/>
      <c r="X498" s="8"/>
      <c r="Y498" s="4"/>
      <c r="Z498" s="4"/>
      <c r="AA498" s="4"/>
      <c r="AB498" s="4"/>
      <c r="AC498" s="4"/>
    </row>
    <row r="499" spans="1:29" ht="20.25" customHeight="1">
      <c r="A499" s="373"/>
      <c r="B499" s="4"/>
      <c r="C499" s="4"/>
      <c r="D499" s="4"/>
      <c r="E499" s="374"/>
      <c r="F499" s="373"/>
      <c r="G499" s="373"/>
      <c r="H499" s="374"/>
      <c r="I499" s="373"/>
      <c r="J499" s="8"/>
      <c r="K499" s="8"/>
      <c r="L499" s="374"/>
      <c r="M499" s="373"/>
      <c r="N499" s="8"/>
      <c r="O499" s="8"/>
      <c r="P499" s="374"/>
      <c r="Q499" s="373"/>
      <c r="R499" s="8"/>
      <c r="S499" s="8"/>
      <c r="T499" s="374"/>
      <c r="U499" s="373"/>
      <c r="V499" s="8"/>
      <c r="W499" s="8"/>
      <c r="X499" s="8"/>
      <c r="Y499" s="4"/>
      <c r="Z499" s="4"/>
      <c r="AA499" s="4"/>
      <c r="AB499" s="4"/>
      <c r="AC499" s="4"/>
    </row>
    <row r="500" spans="1:29" ht="20.25" customHeight="1">
      <c r="A500" s="373"/>
      <c r="B500" s="4"/>
      <c r="C500" s="4"/>
      <c r="D500" s="4"/>
      <c r="E500" s="374"/>
      <c r="F500" s="373"/>
      <c r="G500" s="373"/>
      <c r="H500" s="374"/>
      <c r="I500" s="373"/>
      <c r="J500" s="8"/>
      <c r="K500" s="8"/>
      <c r="L500" s="374"/>
      <c r="M500" s="373"/>
      <c r="N500" s="8"/>
      <c r="O500" s="8"/>
      <c r="P500" s="374"/>
      <c r="Q500" s="373"/>
      <c r="R500" s="8"/>
      <c r="S500" s="8"/>
      <c r="T500" s="374"/>
      <c r="U500" s="373"/>
      <c r="V500" s="8"/>
      <c r="W500" s="8"/>
      <c r="X500" s="8"/>
      <c r="Y500" s="4"/>
      <c r="Z500" s="4"/>
      <c r="AA500" s="4"/>
      <c r="AB500" s="4"/>
      <c r="AC500" s="4"/>
    </row>
    <row r="501" spans="1:29" ht="20.25" customHeight="1">
      <c r="A501" s="373"/>
      <c r="B501" s="4"/>
      <c r="C501" s="4"/>
      <c r="D501" s="4"/>
      <c r="E501" s="374"/>
      <c r="F501" s="373"/>
      <c r="G501" s="373"/>
      <c r="H501" s="374"/>
      <c r="I501" s="373"/>
      <c r="J501" s="8"/>
      <c r="K501" s="8"/>
      <c r="L501" s="374"/>
      <c r="M501" s="373"/>
      <c r="N501" s="8"/>
      <c r="O501" s="8"/>
      <c r="P501" s="374"/>
      <c r="Q501" s="373"/>
      <c r="R501" s="8"/>
      <c r="S501" s="8"/>
      <c r="T501" s="374"/>
      <c r="U501" s="373"/>
      <c r="V501" s="8"/>
      <c r="W501" s="8"/>
      <c r="X501" s="8"/>
      <c r="Y501" s="4"/>
      <c r="Z501" s="4"/>
      <c r="AA501" s="4"/>
      <c r="AB501" s="4"/>
      <c r="AC501" s="4"/>
    </row>
    <row r="502" spans="1:29" ht="20.25" customHeight="1">
      <c r="A502" s="373"/>
      <c r="B502" s="4"/>
      <c r="C502" s="4"/>
      <c r="D502" s="4"/>
      <c r="E502" s="374"/>
      <c r="F502" s="373"/>
      <c r="G502" s="373"/>
      <c r="H502" s="374"/>
      <c r="I502" s="373"/>
      <c r="J502" s="8"/>
      <c r="K502" s="8"/>
      <c r="L502" s="374"/>
      <c r="M502" s="373"/>
      <c r="N502" s="8"/>
      <c r="O502" s="8"/>
      <c r="P502" s="374"/>
      <c r="Q502" s="373"/>
      <c r="R502" s="8"/>
      <c r="S502" s="8"/>
      <c r="T502" s="374"/>
      <c r="U502" s="373"/>
      <c r="V502" s="8"/>
      <c r="W502" s="8"/>
      <c r="X502" s="8"/>
      <c r="Y502" s="4"/>
      <c r="Z502" s="4"/>
      <c r="AA502" s="4"/>
      <c r="AB502" s="4"/>
      <c r="AC502" s="4"/>
    </row>
    <row r="503" spans="1:29" ht="20.25" customHeight="1">
      <c r="A503" s="373"/>
      <c r="B503" s="4"/>
      <c r="C503" s="4"/>
      <c r="D503" s="4"/>
      <c r="E503" s="374"/>
      <c r="F503" s="373"/>
      <c r="G503" s="373"/>
      <c r="H503" s="374"/>
      <c r="I503" s="373"/>
      <c r="J503" s="8"/>
      <c r="K503" s="8"/>
      <c r="L503" s="374"/>
      <c r="M503" s="373"/>
      <c r="N503" s="8"/>
      <c r="O503" s="8"/>
      <c r="P503" s="374"/>
      <c r="Q503" s="373"/>
      <c r="R503" s="8"/>
      <c r="S503" s="8"/>
      <c r="T503" s="374"/>
      <c r="U503" s="373"/>
      <c r="V503" s="8"/>
      <c r="W503" s="8"/>
      <c r="X503" s="8"/>
      <c r="Y503" s="4"/>
      <c r="Z503" s="4"/>
      <c r="AA503" s="4"/>
      <c r="AB503" s="4"/>
      <c r="AC503" s="4"/>
    </row>
    <row r="504" spans="1:29" ht="20.25" customHeight="1">
      <c r="A504" s="373"/>
      <c r="B504" s="4"/>
      <c r="C504" s="4"/>
      <c r="D504" s="4"/>
      <c r="E504" s="374"/>
      <c r="F504" s="373"/>
      <c r="G504" s="373"/>
      <c r="H504" s="374"/>
      <c r="I504" s="373"/>
      <c r="J504" s="8"/>
      <c r="K504" s="8"/>
      <c r="L504" s="374"/>
      <c r="M504" s="373"/>
      <c r="N504" s="8"/>
      <c r="O504" s="8"/>
      <c r="P504" s="374"/>
      <c r="Q504" s="373"/>
      <c r="R504" s="8"/>
      <c r="S504" s="8"/>
      <c r="T504" s="374"/>
      <c r="U504" s="373"/>
      <c r="V504" s="8"/>
      <c r="W504" s="8"/>
      <c r="X504" s="8"/>
      <c r="Y504" s="4"/>
      <c r="Z504" s="4"/>
      <c r="AA504" s="4"/>
      <c r="AB504" s="4"/>
      <c r="AC504" s="4"/>
    </row>
    <row r="505" spans="1:29" ht="20.25" customHeight="1">
      <c r="A505" s="373"/>
      <c r="B505" s="4"/>
      <c r="C505" s="4"/>
      <c r="D505" s="4"/>
      <c r="E505" s="374"/>
      <c r="F505" s="373"/>
      <c r="G505" s="373"/>
      <c r="H505" s="374"/>
      <c r="I505" s="373"/>
      <c r="J505" s="8"/>
      <c r="K505" s="8"/>
      <c r="L505" s="374"/>
      <c r="M505" s="373"/>
      <c r="N505" s="8"/>
      <c r="O505" s="8"/>
      <c r="P505" s="374"/>
      <c r="Q505" s="373"/>
      <c r="R505" s="8"/>
      <c r="S505" s="8"/>
      <c r="T505" s="374"/>
      <c r="U505" s="373"/>
      <c r="V505" s="8"/>
      <c r="W505" s="8"/>
      <c r="X505" s="8"/>
      <c r="Y505" s="4"/>
      <c r="Z505" s="4"/>
      <c r="AA505" s="4"/>
      <c r="AB505" s="4"/>
      <c r="AC505" s="4"/>
    </row>
    <row r="506" spans="1:29" ht="20.25" customHeight="1">
      <c r="A506" s="373"/>
      <c r="B506" s="4"/>
      <c r="C506" s="4"/>
      <c r="D506" s="4"/>
      <c r="E506" s="374"/>
      <c r="F506" s="373"/>
      <c r="G506" s="373"/>
      <c r="H506" s="374"/>
      <c r="I506" s="373"/>
      <c r="J506" s="8"/>
      <c r="K506" s="8"/>
      <c r="L506" s="374"/>
      <c r="M506" s="373"/>
      <c r="N506" s="8"/>
      <c r="O506" s="8"/>
      <c r="P506" s="374"/>
      <c r="Q506" s="373"/>
      <c r="R506" s="8"/>
      <c r="S506" s="8"/>
      <c r="T506" s="374"/>
      <c r="U506" s="373"/>
      <c r="V506" s="8"/>
      <c r="W506" s="8"/>
      <c r="X506" s="8"/>
      <c r="Y506" s="4"/>
      <c r="Z506" s="4"/>
      <c r="AA506" s="4"/>
      <c r="AB506" s="4"/>
      <c r="AC506" s="4"/>
    </row>
    <row r="507" spans="1:29" ht="20.25" customHeight="1">
      <c r="A507" s="373"/>
      <c r="B507" s="4"/>
      <c r="C507" s="4"/>
      <c r="D507" s="4"/>
      <c r="E507" s="374"/>
      <c r="F507" s="373"/>
      <c r="G507" s="373"/>
      <c r="H507" s="374"/>
      <c r="I507" s="373"/>
      <c r="J507" s="8"/>
      <c r="K507" s="8"/>
      <c r="L507" s="374"/>
      <c r="M507" s="373"/>
      <c r="N507" s="8"/>
      <c r="O507" s="8"/>
      <c r="P507" s="374"/>
      <c r="Q507" s="373"/>
      <c r="R507" s="8"/>
      <c r="S507" s="8"/>
      <c r="T507" s="374"/>
      <c r="U507" s="373"/>
      <c r="V507" s="8"/>
      <c r="W507" s="8"/>
      <c r="X507" s="8"/>
      <c r="Y507" s="4"/>
      <c r="Z507" s="4"/>
      <c r="AA507" s="4"/>
      <c r="AB507" s="4"/>
      <c r="AC507" s="4"/>
    </row>
    <row r="508" spans="1:29" ht="20.25" customHeight="1">
      <c r="A508" s="373"/>
      <c r="B508" s="4"/>
      <c r="C508" s="4"/>
      <c r="D508" s="4"/>
      <c r="E508" s="374"/>
      <c r="F508" s="373"/>
      <c r="G508" s="373"/>
      <c r="H508" s="374"/>
      <c r="I508" s="373"/>
      <c r="J508" s="8"/>
      <c r="K508" s="8"/>
      <c r="L508" s="374"/>
      <c r="M508" s="373"/>
      <c r="N508" s="8"/>
      <c r="O508" s="8"/>
      <c r="P508" s="374"/>
      <c r="Q508" s="373"/>
      <c r="R508" s="8"/>
      <c r="S508" s="8"/>
      <c r="T508" s="374"/>
      <c r="U508" s="373"/>
      <c r="V508" s="8"/>
      <c r="W508" s="8"/>
      <c r="X508" s="8"/>
      <c r="Y508" s="4"/>
      <c r="Z508" s="4"/>
      <c r="AA508" s="4"/>
      <c r="AB508" s="4"/>
      <c r="AC508" s="4"/>
    </row>
    <row r="509" spans="1:29" ht="20.25" customHeight="1">
      <c r="A509" s="373"/>
      <c r="B509" s="4"/>
      <c r="C509" s="4"/>
      <c r="D509" s="4"/>
      <c r="E509" s="374"/>
      <c r="F509" s="373"/>
      <c r="G509" s="373"/>
      <c r="H509" s="374"/>
      <c r="I509" s="373"/>
      <c r="J509" s="8"/>
      <c r="K509" s="8"/>
      <c r="L509" s="374"/>
      <c r="M509" s="373"/>
      <c r="N509" s="8"/>
      <c r="O509" s="8"/>
      <c r="P509" s="374"/>
      <c r="Q509" s="373"/>
      <c r="R509" s="8"/>
      <c r="S509" s="8"/>
      <c r="T509" s="374"/>
      <c r="U509" s="373"/>
      <c r="V509" s="8"/>
      <c r="W509" s="8"/>
      <c r="X509" s="8"/>
      <c r="Y509" s="4"/>
      <c r="Z509" s="4"/>
      <c r="AA509" s="4"/>
      <c r="AB509" s="4"/>
      <c r="AC509" s="4"/>
    </row>
    <row r="510" spans="1:29" ht="20.25" customHeight="1">
      <c r="A510" s="373"/>
      <c r="B510" s="4"/>
      <c r="C510" s="4"/>
      <c r="D510" s="4"/>
      <c r="E510" s="374"/>
      <c r="F510" s="373"/>
      <c r="G510" s="373"/>
      <c r="H510" s="374"/>
      <c r="I510" s="373"/>
      <c r="J510" s="8"/>
      <c r="K510" s="8"/>
      <c r="L510" s="374"/>
      <c r="M510" s="373"/>
      <c r="N510" s="8"/>
      <c r="O510" s="8"/>
      <c r="P510" s="374"/>
      <c r="Q510" s="373"/>
      <c r="R510" s="8"/>
      <c r="S510" s="8"/>
      <c r="T510" s="374"/>
      <c r="U510" s="373"/>
      <c r="V510" s="8"/>
      <c r="W510" s="8"/>
      <c r="X510" s="8"/>
      <c r="Y510" s="4"/>
      <c r="Z510" s="4"/>
      <c r="AA510" s="4"/>
      <c r="AB510" s="4"/>
      <c r="AC510" s="4"/>
    </row>
    <row r="511" spans="1:29" ht="20.25" customHeight="1">
      <c r="A511" s="373"/>
      <c r="B511" s="4"/>
      <c r="C511" s="4"/>
      <c r="D511" s="4"/>
      <c r="E511" s="374"/>
      <c r="F511" s="373"/>
      <c r="G511" s="373"/>
      <c r="H511" s="374"/>
      <c r="I511" s="373"/>
      <c r="J511" s="8"/>
      <c r="K511" s="8"/>
      <c r="L511" s="374"/>
      <c r="M511" s="373"/>
      <c r="N511" s="8"/>
      <c r="O511" s="8"/>
      <c r="P511" s="374"/>
      <c r="Q511" s="373"/>
      <c r="R511" s="8"/>
      <c r="S511" s="8"/>
      <c r="T511" s="374"/>
      <c r="U511" s="373"/>
      <c r="V511" s="8"/>
      <c r="W511" s="8"/>
      <c r="X511" s="8"/>
      <c r="Y511" s="4"/>
      <c r="Z511" s="4"/>
      <c r="AA511" s="4"/>
      <c r="AB511" s="4"/>
      <c r="AC511" s="4"/>
    </row>
    <row r="512" spans="1:29" ht="20.25" customHeight="1">
      <c r="A512" s="373"/>
      <c r="B512" s="4"/>
      <c r="C512" s="4"/>
      <c r="D512" s="4"/>
      <c r="E512" s="374"/>
      <c r="F512" s="373"/>
      <c r="G512" s="373"/>
      <c r="H512" s="374"/>
      <c r="I512" s="373"/>
      <c r="J512" s="8"/>
      <c r="K512" s="8"/>
      <c r="L512" s="374"/>
      <c r="M512" s="373"/>
      <c r="N512" s="8"/>
      <c r="O512" s="8"/>
      <c r="P512" s="374"/>
      <c r="Q512" s="373"/>
      <c r="R512" s="8"/>
      <c r="S512" s="8"/>
      <c r="T512" s="374"/>
      <c r="U512" s="373"/>
      <c r="V512" s="8"/>
      <c r="W512" s="8"/>
      <c r="X512" s="8"/>
      <c r="Y512" s="4"/>
      <c r="Z512" s="4"/>
      <c r="AA512" s="4"/>
      <c r="AB512" s="4"/>
      <c r="AC512" s="4"/>
    </row>
    <row r="513" spans="1:29" ht="20.25" customHeight="1">
      <c r="A513" s="373"/>
      <c r="B513" s="4"/>
      <c r="C513" s="4"/>
      <c r="D513" s="4"/>
      <c r="E513" s="374"/>
      <c r="F513" s="373"/>
      <c r="G513" s="373"/>
      <c r="H513" s="374"/>
      <c r="I513" s="373"/>
      <c r="J513" s="8"/>
      <c r="K513" s="8"/>
      <c r="L513" s="374"/>
      <c r="M513" s="373"/>
      <c r="N513" s="8"/>
      <c r="O513" s="8"/>
      <c r="P513" s="374"/>
      <c r="Q513" s="373"/>
      <c r="R513" s="8"/>
      <c r="S513" s="8"/>
      <c r="T513" s="374"/>
      <c r="U513" s="373"/>
      <c r="V513" s="8"/>
      <c r="W513" s="8"/>
      <c r="X513" s="8"/>
      <c r="Y513" s="4"/>
      <c r="Z513" s="4"/>
      <c r="AA513" s="4"/>
      <c r="AB513" s="4"/>
      <c r="AC513" s="4"/>
    </row>
    <row r="514" spans="1:29" ht="20.25" customHeight="1">
      <c r="A514" s="373"/>
      <c r="B514" s="4"/>
      <c r="C514" s="4"/>
      <c r="D514" s="4"/>
      <c r="E514" s="374"/>
      <c r="F514" s="373"/>
      <c r="G514" s="373"/>
      <c r="H514" s="374"/>
      <c r="I514" s="373"/>
      <c r="J514" s="8"/>
      <c r="K514" s="8"/>
      <c r="L514" s="374"/>
      <c r="M514" s="373"/>
      <c r="N514" s="8"/>
      <c r="O514" s="8"/>
      <c r="P514" s="374"/>
      <c r="Q514" s="373"/>
      <c r="R514" s="8"/>
      <c r="S514" s="8"/>
      <c r="T514" s="374"/>
      <c r="U514" s="373"/>
      <c r="V514" s="8"/>
      <c r="W514" s="8"/>
      <c r="X514" s="8"/>
      <c r="Y514" s="4"/>
      <c r="Z514" s="4"/>
      <c r="AA514" s="4"/>
      <c r="AB514" s="4"/>
      <c r="AC514" s="4"/>
    </row>
    <row r="515" spans="1:29" ht="20.25" customHeight="1">
      <c r="A515" s="373"/>
      <c r="B515" s="4"/>
      <c r="C515" s="4"/>
      <c r="D515" s="4"/>
      <c r="E515" s="374"/>
      <c r="F515" s="373"/>
      <c r="G515" s="373"/>
      <c r="H515" s="374"/>
      <c r="I515" s="373"/>
      <c r="J515" s="8"/>
      <c r="K515" s="8"/>
      <c r="L515" s="374"/>
      <c r="M515" s="373"/>
      <c r="N515" s="8"/>
      <c r="O515" s="8"/>
      <c r="P515" s="374"/>
      <c r="Q515" s="373"/>
      <c r="R515" s="8"/>
      <c r="S515" s="8"/>
      <c r="T515" s="374"/>
      <c r="U515" s="373"/>
      <c r="V515" s="8"/>
      <c r="W515" s="8"/>
      <c r="X515" s="8"/>
      <c r="Y515" s="4"/>
      <c r="Z515" s="4"/>
      <c r="AA515" s="4"/>
      <c r="AB515" s="4"/>
      <c r="AC515" s="4"/>
    </row>
    <row r="516" spans="1:29" ht="20.25" customHeight="1">
      <c r="A516" s="373"/>
      <c r="B516" s="4"/>
      <c r="C516" s="4"/>
      <c r="D516" s="4"/>
      <c r="E516" s="374"/>
      <c r="F516" s="373"/>
      <c r="G516" s="373"/>
      <c r="H516" s="374"/>
      <c r="I516" s="373"/>
      <c r="J516" s="8"/>
      <c r="K516" s="8"/>
      <c r="L516" s="374"/>
      <c r="M516" s="373"/>
      <c r="N516" s="8"/>
      <c r="O516" s="8"/>
      <c r="P516" s="374"/>
      <c r="Q516" s="373"/>
      <c r="R516" s="8"/>
      <c r="S516" s="8"/>
      <c r="T516" s="374"/>
      <c r="U516" s="373"/>
      <c r="V516" s="8"/>
      <c r="W516" s="8"/>
      <c r="X516" s="8"/>
      <c r="Y516" s="4"/>
      <c r="Z516" s="4"/>
      <c r="AA516" s="4"/>
      <c r="AB516" s="4"/>
      <c r="AC516" s="4"/>
    </row>
    <row r="517" spans="1:29" ht="20.25" customHeight="1">
      <c r="A517" s="373"/>
      <c r="B517" s="4"/>
      <c r="C517" s="4"/>
      <c r="D517" s="4"/>
      <c r="E517" s="374"/>
      <c r="F517" s="373"/>
      <c r="G517" s="373"/>
      <c r="H517" s="374"/>
      <c r="I517" s="373"/>
      <c r="J517" s="8"/>
      <c r="K517" s="8"/>
      <c r="L517" s="374"/>
      <c r="M517" s="373"/>
      <c r="N517" s="8"/>
      <c r="O517" s="8"/>
      <c r="P517" s="374"/>
      <c r="Q517" s="373"/>
      <c r="R517" s="8"/>
      <c r="S517" s="8"/>
      <c r="T517" s="374"/>
      <c r="U517" s="373"/>
      <c r="V517" s="8"/>
      <c r="W517" s="8"/>
      <c r="X517" s="8"/>
      <c r="Y517" s="4"/>
      <c r="Z517" s="4"/>
      <c r="AA517" s="4"/>
      <c r="AB517" s="4"/>
      <c r="AC517" s="4"/>
    </row>
    <row r="518" spans="1:29" ht="20.25" customHeight="1">
      <c r="A518" s="373"/>
      <c r="B518" s="4"/>
      <c r="C518" s="4"/>
      <c r="D518" s="4"/>
      <c r="E518" s="374"/>
      <c r="F518" s="373"/>
      <c r="G518" s="373"/>
      <c r="H518" s="374"/>
      <c r="I518" s="373"/>
      <c r="J518" s="8"/>
      <c r="K518" s="8"/>
      <c r="L518" s="374"/>
      <c r="M518" s="373"/>
      <c r="N518" s="8"/>
      <c r="O518" s="8"/>
      <c r="P518" s="374"/>
      <c r="Q518" s="373"/>
      <c r="R518" s="8"/>
      <c r="S518" s="8"/>
      <c r="T518" s="374"/>
      <c r="U518" s="373"/>
      <c r="V518" s="8"/>
      <c r="W518" s="8"/>
      <c r="X518" s="8"/>
      <c r="Y518" s="4"/>
      <c r="Z518" s="4"/>
      <c r="AA518" s="4"/>
      <c r="AB518" s="4"/>
      <c r="AC518" s="4"/>
    </row>
    <row r="519" spans="1:29" ht="20.25" customHeight="1">
      <c r="A519" s="373"/>
      <c r="B519" s="4"/>
      <c r="C519" s="4"/>
      <c r="D519" s="4"/>
      <c r="E519" s="374"/>
      <c r="F519" s="373"/>
      <c r="G519" s="373"/>
      <c r="H519" s="374"/>
      <c r="I519" s="373"/>
      <c r="J519" s="8"/>
      <c r="K519" s="8"/>
      <c r="L519" s="374"/>
      <c r="M519" s="373"/>
      <c r="N519" s="8"/>
      <c r="O519" s="8"/>
      <c r="P519" s="374"/>
      <c r="Q519" s="373"/>
      <c r="R519" s="8"/>
      <c r="S519" s="8"/>
      <c r="T519" s="374"/>
      <c r="U519" s="373"/>
      <c r="V519" s="8"/>
      <c r="W519" s="8"/>
      <c r="X519" s="8"/>
      <c r="Y519" s="4"/>
      <c r="Z519" s="4"/>
      <c r="AA519" s="4"/>
      <c r="AB519" s="4"/>
      <c r="AC519" s="4"/>
    </row>
    <row r="520" spans="1:29" ht="20.25" customHeight="1">
      <c r="A520" s="373"/>
      <c r="B520" s="4"/>
      <c r="C520" s="4"/>
      <c r="D520" s="4"/>
      <c r="E520" s="374"/>
      <c r="F520" s="373"/>
      <c r="G520" s="373"/>
      <c r="H520" s="374"/>
      <c r="I520" s="373"/>
      <c r="J520" s="8"/>
      <c r="K520" s="8"/>
      <c r="L520" s="374"/>
      <c r="M520" s="373"/>
      <c r="N520" s="8"/>
      <c r="O520" s="8"/>
      <c r="P520" s="374"/>
      <c r="Q520" s="373"/>
      <c r="R520" s="8"/>
      <c r="S520" s="8"/>
      <c r="T520" s="374"/>
      <c r="U520" s="373"/>
      <c r="V520" s="8"/>
      <c r="W520" s="8"/>
      <c r="X520" s="8"/>
      <c r="Y520" s="4"/>
      <c r="Z520" s="4"/>
      <c r="AA520" s="4"/>
      <c r="AB520" s="4"/>
      <c r="AC520" s="4"/>
    </row>
    <row r="521" spans="1:29" ht="20.25" customHeight="1">
      <c r="A521" s="373"/>
      <c r="B521" s="4"/>
      <c r="C521" s="4"/>
      <c r="D521" s="4"/>
      <c r="E521" s="374"/>
      <c r="F521" s="373"/>
      <c r="G521" s="373"/>
      <c r="H521" s="374"/>
      <c r="I521" s="373"/>
      <c r="J521" s="8"/>
      <c r="K521" s="8"/>
      <c r="L521" s="374"/>
      <c r="M521" s="373"/>
      <c r="N521" s="8"/>
      <c r="O521" s="8"/>
      <c r="P521" s="374"/>
      <c r="Q521" s="373"/>
      <c r="R521" s="8"/>
      <c r="S521" s="8"/>
      <c r="T521" s="374"/>
      <c r="U521" s="373"/>
      <c r="V521" s="8"/>
      <c r="W521" s="8"/>
      <c r="X521" s="8"/>
      <c r="Y521" s="4"/>
      <c r="Z521" s="4"/>
      <c r="AA521" s="4"/>
      <c r="AB521" s="4"/>
      <c r="AC521" s="4"/>
    </row>
    <row r="522" spans="1:29" ht="20.25" customHeight="1">
      <c r="A522" s="373"/>
      <c r="B522" s="4"/>
      <c r="C522" s="4"/>
      <c r="D522" s="4"/>
      <c r="E522" s="374"/>
      <c r="F522" s="373"/>
      <c r="G522" s="373"/>
      <c r="H522" s="374"/>
      <c r="I522" s="373"/>
      <c r="J522" s="8"/>
      <c r="K522" s="8"/>
      <c r="L522" s="374"/>
      <c r="M522" s="373"/>
      <c r="N522" s="8"/>
      <c r="O522" s="8"/>
      <c r="P522" s="374"/>
      <c r="Q522" s="373"/>
      <c r="R522" s="8"/>
      <c r="S522" s="8"/>
      <c r="T522" s="374"/>
      <c r="U522" s="373"/>
      <c r="V522" s="8"/>
      <c r="W522" s="8"/>
      <c r="X522" s="8"/>
      <c r="Y522" s="4"/>
      <c r="Z522" s="4"/>
      <c r="AA522" s="4"/>
      <c r="AB522" s="4"/>
      <c r="AC522" s="4"/>
    </row>
    <row r="523" spans="1:29" ht="20.25" customHeight="1">
      <c r="A523" s="373"/>
      <c r="B523" s="4"/>
      <c r="C523" s="4"/>
      <c r="D523" s="4"/>
      <c r="E523" s="374"/>
      <c r="F523" s="373"/>
      <c r="G523" s="373"/>
      <c r="H523" s="374"/>
      <c r="I523" s="373"/>
      <c r="J523" s="8"/>
      <c r="K523" s="8"/>
      <c r="L523" s="374"/>
      <c r="M523" s="373"/>
      <c r="N523" s="8"/>
      <c r="O523" s="8"/>
      <c r="P523" s="374"/>
      <c r="Q523" s="373"/>
      <c r="R523" s="8"/>
      <c r="S523" s="8"/>
      <c r="T523" s="374"/>
      <c r="U523" s="373"/>
      <c r="V523" s="8"/>
      <c r="W523" s="8"/>
      <c r="X523" s="8"/>
      <c r="Y523" s="4"/>
      <c r="Z523" s="4"/>
      <c r="AA523" s="4"/>
      <c r="AB523" s="4"/>
      <c r="AC523" s="4"/>
    </row>
    <row r="524" spans="1:29" ht="20.25" customHeight="1">
      <c r="A524" s="373"/>
      <c r="B524" s="4"/>
      <c r="C524" s="4"/>
      <c r="D524" s="4"/>
      <c r="E524" s="374"/>
      <c r="F524" s="373"/>
      <c r="G524" s="373"/>
      <c r="H524" s="374"/>
      <c r="I524" s="373"/>
      <c r="J524" s="8"/>
      <c r="K524" s="8"/>
      <c r="L524" s="374"/>
      <c r="M524" s="373"/>
      <c r="N524" s="8"/>
      <c r="O524" s="8"/>
      <c r="P524" s="374"/>
      <c r="Q524" s="373"/>
      <c r="R524" s="8"/>
      <c r="S524" s="8"/>
      <c r="T524" s="374"/>
      <c r="U524" s="373"/>
      <c r="V524" s="8"/>
      <c r="W524" s="8"/>
      <c r="X524" s="8"/>
      <c r="Y524" s="4"/>
      <c r="Z524" s="4"/>
      <c r="AA524" s="4"/>
      <c r="AB524" s="4"/>
      <c r="AC524" s="4"/>
    </row>
    <row r="525" spans="1:29" ht="20.25" customHeight="1">
      <c r="A525" s="373"/>
      <c r="B525" s="4"/>
      <c r="C525" s="4"/>
      <c r="D525" s="4"/>
      <c r="E525" s="374"/>
      <c r="F525" s="373"/>
      <c r="G525" s="373"/>
      <c r="H525" s="374"/>
      <c r="I525" s="373"/>
      <c r="J525" s="8"/>
      <c r="K525" s="8"/>
      <c r="L525" s="374"/>
      <c r="M525" s="373"/>
      <c r="N525" s="8"/>
      <c r="O525" s="8"/>
      <c r="P525" s="374"/>
      <c r="Q525" s="373"/>
      <c r="R525" s="8"/>
      <c r="S525" s="8"/>
      <c r="T525" s="374"/>
      <c r="U525" s="373"/>
      <c r="V525" s="8"/>
      <c r="W525" s="8"/>
      <c r="X525" s="8"/>
      <c r="Y525" s="4"/>
      <c r="Z525" s="4"/>
      <c r="AA525" s="4"/>
      <c r="AB525" s="4"/>
      <c r="AC525" s="4"/>
    </row>
    <row r="526" spans="1:29" ht="20.25" customHeight="1">
      <c r="A526" s="373"/>
      <c r="B526" s="4"/>
      <c r="C526" s="4"/>
      <c r="D526" s="4"/>
      <c r="E526" s="374"/>
      <c r="F526" s="373"/>
      <c r="G526" s="373"/>
      <c r="H526" s="374"/>
      <c r="I526" s="373"/>
      <c r="J526" s="8"/>
      <c r="K526" s="8"/>
      <c r="L526" s="374"/>
      <c r="M526" s="373"/>
      <c r="N526" s="8"/>
      <c r="O526" s="8"/>
      <c r="P526" s="374"/>
      <c r="Q526" s="373"/>
      <c r="R526" s="8"/>
      <c r="S526" s="8"/>
      <c r="T526" s="374"/>
      <c r="U526" s="373"/>
      <c r="V526" s="8"/>
      <c r="W526" s="8"/>
      <c r="X526" s="8"/>
      <c r="Y526" s="4"/>
      <c r="Z526" s="4"/>
      <c r="AA526" s="4"/>
      <c r="AB526" s="4"/>
      <c r="AC526" s="4"/>
    </row>
    <row r="527" spans="1:29" ht="20.25" customHeight="1">
      <c r="A527" s="373"/>
      <c r="B527" s="4"/>
      <c r="C527" s="4"/>
      <c r="D527" s="4"/>
      <c r="E527" s="374"/>
      <c r="F527" s="373"/>
      <c r="G527" s="373"/>
      <c r="H527" s="374"/>
      <c r="I527" s="373"/>
      <c r="J527" s="8"/>
      <c r="K527" s="8"/>
      <c r="L527" s="374"/>
      <c r="M527" s="373"/>
      <c r="N527" s="8"/>
      <c r="O527" s="8"/>
      <c r="P527" s="374"/>
      <c r="Q527" s="373"/>
      <c r="R527" s="8"/>
      <c r="S527" s="8"/>
      <c r="T527" s="374"/>
      <c r="U527" s="373"/>
      <c r="V527" s="8"/>
      <c r="W527" s="8"/>
      <c r="X527" s="8"/>
      <c r="Y527" s="4"/>
      <c r="Z527" s="4"/>
      <c r="AA527" s="4"/>
      <c r="AB527" s="4"/>
      <c r="AC527" s="4"/>
    </row>
    <row r="528" spans="1:29" ht="20.25" customHeight="1">
      <c r="A528" s="373"/>
      <c r="B528" s="4"/>
      <c r="C528" s="4"/>
      <c r="D528" s="4"/>
      <c r="E528" s="374"/>
      <c r="F528" s="373"/>
      <c r="G528" s="373"/>
      <c r="H528" s="374"/>
      <c r="I528" s="373"/>
      <c r="J528" s="8"/>
      <c r="K528" s="8"/>
      <c r="L528" s="374"/>
      <c r="M528" s="373"/>
      <c r="N528" s="8"/>
      <c r="O528" s="8"/>
      <c r="P528" s="374"/>
      <c r="Q528" s="373"/>
      <c r="R528" s="8"/>
      <c r="S528" s="8"/>
      <c r="T528" s="374"/>
      <c r="U528" s="373"/>
      <c r="V528" s="8"/>
      <c r="W528" s="8"/>
      <c r="X528" s="8"/>
      <c r="Y528" s="4"/>
      <c r="Z528" s="4"/>
      <c r="AA528" s="4"/>
      <c r="AB528" s="4"/>
      <c r="AC528" s="4"/>
    </row>
    <row r="529" spans="1:29" ht="20.25" customHeight="1">
      <c r="A529" s="373"/>
      <c r="B529" s="4"/>
      <c r="C529" s="4"/>
      <c r="D529" s="4"/>
      <c r="E529" s="374"/>
      <c r="F529" s="373"/>
      <c r="G529" s="373"/>
      <c r="H529" s="374"/>
      <c r="I529" s="373"/>
      <c r="J529" s="8"/>
      <c r="K529" s="8"/>
      <c r="L529" s="374"/>
      <c r="M529" s="373"/>
      <c r="N529" s="8"/>
      <c r="O529" s="8"/>
      <c r="P529" s="374"/>
      <c r="Q529" s="373"/>
      <c r="R529" s="8"/>
      <c r="S529" s="8"/>
      <c r="T529" s="374"/>
      <c r="U529" s="373"/>
      <c r="V529" s="8"/>
      <c r="W529" s="8"/>
      <c r="X529" s="8"/>
      <c r="Y529" s="4"/>
      <c r="Z529" s="4"/>
      <c r="AA529" s="4"/>
      <c r="AB529" s="4"/>
      <c r="AC529" s="4"/>
    </row>
    <row r="530" spans="1:29" ht="20.25" customHeight="1">
      <c r="A530" s="373"/>
      <c r="B530" s="4"/>
      <c r="C530" s="4"/>
      <c r="D530" s="4"/>
      <c r="E530" s="374"/>
      <c r="F530" s="373"/>
      <c r="G530" s="373"/>
      <c r="H530" s="374"/>
      <c r="I530" s="373"/>
      <c r="J530" s="8"/>
      <c r="K530" s="8"/>
      <c r="L530" s="374"/>
      <c r="M530" s="373"/>
      <c r="N530" s="8"/>
      <c r="O530" s="8"/>
      <c r="P530" s="374"/>
      <c r="Q530" s="373"/>
      <c r="R530" s="8"/>
      <c r="S530" s="8"/>
      <c r="T530" s="374"/>
      <c r="U530" s="373"/>
      <c r="V530" s="8"/>
      <c r="W530" s="8"/>
      <c r="X530" s="8"/>
      <c r="Y530" s="4"/>
      <c r="Z530" s="4"/>
      <c r="AA530" s="4"/>
      <c r="AB530" s="4"/>
      <c r="AC530" s="4"/>
    </row>
    <row r="531" spans="1:29" ht="20.25" customHeight="1">
      <c r="A531" s="373"/>
      <c r="B531" s="4"/>
      <c r="C531" s="4"/>
      <c r="D531" s="4"/>
      <c r="E531" s="374"/>
      <c r="F531" s="373"/>
      <c r="G531" s="373"/>
      <c r="H531" s="374"/>
      <c r="I531" s="373"/>
      <c r="J531" s="8"/>
      <c r="K531" s="8"/>
      <c r="L531" s="374"/>
      <c r="M531" s="373"/>
      <c r="N531" s="8"/>
      <c r="O531" s="8"/>
      <c r="P531" s="374"/>
      <c r="Q531" s="373"/>
      <c r="R531" s="8"/>
      <c r="S531" s="8"/>
      <c r="T531" s="374"/>
      <c r="U531" s="373"/>
      <c r="V531" s="8"/>
      <c r="W531" s="8"/>
      <c r="X531" s="8"/>
      <c r="Y531" s="4"/>
      <c r="Z531" s="4"/>
      <c r="AA531" s="4"/>
      <c r="AB531" s="4"/>
      <c r="AC531" s="4"/>
    </row>
    <row r="532" spans="1:29" ht="20.25" customHeight="1">
      <c r="A532" s="373"/>
      <c r="B532" s="4"/>
      <c r="C532" s="4"/>
      <c r="D532" s="4"/>
      <c r="E532" s="374"/>
      <c r="F532" s="373"/>
      <c r="G532" s="373"/>
      <c r="H532" s="374"/>
      <c r="I532" s="373"/>
      <c r="J532" s="8"/>
      <c r="K532" s="8"/>
      <c r="L532" s="374"/>
      <c r="M532" s="373"/>
      <c r="N532" s="8"/>
      <c r="O532" s="8"/>
      <c r="P532" s="374"/>
      <c r="Q532" s="373"/>
      <c r="R532" s="8"/>
      <c r="S532" s="8"/>
      <c r="T532" s="374"/>
      <c r="U532" s="373"/>
      <c r="V532" s="8"/>
      <c r="W532" s="8"/>
      <c r="X532" s="8"/>
      <c r="Y532" s="4"/>
      <c r="Z532" s="4"/>
      <c r="AA532" s="4"/>
      <c r="AB532" s="4"/>
      <c r="AC532" s="4"/>
    </row>
    <row r="533" spans="1:29" ht="20.25" customHeight="1">
      <c r="A533" s="373"/>
      <c r="B533" s="4"/>
      <c r="C533" s="4"/>
      <c r="D533" s="4"/>
      <c r="E533" s="374"/>
      <c r="F533" s="373"/>
      <c r="G533" s="373"/>
      <c r="H533" s="374"/>
      <c r="I533" s="373"/>
      <c r="J533" s="8"/>
      <c r="K533" s="8"/>
      <c r="L533" s="374"/>
      <c r="M533" s="373"/>
      <c r="N533" s="8"/>
      <c r="O533" s="8"/>
      <c r="P533" s="374"/>
      <c r="Q533" s="373"/>
      <c r="R533" s="8"/>
      <c r="S533" s="8"/>
      <c r="T533" s="374"/>
      <c r="U533" s="373"/>
      <c r="V533" s="8"/>
      <c r="W533" s="8"/>
      <c r="X533" s="8"/>
      <c r="Y533" s="4"/>
      <c r="Z533" s="4"/>
      <c r="AA533" s="4"/>
      <c r="AB533" s="4"/>
      <c r="AC533" s="4"/>
    </row>
    <row r="534" spans="1:29" ht="20.25" customHeight="1">
      <c r="A534" s="373"/>
      <c r="B534" s="4"/>
      <c r="C534" s="4"/>
      <c r="D534" s="4"/>
      <c r="E534" s="374"/>
      <c r="F534" s="373"/>
      <c r="G534" s="373"/>
      <c r="H534" s="374"/>
      <c r="I534" s="373"/>
      <c r="J534" s="8"/>
      <c r="K534" s="8"/>
      <c r="L534" s="374"/>
      <c r="M534" s="373"/>
      <c r="N534" s="8"/>
      <c r="O534" s="8"/>
      <c r="P534" s="374"/>
      <c r="Q534" s="373"/>
      <c r="R534" s="8"/>
      <c r="S534" s="8"/>
      <c r="T534" s="374"/>
      <c r="U534" s="373"/>
      <c r="V534" s="8"/>
      <c r="W534" s="8"/>
      <c r="X534" s="8"/>
      <c r="Y534" s="4"/>
      <c r="Z534" s="4"/>
      <c r="AA534" s="4"/>
      <c r="AB534" s="4"/>
      <c r="AC534" s="4"/>
    </row>
    <row r="535" spans="1:29" ht="20.25" customHeight="1">
      <c r="A535" s="373"/>
      <c r="B535" s="4"/>
      <c r="C535" s="4"/>
      <c r="D535" s="4"/>
      <c r="E535" s="374"/>
      <c r="F535" s="373"/>
      <c r="G535" s="373"/>
      <c r="H535" s="374"/>
      <c r="I535" s="373"/>
      <c r="J535" s="8"/>
      <c r="K535" s="8"/>
      <c r="L535" s="374"/>
      <c r="M535" s="373"/>
      <c r="N535" s="8"/>
      <c r="O535" s="8"/>
      <c r="P535" s="374"/>
      <c r="Q535" s="373"/>
      <c r="R535" s="8"/>
      <c r="S535" s="8"/>
      <c r="T535" s="374"/>
      <c r="U535" s="373"/>
      <c r="V535" s="8"/>
      <c r="W535" s="8"/>
      <c r="X535" s="8"/>
      <c r="Y535" s="4"/>
      <c r="Z535" s="4"/>
      <c r="AA535" s="4"/>
      <c r="AB535" s="4"/>
      <c r="AC535" s="4"/>
    </row>
    <row r="536" spans="1:29" ht="20.25" customHeight="1">
      <c r="A536" s="373"/>
      <c r="B536" s="4"/>
      <c r="C536" s="4"/>
      <c r="D536" s="4"/>
      <c r="E536" s="374"/>
      <c r="F536" s="373"/>
      <c r="G536" s="373"/>
      <c r="H536" s="374"/>
      <c r="I536" s="373"/>
      <c r="J536" s="8"/>
      <c r="K536" s="8"/>
      <c r="L536" s="374"/>
      <c r="M536" s="373"/>
      <c r="N536" s="8"/>
      <c r="O536" s="8"/>
      <c r="P536" s="374"/>
      <c r="Q536" s="373"/>
      <c r="R536" s="8"/>
      <c r="S536" s="8"/>
      <c r="T536" s="374"/>
      <c r="U536" s="373"/>
      <c r="V536" s="8"/>
      <c r="W536" s="8"/>
      <c r="X536" s="8"/>
      <c r="Y536" s="4"/>
      <c r="Z536" s="4"/>
      <c r="AA536" s="4"/>
      <c r="AB536" s="4"/>
      <c r="AC536" s="4"/>
    </row>
    <row r="537" spans="1:29" ht="20.25" customHeight="1">
      <c r="A537" s="373"/>
      <c r="B537" s="4"/>
      <c r="C537" s="4"/>
      <c r="D537" s="4"/>
      <c r="E537" s="374"/>
      <c r="F537" s="373"/>
      <c r="G537" s="373"/>
      <c r="H537" s="374"/>
      <c r="I537" s="373"/>
      <c r="J537" s="8"/>
      <c r="K537" s="8"/>
      <c r="L537" s="374"/>
      <c r="M537" s="373"/>
      <c r="N537" s="8"/>
      <c r="O537" s="8"/>
      <c r="P537" s="374"/>
      <c r="Q537" s="373"/>
      <c r="R537" s="8"/>
      <c r="S537" s="8"/>
      <c r="T537" s="374"/>
      <c r="U537" s="373"/>
      <c r="V537" s="8"/>
      <c r="W537" s="8"/>
      <c r="X537" s="8"/>
      <c r="Y537" s="4"/>
      <c r="Z537" s="4"/>
      <c r="AA537" s="4"/>
      <c r="AB537" s="4"/>
      <c r="AC537" s="4"/>
    </row>
    <row r="538" spans="1:29" ht="20.25" customHeight="1">
      <c r="A538" s="373"/>
      <c r="B538" s="4"/>
      <c r="C538" s="4"/>
      <c r="D538" s="4"/>
      <c r="E538" s="374"/>
      <c r="F538" s="373"/>
      <c r="G538" s="373"/>
      <c r="H538" s="374"/>
      <c r="I538" s="373"/>
      <c r="J538" s="8"/>
      <c r="K538" s="8"/>
      <c r="L538" s="374"/>
      <c r="M538" s="373"/>
      <c r="N538" s="8"/>
      <c r="O538" s="8"/>
      <c r="P538" s="374"/>
      <c r="Q538" s="373"/>
      <c r="R538" s="8"/>
      <c r="S538" s="8"/>
      <c r="T538" s="374"/>
      <c r="U538" s="373"/>
      <c r="V538" s="8"/>
      <c r="W538" s="8"/>
      <c r="X538" s="8"/>
      <c r="Y538" s="4"/>
      <c r="Z538" s="4"/>
      <c r="AA538" s="4"/>
      <c r="AB538" s="4"/>
      <c r="AC538" s="4"/>
    </row>
    <row r="539" spans="1:29" ht="20.25" customHeight="1">
      <c r="A539" s="373"/>
      <c r="B539" s="4"/>
      <c r="C539" s="4"/>
      <c r="D539" s="4"/>
      <c r="E539" s="374"/>
      <c r="F539" s="373"/>
      <c r="G539" s="373"/>
      <c r="H539" s="374"/>
      <c r="I539" s="373"/>
      <c r="J539" s="8"/>
      <c r="K539" s="8"/>
      <c r="L539" s="374"/>
      <c r="M539" s="373"/>
      <c r="N539" s="8"/>
      <c r="O539" s="8"/>
      <c r="P539" s="374"/>
      <c r="Q539" s="373"/>
      <c r="R539" s="8"/>
      <c r="S539" s="8"/>
      <c r="T539" s="374"/>
      <c r="U539" s="373"/>
      <c r="V539" s="8"/>
      <c r="W539" s="8"/>
      <c r="X539" s="8"/>
      <c r="Y539" s="4"/>
      <c r="Z539" s="4"/>
      <c r="AA539" s="4"/>
      <c r="AB539" s="4"/>
      <c r="AC539" s="4"/>
    </row>
    <row r="540" spans="1:29" ht="20.25" customHeight="1">
      <c r="A540" s="373"/>
      <c r="B540" s="4"/>
      <c r="C540" s="4"/>
      <c r="D540" s="4"/>
      <c r="E540" s="374"/>
      <c r="F540" s="373"/>
      <c r="G540" s="373"/>
      <c r="H540" s="374"/>
      <c r="I540" s="373"/>
      <c r="J540" s="8"/>
      <c r="K540" s="8"/>
      <c r="L540" s="374"/>
      <c r="M540" s="373"/>
      <c r="N540" s="8"/>
      <c r="O540" s="8"/>
      <c r="P540" s="374"/>
      <c r="Q540" s="373"/>
      <c r="R540" s="8"/>
      <c r="S540" s="8"/>
      <c r="T540" s="374"/>
      <c r="U540" s="373"/>
      <c r="V540" s="8"/>
      <c r="W540" s="8"/>
      <c r="X540" s="8"/>
      <c r="Y540" s="4"/>
      <c r="Z540" s="4"/>
      <c r="AA540" s="4"/>
      <c r="AB540" s="4"/>
      <c r="AC540" s="4"/>
    </row>
    <row r="541" spans="1:29" ht="20.25" customHeight="1">
      <c r="A541" s="373"/>
      <c r="B541" s="4"/>
      <c r="C541" s="4"/>
      <c r="D541" s="4"/>
      <c r="E541" s="374"/>
      <c r="F541" s="373"/>
      <c r="G541" s="373"/>
      <c r="H541" s="374"/>
      <c r="I541" s="373"/>
      <c r="J541" s="8"/>
      <c r="K541" s="8"/>
      <c r="L541" s="374"/>
      <c r="M541" s="373"/>
      <c r="N541" s="8"/>
      <c r="O541" s="8"/>
      <c r="P541" s="374"/>
      <c r="Q541" s="373"/>
      <c r="R541" s="8"/>
      <c r="S541" s="8"/>
      <c r="T541" s="374"/>
      <c r="U541" s="373"/>
      <c r="V541" s="8"/>
      <c r="W541" s="8"/>
      <c r="X541" s="8"/>
      <c r="Y541" s="4"/>
      <c r="Z541" s="4"/>
      <c r="AA541" s="4"/>
      <c r="AB541" s="4"/>
      <c r="AC541" s="4"/>
    </row>
    <row r="542" spans="1:29" ht="20.25" customHeight="1">
      <c r="A542" s="373"/>
      <c r="B542" s="4"/>
      <c r="C542" s="4"/>
      <c r="D542" s="4"/>
      <c r="E542" s="374"/>
      <c r="F542" s="373"/>
      <c r="G542" s="373"/>
      <c r="H542" s="374"/>
      <c r="I542" s="373"/>
      <c r="J542" s="8"/>
      <c r="K542" s="8"/>
      <c r="L542" s="374"/>
      <c r="M542" s="373"/>
      <c r="N542" s="8"/>
      <c r="O542" s="8"/>
      <c r="P542" s="374"/>
      <c r="Q542" s="373"/>
      <c r="R542" s="8"/>
      <c r="S542" s="8"/>
      <c r="T542" s="374"/>
      <c r="U542" s="373"/>
      <c r="V542" s="8"/>
      <c r="W542" s="8"/>
      <c r="X542" s="8"/>
      <c r="Y542" s="4"/>
      <c r="Z542" s="4"/>
      <c r="AA542" s="4"/>
      <c r="AB542" s="4"/>
      <c r="AC542" s="4"/>
    </row>
    <row r="543" spans="1:29" ht="20.25" customHeight="1">
      <c r="A543" s="373"/>
      <c r="B543" s="4"/>
      <c r="C543" s="4"/>
      <c r="D543" s="4"/>
      <c r="E543" s="374"/>
      <c r="F543" s="373"/>
      <c r="G543" s="373"/>
      <c r="H543" s="374"/>
      <c r="I543" s="373"/>
      <c r="J543" s="8"/>
      <c r="K543" s="8"/>
      <c r="L543" s="374"/>
      <c r="M543" s="373"/>
      <c r="N543" s="8"/>
      <c r="O543" s="8"/>
      <c r="P543" s="374"/>
      <c r="Q543" s="373"/>
      <c r="R543" s="8"/>
      <c r="S543" s="8"/>
      <c r="T543" s="374"/>
      <c r="U543" s="373"/>
      <c r="V543" s="8"/>
      <c r="W543" s="8"/>
      <c r="X543" s="8"/>
      <c r="Y543" s="4"/>
      <c r="Z543" s="4"/>
      <c r="AA543" s="4"/>
      <c r="AB543" s="4"/>
      <c r="AC543" s="4"/>
    </row>
    <row r="544" spans="1:29" ht="20.25" customHeight="1">
      <c r="A544" s="373"/>
      <c r="B544" s="4"/>
      <c r="C544" s="4"/>
      <c r="D544" s="4"/>
      <c r="E544" s="374"/>
      <c r="F544" s="373"/>
      <c r="G544" s="373"/>
      <c r="H544" s="374"/>
      <c r="I544" s="373"/>
      <c r="J544" s="8"/>
      <c r="K544" s="8"/>
      <c r="L544" s="374"/>
      <c r="M544" s="373"/>
      <c r="N544" s="8"/>
      <c r="O544" s="8"/>
      <c r="P544" s="374"/>
      <c r="Q544" s="373"/>
      <c r="R544" s="8"/>
      <c r="S544" s="8"/>
      <c r="T544" s="374"/>
      <c r="U544" s="373"/>
      <c r="V544" s="8"/>
      <c r="W544" s="8"/>
      <c r="X544" s="8"/>
      <c r="Y544" s="4"/>
      <c r="Z544" s="4"/>
      <c r="AA544" s="4"/>
      <c r="AB544" s="4"/>
      <c r="AC544" s="4"/>
    </row>
    <row r="545" spans="1:29" ht="20.25" customHeight="1">
      <c r="A545" s="373"/>
      <c r="B545" s="4"/>
      <c r="C545" s="4"/>
      <c r="D545" s="4"/>
      <c r="E545" s="374"/>
      <c r="F545" s="373"/>
      <c r="G545" s="373"/>
      <c r="H545" s="374"/>
      <c r="I545" s="373"/>
      <c r="J545" s="8"/>
      <c r="K545" s="8"/>
      <c r="L545" s="374"/>
      <c r="M545" s="373"/>
      <c r="N545" s="8"/>
      <c r="O545" s="8"/>
      <c r="P545" s="374"/>
      <c r="Q545" s="373"/>
      <c r="R545" s="8"/>
      <c r="S545" s="8"/>
      <c r="T545" s="374"/>
      <c r="U545" s="373"/>
      <c r="V545" s="8"/>
      <c r="W545" s="8"/>
      <c r="X545" s="8"/>
      <c r="Y545" s="4"/>
      <c r="Z545" s="4"/>
      <c r="AA545" s="4"/>
      <c r="AB545" s="4"/>
      <c r="AC545" s="4"/>
    </row>
    <row r="546" spans="1:29" ht="20.25" customHeight="1">
      <c r="A546" s="373"/>
      <c r="B546" s="4"/>
      <c r="C546" s="4"/>
      <c r="D546" s="4"/>
      <c r="E546" s="374"/>
      <c r="F546" s="373"/>
      <c r="G546" s="373"/>
      <c r="H546" s="374"/>
      <c r="I546" s="373"/>
      <c r="J546" s="8"/>
      <c r="K546" s="8"/>
      <c r="L546" s="374"/>
      <c r="M546" s="373"/>
      <c r="N546" s="8"/>
      <c r="O546" s="8"/>
      <c r="P546" s="374"/>
      <c r="Q546" s="373"/>
      <c r="R546" s="8"/>
      <c r="S546" s="8"/>
      <c r="T546" s="374"/>
      <c r="U546" s="373"/>
      <c r="V546" s="8"/>
      <c r="W546" s="8"/>
      <c r="X546" s="8"/>
      <c r="Y546" s="4"/>
      <c r="Z546" s="4"/>
      <c r="AA546" s="4"/>
      <c r="AB546" s="4"/>
      <c r="AC546" s="4"/>
    </row>
    <row r="547" spans="1:29" ht="20.25" customHeight="1">
      <c r="A547" s="373"/>
      <c r="B547" s="4"/>
      <c r="C547" s="4"/>
      <c r="D547" s="4"/>
      <c r="E547" s="374"/>
      <c r="F547" s="373"/>
      <c r="G547" s="373"/>
      <c r="H547" s="374"/>
      <c r="I547" s="373"/>
      <c r="J547" s="8"/>
      <c r="K547" s="8"/>
      <c r="L547" s="374"/>
      <c r="M547" s="373"/>
      <c r="N547" s="8"/>
      <c r="O547" s="8"/>
      <c r="P547" s="374"/>
      <c r="Q547" s="373"/>
      <c r="R547" s="8"/>
      <c r="S547" s="8"/>
      <c r="T547" s="374"/>
      <c r="U547" s="373"/>
      <c r="V547" s="8"/>
      <c r="W547" s="8"/>
      <c r="X547" s="8"/>
      <c r="Y547" s="4"/>
      <c r="Z547" s="4"/>
      <c r="AA547" s="4"/>
      <c r="AB547" s="4"/>
      <c r="AC547" s="4"/>
    </row>
    <row r="548" spans="1:29" ht="20.25" customHeight="1">
      <c r="A548" s="373"/>
      <c r="B548" s="4"/>
      <c r="C548" s="4"/>
      <c r="D548" s="4"/>
      <c r="E548" s="374"/>
      <c r="F548" s="373"/>
      <c r="G548" s="373"/>
      <c r="H548" s="374"/>
      <c r="I548" s="373"/>
      <c r="J548" s="8"/>
      <c r="K548" s="8"/>
      <c r="L548" s="374"/>
      <c r="M548" s="373"/>
      <c r="N548" s="8"/>
      <c r="O548" s="8"/>
      <c r="P548" s="374"/>
      <c r="Q548" s="373"/>
      <c r="R548" s="8"/>
      <c r="S548" s="8"/>
      <c r="T548" s="374"/>
      <c r="U548" s="373"/>
      <c r="V548" s="8"/>
      <c r="W548" s="8"/>
      <c r="X548" s="8"/>
      <c r="Y548" s="4"/>
      <c r="Z548" s="4"/>
      <c r="AA548" s="4"/>
      <c r="AB548" s="4"/>
      <c r="AC548" s="4"/>
    </row>
    <row r="549" spans="1:29" ht="20.25" customHeight="1">
      <c r="A549" s="373"/>
      <c r="B549" s="4"/>
      <c r="C549" s="4"/>
      <c r="D549" s="4"/>
      <c r="E549" s="374"/>
      <c r="F549" s="373"/>
      <c r="G549" s="373"/>
      <c r="H549" s="374"/>
      <c r="I549" s="373"/>
      <c r="J549" s="8"/>
      <c r="K549" s="8"/>
      <c r="L549" s="374"/>
      <c r="M549" s="373"/>
      <c r="N549" s="8"/>
      <c r="O549" s="8"/>
      <c r="P549" s="374"/>
      <c r="Q549" s="373"/>
      <c r="R549" s="8"/>
      <c r="S549" s="8"/>
      <c r="T549" s="374"/>
      <c r="U549" s="373"/>
      <c r="V549" s="8"/>
      <c r="W549" s="8"/>
      <c r="X549" s="8"/>
      <c r="Y549" s="4"/>
      <c r="Z549" s="4"/>
      <c r="AA549" s="4"/>
      <c r="AB549" s="4"/>
      <c r="AC549" s="4"/>
    </row>
    <row r="550" spans="1:29" ht="20.25" customHeight="1">
      <c r="A550" s="373"/>
      <c r="B550" s="4"/>
      <c r="C550" s="4"/>
      <c r="D550" s="4"/>
      <c r="E550" s="374"/>
      <c r="F550" s="373"/>
      <c r="G550" s="373"/>
      <c r="H550" s="374"/>
      <c r="I550" s="373"/>
      <c r="J550" s="8"/>
      <c r="K550" s="8"/>
      <c r="L550" s="374"/>
      <c r="M550" s="373"/>
      <c r="N550" s="8"/>
      <c r="O550" s="8"/>
      <c r="P550" s="374"/>
      <c r="Q550" s="373"/>
      <c r="R550" s="8"/>
      <c r="S550" s="8"/>
      <c r="T550" s="374"/>
      <c r="U550" s="373"/>
      <c r="V550" s="8"/>
      <c r="W550" s="8"/>
      <c r="X550" s="8"/>
      <c r="Y550" s="4"/>
      <c r="Z550" s="4"/>
      <c r="AA550" s="4"/>
      <c r="AB550" s="4"/>
      <c r="AC550" s="4"/>
    </row>
    <row r="551" spans="1:29" ht="20.25" customHeight="1">
      <c r="A551" s="373"/>
      <c r="B551" s="4"/>
      <c r="C551" s="4"/>
      <c r="D551" s="4"/>
      <c r="E551" s="374"/>
      <c r="F551" s="373"/>
      <c r="G551" s="373"/>
      <c r="H551" s="374"/>
      <c r="I551" s="373"/>
      <c r="J551" s="8"/>
      <c r="K551" s="8"/>
      <c r="L551" s="374"/>
      <c r="M551" s="373"/>
      <c r="N551" s="8"/>
      <c r="O551" s="8"/>
      <c r="P551" s="374"/>
      <c r="Q551" s="373"/>
      <c r="R551" s="8"/>
      <c r="S551" s="8"/>
      <c r="T551" s="374"/>
      <c r="U551" s="373"/>
      <c r="V551" s="8"/>
      <c r="W551" s="8"/>
      <c r="X551" s="8"/>
      <c r="Y551" s="4"/>
      <c r="Z551" s="4"/>
      <c r="AA551" s="4"/>
      <c r="AB551" s="4"/>
      <c r="AC551" s="4"/>
    </row>
    <row r="552" spans="1:29" ht="20.25" customHeight="1">
      <c r="A552" s="373"/>
      <c r="B552" s="4"/>
      <c r="C552" s="4"/>
      <c r="D552" s="4"/>
      <c r="E552" s="374"/>
      <c r="F552" s="373"/>
      <c r="G552" s="373"/>
      <c r="H552" s="374"/>
      <c r="I552" s="373"/>
      <c r="J552" s="8"/>
      <c r="K552" s="8"/>
      <c r="L552" s="374"/>
      <c r="M552" s="373"/>
      <c r="N552" s="8"/>
      <c r="O552" s="8"/>
      <c r="P552" s="374"/>
      <c r="Q552" s="373"/>
      <c r="R552" s="8"/>
      <c r="S552" s="8"/>
      <c r="T552" s="374"/>
      <c r="U552" s="373"/>
      <c r="V552" s="8"/>
      <c r="W552" s="8"/>
      <c r="X552" s="8"/>
      <c r="Y552" s="4"/>
      <c r="Z552" s="4"/>
      <c r="AA552" s="4"/>
      <c r="AB552" s="4"/>
      <c r="AC552" s="4"/>
    </row>
    <row r="553" spans="1:29" ht="20.25" customHeight="1">
      <c r="A553" s="373"/>
      <c r="B553" s="4"/>
      <c r="C553" s="4"/>
      <c r="D553" s="4"/>
      <c r="E553" s="374"/>
      <c r="F553" s="373"/>
      <c r="G553" s="373"/>
      <c r="H553" s="374"/>
      <c r="I553" s="373"/>
      <c r="J553" s="8"/>
      <c r="K553" s="8"/>
      <c r="L553" s="374"/>
      <c r="M553" s="373"/>
      <c r="N553" s="8"/>
      <c r="O553" s="8"/>
      <c r="P553" s="374"/>
      <c r="Q553" s="373"/>
      <c r="R553" s="8"/>
      <c r="S553" s="8"/>
      <c r="T553" s="374"/>
      <c r="U553" s="373"/>
      <c r="V553" s="8"/>
      <c r="W553" s="8"/>
      <c r="X553" s="8"/>
      <c r="Y553" s="4"/>
      <c r="Z553" s="4"/>
      <c r="AA553" s="4"/>
      <c r="AB553" s="4"/>
      <c r="AC553" s="4"/>
    </row>
    <row r="554" spans="1:29" ht="20.25" customHeight="1">
      <c r="A554" s="373"/>
      <c r="B554" s="4"/>
      <c r="C554" s="4"/>
      <c r="D554" s="4"/>
      <c r="E554" s="374"/>
      <c r="F554" s="373"/>
      <c r="G554" s="373"/>
      <c r="H554" s="374"/>
      <c r="I554" s="373"/>
      <c r="J554" s="8"/>
      <c r="K554" s="8"/>
      <c r="L554" s="374"/>
      <c r="M554" s="373"/>
      <c r="N554" s="8"/>
      <c r="O554" s="8"/>
      <c r="P554" s="374"/>
      <c r="Q554" s="373"/>
      <c r="R554" s="8"/>
      <c r="S554" s="8"/>
      <c r="T554" s="374"/>
      <c r="U554" s="373"/>
      <c r="V554" s="8"/>
      <c r="W554" s="8"/>
      <c r="X554" s="8"/>
      <c r="Y554" s="4"/>
      <c r="Z554" s="4"/>
      <c r="AA554" s="4"/>
      <c r="AB554" s="4"/>
      <c r="AC554" s="4"/>
    </row>
    <row r="555" spans="1:29" ht="20.25" customHeight="1">
      <c r="A555" s="373"/>
      <c r="B555" s="4"/>
      <c r="C555" s="4"/>
      <c r="D555" s="4"/>
      <c r="E555" s="374"/>
      <c r="F555" s="373"/>
      <c r="G555" s="373"/>
      <c r="H555" s="374"/>
      <c r="I555" s="373"/>
      <c r="J555" s="8"/>
      <c r="K555" s="8"/>
      <c r="L555" s="374"/>
      <c r="M555" s="373"/>
      <c r="N555" s="8"/>
      <c r="O555" s="8"/>
      <c r="P555" s="374"/>
      <c r="Q555" s="373"/>
      <c r="R555" s="8"/>
      <c r="S555" s="8"/>
      <c r="T555" s="374"/>
      <c r="U555" s="373"/>
      <c r="V555" s="8"/>
      <c r="W555" s="8"/>
      <c r="X555" s="8"/>
      <c r="Y555" s="4"/>
      <c r="Z555" s="4"/>
      <c r="AA555" s="4"/>
      <c r="AB555" s="4"/>
      <c r="AC555" s="4"/>
    </row>
    <row r="556" spans="1:29" ht="20.25" customHeight="1">
      <c r="A556" s="373"/>
      <c r="B556" s="4"/>
      <c r="C556" s="4"/>
      <c r="D556" s="4"/>
      <c r="E556" s="374"/>
      <c r="F556" s="373"/>
      <c r="G556" s="373"/>
      <c r="H556" s="374"/>
      <c r="I556" s="373"/>
      <c r="J556" s="8"/>
      <c r="K556" s="8"/>
      <c r="L556" s="374"/>
      <c r="M556" s="373"/>
      <c r="N556" s="8"/>
      <c r="O556" s="8"/>
      <c r="P556" s="374"/>
      <c r="Q556" s="373"/>
      <c r="R556" s="8"/>
      <c r="S556" s="8"/>
      <c r="T556" s="374"/>
      <c r="U556" s="373"/>
      <c r="V556" s="8"/>
      <c r="W556" s="8"/>
      <c r="X556" s="8"/>
      <c r="Y556" s="4"/>
      <c r="Z556" s="4"/>
      <c r="AA556" s="4"/>
      <c r="AB556" s="4"/>
      <c r="AC556" s="4"/>
    </row>
    <row r="557" spans="1:29" ht="20.25" customHeight="1">
      <c r="A557" s="373"/>
      <c r="B557" s="4"/>
      <c r="C557" s="4"/>
      <c r="D557" s="4"/>
      <c r="E557" s="374"/>
      <c r="F557" s="373"/>
      <c r="G557" s="373"/>
      <c r="H557" s="374"/>
      <c r="I557" s="373"/>
      <c r="J557" s="8"/>
      <c r="K557" s="8"/>
      <c r="L557" s="374"/>
      <c r="M557" s="373"/>
      <c r="N557" s="8"/>
      <c r="O557" s="8"/>
      <c r="P557" s="374"/>
      <c r="Q557" s="373"/>
      <c r="R557" s="8"/>
      <c r="S557" s="8"/>
      <c r="T557" s="374"/>
      <c r="U557" s="373"/>
      <c r="V557" s="8"/>
      <c r="W557" s="8"/>
      <c r="X557" s="8"/>
      <c r="Y557" s="4"/>
      <c r="Z557" s="4"/>
      <c r="AA557" s="4"/>
      <c r="AB557" s="4"/>
      <c r="AC557" s="4"/>
    </row>
    <row r="558" spans="1:29" ht="20.25" customHeight="1">
      <c r="A558" s="373"/>
      <c r="B558" s="4"/>
      <c r="C558" s="4"/>
      <c r="D558" s="4"/>
      <c r="E558" s="374"/>
      <c r="F558" s="373"/>
      <c r="G558" s="373"/>
      <c r="H558" s="374"/>
      <c r="I558" s="373"/>
      <c r="J558" s="8"/>
      <c r="K558" s="8"/>
      <c r="L558" s="374"/>
      <c r="M558" s="373"/>
      <c r="N558" s="8"/>
      <c r="O558" s="8"/>
      <c r="P558" s="374"/>
      <c r="Q558" s="373"/>
      <c r="R558" s="8"/>
      <c r="S558" s="8"/>
      <c r="T558" s="374"/>
      <c r="U558" s="373"/>
      <c r="V558" s="8"/>
      <c r="W558" s="8"/>
      <c r="X558" s="8"/>
      <c r="Y558" s="4"/>
      <c r="Z558" s="4"/>
      <c r="AA558" s="4"/>
      <c r="AB558" s="4"/>
      <c r="AC558" s="4"/>
    </row>
    <row r="559" spans="1:29" ht="20.25" customHeight="1">
      <c r="A559" s="373"/>
      <c r="B559" s="4"/>
      <c r="C559" s="4"/>
      <c r="D559" s="4"/>
      <c r="E559" s="374"/>
      <c r="F559" s="373"/>
      <c r="G559" s="373"/>
      <c r="H559" s="374"/>
      <c r="I559" s="373"/>
      <c r="J559" s="8"/>
      <c r="K559" s="8"/>
      <c r="L559" s="374"/>
      <c r="M559" s="373"/>
      <c r="N559" s="8"/>
      <c r="O559" s="8"/>
      <c r="P559" s="374"/>
      <c r="Q559" s="373"/>
      <c r="R559" s="8"/>
      <c r="S559" s="8"/>
      <c r="T559" s="374"/>
      <c r="U559" s="373"/>
      <c r="V559" s="8"/>
      <c r="W559" s="8"/>
      <c r="X559" s="8"/>
      <c r="Y559" s="4"/>
      <c r="Z559" s="4"/>
      <c r="AA559" s="4"/>
      <c r="AB559" s="4"/>
      <c r="AC559" s="4"/>
    </row>
    <row r="560" spans="1:29" ht="20.25" customHeight="1">
      <c r="A560" s="373"/>
      <c r="B560" s="4"/>
      <c r="C560" s="4"/>
      <c r="D560" s="4"/>
      <c r="E560" s="374"/>
      <c r="F560" s="373"/>
      <c r="G560" s="373"/>
      <c r="H560" s="374"/>
      <c r="I560" s="373"/>
      <c r="J560" s="8"/>
      <c r="K560" s="8"/>
      <c r="L560" s="374"/>
      <c r="M560" s="373"/>
      <c r="N560" s="8"/>
      <c r="O560" s="8"/>
      <c r="P560" s="374"/>
      <c r="Q560" s="373"/>
      <c r="R560" s="8"/>
      <c r="S560" s="8"/>
      <c r="T560" s="374"/>
      <c r="U560" s="373"/>
      <c r="V560" s="8"/>
      <c r="W560" s="8"/>
      <c r="X560" s="8"/>
      <c r="Y560" s="4"/>
      <c r="Z560" s="4"/>
      <c r="AA560" s="4"/>
      <c r="AB560" s="4"/>
      <c r="AC560" s="4"/>
    </row>
    <row r="561" spans="1:29" ht="20.25" customHeight="1">
      <c r="A561" s="373"/>
      <c r="B561" s="4"/>
      <c r="C561" s="4"/>
      <c r="D561" s="4"/>
      <c r="E561" s="374"/>
      <c r="F561" s="373"/>
      <c r="G561" s="373"/>
      <c r="H561" s="374"/>
      <c r="I561" s="373"/>
      <c r="J561" s="8"/>
      <c r="K561" s="8"/>
      <c r="L561" s="374"/>
      <c r="M561" s="373"/>
      <c r="N561" s="8"/>
      <c r="O561" s="8"/>
      <c r="P561" s="374"/>
      <c r="Q561" s="373"/>
      <c r="R561" s="8"/>
      <c r="S561" s="8"/>
      <c r="T561" s="374"/>
      <c r="U561" s="373"/>
      <c r="V561" s="8"/>
      <c r="W561" s="8"/>
      <c r="X561" s="8"/>
      <c r="Y561" s="4"/>
      <c r="Z561" s="4"/>
      <c r="AA561" s="4"/>
      <c r="AB561" s="4"/>
      <c r="AC561" s="4"/>
    </row>
    <row r="562" spans="1:29" ht="20.25" customHeight="1">
      <c r="A562" s="373"/>
      <c r="B562" s="4"/>
      <c r="C562" s="4"/>
      <c r="D562" s="4"/>
      <c r="E562" s="374"/>
      <c r="F562" s="373"/>
      <c r="G562" s="373"/>
      <c r="H562" s="374"/>
      <c r="I562" s="373"/>
      <c r="J562" s="8"/>
      <c r="K562" s="8"/>
      <c r="L562" s="374"/>
      <c r="M562" s="373"/>
      <c r="N562" s="8"/>
      <c r="O562" s="8"/>
      <c r="P562" s="374"/>
      <c r="Q562" s="373"/>
      <c r="R562" s="8"/>
      <c r="S562" s="8"/>
      <c r="T562" s="374"/>
      <c r="U562" s="373"/>
      <c r="V562" s="8"/>
      <c r="W562" s="8"/>
      <c r="X562" s="8"/>
      <c r="Y562" s="4"/>
      <c r="Z562" s="4"/>
      <c r="AA562" s="4"/>
      <c r="AB562" s="4"/>
      <c r="AC562" s="4"/>
    </row>
    <row r="563" spans="1:29" ht="20.25" customHeight="1">
      <c r="A563" s="373"/>
      <c r="B563" s="4"/>
      <c r="C563" s="4"/>
      <c r="D563" s="4"/>
      <c r="E563" s="374"/>
      <c r="F563" s="373"/>
      <c r="G563" s="373"/>
      <c r="H563" s="374"/>
      <c r="I563" s="373"/>
      <c r="J563" s="8"/>
      <c r="K563" s="8"/>
      <c r="L563" s="374"/>
      <c r="M563" s="373"/>
      <c r="N563" s="8"/>
      <c r="O563" s="8"/>
      <c r="P563" s="374"/>
      <c r="Q563" s="373"/>
      <c r="R563" s="8"/>
      <c r="S563" s="8"/>
      <c r="T563" s="374"/>
      <c r="U563" s="373"/>
      <c r="V563" s="8"/>
      <c r="W563" s="8"/>
      <c r="X563" s="8"/>
      <c r="Y563" s="4"/>
      <c r="Z563" s="4"/>
      <c r="AA563" s="4"/>
      <c r="AB563" s="4"/>
      <c r="AC563" s="4"/>
    </row>
    <row r="564" spans="1:29" ht="20.25" customHeight="1">
      <c r="A564" s="373"/>
      <c r="B564" s="4"/>
      <c r="C564" s="4"/>
      <c r="D564" s="4"/>
      <c r="E564" s="374"/>
      <c r="F564" s="373"/>
      <c r="G564" s="373"/>
      <c r="H564" s="374"/>
      <c r="I564" s="373"/>
      <c r="J564" s="8"/>
      <c r="K564" s="8"/>
      <c r="L564" s="374"/>
      <c r="M564" s="373"/>
      <c r="N564" s="8"/>
      <c r="O564" s="8"/>
      <c r="P564" s="374"/>
      <c r="Q564" s="373"/>
      <c r="R564" s="8"/>
      <c r="S564" s="8"/>
      <c r="T564" s="374"/>
      <c r="U564" s="373"/>
      <c r="V564" s="8"/>
      <c r="W564" s="8"/>
      <c r="X564" s="8"/>
      <c r="Y564" s="4"/>
      <c r="Z564" s="4"/>
      <c r="AA564" s="4"/>
      <c r="AB564" s="4"/>
      <c r="AC564" s="4"/>
    </row>
    <row r="565" spans="1:29" ht="20.25" customHeight="1">
      <c r="A565" s="373"/>
      <c r="B565" s="4"/>
      <c r="C565" s="4"/>
      <c r="D565" s="4"/>
      <c r="E565" s="374"/>
      <c r="F565" s="373"/>
      <c r="G565" s="373"/>
      <c r="H565" s="374"/>
      <c r="I565" s="373"/>
      <c r="J565" s="8"/>
      <c r="K565" s="8"/>
      <c r="L565" s="374"/>
      <c r="M565" s="373"/>
      <c r="N565" s="8"/>
      <c r="O565" s="8"/>
      <c r="P565" s="374"/>
      <c r="Q565" s="373"/>
      <c r="R565" s="8"/>
      <c r="S565" s="8"/>
      <c r="T565" s="374"/>
      <c r="U565" s="373"/>
      <c r="V565" s="8"/>
      <c r="W565" s="8"/>
      <c r="X565" s="8"/>
      <c r="Y565" s="4"/>
      <c r="Z565" s="4"/>
      <c r="AA565" s="4"/>
      <c r="AB565" s="4"/>
      <c r="AC565" s="4"/>
    </row>
    <row r="566" spans="1:29" ht="20.25" customHeight="1">
      <c r="A566" s="373"/>
      <c r="B566" s="4"/>
      <c r="C566" s="4"/>
      <c r="D566" s="4"/>
      <c r="E566" s="374"/>
      <c r="F566" s="373"/>
      <c r="G566" s="373"/>
      <c r="H566" s="374"/>
      <c r="I566" s="373"/>
      <c r="J566" s="8"/>
      <c r="K566" s="8"/>
      <c r="L566" s="374"/>
      <c r="M566" s="373"/>
      <c r="N566" s="8"/>
      <c r="O566" s="8"/>
      <c r="P566" s="374"/>
      <c r="Q566" s="373"/>
      <c r="R566" s="8"/>
      <c r="S566" s="8"/>
      <c r="T566" s="374"/>
      <c r="U566" s="373"/>
      <c r="V566" s="8"/>
      <c r="W566" s="8"/>
      <c r="X566" s="8"/>
      <c r="Y566" s="4"/>
      <c r="Z566" s="4"/>
      <c r="AA566" s="4"/>
      <c r="AB566" s="4"/>
      <c r="AC566" s="4"/>
    </row>
    <row r="567" spans="1:29" ht="20.25" customHeight="1">
      <c r="A567" s="373"/>
      <c r="B567" s="4"/>
      <c r="C567" s="4"/>
      <c r="D567" s="4"/>
      <c r="E567" s="374"/>
      <c r="F567" s="373"/>
      <c r="G567" s="373"/>
      <c r="H567" s="374"/>
      <c r="I567" s="373"/>
      <c r="J567" s="8"/>
      <c r="K567" s="8"/>
      <c r="L567" s="374"/>
      <c r="M567" s="373"/>
      <c r="N567" s="8"/>
      <c r="O567" s="8"/>
      <c r="P567" s="374"/>
      <c r="Q567" s="373"/>
      <c r="R567" s="8"/>
      <c r="S567" s="8"/>
      <c r="T567" s="374"/>
      <c r="U567" s="373"/>
      <c r="V567" s="8"/>
      <c r="W567" s="8"/>
      <c r="X567" s="8"/>
      <c r="Y567" s="4"/>
      <c r="Z567" s="4"/>
      <c r="AA567" s="4"/>
      <c r="AB567" s="4"/>
      <c r="AC567" s="4"/>
    </row>
    <row r="568" spans="1:29" ht="20.25" customHeight="1">
      <c r="A568" s="373"/>
      <c r="B568" s="4"/>
      <c r="C568" s="4"/>
      <c r="D568" s="4"/>
      <c r="E568" s="374"/>
      <c r="F568" s="373"/>
      <c r="G568" s="373"/>
      <c r="H568" s="374"/>
      <c r="I568" s="373"/>
      <c r="J568" s="8"/>
      <c r="K568" s="8"/>
      <c r="L568" s="374"/>
      <c r="M568" s="373"/>
      <c r="N568" s="8"/>
      <c r="O568" s="8"/>
      <c r="P568" s="374"/>
      <c r="Q568" s="373"/>
      <c r="R568" s="8"/>
      <c r="S568" s="8"/>
      <c r="T568" s="374"/>
      <c r="U568" s="373"/>
      <c r="V568" s="8"/>
      <c r="W568" s="8"/>
      <c r="X568" s="8"/>
      <c r="Y568" s="4"/>
      <c r="Z568" s="4"/>
      <c r="AA568" s="4"/>
      <c r="AB568" s="4"/>
      <c r="AC568" s="4"/>
    </row>
    <row r="569" spans="1:29" ht="20.25" customHeight="1">
      <c r="A569" s="373"/>
      <c r="B569" s="4"/>
      <c r="C569" s="4"/>
      <c r="D569" s="4"/>
      <c r="E569" s="374"/>
      <c r="F569" s="373"/>
      <c r="G569" s="373"/>
      <c r="H569" s="374"/>
      <c r="I569" s="373"/>
      <c r="J569" s="8"/>
      <c r="K569" s="8"/>
      <c r="L569" s="374"/>
      <c r="M569" s="373"/>
      <c r="N569" s="8"/>
      <c r="O569" s="8"/>
      <c r="P569" s="374"/>
      <c r="Q569" s="373"/>
      <c r="R569" s="8"/>
      <c r="S569" s="8"/>
      <c r="T569" s="374"/>
      <c r="U569" s="373"/>
      <c r="V569" s="8"/>
      <c r="W569" s="8"/>
      <c r="X569" s="8"/>
      <c r="Y569" s="4"/>
      <c r="Z569" s="4"/>
      <c r="AA569" s="4"/>
      <c r="AB569" s="4"/>
      <c r="AC569" s="4"/>
    </row>
    <row r="570" spans="1:29" ht="20.25" customHeight="1">
      <c r="A570" s="373"/>
      <c r="B570" s="4"/>
      <c r="C570" s="4"/>
      <c r="D570" s="4"/>
      <c r="E570" s="374"/>
      <c r="F570" s="373"/>
      <c r="G570" s="373"/>
      <c r="H570" s="374"/>
      <c r="I570" s="373"/>
      <c r="J570" s="8"/>
      <c r="K570" s="8"/>
      <c r="L570" s="374"/>
      <c r="M570" s="373"/>
      <c r="N570" s="8"/>
      <c r="O570" s="8"/>
      <c r="P570" s="374"/>
      <c r="Q570" s="373"/>
      <c r="R570" s="8"/>
      <c r="S570" s="8"/>
      <c r="T570" s="374"/>
      <c r="U570" s="373"/>
      <c r="V570" s="8"/>
      <c r="W570" s="8"/>
      <c r="X570" s="8"/>
      <c r="Y570" s="4"/>
      <c r="Z570" s="4"/>
      <c r="AA570" s="4"/>
      <c r="AB570" s="4"/>
      <c r="AC570" s="4"/>
    </row>
    <row r="571" spans="1:29" ht="20.25" customHeight="1">
      <c r="A571" s="373"/>
      <c r="B571" s="4"/>
      <c r="C571" s="4"/>
      <c r="D571" s="4"/>
      <c r="E571" s="374"/>
      <c r="F571" s="373"/>
      <c r="G571" s="373"/>
      <c r="H571" s="374"/>
      <c r="I571" s="373"/>
      <c r="J571" s="8"/>
      <c r="K571" s="8"/>
      <c r="L571" s="374"/>
      <c r="M571" s="373"/>
      <c r="N571" s="8"/>
      <c r="O571" s="8"/>
      <c r="P571" s="374"/>
      <c r="Q571" s="373"/>
      <c r="R571" s="8"/>
      <c r="S571" s="8"/>
      <c r="T571" s="374"/>
      <c r="U571" s="373"/>
      <c r="V571" s="8"/>
      <c r="W571" s="8"/>
      <c r="X571" s="8"/>
      <c r="Y571" s="4"/>
      <c r="Z571" s="4"/>
      <c r="AA571" s="4"/>
      <c r="AB571" s="4"/>
      <c r="AC571" s="4"/>
    </row>
    <row r="572" spans="1:29" ht="20.25" customHeight="1">
      <c r="A572" s="373"/>
      <c r="B572" s="4"/>
      <c r="C572" s="4"/>
      <c r="D572" s="4"/>
      <c r="E572" s="374"/>
      <c r="F572" s="373"/>
      <c r="G572" s="373"/>
      <c r="H572" s="374"/>
      <c r="I572" s="373"/>
      <c r="J572" s="8"/>
      <c r="K572" s="8"/>
      <c r="L572" s="374"/>
      <c r="M572" s="373"/>
      <c r="N572" s="8"/>
      <c r="O572" s="8"/>
      <c r="P572" s="374"/>
      <c r="Q572" s="373"/>
      <c r="R572" s="8"/>
      <c r="S572" s="8"/>
      <c r="T572" s="374"/>
      <c r="U572" s="373"/>
      <c r="V572" s="8"/>
      <c r="W572" s="8"/>
      <c r="X572" s="8"/>
      <c r="Y572" s="4"/>
      <c r="Z572" s="4"/>
      <c r="AA572" s="4"/>
      <c r="AB572" s="4"/>
      <c r="AC572" s="4"/>
    </row>
    <row r="573" spans="1:29" ht="20.25" customHeight="1">
      <c r="A573" s="373"/>
      <c r="B573" s="4"/>
      <c r="C573" s="4"/>
      <c r="D573" s="4"/>
      <c r="E573" s="374"/>
      <c r="F573" s="373"/>
      <c r="G573" s="373"/>
      <c r="H573" s="374"/>
      <c r="I573" s="373"/>
      <c r="J573" s="8"/>
      <c r="K573" s="8"/>
      <c r="L573" s="374"/>
      <c r="M573" s="373"/>
      <c r="N573" s="8"/>
      <c r="O573" s="8"/>
      <c r="P573" s="374"/>
      <c r="Q573" s="373"/>
      <c r="R573" s="8"/>
      <c r="S573" s="8"/>
      <c r="T573" s="374"/>
      <c r="U573" s="373"/>
      <c r="V573" s="8"/>
      <c r="W573" s="8"/>
      <c r="X573" s="8"/>
      <c r="Y573" s="4"/>
      <c r="Z573" s="4"/>
      <c r="AA573" s="4"/>
      <c r="AB573" s="4"/>
      <c r="AC573" s="4"/>
    </row>
    <row r="574" spans="1:29" ht="20.25" customHeight="1">
      <c r="A574" s="373"/>
      <c r="B574" s="4"/>
      <c r="C574" s="4"/>
      <c r="D574" s="4"/>
      <c r="E574" s="374"/>
      <c r="F574" s="373"/>
      <c r="G574" s="373"/>
      <c r="H574" s="374"/>
      <c r="I574" s="373"/>
      <c r="J574" s="8"/>
      <c r="K574" s="8"/>
      <c r="L574" s="374"/>
      <c r="M574" s="373"/>
      <c r="N574" s="8"/>
      <c r="O574" s="8"/>
      <c r="P574" s="374"/>
      <c r="Q574" s="373"/>
      <c r="R574" s="8"/>
      <c r="S574" s="8"/>
      <c r="T574" s="374"/>
      <c r="U574" s="373"/>
      <c r="V574" s="8"/>
      <c r="W574" s="8"/>
      <c r="X574" s="8"/>
      <c r="Y574" s="4"/>
      <c r="Z574" s="4"/>
      <c r="AA574" s="4"/>
      <c r="AB574" s="4"/>
      <c r="AC574" s="4"/>
    </row>
    <row r="575" spans="1:29" ht="20.25" customHeight="1">
      <c r="A575" s="373"/>
      <c r="B575" s="4"/>
      <c r="C575" s="4"/>
      <c r="D575" s="4"/>
      <c r="E575" s="374"/>
      <c r="F575" s="373"/>
      <c r="G575" s="373"/>
      <c r="H575" s="374"/>
      <c r="I575" s="373"/>
      <c r="J575" s="8"/>
      <c r="K575" s="8"/>
      <c r="L575" s="374"/>
      <c r="M575" s="373"/>
      <c r="N575" s="8"/>
      <c r="O575" s="8"/>
      <c r="P575" s="374"/>
      <c r="Q575" s="373"/>
      <c r="R575" s="8"/>
      <c r="S575" s="8"/>
      <c r="T575" s="374"/>
      <c r="U575" s="373"/>
      <c r="V575" s="8"/>
      <c r="W575" s="8"/>
      <c r="X575" s="8"/>
      <c r="Y575" s="4"/>
      <c r="Z575" s="4"/>
      <c r="AA575" s="4"/>
      <c r="AB575" s="4"/>
      <c r="AC575" s="4"/>
    </row>
    <row r="576" spans="1:29" ht="20.25" customHeight="1">
      <c r="A576" s="373"/>
      <c r="B576" s="4"/>
      <c r="C576" s="4"/>
      <c r="D576" s="4"/>
      <c r="E576" s="374"/>
      <c r="F576" s="373"/>
      <c r="G576" s="373"/>
      <c r="H576" s="374"/>
      <c r="I576" s="373"/>
      <c r="J576" s="8"/>
      <c r="K576" s="8"/>
      <c r="L576" s="374"/>
      <c r="M576" s="373"/>
      <c r="N576" s="8"/>
      <c r="O576" s="8"/>
      <c r="P576" s="374"/>
      <c r="Q576" s="373"/>
      <c r="R576" s="8"/>
      <c r="S576" s="8"/>
      <c r="T576" s="374"/>
      <c r="U576" s="373"/>
      <c r="V576" s="8"/>
      <c r="W576" s="8"/>
      <c r="X576" s="8"/>
      <c r="Y576" s="4"/>
      <c r="Z576" s="4"/>
      <c r="AA576" s="4"/>
      <c r="AB576" s="4"/>
      <c r="AC576" s="4"/>
    </row>
    <row r="577" spans="1:29" ht="20.25" customHeight="1">
      <c r="A577" s="373"/>
      <c r="B577" s="4"/>
      <c r="C577" s="4"/>
      <c r="D577" s="4"/>
      <c r="E577" s="374"/>
      <c r="F577" s="373"/>
      <c r="G577" s="373"/>
      <c r="H577" s="374"/>
      <c r="I577" s="373"/>
      <c r="J577" s="8"/>
      <c r="K577" s="8"/>
      <c r="L577" s="374"/>
      <c r="M577" s="373"/>
      <c r="N577" s="8"/>
      <c r="O577" s="8"/>
      <c r="P577" s="374"/>
      <c r="Q577" s="373"/>
      <c r="R577" s="8"/>
      <c r="S577" s="8"/>
      <c r="T577" s="374"/>
      <c r="U577" s="373"/>
      <c r="V577" s="8"/>
      <c r="W577" s="8"/>
      <c r="X577" s="8"/>
      <c r="Y577" s="4"/>
      <c r="Z577" s="4"/>
      <c r="AA577" s="4"/>
      <c r="AB577" s="4"/>
      <c r="AC577" s="4"/>
    </row>
    <row r="578" spans="1:29" ht="20.25" customHeight="1">
      <c r="A578" s="373"/>
      <c r="B578" s="4"/>
      <c r="C578" s="4"/>
      <c r="D578" s="4"/>
      <c r="E578" s="374"/>
      <c r="F578" s="373"/>
      <c r="G578" s="373"/>
      <c r="H578" s="374"/>
      <c r="I578" s="373"/>
      <c r="J578" s="8"/>
      <c r="K578" s="8"/>
      <c r="L578" s="374"/>
      <c r="M578" s="373"/>
      <c r="N578" s="8"/>
      <c r="O578" s="8"/>
      <c r="P578" s="374"/>
      <c r="Q578" s="373"/>
      <c r="R578" s="8"/>
      <c r="S578" s="8"/>
      <c r="T578" s="374"/>
      <c r="U578" s="373"/>
      <c r="V578" s="8"/>
      <c r="W578" s="8"/>
      <c r="X578" s="8"/>
      <c r="Y578" s="4"/>
      <c r="Z578" s="4"/>
      <c r="AA578" s="4"/>
      <c r="AB578" s="4"/>
      <c r="AC578" s="4"/>
    </row>
    <row r="579" spans="1:29" ht="20.25" customHeight="1">
      <c r="A579" s="373"/>
      <c r="B579" s="4"/>
      <c r="C579" s="4"/>
      <c r="D579" s="4"/>
      <c r="E579" s="374"/>
      <c r="F579" s="373"/>
      <c r="G579" s="373"/>
      <c r="H579" s="374"/>
      <c r="I579" s="373"/>
      <c r="J579" s="8"/>
      <c r="K579" s="8"/>
      <c r="L579" s="374"/>
      <c r="M579" s="373"/>
      <c r="N579" s="8"/>
      <c r="O579" s="8"/>
      <c r="P579" s="374"/>
      <c r="Q579" s="373"/>
      <c r="R579" s="8"/>
      <c r="S579" s="8"/>
      <c r="T579" s="374"/>
      <c r="U579" s="373"/>
      <c r="V579" s="8"/>
      <c r="W579" s="8"/>
      <c r="X579" s="8"/>
      <c r="Y579" s="4"/>
      <c r="Z579" s="4"/>
      <c r="AA579" s="4"/>
      <c r="AB579" s="4"/>
      <c r="AC579" s="4"/>
    </row>
    <row r="580" spans="1:29" ht="20.25" customHeight="1">
      <c r="A580" s="373"/>
      <c r="B580" s="4"/>
      <c r="C580" s="4"/>
      <c r="D580" s="4"/>
      <c r="E580" s="374"/>
      <c r="F580" s="373"/>
      <c r="G580" s="373"/>
      <c r="H580" s="374"/>
      <c r="I580" s="373"/>
      <c r="J580" s="8"/>
      <c r="K580" s="8"/>
      <c r="L580" s="374"/>
      <c r="M580" s="373"/>
      <c r="N580" s="8"/>
      <c r="O580" s="8"/>
      <c r="P580" s="374"/>
      <c r="Q580" s="373"/>
      <c r="R580" s="8"/>
      <c r="S580" s="8"/>
      <c r="T580" s="374"/>
      <c r="U580" s="373"/>
      <c r="V580" s="8"/>
      <c r="W580" s="8"/>
      <c r="X580" s="8"/>
      <c r="Y580" s="4"/>
      <c r="Z580" s="4"/>
      <c r="AA580" s="4"/>
      <c r="AB580" s="4"/>
      <c r="AC580" s="4"/>
    </row>
    <row r="581" spans="1:29" ht="20.25" customHeight="1">
      <c r="A581" s="373"/>
      <c r="B581" s="4"/>
      <c r="C581" s="4"/>
      <c r="D581" s="4"/>
      <c r="E581" s="374"/>
      <c r="F581" s="373"/>
      <c r="G581" s="373"/>
      <c r="H581" s="374"/>
      <c r="I581" s="373"/>
      <c r="J581" s="8"/>
      <c r="K581" s="8"/>
      <c r="L581" s="374"/>
      <c r="M581" s="373"/>
      <c r="N581" s="8"/>
      <c r="O581" s="8"/>
      <c r="P581" s="374"/>
      <c r="Q581" s="373"/>
      <c r="R581" s="8"/>
      <c r="S581" s="8"/>
      <c r="T581" s="374"/>
      <c r="U581" s="373"/>
      <c r="V581" s="8"/>
      <c r="W581" s="8"/>
      <c r="X581" s="8"/>
      <c r="Y581" s="4"/>
      <c r="Z581" s="4"/>
      <c r="AA581" s="4"/>
      <c r="AB581" s="4"/>
      <c r="AC581" s="4"/>
    </row>
    <row r="582" spans="1:29" ht="20.25" customHeight="1">
      <c r="A582" s="373"/>
      <c r="B582" s="4"/>
      <c r="C582" s="4"/>
      <c r="D582" s="4"/>
      <c r="E582" s="374"/>
      <c r="F582" s="373"/>
      <c r="G582" s="373"/>
      <c r="H582" s="374"/>
      <c r="I582" s="373"/>
      <c r="J582" s="8"/>
      <c r="K582" s="8"/>
      <c r="L582" s="374"/>
      <c r="M582" s="373"/>
      <c r="N582" s="8"/>
      <c r="O582" s="8"/>
      <c r="P582" s="374"/>
      <c r="Q582" s="373"/>
      <c r="R582" s="8"/>
      <c r="S582" s="8"/>
      <c r="T582" s="374"/>
      <c r="U582" s="373"/>
      <c r="V582" s="8"/>
      <c r="W582" s="8"/>
      <c r="X582" s="8"/>
      <c r="Y582" s="4"/>
      <c r="Z582" s="4"/>
      <c r="AA582" s="4"/>
      <c r="AB582" s="4"/>
      <c r="AC582" s="4"/>
    </row>
    <row r="583" spans="1:29" ht="20.25" customHeight="1">
      <c r="A583" s="373"/>
      <c r="B583" s="4"/>
      <c r="C583" s="4"/>
      <c r="D583" s="4"/>
      <c r="E583" s="374"/>
      <c r="F583" s="373"/>
      <c r="G583" s="373"/>
      <c r="H583" s="374"/>
      <c r="I583" s="373"/>
      <c r="J583" s="8"/>
      <c r="K583" s="8"/>
      <c r="L583" s="374"/>
      <c r="M583" s="373"/>
      <c r="N583" s="8"/>
      <c r="O583" s="8"/>
      <c r="P583" s="374"/>
      <c r="Q583" s="373"/>
      <c r="R583" s="8"/>
      <c r="S583" s="8"/>
      <c r="T583" s="374"/>
      <c r="U583" s="373"/>
      <c r="V583" s="8"/>
      <c r="W583" s="8"/>
      <c r="X583" s="8"/>
      <c r="Y583" s="4"/>
      <c r="Z583" s="4"/>
      <c r="AA583" s="4"/>
      <c r="AB583" s="4"/>
      <c r="AC583" s="4"/>
    </row>
    <row r="584" spans="1:29" ht="20.25" customHeight="1">
      <c r="A584" s="373"/>
      <c r="B584" s="4"/>
      <c r="C584" s="4"/>
      <c r="D584" s="4"/>
      <c r="E584" s="374"/>
      <c r="F584" s="373"/>
      <c r="G584" s="373"/>
      <c r="H584" s="374"/>
      <c r="I584" s="373"/>
      <c r="J584" s="8"/>
      <c r="K584" s="8"/>
      <c r="L584" s="374"/>
      <c r="M584" s="373"/>
      <c r="N584" s="8"/>
      <c r="O584" s="8"/>
      <c r="P584" s="374"/>
      <c r="Q584" s="373"/>
      <c r="R584" s="8"/>
      <c r="S584" s="8"/>
      <c r="T584" s="374"/>
      <c r="U584" s="373"/>
      <c r="V584" s="8"/>
      <c r="W584" s="8"/>
      <c r="X584" s="8"/>
      <c r="Y584" s="4"/>
      <c r="Z584" s="4"/>
      <c r="AA584" s="4"/>
      <c r="AB584" s="4"/>
      <c r="AC584" s="4"/>
    </row>
    <row r="585" spans="1:29" ht="20.25" customHeight="1">
      <c r="A585" s="373"/>
      <c r="B585" s="4"/>
      <c r="C585" s="4"/>
      <c r="D585" s="4"/>
      <c r="E585" s="374"/>
      <c r="F585" s="373"/>
      <c r="G585" s="373"/>
      <c r="H585" s="374"/>
      <c r="I585" s="373"/>
      <c r="J585" s="8"/>
      <c r="K585" s="8"/>
      <c r="L585" s="374"/>
      <c r="M585" s="373"/>
      <c r="N585" s="8"/>
      <c r="O585" s="8"/>
      <c r="P585" s="374"/>
      <c r="Q585" s="373"/>
      <c r="R585" s="8"/>
      <c r="S585" s="8"/>
      <c r="T585" s="374"/>
      <c r="U585" s="373"/>
      <c r="V585" s="8"/>
      <c r="W585" s="8"/>
      <c r="X585" s="8"/>
      <c r="Y585" s="4"/>
      <c r="Z585" s="4"/>
      <c r="AA585" s="4"/>
      <c r="AB585" s="4"/>
      <c r="AC585" s="4"/>
    </row>
    <row r="586" spans="1:29" ht="20.25" customHeight="1">
      <c r="A586" s="373"/>
      <c r="B586" s="4"/>
      <c r="C586" s="4"/>
      <c r="D586" s="4"/>
      <c r="E586" s="374"/>
      <c r="F586" s="373"/>
      <c r="G586" s="373"/>
      <c r="H586" s="374"/>
      <c r="I586" s="373"/>
      <c r="J586" s="8"/>
      <c r="K586" s="8"/>
      <c r="L586" s="374"/>
      <c r="M586" s="373"/>
      <c r="N586" s="8"/>
      <c r="O586" s="8"/>
      <c r="P586" s="374"/>
      <c r="Q586" s="373"/>
      <c r="R586" s="8"/>
      <c r="S586" s="8"/>
      <c r="T586" s="374"/>
      <c r="U586" s="373"/>
      <c r="V586" s="8"/>
      <c r="W586" s="8"/>
      <c r="X586" s="8"/>
      <c r="Y586" s="4"/>
      <c r="Z586" s="4"/>
      <c r="AA586" s="4"/>
      <c r="AB586" s="4"/>
      <c r="AC586" s="4"/>
    </row>
    <row r="587" spans="1:29" ht="20.25" customHeight="1">
      <c r="A587" s="373"/>
      <c r="B587" s="4"/>
      <c r="C587" s="4"/>
      <c r="D587" s="4"/>
      <c r="E587" s="374"/>
      <c r="F587" s="373"/>
      <c r="G587" s="373"/>
      <c r="H587" s="374"/>
      <c r="I587" s="373"/>
      <c r="J587" s="8"/>
      <c r="K587" s="8"/>
      <c r="L587" s="374"/>
      <c r="M587" s="373"/>
      <c r="N587" s="8"/>
      <c r="O587" s="8"/>
      <c r="P587" s="374"/>
      <c r="Q587" s="373"/>
      <c r="R587" s="8"/>
      <c r="S587" s="8"/>
      <c r="T587" s="374"/>
      <c r="U587" s="373"/>
      <c r="V587" s="8"/>
      <c r="W587" s="8"/>
      <c r="X587" s="8"/>
      <c r="Y587" s="4"/>
      <c r="Z587" s="4"/>
      <c r="AA587" s="4"/>
      <c r="AB587" s="4"/>
      <c r="AC587" s="4"/>
    </row>
    <row r="588" spans="1:29" ht="20.25" customHeight="1">
      <c r="A588" s="373"/>
      <c r="B588" s="4"/>
      <c r="C588" s="4"/>
      <c r="D588" s="4"/>
      <c r="E588" s="374"/>
      <c r="F588" s="373"/>
      <c r="G588" s="373"/>
      <c r="H588" s="374"/>
      <c r="I588" s="373"/>
      <c r="J588" s="8"/>
      <c r="K588" s="8"/>
      <c r="L588" s="374"/>
      <c r="M588" s="373"/>
      <c r="N588" s="8"/>
      <c r="O588" s="8"/>
      <c r="P588" s="374"/>
      <c r="Q588" s="373"/>
      <c r="R588" s="8"/>
      <c r="S588" s="8"/>
      <c r="T588" s="374"/>
      <c r="U588" s="373"/>
      <c r="V588" s="8"/>
      <c r="W588" s="8"/>
      <c r="X588" s="8"/>
      <c r="Y588" s="4"/>
      <c r="Z588" s="4"/>
      <c r="AA588" s="4"/>
      <c r="AB588" s="4"/>
      <c r="AC588" s="4"/>
    </row>
    <row r="589" spans="1:29" ht="20.25" customHeight="1">
      <c r="A589" s="373"/>
      <c r="B589" s="4"/>
      <c r="C589" s="4"/>
      <c r="D589" s="4"/>
      <c r="E589" s="374"/>
      <c r="F589" s="373"/>
      <c r="G589" s="373"/>
      <c r="H589" s="374"/>
      <c r="I589" s="373"/>
      <c r="J589" s="8"/>
      <c r="K589" s="8"/>
      <c r="L589" s="374"/>
      <c r="M589" s="373"/>
      <c r="N589" s="8"/>
      <c r="O589" s="8"/>
      <c r="P589" s="374"/>
      <c r="Q589" s="373"/>
      <c r="R589" s="8"/>
      <c r="S589" s="8"/>
      <c r="T589" s="374"/>
      <c r="U589" s="373"/>
      <c r="V589" s="8"/>
      <c r="W589" s="8"/>
      <c r="X589" s="8"/>
      <c r="Y589" s="4"/>
      <c r="Z589" s="4"/>
      <c r="AA589" s="4"/>
      <c r="AB589" s="4"/>
      <c r="AC589" s="4"/>
    </row>
    <row r="590" spans="1:29" ht="20.25" customHeight="1">
      <c r="A590" s="373"/>
      <c r="B590" s="4"/>
      <c r="C590" s="4"/>
      <c r="D590" s="4"/>
      <c r="E590" s="374"/>
      <c r="F590" s="373"/>
      <c r="G590" s="373"/>
      <c r="H590" s="374"/>
      <c r="I590" s="373"/>
      <c r="J590" s="8"/>
      <c r="K590" s="8"/>
      <c r="L590" s="374"/>
      <c r="M590" s="373"/>
      <c r="N590" s="8"/>
      <c r="O590" s="8"/>
      <c r="P590" s="374"/>
      <c r="Q590" s="373"/>
      <c r="R590" s="8"/>
      <c r="S590" s="8"/>
      <c r="T590" s="374"/>
      <c r="U590" s="373"/>
      <c r="V590" s="8"/>
      <c r="W590" s="8"/>
      <c r="X590" s="8"/>
      <c r="Y590" s="4"/>
      <c r="Z590" s="4"/>
      <c r="AA590" s="4"/>
      <c r="AB590" s="4"/>
      <c r="AC590" s="4"/>
    </row>
    <row r="591" spans="1:29" ht="20.25" customHeight="1">
      <c r="A591" s="373"/>
      <c r="B591" s="4"/>
      <c r="C591" s="4"/>
      <c r="D591" s="4"/>
      <c r="E591" s="374"/>
      <c r="F591" s="373"/>
      <c r="G591" s="373"/>
      <c r="H591" s="374"/>
      <c r="I591" s="373"/>
      <c r="J591" s="8"/>
      <c r="K591" s="8"/>
      <c r="L591" s="374"/>
      <c r="M591" s="373"/>
      <c r="N591" s="8"/>
      <c r="O591" s="8"/>
      <c r="P591" s="374"/>
      <c r="Q591" s="373"/>
      <c r="R591" s="8"/>
      <c r="S591" s="8"/>
      <c r="T591" s="374"/>
      <c r="U591" s="373"/>
      <c r="V591" s="8"/>
      <c r="W591" s="8"/>
      <c r="X591" s="8"/>
      <c r="Y591" s="4"/>
      <c r="Z591" s="4"/>
      <c r="AA591" s="4"/>
      <c r="AB591" s="4"/>
      <c r="AC591" s="4"/>
    </row>
    <row r="592" spans="1:29" ht="20.25" customHeight="1">
      <c r="A592" s="373"/>
      <c r="B592" s="4"/>
      <c r="C592" s="4"/>
      <c r="D592" s="4"/>
      <c r="E592" s="374"/>
      <c r="F592" s="373"/>
      <c r="G592" s="373"/>
      <c r="H592" s="374"/>
      <c r="I592" s="373"/>
      <c r="J592" s="8"/>
      <c r="K592" s="8"/>
      <c r="L592" s="374"/>
      <c r="M592" s="373"/>
      <c r="N592" s="8"/>
      <c r="O592" s="8"/>
      <c r="P592" s="374"/>
      <c r="Q592" s="373"/>
      <c r="R592" s="8"/>
      <c r="S592" s="8"/>
      <c r="T592" s="374"/>
      <c r="U592" s="373"/>
      <c r="V592" s="8"/>
      <c r="W592" s="8"/>
      <c r="X592" s="8"/>
      <c r="Y592" s="4"/>
      <c r="Z592" s="4"/>
      <c r="AA592" s="4"/>
      <c r="AB592" s="4"/>
      <c r="AC592" s="4"/>
    </row>
    <row r="593" spans="1:29" ht="20.25" customHeight="1">
      <c r="A593" s="373"/>
      <c r="B593" s="4"/>
      <c r="C593" s="4"/>
      <c r="D593" s="4"/>
      <c r="E593" s="374"/>
      <c r="F593" s="373"/>
      <c r="G593" s="373"/>
      <c r="H593" s="374"/>
      <c r="I593" s="373"/>
      <c r="J593" s="8"/>
      <c r="K593" s="8"/>
      <c r="L593" s="374"/>
      <c r="M593" s="373"/>
      <c r="N593" s="8"/>
      <c r="O593" s="8"/>
      <c r="P593" s="374"/>
      <c r="Q593" s="373"/>
      <c r="R593" s="8"/>
      <c r="S593" s="8"/>
      <c r="T593" s="374"/>
      <c r="U593" s="373"/>
      <c r="V593" s="8"/>
      <c r="W593" s="8"/>
      <c r="X593" s="8"/>
      <c r="Y593" s="4"/>
      <c r="Z593" s="4"/>
      <c r="AA593" s="4"/>
      <c r="AB593" s="4"/>
      <c r="AC593" s="4"/>
    </row>
    <row r="594" spans="1:29" ht="20.25" customHeight="1">
      <c r="A594" s="373"/>
      <c r="B594" s="4"/>
      <c r="C594" s="4"/>
      <c r="D594" s="4"/>
      <c r="E594" s="374"/>
      <c r="F594" s="373"/>
      <c r="G594" s="373"/>
      <c r="H594" s="374"/>
      <c r="I594" s="373"/>
      <c r="J594" s="8"/>
      <c r="K594" s="8"/>
      <c r="L594" s="374"/>
      <c r="M594" s="373"/>
      <c r="N594" s="8"/>
      <c r="O594" s="8"/>
      <c r="P594" s="374"/>
      <c r="Q594" s="373"/>
      <c r="R594" s="8"/>
      <c r="S594" s="8"/>
      <c r="T594" s="374"/>
      <c r="U594" s="373"/>
      <c r="V594" s="8"/>
      <c r="W594" s="8"/>
      <c r="X594" s="8"/>
      <c r="Y594" s="4"/>
      <c r="Z594" s="4"/>
      <c r="AA594" s="4"/>
      <c r="AB594" s="4"/>
      <c r="AC594" s="4"/>
    </row>
    <row r="595" spans="1:29" ht="20.25" customHeight="1">
      <c r="A595" s="373"/>
      <c r="B595" s="4"/>
      <c r="C595" s="4"/>
      <c r="D595" s="4"/>
      <c r="E595" s="374"/>
      <c r="F595" s="373"/>
      <c r="G595" s="373"/>
      <c r="H595" s="374"/>
      <c r="I595" s="373"/>
      <c r="J595" s="8"/>
      <c r="K595" s="8"/>
      <c r="L595" s="374"/>
      <c r="M595" s="373"/>
      <c r="N595" s="8"/>
      <c r="O595" s="8"/>
      <c r="P595" s="374"/>
      <c r="Q595" s="373"/>
      <c r="R595" s="8"/>
      <c r="S595" s="8"/>
      <c r="T595" s="374"/>
      <c r="U595" s="373"/>
      <c r="V595" s="8"/>
      <c r="W595" s="8"/>
      <c r="X595" s="8"/>
      <c r="Y595" s="4"/>
      <c r="Z595" s="4"/>
      <c r="AA595" s="4"/>
      <c r="AB595" s="4"/>
      <c r="AC595" s="4"/>
    </row>
    <row r="596" spans="1:29" ht="20.25" customHeight="1">
      <c r="A596" s="373"/>
      <c r="B596" s="4"/>
      <c r="C596" s="4"/>
      <c r="D596" s="4"/>
      <c r="E596" s="374"/>
      <c r="F596" s="373"/>
      <c r="G596" s="373"/>
      <c r="H596" s="374"/>
      <c r="I596" s="373"/>
      <c r="J596" s="8"/>
      <c r="K596" s="8"/>
      <c r="L596" s="374"/>
      <c r="M596" s="373"/>
      <c r="N596" s="8"/>
      <c r="O596" s="8"/>
      <c r="P596" s="374"/>
      <c r="Q596" s="373"/>
      <c r="R596" s="8"/>
      <c r="S596" s="8"/>
      <c r="T596" s="374"/>
      <c r="U596" s="373"/>
      <c r="V596" s="8"/>
      <c r="W596" s="8"/>
      <c r="X596" s="8"/>
      <c r="Y596" s="4"/>
      <c r="Z596" s="4"/>
      <c r="AA596" s="4"/>
      <c r="AB596" s="4"/>
      <c r="AC596" s="4"/>
    </row>
    <row r="597" spans="1:29" ht="20.25" customHeight="1">
      <c r="A597" s="373"/>
      <c r="B597" s="4"/>
      <c r="C597" s="4"/>
      <c r="D597" s="4"/>
      <c r="E597" s="374"/>
      <c r="F597" s="373"/>
      <c r="G597" s="373"/>
      <c r="H597" s="374"/>
      <c r="I597" s="373"/>
      <c r="J597" s="8"/>
      <c r="K597" s="8"/>
      <c r="L597" s="374"/>
      <c r="M597" s="373"/>
      <c r="N597" s="8"/>
      <c r="O597" s="8"/>
      <c r="P597" s="374"/>
      <c r="Q597" s="373"/>
      <c r="R597" s="8"/>
      <c r="S597" s="8"/>
      <c r="T597" s="374"/>
      <c r="U597" s="373"/>
      <c r="V597" s="8"/>
      <c r="W597" s="8"/>
      <c r="X597" s="8"/>
      <c r="Y597" s="4"/>
      <c r="Z597" s="4"/>
      <c r="AA597" s="4"/>
      <c r="AB597" s="4"/>
      <c r="AC597" s="4"/>
    </row>
    <row r="598" spans="1:29" ht="20.25" customHeight="1">
      <c r="A598" s="373"/>
      <c r="B598" s="4"/>
      <c r="C598" s="4"/>
      <c r="D598" s="4"/>
      <c r="E598" s="374"/>
      <c r="F598" s="373"/>
      <c r="G598" s="373"/>
      <c r="H598" s="374"/>
      <c r="I598" s="373"/>
      <c r="J598" s="8"/>
      <c r="K598" s="8"/>
      <c r="L598" s="374"/>
      <c r="M598" s="373"/>
      <c r="N598" s="8"/>
      <c r="O598" s="8"/>
      <c r="P598" s="374"/>
      <c r="Q598" s="373"/>
      <c r="R598" s="8"/>
      <c r="S598" s="8"/>
      <c r="T598" s="374"/>
      <c r="U598" s="373"/>
      <c r="V598" s="8"/>
      <c r="W598" s="8"/>
      <c r="X598" s="8"/>
      <c r="Y598" s="4"/>
      <c r="Z598" s="4"/>
      <c r="AA598" s="4"/>
      <c r="AB598" s="4"/>
      <c r="AC598" s="4"/>
    </row>
    <row r="599" spans="1:29" ht="20.25" customHeight="1">
      <c r="A599" s="373"/>
      <c r="B599" s="4"/>
      <c r="C599" s="4"/>
      <c r="D599" s="4"/>
      <c r="E599" s="374"/>
      <c r="F599" s="373"/>
      <c r="G599" s="373"/>
      <c r="H599" s="374"/>
      <c r="I599" s="373"/>
      <c r="J599" s="8"/>
      <c r="K599" s="8"/>
      <c r="L599" s="374"/>
      <c r="M599" s="373"/>
      <c r="N599" s="8"/>
      <c r="O599" s="8"/>
      <c r="P599" s="374"/>
      <c r="Q599" s="373"/>
      <c r="R599" s="8"/>
      <c r="S599" s="8"/>
      <c r="T599" s="374"/>
      <c r="U599" s="373"/>
      <c r="V599" s="8"/>
      <c r="W599" s="8"/>
      <c r="X599" s="8"/>
      <c r="Y599" s="4"/>
      <c r="Z599" s="4"/>
      <c r="AA599" s="4"/>
      <c r="AB599" s="4"/>
      <c r="AC599" s="4"/>
    </row>
    <row r="600" spans="1:29" ht="20.25" customHeight="1">
      <c r="A600" s="373"/>
      <c r="B600" s="4"/>
      <c r="C600" s="4"/>
      <c r="D600" s="4"/>
      <c r="E600" s="374"/>
      <c r="F600" s="373"/>
      <c r="G600" s="373"/>
      <c r="H600" s="374"/>
      <c r="I600" s="373"/>
      <c r="J600" s="8"/>
      <c r="K600" s="8"/>
      <c r="L600" s="374"/>
      <c r="M600" s="373"/>
      <c r="N600" s="8"/>
      <c r="O600" s="8"/>
      <c r="P600" s="374"/>
      <c r="Q600" s="373"/>
      <c r="R600" s="8"/>
      <c r="S600" s="8"/>
      <c r="T600" s="374"/>
      <c r="U600" s="373"/>
      <c r="V600" s="8"/>
      <c r="W600" s="8"/>
      <c r="X600" s="8"/>
      <c r="Y600" s="4"/>
      <c r="Z600" s="4"/>
      <c r="AA600" s="4"/>
      <c r="AB600" s="4"/>
      <c r="AC600" s="4"/>
    </row>
    <row r="601" spans="1:29" ht="20.25" customHeight="1">
      <c r="A601" s="373"/>
      <c r="B601" s="4"/>
      <c r="C601" s="4"/>
      <c r="D601" s="4"/>
      <c r="E601" s="374"/>
      <c r="F601" s="373"/>
      <c r="G601" s="373"/>
      <c r="H601" s="374"/>
      <c r="I601" s="373"/>
      <c r="J601" s="8"/>
      <c r="K601" s="8"/>
      <c r="L601" s="374"/>
      <c r="M601" s="373"/>
      <c r="N601" s="8"/>
      <c r="O601" s="8"/>
      <c r="P601" s="374"/>
      <c r="Q601" s="373"/>
      <c r="R601" s="8"/>
      <c r="S601" s="8"/>
      <c r="T601" s="374"/>
      <c r="U601" s="373"/>
      <c r="V601" s="8"/>
      <c r="W601" s="8"/>
      <c r="X601" s="8"/>
      <c r="Y601" s="4"/>
      <c r="Z601" s="4"/>
      <c r="AA601" s="4"/>
      <c r="AB601" s="4"/>
      <c r="AC601" s="4"/>
    </row>
    <row r="602" spans="1:29" ht="20.25" customHeight="1">
      <c r="A602" s="373"/>
      <c r="B602" s="4"/>
      <c r="C602" s="4"/>
      <c r="D602" s="4"/>
      <c r="E602" s="374"/>
      <c r="F602" s="373"/>
      <c r="G602" s="373"/>
      <c r="H602" s="374"/>
      <c r="I602" s="373"/>
      <c r="J602" s="8"/>
      <c r="K602" s="8"/>
      <c r="L602" s="374"/>
      <c r="M602" s="373"/>
      <c r="N602" s="8"/>
      <c r="O602" s="8"/>
      <c r="P602" s="374"/>
      <c r="Q602" s="373"/>
      <c r="R602" s="8"/>
      <c r="S602" s="8"/>
      <c r="T602" s="374"/>
      <c r="U602" s="373"/>
      <c r="V602" s="8"/>
      <c r="W602" s="8"/>
      <c r="X602" s="8"/>
      <c r="Y602" s="4"/>
      <c r="Z602" s="4"/>
      <c r="AA602" s="4"/>
      <c r="AB602" s="4"/>
      <c r="AC602" s="4"/>
    </row>
    <row r="603" spans="1:29" ht="20.25" customHeight="1">
      <c r="A603" s="373"/>
      <c r="B603" s="4"/>
      <c r="C603" s="4"/>
      <c r="D603" s="4"/>
      <c r="E603" s="374"/>
      <c r="F603" s="373"/>
      <c r="G603" s="373"/>
      <c r="H603" s="374"/>
      <c r="I603" s="373"/>
      <c r="J603" s="8"/>
      <c r="K603" s="8"/>
      <c r="L603" s="374"/>
      <c r="M603" s="373"/>
      <c r="N603" s="8"/>
      <c r="O603" s="8"/>
      <c r="P603" s="374"/>
      <c r="Q603" s="373"/>
      <c r="R603" s="8"/>
      <c r="S603" s="8"/>
      <c r="T603" s="374"/>
      <c r="U603" s="373"/>
      <c r="V603" s="8"/>
      <c r="W603" s="8"/>
      <c r="X603" s="8"/>
      <c r="Y603" s="4"/>
      <c r="Z603" s="4"/>
      <c r="AA603" s="4"/>
      <c r="AB603" s="4"/>
      <c r="AC603" s="4"/>
    </row>
    <row r="604" spans="1:29" ht="20.25" customHeight="1">
      <c r="A604" s="373"/>
      <c r="B604" s="4"/>
      <c r="C604" s="4"/>
      <c r="D604" s="4"/>
      <c r="E604" s="374"/>
      <c r="F604" s="373"/>
      <c r="G604" s="373"/>
      <c r="H604" s="374"/>
      <c r="I604" s="373"/>
      <c r="J604" s="8"/>
      <c r="K604" s="8"/>
      <c r="L604" s="374"/>
      <c r="M604" s="373"/>
      <c r="N604" s="8"/>
      <c r="O604" s="8"/>
      <c r="P604" s="374"/>
      <c r="Q604" s="373"/>
      <c r="R604" s="8"/>
      <c r="S604" s="8"/>
      <c r="T604" s="374"/>
      <c r="U604" s="373"/>
      <c r="V604" s="8"/>
      <c r="W604" s="8"/>
      <c r="X604" s="8"/>
      <c r="Y604" s="4"/>
      <c r="Z604" s="4"/>
      <c r="AA604" s="4"/>
      <c r="AB604" s="4"/>
      <c r="AC604" s="4"/>
    </row>
    <row r="605" spans="1:29" ht="20.25" customHeight="1">
      <c r="A605" s="373"/>
      <c r="B605" s="4"/>
      <c r="C605" s="4"/>
      <c r="D605" s="4"/>
      <c r="E605" s="374"/>
      <c r="F605" s="373"/>
      <c r="G605" s="373"/>
      <c r="H605" s="374"/>
      <c r="I605" s="373"/>
      <c r="J605" s="8"/>
      <c r="K605" s="8"/>
      <c r="L605" s="374"/>
      <c r="M605" s="373"/>
      <c r="N605" s="8"/>
      <c r="O605" s="8"/>
      <c r="P605" s="374"/>
      <c r="Q605" s="373"/>
      <c r="R605" s="8"/>
      <c r="S605" s="8"/>
      <c r="T605" s="374"/>
      <c r="U605" s="373"/>
      <c r="V605" s="8"/>
      <c r="W605" s="8"/>
      <c r="X605" s="8"/>
      <c r="Y605" s="4"/>
      <c r="Z605" s="4"/>
      <c r="AA605" s="4"/>
      <c r="AB605" s="4"/>
      <c r="AC605" s="4"/>
    </row>
    <row r="606" spans="1:29" ht="20.25" customHeight="1">
      <c r="A606" s="373"/>
      <c r="B606" s="4"/>
      <c r="C606" s="4"/>
      <c r="D606" s="4"/>
      <c r="E606" s="374"/>
      <c r="F606" s="373"/>
      <c r="G606" s="373"/>
      <c r="H606" s="374"/>
      <c r="I606" s="373"/>
      <c r="J606" s="8"/>
      <c r="K606" s="8"/>
      <c r="L606" s="374"/>
      <c r="M606" s="373"/>
      <c r="N606" s="8"/>
      <c r="O606" s="8"/>
      <c r="P606" s="374"/>
      <c r="Q606" s="373"/>
      <c r="R606" s="8"/>
      <c r="S606" s="8"/>
      <c r="T606" s="374"/>
      <c r="U606" s="373"/>
      <c r="V606" s="8"/>
      <c r="W606" s="8"/>
      <c r="X606" s="8"/>
      <c r="Y606" s="4"/>
      <c r="Z606" s="4"/>
      <c r="AA606" s="4"/>
      <c r="AB606" s="4"/>
      <c r="AC606" s="4"/>
    </row>
    <row r="607" spans="1:29" ht="20.25" customHeight="1">
      <c r="A607" s="373"/>
      <c r="B607" s="4"/>
      <c r="C607" s="4"/>
      <c r="D607" s="4"/>
      <c r="E607" s="374"/>
      <c r="F607" s="373"/>
      <c r="G607" s="373"/>
      <c r="H607" s="374"/>
      <c r="I607" s="373"/>
      <c r="J607" s="8"/>
      <c r="K607" s="8"/>
      <c r="L607" s="374"/>
      <c r="M607" s="373"/>
      <c r="N607" s="8"/>
      <c r="O607" s="8"/>
      <c r="P607" s="374"/>
      <c r="Q607" s="373"/>
      <c r="R607" s="8"/>
      <c r="S607" s="8"/>
      <c r="T607" s="374"/>
      <c r="U607" s="373"/>
      <c r="V607" s="8"/>
      <c r="W607" s="8"/>
      <c r="X607" s="8"/>
      <c r="Y607" s="4"/>
      <c r="Z607" s="4"/>
      <c r="AA607" s="4"/>
      <c r="AB607" s="4"/>
      <c r="AC607" s="4"/>
    </row>
    <row r="608" spans="1:29" ht="20.25" customHeight="1">
      <c r="A608" s="373"/>
      <c r="B608" s="4"/>
      <c r="C608" s="4"/>
      <c r="D608" s="4"/>
      <c r="E608" s="374"/>
      <c r="F608" s="373"/>
      <c r="G608" s="373"/>
      <c r="H608" s="374"/>
      <c r="I608" s="373"/>
      <c r="J608" s="8"/>
      <c r="K608" s="8"/>
      <c r="L608" s="374"/>
      <c r="M608" s="373"/>
      <c r="N608" s="8"/>
      <c r="O608" s="8"/>
      <c r="P608" s="374"/>
      <c r="Q608" s="373"/>
      <c r="R608" s="8"/>
      <c r="S608" s="8"/>
      <c r="T608" s="374"/>
      <c r="U608" s="373"/>
      <c r="V608" s="8"/>
      <c r="W608" s="8"/>
      <c r="X608" s="8"/>
      <c r="Y608" s="4"/>
      <c r="Z608" s="4"/>
      <c r="AA608" s="4"/>
      <c r="AB608" s="4"/>
      <c r="AC608" s="4"/>
    </row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08A1D9E-697E-475D-9D1B-19D32ED0833D}" filter="1" showAutoFilter="1">
      <pageMargins left="0.7" right="0.7" top="0.75" bottom="0.75" header="0.3" footer="0.3"/>
      <autoFilter ref="A8:AC278" xr:uid="{344544B7-63C3-478D-9293-E45CDB115CF8}">
        <filterColumn colId="6">
          <filters>
            <filter val="BARANG"/>
          </filters>
        </filterColumn>
      </autoFilter>
      <extLst>
        <ext uri="GoogleSheetsCustomDataVersion1">
          <go:sheetsCustomData xmlns:go="http://customooxmlschemas.google.com/" filterViewId="2101435644"/>
        </ext>
      </extLst>
    </customSheetView>
  </customSheetViews>
  <mergeCells count="26">
    <mergeCell ref="B5:D5"/>
    <mergeCell ref="H5:K5"/>
    <mergeCell ref="L5:O5"/>
    <mergeCell ref="P5:S5"/>
    <mergeCell ref="T5:W5"/>
    <mergeCell ref="B6:D6"/>
    <mergeCell ref="H6:I6"/>
    <mergeCell ref="T6:U6"/>
    <mergeCell ref="L6:M6"/>
    <mergeCell ref="P6:Q6"/>
    <mergeCell ref="B252:D252"/>
    <mergeCell ref="J286:K286"/>
    <mergeCell ref="N286:O286"/>
    <mergeCell ref="R286:S286"/>
    <mergeCell ref="V286:W286"/>
    <mergeCell ref="N287:O287"/>
    <mergeCell ref="N288:O288"/>
    <mergeCell ref="V287:W287"/>
    <mergeCell ref="V288:W288"/>
    <mergeCell ref="B286:D286"/>
    <mergeCell ref="B287:D287"/>
    <mergeCell ref="J287:K287"/>
    <mergeCell ref="R287:S287"/>
    <mergeCell ref="B288:D288"/>
    <mergeCell ref="J288:K288"/>
    <mergeCell ref="R288:S288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</sheetPr>
  <dimension ref="A1:Q1000"/>
  <sheetViews>
    <sheetView topLeftCell="A35" workbookViewId="0">
      <selection activeCell="D10" sqref="D10"/>
    </sheetView>
  </sheetViews>
  <sheetFormatPr defaultColWidth="14.42578125" defaultRowHeight="15" customHeight="1"/>
  <cols>
    <col min="1" max="2" width="5.140625" customWidth="1"/>
    <col min="3" max="3" width="55.140625" customWidth="1"/>
    <col min="4" max="4" width="23.42578125" customWidth="1"/>
    <col min="5" max="5" width="9.140625" customWidth="1"/>
    <col min="6" max="17" width="8.85546875" customWidth="1"/>
  </cols>
  <sheetData>
    <row r="1" spans="1:17" ht="12.75" customHeight="1">
      <c r="A1" s="391"/>
      <c r="B1" s="593" t="s">
        <v>421</v>
      </c>
      <c r="C1" s="591"/>
      <c r="D1" s="589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17" ht="12.75" customHeight="1">
      <c r="A2" s="393"/>
      <c r="B2" s="594" t="s">
        <v>1</v>
      </c>
      <c r="C2" s="591"/>
      <c r="D2" s="589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17" ht="12.75" customHeight="1">
      <c r="A3" s="394"/>
      <c r="B3" s="595" t="s">
        <v>2</v>
      </c>
      <c r="C3" s="591"/>
      <c r="D3" s="589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12.75" customHeight="1" thickBot="1">
      <c r="A4" s="395"/>
      <c r="B4" s="395"/>
      <c r="C4" s="395"/>
      <c r="D4" s="396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17" ht="45" customHeight="1" thickBot="1">
      <c r="A5" s="397"/>
      <c r="B5" s="398" t="s">
        <v>422</v>
      </c>
      <c r="C5" s="399" t="s">
        <v>8</v>
      </c>
      <c r="D5" s="400" t="s">
        <v>14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2"/>
    </row>
    <row r="6" spans="1:17" ht="21" customHeight="1">
      <c r="A6" s="401"/>
      <c r="B6" s="402" t="s">
        <v>16</v>
      </c>
      <c r="C6" s="403" t="s">
        <v>17</v>
      </c>
      <c r="D6" s="404"/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</row>
    <row r="7" spans="1:17" ht="21" customHeight="1">
      <c r="A7" s="405"/>
      <c r="B7" s="406">
        <v>1</v>
      </c>
      <c r="C7" s="407" t="s">
        <v>18</v>
      </c>
      <c r="D7" s="408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2"/>
      <c r="P7" s="392"/>
      <c r="Q7" s="392"/>
    </row>
    <row r="8" spans="1:17" ht="21" customHeight="1">
      <c r="A8" s="405"/>
      <c r="B8" s="406">
        <v>2</v>
      </c>
      <c r="C8" s="410" t="s">
        <v>74</v>
      </c>
      <c r="D8" s="411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</row>
    <row r="9" spans="1:17" ht="21" customHeight="1">
      <c r="A9" s="405"/>
      <c r="B9" s="406">
        <v>3</v>
      </c>
      <c r="C9" s="410" t="s">
        <v>77</v>
      </c>
      <c r="D9" s="408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</row>
    <row r="10" spans="1:17" ht="21" customHeight="1">
      <c r="A10" s="405"/>
      <c r="B10" s="406">
        <v>4</v>
      </c>
      <c r="C10" s="410" t="s">
        <v>90</v>
      </c>
      <c r="D10" s="409"/>
      <c r="E10" s="392"/>
      <c r="F10" s="392"/>
      <c r="G10" s="392"/>
      <c r="H10" s="392"/>
      <c r="I10" s="392"/>
      <c r="J10" s="392"/>
      <c r="K10" s="392"/>
      <c r="L10" s="392"/>
      <c r="M10" s="392"/>
      <c r="N10" s="392"/>
      <c r="O10" s="392"/>
      <c r="P10" s="392"/>
      <c r="Q10" s="392"/>
    </row>
    <row r="11" spans="1:17" ht="21" customHeight="1">
      <c r="A11" s="405"/>
      <c r="B11" s="406">
        <v>5</v>
      </c>
      <c r="C11" s="410" t="s">
        <v>93</v>
      </c>
      <c r="D11" s="408"/>
      <c r="E11" s="392"/>
      <c r="F11" s="392"/>
      <c r="G11" s="392"/>
      <c r="H11" s="392"/>
      <c r="I11" s="392"/>
      <c r="J11" s="392"/>
      <c r="K11" s="392"/>
      <c r="L11" s="392"/>
      <c r="M11" s="392"/>
      <c r="N11" s="392"/>
      <c r="O11" s="392"/>
      <c r="P11" s="392"/>
      <c r="Q11" s="392"/>
    </row>
    <row r="12" spans="1:17" ht="21" customHeight="1">
      <c r="A12" s="405"/>
      <c r="B12" s="406">
        <v>6</v>
      </c>
      <c r="C12" s="410" t="s">
        <v>102</v>
      </c>
      <c r="D12" s="408"/>
      <c r="E12" s="392"/>
      <c r="F12" s="392"/>
      <c r="G12" s="392"/>
      <c r="H12" s="392"/>
      <c r="I12" s="392"/>
      <c r="J12" s="392"/>
      <c r="K12" s="392"/>
      <c r="L12" s="392"/>
      <c r="M12" s="392"/>
      <c r="N12" s="392"/>
      <c r="O12" s="392"/>
      <c r="P12" s="392"/>
      <c r="Q12" s="392"/>
    </row>
    <row r="13" spans="1:17" ht="21" customHeight="1">
      <c r="A13" s="401"/>
      <c r="B13" s="412" t="s">
        <v>104</v>
      </c>
      <c r="C13" s="403" t="s">
        <v>105</v>
      </c>
      <c r="D13" s="409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392"/>
      <c r="P13" s="392"/>
      <c r="Q13" s="392"/>
    </row>
    <row r="14" spans="1:17" ht="21" hidden="1" customHeight="1">
      <c r="A14" s="405"/>
      <c r="B14" s="406">
        <v>1</v>
      </c>
      <c r="C14" s="410" t="s">
        <v>106</v>
      </c>
      <c r="D14" s="411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392"/>
      <c r="P14" s="392"/>
      <c r="Q14" s="392"/>
    </row>
    <row r="15" spans="1:17" ht="21" hidden="1" customHeight="1">
      <c r="A15" s="405"/>
      <c r="B15" s="406">
        <v>2</v>
      </c>
      <c r="C15" s="410" t="s">
        <v>119</v>
      </c>
      <c r="D15" s="409"/>
      <c r="E15" s="392"/>
      <c r="F15" s="392"/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</row>
    <row r="16" spans="1:17" ht="21" hidden="1" customHeight="1">
      <c r="A16" s="405"/>
      <c r="B16" s="406">
        <v>3</v>
      </c>
      <c r="C16" s="410" t="s">
        <v>124</v>
      </c>
      <c r="D16" s="408"/>
      <c r="E16" s="392"/>
      <c r="F16" s="392"/>
      <c r="G16" s="392"/>
      <c r="H16" s="392"/>
      <c r="I16" s="392"/>
      <c r="J16" s="392"/>
      <c r="K16" s="392"/>
      <c r="L16" s="392"/>
      <c r="M16" s="392"/>
      <c r="N16" s="392"/>
      <c r="O16" s="392"/>
      <c r="P16" s="392"/>
      <c r="Q16" s="392"/>
    </row>
    <row r="17" spans="1:17" ht="21" hidden="1" customHeight="1">
      <c r="A17" s="405"/>
      <c r="B17" s="406">
        <v>4</v>
      </c>
      <c r="C17" s="410" t="s">
        <v>132</v>
      </c>
      <c r="D17" s="409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</row>
    <row r="18" spans="1:17" ht="21" hidden="1" customHeight="1">
      <c r="A18" s="405"/>
      <c r="B18" s="406">
        <v>5</v>
      </c>
      <c r="C18" s="410" t="s">
        <v>138</v>
      </c>
      <c r="D18" s="409"/>
      <c r="E18" s="392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2"/>
      <c r="Q18" s="392"/>
    </row>
    <row r="19" spans="1:17" ht="21" hidden="1" customHeight="1">
      <c r="A19" s="405"/>
      <c r="B19" s="406">
        <v>6</v>
      </c>
      <c r="C19" s="410" t="s">
        <v>141</v>
      </c>
      <c r="D19" s="409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</row>
    <row r="20" spans="1:17" ht="21" hidden="1" customHeight="1">
      <c r="A20" s="405"/>
      <c r="B20" s="406">
        <v>7</v>
      </c>
      <c r="C20" s="410" t="s">
        <v>143</v>
      </c>
      <c r="D20" s="409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</row>
    <row r="21" spans="1:17" ht="21" hidden="1" customHeight="1">
      <c r="A21" s="405"/>
      <c r="B21" s="406">
        <v>8</v>
      </c>
      <c r="C21" s="410" t="s">
        <v>147</v>
      </c>
      <c r="D21" s="409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</row>
    <row r="22" spans="1:17" ht="21" hidden="1" customHeight="1">
      <c r="A22" s="405"/>
      <c r="B22" s="406">
        <v>9</v>
      </c>
      <c r="C22" s="410" t="s">
        <v>150</v>
      </c>
      <c r="D22" s="409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</row>
    <row r="23" spans="1:17" ht="21" hidden="1" customHeight="1">
      <c r="A23" s="405"/>
      <c r="B23" s="406">
        <v>10</v>
      </c>
      <c r="C23" s="410" t="s">
        <v>153</v>
      </c>
      <c r="D23" s="408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</row>
    <row r="24" spans="1:17" ht="21" hidden="1" customHeight="1">
      <c r="A24" s="405"/>
      <c r="B24" s="406">
        <v>11</v>
      </c>
      <c r="C24" s="410" t="s">
        <v>155</v>
      </c>
      <c r="D24" s="408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2"/>
      <c r="P24" s="392"/>
      <c r="Q24" s="392"/>
    </row>
    <row r="25" spans="1:17" ht="21" hidden="1" customHeight="1">
      <c r="A25" s="405"/>
      <c r="B25" s="406">
        <v>16</v>
      </c>
      <c r="C25" s="410" t="s">
        <v>158</v>
      </c>
      <c r="D25" s="408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</row>
    <row r="26" spans="1:17" ht="21" customHeight="1">
      <c r="A26" s="401"/>
      <c r="B26" s="412" t="s">
        <v>167</v>
      </c>
      <c r="C26" s="403" t="s">
        <v>168</v>
      </c>
      <c r="D26" s="409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</row>
    <row r="27" spans="1:17" ht="21" customHeight="1">
      <c r="A27" s="405"/>
      <c r="B27" s="406">
        <v>12</v>
      </c>
      <c r="C27" s="410" t="s">
        <v>169</v>
      </c>
      <c r="D27" s="411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</row>
    <row r="28" spans="1:17" ht="21" customHeight="1">
      <c r="A28" s="405"/>
      <c r="B28" s="406">
        <v>15</v>
      </c>
      <c r="C28" s="410" t="s">
        <v>175</v>
      </c>
      <c r="D28" s="409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</row>
    <row r="29" spans="1:17" ht="21" customHeight="1">
      <c r="A29" s="401"/>
      <c r="B29" s="412" t="s">
        <v>179</v>
      </c>
      <c r="C29" s="403" t="s">
        <v>180</v>
      </c>
      <c r="D29" s="409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</row>
    <row r="30" spans="1:17" ht="21" customHeight="1">
      <c r="A30" s="405"/>
      <c r="B30" s="406">
        <v>1</v>
      </c>
      <c r="C30" s="410" t="s">
        <v>182</v>
      </c>
      <c r="D30" s="408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</row>
    <row r="31" spans="1:17" ht="21" customHeight="1">
      <c r="A31" s="405"/>
      <c r="B31" s="406">
        <v>2</v>
      </c>
      <c r="C31" s="410" t="s">
        <v>205</v>
      </c>
      <c r="D31" s="409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</row>
    <row r="32" spans="1:17" ht="21" customHeight="1">
      <c r="A32" s="405"/>
      <c r="B32" s="406">
        <v>3</v>
      </c>
      <c r="C32" s="410" t="s">
        <v>210</v>
      </c>
      <c r="D32" s="409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</row>
    <row r="33" spans="1:17" ht="21" customHeight="1">
      <c r="A33" s="401"/>
      <c r="B33" s="412" t="s">
        <v>214</v>
      </c>
      <c r="C33" s="403" t="s">
        <v>215</v>
      </c>
      <c r="D33" s="409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</row>
    <row r="34" spans="1:17" ht="21" hidden="1" customHeight="1">
      <c r="A34" s="405"/>
      <c r="B34" s="406">
        <v>1</v>
      </c>
      <c r="C34" s="410" t="s">
        <v>216</v>
      </c>
      <c r="D34" s="411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</row>
    <row r="35" spans="1:17" ht="21" customHeight="1">
      <c r="A35" s="401"/>
      <c r="B35" s="412" t="s">
        <v>221</v>
      </c>
      <c r="C35" s="403" t="s">
        <v>423</v>
      </c>
      <c r="D35" s="409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</row>
    <row r="36" spans="1:17" ht="21" hidden="1" customHeight="1">
      <c r="A36" s="405"/>
      <c r="B36" s="406">
        <v>1</v>
      </c>
      <c r="C36" s="410" t="s">
        <v>223</v>
      </c>
      <c r="D36" s="408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</row>
    <row r="37" spans="1:17" ht="21" hidden="1" customHeight="1">
      <c r="A37" s="405"/>
      <c r="B37" s="406">
        <v>2</v>
      </c>
      <c r="C37" s="410" t="s">
        <v>232</v>
      </c>
      <c r="D37" s="408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</row>
    <row r="38" spans="1:17" ht="21" hidden="1" customHeight="1">
      <c r="A38" s="405"/>
      <c r="B38" s="406">
        <v>3</v>
      </c>
      <c r="C38" s="410" t="s">
        <v>234</v>
      </c>
      <c r="D38" s="408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</row>
    <row r="39" spans="1:17" ht="21" hidden="1" customHeight="1">
      <c r="A39" s="405"/>
      <c r="B39" s="406">
        <v>4</v>
      </c>
      <c r="C39" s="410" t="s">
        <v>236</v>
      </c>
      <c r="D39" s="409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</row>
    <row r="40" spans="1:17" ht="21" hidden="1" customHeight="1">
      <c r="A40" s="405"/>
      <c r="B40" s="406">
        <v>5</v>
      </c>
      <c r="C40" s="410" t="s">
        <v>239</v>
      </c>
      <c r="D40" s="409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</row>
    <row r="41" spans="1:17" ht="21" hidden="1" customHeight="1">
      <c r="A41" s="405"/>
      <c r="B41" s="406">
        <v>6</v>
      </c>
      <c r="C41" s="410" t="s">
        <v>241</v>
      </c>
      <c r="D41" s="409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</row>
    <row r="42" spans="1:17" ht="21" customHeight="1">
      <c r="A42" s="401"/>
      <c r="B42" s="412" t="s">
        <v>243</v>
      </c>
      <c r="C42" s="403" t="s">
        <v>424</v>
      </c>
      <c r="D42" s="409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</row>
    <row r="43" spans="1:17" ht="21" hidden="1" customHeight="1">
      <c r="A43" s="405"/>
      <c r="B43" s="406">
        <v>1</v>
      </c>
      <c r="C43" s="410" t="s">
        <v>245</v>
      </c>
      <c r="D43" s="411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2"/>
    </row>
    <row r="44" spans="1:17" ht="21" hidden="1" customHeight="1">
      <c r="A44" s="405"/>
      <c r="B44" s="406">
        <v>2</v>
      </c>
      <c r="C44" s="410" t="s">
        <v>261</v>
      </c>
      <c r="D44" s="408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</row>
    <row r="45" spans="1:17" ht="21" customHeight="1">
      <c r="A45" s="401"/>
      <c r="B45" s="412" t="s">
        <v>266</v>
      </c>
      <c r="C45" s="403" t="s">
        <v>267</v>
      </c>
      <c r="D45" s="409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</row>
    <row r="46" spans="1:17" ht="21" hidden="1" customHeight="1">
      <c r="A46" s="405"/>
      <c r="B46" s="406">
        <v>1</v>
      </c>
      <c r="C46" s="410" t="s">
        <v>268</v>
      </c>
      <c r="D46" s="409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</row>
    <row r="47" spans="1:17" ht="21" hidden="1" customHeight="1">
      <c r="A47" s="405"/>
      <c r="B47" s="406">
        <v>2</v>
      </c>
      <c r="C47" s="410" t="s">
        <v>288</v>
      </c>
      <c r="D47" s="411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</row>
    <row r="48" spans="1:17" ht="21" hidden="1" customHeight="1">
      <c r="A48" s="405"/>
      <c r="B48" s="406">
        <v>3</v>
      </c>
      <c r="C48" s="410" t="s">
        <v>305</v>
      </c>
      <c r="D48" s="409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</row>
    <row r="49" spans="1:17" ht="21" hidden="1" customHeight="1">
      <c r="A49" s="405"/>
      <c r="B49" s="406">
        <v>4</v>
      </c>
      <c r="C49" s="410" t="s">
        <v>309</v>
      </c>
      <c r="D49" s="408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</row>
    <row r="50" spans="1:17" ht="21" customHeight="1">
      <c r="A50" s="401"/>
      <c r="B50" s="412" t="s">
        <v>318</v>
      </c>
      <c r="C50" s="403" t="s">
        <v>425</v>
      </c>
      <c r="D50" s="409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</row>
    <row r="51" spans="1:17" ht="21" hidden="1" customHeight="1">
      <c r="A51" s="405"/>
      <c r="B51" s="406">
        <v>1</v>
      </c>
      <c r="C51" s="410" t="s">
        <v>320</v>
      </c>
      <c r="D51" s="411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</row>
    <row r="52" spans="1:17" ht="21" customHeight="1">
      <c r="A52" s="401"/>
      <c r="B52" s="412" t="s">
        <v>323</v>
      </c>
      <c r="C52" s="403" t="s">
        <v>426</v>
      </c>
      <c r="D52" s="409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</row>
    <row r="53" spans="1:17" ht="21" hidden="1" customHeight="1">
      <c r="A53" s="405"/>
      <c r="B53" s="406">
        <v>1</v>
      </c>
      <c r="C53" s="410" t="s">
        <v>326</v>
      </c>
      <c r="D53" s="408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</row>
    <row r="54" spans="1:17" ht="21" hidden="1" customHeight="1">
      <c r="A54" s="405"/>
      <c r="B54" s="406">
        <v>2</v>
      </c>
      <c r="C54" s="410" t="s">
        <v>427</v>
      </c>
      <c r="D54" s="408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</row>
    <row r="55" spans="1:17" ht="21" hidden="1" customHeight="1">
      <c r="A55" s="405"/>
      <c r="B55" s="406">
        <v>3</v>
      </c>
      <c r="C55" s="410" t="s">
        <v>428</v>
      </c>
      <c r="D55" s="408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</row>
    <row r="56" spans="1:17" ht="21" hidden="1" customHeight="1">
      <c r="A56" s="405"/>
      <c r="B56" s="406">
        <v>4</v>
      </c>
      <c r="C56" s="410" t="s">
        <v>334</v>
      </c>
      <c r="D56" s="408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</row>
    <row r="57" spans="1:17" ht="21" hidden="1" customHeight="1">
      <c r="A57" s="405"/>
      <c r="B57" s="406">
        <v>5</v>
      </c>
      <c r="C57" s="410" t="s">
        <v>337</v>
      </c>
      <c r="D57" s="408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</row>
    <row r="58" spans="1:17" ht="21" customHeight="1">
      <c r="A58" s="401"/>
      <c r="B58" s="412" t="s">
        <v>340</v>
      </c>
      <c r="C58" s="403" t="s">
        <v>341</v>
      </c>
      <c r="D58" s="409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</row>
    <row r="59" spans="1:17" ht="21" hidden="1" customHeight="1">
      <c r="A59" s="405"/>
      <c r="B59" s="406">
        <v>1</v>
      </c>
      <c r="C59" s="410" t="s">
        <v>429</v>
      </c>
      <c r="D59" s="408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</row>
    <row r="60" spans="1:17" ht="21" customHeight="1">
      <c r="A60" s="401"/>
      <c r="B60" s="412" t="s">
        <v>352</v>
      </c>
      <c r="C60" s="403" t="s">
        <v>353</v>
      </c>
      <c r="D60" s="408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</row>
    <row r="61" spans="1:17" ht="21" hidden="1" customHeight="1">
      <c r="A61" s="405"/>
      <c r="B61" s="406">
        <v>1</v>
      </c>
      <c r="C61" s="410" t="s">
        <v>430</v>
      </c>
      <c r="D61" s="413">
        <v>0</v>
      </c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</row>
    <row r="62" spans="1:17" ht="21" customHeight="1">
      <c r="A62" s="401"/>
      <c r="B62" s="412"/>
      <c r="C62" s="414" t="s">
        <v>365</v>
      </c>
      <c r="D62" s="413">
        <f t="shared" ref="D62" si="0">SUM(D60,D58,D52,D50,D45,D42,D35,D33,D29,D26,D13,D6)</f>
        <v>0</v>
      </c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</row>
    <row r="63" spans="1:17" ht="21" customHeight="1">
      <c r="A63" s="401"/>
      <c r="B63" s="412"/>
      <c r="C63" s="414" t="s">
        <v>367</v>
      </c>
      <c r="D63" s="409">
        <f t="shared" ref="D63" si="1">D62*0.1</f>
        <v>0</v>
      </c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</row>
    <row r="64" spans="1:17" ht="21" customHeight="1">
      <c r="A64" s="401"/>
      <c r="B64" s="412"/>
      <c r="C64" s="414" t="s">
        <v>368</v>
      </c>
      <c r="D64" s="413">
        <f t="shared" ref="D64" si="2">+D62+D63</f>
        <v>0</v>
      </c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</row>
    <row r="65" spans="1:17" ht="21" customHeight="1" thickBot="1">
      <c r="A65" s="401"/>
      <c r="B65" s="412"/>
      <c r="C65" s="403"/>
      <c r="D65" s="413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</row>
    <row r="66" spans="1:17" ht="18.75" customHeight="1" thickBot="1">
      <c r="A66" s="415"/>
      <c r="B66" s="416"/>
      <c r="C66" s="417" t="s">
        <v>431</v>
      </c>
      <c r="D66" s="418">
        <f t="shared" ref="D66" si="3">SUM(D64:D65)</f>
        <v>0</v>
      </c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</row>
    <row r="67" spans="1:17" ht="12.75" customHeight="1">
      <c r="A67" s="419"/>
      <c r="B67" s="419"/>
      <c r="C67" s="419"/>
      <c r="D67" s="420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</row>
    <row r="68" spans="1:17" ht="12.75" customHeight="1">
      <c r="A68" s="392"/>
      <c r="B68" s="392"/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  <c r="O68" s="392"/>
      <c r="P68" s="392"/>
      <c r="Q68" s="392"/>
    </row>
    <row r="69" spans="1:17" ht="12.75" customHeight="1">
      <c r="A69" s="392"/>
      <c r="B69" s="392"/>
      <c r="C69" s="392"/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2"/>
      <c r="O69" s="392"/>
      <c r="P69" s="392"/>
      <c r="Q69" s="392"/>
    </row>
    <row r="70" spans="1:17" ht="12.75" customHeight="1">
      <c r="A70" s="392"/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</row>
    <row r="71" spans="1:17" ht="12.75" customHeight="1">
      <c r="A71" s="392"/>
      <c r="B71" s="392"/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  <c r="Q71" s="392"/>
    </row>
    <row r="72" spans="1:17" ht="12.75" customHeight="1">
      <c r="A72" s="392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2"/>
      <c r="P72" s="392"/>
      <c r="Q72" s="392"/>
    </row>
    <row r="73" spans="1:17" ht="12.75" customHeight="1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</row>
    <row r="74" spans="1:17" ht="12.75" customHeight="1">
      <c r="A74" s="392"/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</row>
    <row r="75" spans="1:17" ht="12.75" customHeight="1">
      <c r="A75" s="392"/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</row>
    <row r="76" spans="1:17" ht="12.75" customHeight="1">
      <c r="A76" s="392"/>
      <c r="B76" s="392"/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</row>
    <row r="77" spans="1:17" ht="12.75" customHeight="1">
      <c r="A77" s="392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</row>
    <row r="78" spans="1:17" ht="12.75" customHeight="1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2"/>
      <c r="P78" s="392"/>
      <c r="Q78" s="392"/>
    </row>
    <row r="79" spans="1:17" ht="12.75" customHeight="1">
      <c r="A79" s="392"/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</row>
    <row r="80" spans="1:17" ht="12.75" customHeight="1">
      <c r="A80" s="392"/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</row>
    <row r="81" spans="1:17" ht="12.75" customHeight="1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392"/>
      <c r="P81" s="392"/>
      <c r="Q81" s="392"/>
    </row>
    <row r="82" spans="1:17" ht="12.75" customHeight="1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</row>
    <row r="83" spans="1:17" ht="12.75" customHeight="1">
      <c r="A83" s="392"/>
      <c r="B83" s="392"/>
      <c r="C83" s="392"/>
      <c r="D83" s="392"/>
      <c r="E83" s="392"/>
      <c r="F83" s="392"/>
      <c r="G83" s="392"/>
      <c r="H83" s="392"/>
      <c r="I83" s="392"/>
      <c r="J83" s="392"/>
      <c r="K83" s="392"/>
      <c r="L83" s="392"/>
      <c r="M83" s="392"/>
      <c r="N83" s="392"/>
      <c r="O83" s="392"/>
      <c r="P83" s="392"/>
      <c r="Q83" s="392"/>
    </row>
    <row r="84" spans="1:17" ht="12.75" customHeight="1">
      <c r="A84" s="392"/>
      <c r="B84" s="392"/>
      <c r="C84" s="392"/>
      <c r="D84" s="392"/>
      <c r="E84" s="392"/>
      <c r="F84" s="392"/>
      <c r="G84" s="392"/>
      <c r="H84" s="392"/>
      <c r="I84" s="392"/>
      <c r="J84" s="392"/>
      <c r="K84" s="392"/>
      <c r="L84" s="392"/>
      <c r="M84" s="392"/>
      <c r="N84" s="392"/>
      <c r="O84" s="392"/>
      <c r="P84" s="392"/>
      <c r="Q84" s="392"/>
    </row>
    <row r="85" spans="1:17" ht="12.75" customHeight="1">
      <c r="A85" s="392"/>
      <c r="B85" s="392"/>
      <c r="C85" s="392"/>
      <c r="D85" s="392"/>
      <c r="E85" s="392"/>
      <c r="F85" s="392"/>
      <c r="G85" s="392"/>
      <c r="H85" s="392"/>
      <c r="I85" s="392"/>
      <c r="J85" s="392"/>
      <c r="K85" s="392"/>
      <c r="L85" s="392"/>
      <c r="M85" s="392"/>
      <c r="N85" s="392"/>
      <c r="O85" s="392"/>
      <c r="P85" s="392"/>
      <c r="Q85" s="392"/>
    </row>
    <row r="86" spans="1:17" ht="12.75" customHeight="1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92"/>
      <c r="Q86" s="392"/>
    </row>
    <row r="87" spans="1:17" ht="12.75" customHeight="1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2"/>
      <c r="P87" s="392"/>
      <c r="Q87" s="392"/>
    </row>
    <row r="88" spans="1:17" ht="12.75" customHeight="1">
      <c r="A88" s="392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</row>
    <row r="89" spans="1:17" ht="12.75" customHeight="1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92"/>
      <c r="Q89" s="392"/>
    </row>
    <row r="90" spans="1:17" ht="12.75" customHeight="1">
      <c r="A90" s="392"/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</row>
    <row r="91" spans="1:17" ht="12.75" customHeight="1">
      <c r="A91" s="392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2"/>
      <c r="P91" s="392"/>
      <c r="Q91" s="392"/>
    </row>
    <row r="92" spans="1:17" ht="12.75" customHeight="1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</row>
    <row r="93" spans="1:17" ht="12.75" customHeight="1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</row>
    <row r="94" spans="1:17" ht="12.75" customHeight="1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2"/>
      <c r="O94" s="392"/>
      <c r="P94" s="392"/>
      <c r="Q94" s="392"/>
    </row>
    <row r="95" spans="1:17" ht="12.75" customHeight="1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</row>
    <row r="96" spans="1:17" ht="12.75" customHeight="1">
      <c r="A96" s="392"/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</row>
    <row r="97" spans="1:17" ht="12.75" customHeight="1">
      <c r="A97" s="392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2"/>
      <c r="P97" s="392"/>
      <c r="Q97" s="392"/>
    </row>
    <row r="98" spans="1:17" ht="12.75" customHeight="1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2"/>
      <c r="P98" s="392"/>
      <c r="Q98" s="392"/>
    </row>
    <row r="99" spans="1:17" ht="12.75" customHeight="1">
      <c r="A99" s="392"/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</row>
    <row r="100" spans="1:17" ht="12.75" customHeight="1">
      <c r="A100" s="392"/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</row>
    <row r="101" spans="1:17" ht="12.75" customHeight="1">
      <c r="A101" s="392"/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</row>
    <row r="102" spans="1:17" ht="12.75" customHeight="1">
      <c r="A102" s="392"/>
      <c r="B102" s="392"/>
      <c r="C102" s="392"/>
      <c r="D102" s="392"/>
      <c r="E102" s="392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</row>
    <row r="103" spans="1:17" ht="12.75" customHeight="1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</row>
    <row r="104" spans="1:17" ht="12.75" customHeight="1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</row>
    <row r="105" spans="1:17" ht="12.75" customHeight="1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</row>
    <row r="106" spans="1:17" ht="12.75" customHeight="1">
      <c r="A106" s="392"/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</row>
    <row r="107" spans="1:17" ht="12.75" customHeight="1">
      <c r="A107" s="392"/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</row>
    <row r="108" spans="1:17" ht="12.75" customHeight="1">
      <c r="A108" s="392"/>
      <c r="B108" s="392"/>
      <c r="C108" s="392"/>
      <c r="D108" s="392"/>
      <c r="E108" s="392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</row>
    <row r="109" spans="1:17" ht="12.75" customHeight="1">
      <c r="A109" s="392"/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</row>
    <row r="110" spans="1:17" ht="12.75" customHeight="1">
      <c r="A110" s="392"/>
      <c r="B110" s="392"/>
      <c r="C110" s="392"/>
      <c r="D110" s="392"/>
      <c r="E110" s="392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</row>
    <row r="111" spans="1:17" ht="12.75" customHeight="1">
      <c r="A111" s="392"/>
      <c r="B111" s="392"/>
      <c r="C111" s="392"/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/>
      <c r="O111" s="392"/>
      <c r="P111" s="392"/>
      <c r="Q111" s="392"/>
    </row>
    <row r="112" spans="1:17" ht="12.75" customHeight="1">
      <c r="A112" s="392"/>
      <c r="B112" s="392"/>
      <c r="C112" s="392"/>
      <c r="D112" s="421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2"/>
      <c r="P112" s="392"/>
      <c r="Q112" s="392"/>
    </row>
    <row r="113" spans="1:17" ht="12.75" customHeight="1">
      <c r="A113" s="392"/>
      <c r="B113" s="392"/>
      <c r="C113" s="392"/>
      <c r="D113" s="421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</row>
    <row r="114" spans="1:17" ht="12.75" customHeight="1">
      <c r="A114" s="392"/>
      <c r="B114" s="392"/>
      <c r="C114" s="392"/>
      <c r="D114" s="421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</row>
    <row r="115" spans="1:17" ht="12.75" customHeight="1">
      <c r="A115" s="392"/>
      <c r="B115" s="392"/>
      <c r="C115" s="392"/>
      <c r="D115" s="421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</row>
    <row r="116" spans="1:17" ht="12.75" customHeight="1">
      <c r="A116" s="392"/>
      <c r="B116" s="392"/>
      <c r="C116" s="392"/>
      <c r="D116" s="421"/>
      <c r="E116" s="392"/>
      <c r="F116" s="392"/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</row>
    <row r="117" spans="1:17" ht="12.75" customHeight="1">
      <c r="A117" s="392"/>
      <c r="B117" s="392"/>
      <c r="C117" s="392"/>
      <c r="D117" s="421"/>
      <c r="E117" s="392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</row>
    <row r="118" spans="1:17" ht="12.75" customHeight="1">
      <c r="A118" s="392"/>
      <c r="B118" s="392"/>
      <c r="C118" s="392"/>
      <c r="D118" s="421"/>
      <c r="E118" s="392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</row>
    <row r="119" spans="1:17" ht="12.75" customHeight="1">
      <c r="A119" s="392"/>
      <c r="B119" s="392"/>
      <c r="C119" s="392"/>
      <c r="D119" s="421"/>
      <c r="E119" s="392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</row>
    <row r="120" spans="1:17" ht="12.75" customHeight="1">
      <c r="A120" s="392"/>
      <c r="B120" s="392"/>
      <c r="C120" s="392"/>
      <c r="D120" s="421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</row>
    <row r="121" spans="1:17" ht="12.75" customHeight="1">
      <c r="A121" s="392"/>
      <c r="B121" s="392"/>
      <c r="C121" s="392"/>
      <c r="D121" s="421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</row>
    <row r="122" spans="1:17" ht="12.75" customHeight="1">
      <c r="A122" s="392"/>
      <c r="B122" s="392"/>
      <c r="C122" s="392"/>
      <c r="D122" s="421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</row>
    <row r="123" spans="1:17" ht="12.75" customHeight="1">
      <c r="A123" s="392"/>
      <c r="B123" s="392"/>
      <c r="C123" s="392"/>
      <c r="D123" s="421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</row>
    <row r="124" spans="1:17" ht="12.75" customHeight="1">
      <c r="A124" s="392"/>
      <c r="B124" s="392"/>
      <c r="C124" s="392"/>
      <c r="D124" s="421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</row>
    <row r="125" spans="1:17" ht="12.75" customHeight="1">
      <c r="A125" s="392"/>
      <c r="B125" s="392"/>
      <c r="C125" s="392"/>
      <c r="D125" s="421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</row>
    <row r="126" spans="1:17" ht="12.75" customHeight="1">
      <c r="A126" s="392"/>
      <c r="B126" s="392"/>
      <c r="C126" s="392"/>
      <c r="D126" s="421"/>
      <c r="E126" s="392"/>
      <c r="F126" s="392"/>
      <c r="G126" s="392"/>
      <c r="H126" s="392"/>
      <c r="I126" s="392"/>
      <c r="J126" s="392"/>
      <c r="K126" s="392"/>
      <c r="L126" s="392"/>
      <c r="M126" s="392"/>
      <c r="N126" s="392"/>
      <c r="O126" s="392"/>
      <c r="P126" s="392"/>
      <c r="Q126" s="392"/>
    </row>
    <row r="127" spans="1:17" ht="12.75" customHeight="1">
      <c r="A127" s="392"/>
      <c r="B127" s="392"/>
      <c r="C127" s="392"/>
      <c r="D127" s="421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2"/>
      <c r="P127" s="392"/>
      <c r="Q127" s="392"/>
    </row>
    <row r="128" spans="1:17" ht="12.75" customHeight="1">
      <c r="A128" s="392"/>
      <c r="B128" s="392"/>
      <c r="C128" s="392"/>
      <c r="D128" s="421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2"/>
      <c r="P128" s="392"/>
      <c r="Q128" s="392"/>
    </row>
    <row r="129" spans="1:17" ht="12.75" customHeight="1">
      <c r="A129" s="392"/>
      <c r="B129" s="392"/>
      <c r="C129" s="392"/>
      <c r="D129" s="421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</row>
    <row r="130" spans="1:17" ht="12.75" customHeight="1">
      <c r="A130" s="392"/>
      <c r="B130" s="392"/>
      <c r="C130" s="392"/>
      <c r="D130" s="421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</row>
    <row r="131" spans="1:17" ht="12.75" customHeight="1">
      <c r="A131" s="392"/>
      <c r="B131" s="392"/>
      <c r="C131" s="392"/>
      <c r="D131" s="421"/>
      <c r="E131" s="392"/>
      <c r="F131" s="392"/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</row>
    <row r="132" spans="1:17" ht="12.75" customHeight="1">
      <c r="A132" s="392"/>
      <c r="B132" s="392"/>
      <c r="C132" s="392"/>
      <c r="D132" s="421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</row>
    <row r="133" spans="1:17" ht="12.75" customHeight="1">
      <c r="A133" s="392"/>
      <c r="B133" s="392"/>
      <c r="C133" s="392"/>
      <c r="D133" s="421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</row>
    <row r="134" spans="1:17" ht="12.75" customHeight="1">
      <c r="A134" s="392"/>
      <c r="B134" s="392"/>
      <c r="C134" s="392"/>
      <c r="D134" s="421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</row>
    <row r="135" spans="1:17" ht="12.75" customHeight="1">
      <c r="A135" s="392"/>
      <c r="B135" s="392"/>
      <c r="C135" s="392"/>
      <c r="D135" s="421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</row>
    <row r="136" spans="1:17" ht="12.75" customHeight="1">
      <c r="A136" s="392"/>
      <c r="B136" s="392"/>
      <c r="C136" s="392"/>
      <c r="D136" s="421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</row>
    <row r="137" spans="1:17" ht="12.75" customHeight="1">
      <c r="A137" s="392"/>
      <c r="B137" s="392"/>
      <c r="C137" s="392"/>
      <c r="D137" s="421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</row>
    <row r="138" spans="1:17" ht="12.75" customHeight="1">
      <c r="A138" s="392"/>
      <c r="B138" s="392"/>
      <c r="C138" s="392"/>
      <c r="D138" s="421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</row>
    <row r="139" spans="1:17" ht="12.75" customHeight="1">
      <c r="A139" s="392"/>
      <c r="B139" s="392"/>
      <c r="C139" s="392"/>
      <c r="D139" s="421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</row>
    <row r="140" spans="1:17" ht="12.75" customHeight="1">
      <c r="A140" s="392"/>
      <c r="B140" s="392"/>
      <c r="C140" s="392"/>
      <c r="D140" s="421"/>
      <c r="E140" s="392"/>
      <c r="F140" s="392"/>
      <c r="G140" s="392"/>
      <c r="H140" s="392"/>
      <c r="I140" s="392"/>
      <c r="J140" s="392"/>
      <c r="K140" s="392"/>
      <c r="L140" s="392"/>
      <c r="M140" s="392"/>
      <c r="N140" s="392"/>
      <c r="O140" s="392"/>
      <c r="P140" s="392"/>
      <c r="Q140" s="392"/>
    </row>
    <row r="141" spans="1:17" ht="12.75" customHeight="1">
      <c r="A141" s="392"/>
      <c r="B141" s="392"/>
      <c r="C141" s="392"/>
      <c r="D141" s="421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2"/>
      <c r="P141" s="392"/>
      <c r="Q141" s="392"/>
    </row>
    <row r="142" spans="1:17" ht="12.75" customHeight="1">
      <c r="A142" s="392"/>
      <c r="B142" s="392"/>
      <c r="C142" s="392"/>
      <c r="D142" s="421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</row>
    <row r="143" spans="1:17" ht="12.75" customHeight="1">
      <c r="A143" s="392"/>
      <c r="B143" s="392"/>
      <c r="C143" s="392"/>
      <c r="D143" s="421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</row>
    <row r="144" spans="1:17" ht="12.75" customHeight="1">
      <c r="A144" s="392"/>
      <c r="B144" s="392"/>
      <c r="C144" s="392"/>
      <c r="D144" s="421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</row>
    <row r="145" spans="1:17" ht="12.75" customHeight="1">
      <c r="A145" s="392"/>
      <c r="B145" s="392"/>
      <c r="C145" s="392"/>
      <c r="D145" s="421"/>
      <c r="E145" s="392"/>
      <c r="F145" s="392"/>
      <c r="G145" s="392"/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</row>
    <row r="146" spans="1:17" ht="12.75" customHeight="1">
      <c r="A146" s="392"/>
      <c r="B146" s="392"/>
      <c r="C146" s="392"/>
      <c r="D146" s="421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</row>
    <row r="147" spans="1:17" ht="12.75" customHeight="1">
      <c r="A147" s="392"/>
      <c r="B147" s="392"/>
      <c r="C147" s="392"/>
      <c r="D147" s="421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</row>
    <row r="148" spans="1:17" ht="12.75" customHeight="1">
      <c r="A148" s="392"/>
      <c r="B148" s="392"/>
      <c r="C148" s="392"/>
      <c r="D148" s="421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2"/>
      <c r="P148" s="392"/>
      <c r="Q148" s="392"/>
    </row>
    <row r="149" spans="1:17" ht="12.75" customHeight="1">
      <c r="A149" s="392"/>
      <c r="B149" s="392"/>
      <c r="C149" s="392"/>
      <c r="D149" s="421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</row>
    <row r="150" spans="1:17" ht="12.75" customHeight="1">
      <c r="A150" s="392"/>
      <c r="B150" s="392"/>
      <c r="C150" s="392"/>
      <c r="D150" s="421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</row>
    <row r="151" spans="1:17" ht="12.75" customHeight="1">
      <c r="A151" s="392"/>
      <c r="B151" s="392"/>
      <c r="C151" s="392"/>
      <c r="D151" s="421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</row>
    <row r="152" spans="1:17" ht="12.75" customHeight="1">
      <c r="A152" s="392"/>
      <c r="B152" s="392"/>
      <c r="C152" s="392"/>
      <c r="D152" s="421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2"/>
      <c r="P152" s="392"/>
      <c r="Q152" s="392"/>
    </row>
    <row r="153" spans="1:17" ht="12.75" customHeight="1">
      <c r="A153" s="392"/>
      <c r="B153" s="392"/>
      <c r="C153" s="392"/>
      <c r="D153" s="421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2"/>
      <c r="P153" s="392"/>
      <c r="Q153" s="392"/>
    </row>
    <row r="154" spans="1:17" ht="12.75" customHeight="1">
      <c r="A154" s="392"/>
      <c r="B154" s="392"/>
      <c r="C154" s="392"/>
      <c r="D154" s="421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</row>
    <row r="155" spans="1:17" ht="12.75" customHeight="1">
      <c r="A155" s="392"/>
      <c r="B155" s="392"/>
      <c r="C155" s="392"/>
      <c r="D155" s="421"/>
      <c r="E155" s="392"/>
      <c r="F155" s="392"/>
      <c r="G155" s="392"/>
      <c r="H155" s="392"/>
      <c r="I155" s="392"/>
      <c r="J155" s="392"/>
      <c r="K155" s="392"/>
      <c r="L155" s="392"/>
      <c r="M155" s="392"/>
      <c r="N155" s="392"/>
      <c r="O155" s="392"/>
      <c r="P155" s="392"/>
      <c r="Q155" s="392"/>
    </row>
    <row r="156" spans="1:17" ht="12.75" customHeight="1">
      <c r="A156" s="392"/>
      <c r="B156" s="392"/>
      <c r="C156" s="392"/>
      <c r="D156" s="421"/>
      <c r="E156" s="392"/>
      <c r="F156" s="392"/>
      <c r="G156" s="392"/>
      <c r="H156" s="392"/>
      <c r="I156" s="392"/>
      <c r="J156" s="392"/>
      <c r="K156" s="392"/>
      <c r="L156" s="392"/>
      <c r="M156" s="392"/>
      <c r="N156" s="392"/>
      <c r="O156" s="392"/>
      <c r="P156" s="392"/>
      <c r="Q156" s="392"/>
    </row>
    <row r="157" spans="1:17" ht="12.75" customHeight="1">
      <c r="A157" s="392"/>
      <c r="B157" s="392"/>
      <c r="C157" s="392"/>
      <c r="D157" s="421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2"/>
      <c r="P157" s="392"/>
      <c r="Q157" s="392"/>
    </row>
    <row r="158" spans="1:17" ht="12.75" customHeight="1">
      <c r="A158" s="392"/>
      <c r="B158" s="392"/>
      <c r="C158" s="392"/>
      <c r="D158" s="421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2"/>
      <c r="P158" s="392"/>
      <c r="Q158" s="392"/>
    </row>
    <row r="159" spans="1:17" ht="12.75" customHeight="1">
      <c r="A159" s="392"/>
      <c r="B159" s="392"/>
      <c r="C159" s="392"/>
      <c r="D159" s="421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</row>
    <row r="160" spans="1:17" ht="12.75" customHeight="1">
      <c r="A160" s="392"/>
      <c r="B160" s="392"/>
      <c r="C160" s="392"/>
      <c r="D160" s="421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</row>
    <row r="161" spans="1:17" ht="12.75" customHeight="1">
      <c r="A161" s="392"/>
      <c r="B161" s="392"/>
      <c r="C161" s="392"/>
      <c r="D161" s="421"/>
      <c r="E161" s="392"/>
      <c r="F161" s="392"/>
      <c r="G161" s="392"/>
      <c r="H161" s="392"/>
      <c r="I161" s="392"/>
      <c r="J161" s="392"/>
      <c r="K161" s="392"/>
      <c r="L161" s="392"/>
      <c r="M161" s="392"/>
      <c r="N161" s="392"/>
      <c r="O161" s="392"/>
      <c r="P161" s="392"/>
      <c r="Q161" s="392"/>
    </row>
    <row r="162" spans="1:17" ht="12.75" customHeight="1">
      <c r="A162" s="392"/>
      <c r="B162" s="392"/>
      <c r="C162" s="392"/>
      <c r="D162" s="421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</row>
    <row r="163" spans="1:17" ht="12.75" customHeight="1">
      <c r="A163" s="392"/>
      <c r="B163" s="392"/>
      <c r="C163" s="392"/>
      <c r="D163" s="421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</row>
    <row r="164" spans="1:17" ht="12.75" customHeight="1">
      <c r="A164" s="392"/>
      <c r="B164" s="392"/>
      <c r="C164" s="392"/>
      <c r="D164" s="421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</row>
    <row r="165" spans="1:17" ht="12.75" customHeight="1">
      <c r="A165" s="392"/>
      <c r="B165" s="392"/>
      <c r="C165" s="392"/>
      <c r="D165" s="421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2"/>
      <c r="P165" s="392"/>
      <c r="Q165" s="392"/>
    </row>
    <row r="166" spans="1:17" ht="12.75" customHeight="1">
      <c r="A166" s="392"/>
      <c r="B166" s="392"/>
      <c r="C166" s="392"/>
      <c r="D166" s="421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</row>
    <row r="167" spans="1:17" ht="12.75" customHeight="1">
      <c r="A167" s="392"/>
      <c r="B167" s="392"/>
      <c r="C167" s="392"/>
      <c r="D167" s="421"/>
      <c r="E167" s="392"/>
      <c r="F167" s="392"/>
      <c r="G167" s="392"/>
      <c r="H167" s="392"/>
      <c r="I167" s="392"/>
      <c r="J167" s="392"/>
      <c r="K167" s="392"/>
      <c r="L167" s="392"/>
      <c r="M167" s="392"/>
      <c r="N167" s="392"/>
      <c r="O167" s="392"/>
      <c r="P167" s="392"/>
      <c r="Q167" s="392"/>
    </row>
    <row r="168" spans="1:17" ht="12.75" customHeight="1">
      <c r="A168" s="392"/>
      <c r="B168" s="392"/>
      <c r="C168" s="392"/>
      <c r="D168" s="421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</row>
    <row r="169" spans="1:17" ht="12.75" customHeight="1">
      <c r="A169" s="392"/>
      <c r="B169" s="392"/>
      <c r="C169" s="392"/>
      <c r="D169" s="421"/>
      <c r="E169" s="392"/>
      <c r="F169" s="392"/>
      <c r="G169" s="392"/>
      <c r="H169" s="392"/>
      <c r="I169" s="392"/>
      <c r="J169" s="392"/>
      <c r="K169" s="392"/>
      <c r="L169" s="392"/>
      <c r="M169" s="392"/>
      <c r="N169" s="392"/>
      <c r="O169" s="392"/>
      <c r="P169" s="392"/>
      <c r="Q169" s="392"/>
    </row>
    <row r="170" spans="1:17" ht="12.75" customHeight="1">
      <c r="A170" s="392"/>
      <c r="B170" s="392"/>
      <c r="C170" s="392"/>
      <c r="D170" s="421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392"/>
      <c r="P170" s="392"/>
      <c r="Q170" s="392"/>
    </row>
    <row r="171" spans="1:17" ht="12.75" customHeight="1">
      <c r="A171" s="392"/>
      <c r="B171" s="392"/>
      <c r="C171" s="392"/>
      <c r="D171" s="421"/>
      <c r="E171" s="392"/>
      <c r="F171" s="392"/>
      <c r="G171" s="392"/>
      <c r="H171" s="392"/>
      <c r="I171" s="392"/>
      <c r="J171" s="392"/>
      <c r="K171" s="392"/>
      <c r="L171" s="392"/>
      <c r="M171" s="392"/>
      <c r="N171" s="392"/>
      <c r="O171" s="392"/>
      <c r="P171" s="392"/>
      <c r="Q171" s="392"/>
    </row>
    <row r="172" spans="1:17" ht="12.75" customHeight="1">
      <c r="A172" s="392"/>
      <c r="B172" s="392"/>
      <c r="C172" s="392"/>
      <c r="D172" s="421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</row>
    <row r="173" spans="1:17" ht="12.75" customHeight="1">
      <c r="A173" s="392"/>
      <c r="B173" s="392"/>
      <c r="C173" s="392"/>
      <c r="D173" s="421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</row>
    <row r="174" spans="1:17" ht="12.75" customHeight="1">
      <c r="A174" s="392"/>
      <c r="B174" s="392"/>
      <c r="C174" s="392"/>
      <c r="D174" s="421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</row>
    <row r="175" spans="1:17" ht="12.75" customHeight="1">
      <c r="A175" s="392"/>
      <c r="B175" s="392"/>
      <c r="C175" s="392"/>
      <c r="D175" s="421"/>
      <c r="E175" s="392"/>
      <c r="F175" s="392"/>
      <c r="G175" s="392"/>
      <c r="H175" s="392"/>
      <c r="I175" s="392"/>
      <c r="J175" s="392"/>
      <c r="K175" s="392"/>
      <c r="L175" s="392"/>
      <c r="M175" s="392"/>
      <c r="N175" s="392"/>
      <c r="O175" s="392"/>
      <c r="P175" s="392"/>
      <c r="Q175" s="392"/>
    </row>
    <row r="176" spans="1:17" ht="12.75" customHeight="1">
      <c r="A176" s="392"/>
      <c r="B176" s="392"/>
      <c r="C176" s="392"/>
      <c r="D176" s="421"/>
      <c r="E176" s="392"/>
      <c r="F176" s="392"/>
      <c r="G176" s="392"/>
      <c r="H176" s="392"/>
      <c r="I176" s="392"/>
      <c r="J176" s="392"/>
      <c r="K176" s="392"/>
      <c r="L176" s="392"/>
      <c r="M176" s="392"/>
      <c r="N176" s="392"/>
      <c r="O176" s="392"/>
      <c r="P176" s="392"/>
      <c r="Q176" s="392"/>
    </row>
    <row r="177" spans="1:17" ht="12.75" customHeight="1">
      <c r="A177" s="392"/>
      <c r="B177" s="392"/>
      <c r="C177" s="392"/>
      <c r="D177" s="421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392"/>
      <c r="P177" s="392"/>
      <c r="Q177" s="392"/>
    </row>
    <row r="178" spans="1:17" ht="12.75" customHeight="1">
      <c r="A178" s="392"/>
      <c r="B178" s="392"/>
      <c r="C178" s="392"/>
      <c r="D178" s="421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2"/>
      <c r="P178" s="392"/>
      <c r="Q178" s="392"/>
    </row>
    <row r="179" spans="1:17" ht="12.75" customHeight="1">
      <c r="A179" s="392"/>
      <c r="B179" s="392"/>
      <c r="C179" s="392"/>
      <c r="D179" s="421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2"/>
      <c r="P179" s="392"/>
      <c r="Q179" s="392"/>
    </row>
    <row r="180" spans="1:17" ht="12.75" customHeight="1">
      <c r="A180" s="392"/>
      <c r="B180" s="392"/>
      <c r="C180" s="392"/>
      <c r="D180" s="421"/>
      <c r="E180" s="392"/>
      <c r="F180" s="392"/>
      <c r="G180" s="392"/>
      <c r="H180" s="392"/>
      <c r="I180" s="392"/>
      <c r="J180" s="392"/>
      <c r="K180" s="392"/>
      <c r="L180" s="392"/>
      <c r="M180" s="392"/>
      <c r="N180" s="392"/>
      <c r="O180" s="392"/>
      <c r="P180" s="392"/>
      <c r="Q180" s="392"/>
    </row>
    <row r="181" spans="1:17" ht="12.75" customHeight="1">
      <c r="A181" s="392"/>
      <c r="B181" s="392"/>
      <c r="C181" s="392"/>
      <c r="D181" s="421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</row>
    <row r="182" spans="1:17" ht="12.75" customHeight="1">
      <c r="A182" s="392"/>
      <c r="B182" s="392"/>
      <c r="C182" s="392"/>
      <c r="D182" s="421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</row>
    <row r="183" spans="1:17" ht="12.75" customHeight="1">
      <c r="A183" s="392"/>
      <c r="B183" s="392"/>
      <c r="C183" s="392"/>
      <c r="D183" s="421"/>
      <c r="E183" s="392"/>
      <c r="F183" s="392"/>
      <c r="G183" s="392"/>
      <c r="H183" s="392"/>
      <c r="I183" s="392"/>
      <c r="J183" s="392"/>
      <c r="K183" s="392"/>
      <c r="L183" s="392"/>
      <c r="M183" s="392"/>
      <c r="N183" s="392"/>
      <c r="O183" s="392"/>
      <c r="P183" s="392"/>
      <c r="Q183" s="392"/>
    </row>
    <row r="184" spans="1:17" ht="12.75" customHeight="1">
      <c r="A184" s="392"/>
      <c r="B184" s="392"/>
      <c r="C184" s="392"/>
      <c r="D184" s="421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</row>
    <row r="185" spans="1:17" ht="12.75" customHeight="1">
      <c r="A185" s="392"/>
      <c r="B185" s="392"/>
      <c r="C185" s="392"/>
      <c r="D185" s="421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</row>
    <row r="186" spans="1:17" ht="12.75" customHeight="1">
      <c r="A186" s="392"/>
      <c r="B186" s="392"/>
      <c r="C186" s="392"/>
      <c r="D186" s="421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</row>
    <row r="187" spans="1:17" ht="12.75" customHeight="1">
      <c r="A187" s="392"/>
      <c r="B187" s="392"/>
      <c r="C187" s="392"/>
      <c r="D187" s="421"/>
      <c r="E187" s="392"/>
      <c r="F187" s="392"/>
      <c r="G187" s="392"/>
      <c r="H187" s="392"/>
      <c r="I187" s="392"/>
      <c r="J187" s="392"/>
      <c r="K187" s="392"/>
      <c r="L187" s="392"/>
      <c r="M187" s="392"/>
      <c r="N187" s="392"/>
      <c r="O187" s="392"/>
      <c r="P187" s="392"/>
      <c r="Q187" s="392"/>
    </row>
    <row r="188" spans="1:17" ht="12.75" customHeight="1">
      <c r="A188" s="392"/>
      <c r="B188" s="392"/>
      <c r="C188" s="392"/>
      <c r="D188" s="421"/>
      <c r="E188" s="392"/>
      <c r="F188" s="392"/>
      <c r="G188" s="392"/>
      <c r="H188" s="392"/>
      <c r="I188" s="392"/>
      <c r="J188" s="392"/>
      <c r="K188" s="392"/>
      <c r="L188" s="392"/>
      <c r="M188" s="392"/>
      <c r="N188" s="392"/>
      <c r="O188" s="392"/>
      <c r="P188" s="392"/>
      <c r="Q188" s="392"/>
    </row>
    <row r="189" spans="1:17" ht="12.75" customHeight="1">
      <c r="A189" s="392"/>
      <c r="B189" s="392"/>
      <c r="C189" s="392"/>
      <c r="D189" s="421"/>
      <c r="E189" s="392"/>
      <c r="F189" s="392"/>
      <c r="G189" s="392"/>
      <c r="H189" s="392"/>
      <c r="I189" s="392"/>
      <c r="J189" s="392"/>
      <c r="K189" s="392"/>
      <c r="L189" s="392"/>
      <c r="M189" s="392"/>
      <c r="N189" s="392"/>
      <c r="O189" s="392"/>
      <c r="P189" s="392"/>
      <c r="Q189" s="392"/>
    </row>
    <row r="190" spans="1:17" ht="12.75" customHeight="1">
      <c r="A190" s="392"/>
      <c r="B190" s="392"/>
      <c r="C190" s="392"/>
      <c r="D190" s="421"/>
      <c r="E190" s="392"/>
      <c r="F190" s="392"/>
      <c r="G190" s="392"/>
      <c r="H190" s="392"/>
      <c r="I190" s="392"/>
      <c r="J190" s="392"/>
      <c r="K190" s="392"/>
      <c r="L190" s="392"/>
      <c r="M190" s="392"/>
      <c r="N190" s="392"/>
      <c r="O190" s="392"/>
      <c r="P190" s="392"/>
      <c r="Q190" s="392"/>
    </row>
    <row r="191" spans="1:17" ht="12.75" customHeight="1">
      <c r="A191" s="392"/>
      <c r="B191" s="392"/>
      <c r="C191" s="392"/>
      <c r="D191" s="421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2"/>
      <c r="P191" s="392"/>
      <c r="Q191" s="392"/>
    </row>
    <row r="192" spans="1:17" ht="12.75" customHeight="1">
      <c r="A192" s="392"/>
      <c r="B192" s="392"/>
      <c r="C192" s="392"/>
      <c r="D192" s="421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2"/>
      <c r="P192" s="392"/>
      <c r="Q192" s="392"/>
    </row>
    <row r="193" spans="1:17" ht="12.75" customHeight="1">
      <c r="A193" s="392"/>
      <c r="B193" s="392"/>
      <c r="C193" s="392"/>
      <c r="D193" s="421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</row>
    <row r="194" spans="1:17" ht="12.75" customHeight="1">
      <c r="A194" s="392"/>
      <c r="B194" s="392"/>
      <c r="C194" s="392"/>
      <c r="D194" s="421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</row>
    <row r="195" spans="1:17" ht="12.75" customHeight="1">
      <c r="A195" s="392"/>
      <c r="B195" s="392"/>
      <c r="C195" s="392"/>
      <c r="D195" s="421"/>
      <c r="E195" s="392"/>
      <c r="F195" s="392"/>
      <c r="G195" s="392"/>
      <c r="H195" s="392"/>
      <c r="I195" s="392"/>
      <c r="J195" s="392"/>
      <c r="K195" s="392"/>
      <c r="L195" s="392"/>
      <c r="M195" s="392"/>
      <c r="N195" s="392"/>
      <c r="O195" s="392"/>
      <c r="P195" s="392"/>
      <c r="Q195" s="392"/>
    </row>
    <row r="196" spans="1:17" ht="12.75" customHeight="1">
      <c r="A196" s="392"/>
      <c r="B196" s="392"/>
      <c r="C196" s="392"/>
      <c r="D196" s="421"/>
      <c r="E196" s="392"/>
      <c r="F196" s="392"/>
      <c r="G196" s="392"/>
      <c r="H196" s="392"/>
      <c r="I196" s="392"/>
      <c r="J196" s="392"/>
      <c r="K196" s="392"/>
      <c r="L196" s="392"/>
      <c r="M196" s="392"/>
      <c r="N196" s="392"/>
      <c r="O196" s="392"/>
      <c r="P196" s="392"/>
      <c r="Q196" s="392"/>
    </row>
    <row r="197" spans="1:17" ht="12.75" customHeight="1">
      <c r="A197" s="392"/>
      <c r="B197" s="392"/>
      <c r="C197" s="392"/>
      <c r="D197" s="421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2"/>
      <c r="P197" s="392"/>
      <c r="Q197" s="392"/>
    </row>
    <row r="198" spans="1:17" ht="12.75" customHeight="1">
      <c r="A198" s="392"/>
      <c r="B198" s="392"/>
      <c r="C198" s="392"/>
      <c r="D198" s="421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</row>
    <row r="199" spans="1:17" ht="12.75" customHeight="1">
      <c r="A199" s="392"/>
      <c r="B199" s="392"/>
      <c r="C199" s="392"/>
      <c r="D199" s="421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</row>
    <row r="200" spans="1:17" ht="12.75" customHeight="1">
      <c r="A200" s="392"/>
      <c r="B200" s="392"/>
      <c r="C200" s="392"/>
      <c r="D200" s="421"/>
      <c r="E200" s="392"/>
      <c r="F200" s="392"/>
      <c r="G200" s="392"/>
      <c r="H200" s="392"/>
      <c r="I200" s="392"/>
      <c r="J200" s="392"/>
      <c r="K200" s="392"/>
      <c r="L200" s="392"/>
      <c r="M200" s="392"/>
      <c r="N200" s="392"/>
      <c r="O200" s="392"/>
      <c r="P200" s="392"/>
      <c r="Q200" s="392"/>
    </row>
    <row r="201" spans="1:17" ht="12.75" customHeight="1">
      <c r="A201" s="392"/>
      <c r="B201" s="392"/>
      <c r="C201" s="392"/>
      <c r="D201" s="421"/>
      <c r="E201" s="392"/>
      <c r="F201" s="392"/>
      <c r="G201" s="392"/>
      <c r="H201" s="392"/>
      <c r="I201" s="392"/>
      <c r="J201" s="392"/>
      <c r="K201" s="392"/>
      <c r="L201" s="392"/>
      <c r="M201" s="392"/>
      <c r="N201" s="392"/>
      <c r="O201" s="392"/>
      <c r="P201" s="392"/>
      <c r="Q201" s="392"/>
    </row>
    <row r="202" spans="1:17" ht="12.75" customHeight="1">
      <c r="A202" s="392"/>
      <c r="B202" s="392"/>
      <c r="C202" s="392"/>
      <c r="D202" s="421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2"/>
      <c r="P202" s="392"/>
      <c r="Q202" s="392"/>
    </row>
    <row r="203" spans="1:17" ht="12.75" customHeight="1">
      <c r="A203" s="392"/>
      <c r="B203" s="392"/>
      <c r="C203" s="392"/>
      <c r="D203" s="421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</row>
    <row r="204" spans="1:17" ht="12.75" customHeight="1">
      <c r="A204" s="392"/>
      <c r="B204" s="392"/>
      <c r="C204" s="392"/>
      <c r="D204" s="421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</row>
    <row r="205" spans="1:17" ht="12.75" customHeight="1">
      <c r="A205" s="392"/>
      <c r="B205" s="392"/>
      <c r="C205" s="392"/>
      <c r="D205" s="421"/>
      <c r="E205" s="392"/>
      <c r="F205" s="392"/>
      <c r="G205" s="392"/>
      <c r="H205" s="392"/>
      <c r="I205" s="392"/>
      <c r="J205" s="392"/>
      <c r="K205" s="392"/>
      <c r="L205" s="392"/>
      <c r="M205" s="392"/>
      <c r="N205" s="392"/>
      <c r="O205" s="392"/>
      <c r="P205" s="392"/>
      <c r="Q205" s="392"/>
    </row>
    <row r="206" spans="1:17" ht="12.75" customHeight="1">
      <c r="A206" s="392"/>
      <c r="B206" s="392"/>
      <c r="C206" s="392"/>
      <c r="D206" s="421"/>
      <c r="E206" s="392"/>
      <c r="F206" s="392"/>
      <c r="G206" s="392"/>
      <c r="H206" s="392"/>
      <c r="I206" s="392"/>
      <c r="J206" s="392"/>
      <c r="K206" s="392"/>
      <c r="L206" s="392"/>
      <c r="M206" s="392"/>
      <c r="N206" s="392"/>
      <c r="O206" s="392"/>
      <c r="P206" s="392"/>
      <c r="Q206" s="392"/>
    </row>
    <row r="207" spans="1:17" ht="12.75" customHeight="1">
      <c r="A207" s="392"/>
      <c r="B207" s="392"/>
      <c r="C207" s="392"/>
      <c r="D207" s="421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392"/>
      <c r="P207" s="392"/>
      <c r="Q207" s="392"/>
    </row>
    <row r="208" spans="1:17" ht="12.75" customHeight="1">
      <c r="A208" s="392"/>
      <c r="B208" s="392"/>
      <c r="C208" s="392"/>
      <c r="D208" s="421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392"/>
      <c r="P208" s="392"/>
      <c r="Q208" s="392"/>
    </row>
    <row r="209" spans="1:17" ht="12.75" customHeight="1">
      <c r="A209" s="392"/>
      <c r="B209" s="392"/>
      <c r="C209" s="392"/>
      <c r="D209" s="421"/>
      <c r="E209" s="392"/>
      <c r="F209" s="392"/>
      <c r="G209" s="392"/>
      <c r="H209" s="392"/>
      <c r="I209" s="392"/>
      <c r="J209" s="392"/>
      <c r="K209" s="392"/>
      <c r="L209" s="392"/>
      <c r="M209" s="392"/>
      <c r="N209" s="392"/>
      <c r="O209" s="392"/>
      <c r="P209" s="392"/>
      <c r="Q209" s="392"/>
    </row>
    <row r="210" spans="1:17" ht="12.75" customHeight="1">
      <c r="A210" s="392"/>
      <c r="B210" s="392"/>
      <c r="C210" s="392"/>
      <c r="D210" s="421"/>
      <c r="E210" s="392"/>
      <c r="F210" s="392"/>
      <c r="G210" s="392"/>
      <c r="H210" s="392"/>
      <c r="I210" s="392"/>
      <c r="J210" s="392"/>
      <c r="K210" s="392"/>
      <c r="L210" s="392"/>
      <c r="M210" s="392"/>
      <c r="N210" s="392"/>
      <c r="O210" s="392"/>
      <c r="P210" s="392"/>
      <c r="Q210" s="392"/>
    </row>
    <row r="211" spans="1:17" ht="12.75" customHeight="1">
      <c r="A211" s="392"/>
      <c r="B211" s="392"/>
      <c r="C211" s="392"/>
      <c r="D211" s="421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</row>
    <row r="212" spans="1:17" ht="12.75" customHeight="1">
      <c r="A212" s="392"/>
      <c r="B212" s="392"/>
      <c r="C212" s="392"/>
      <c r="D212" s="421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</row>
    <row r="213" spans="1:17" ht="12.75" customHeight="1">
      <c r="A213" s="392"/>
      <c r="B213" s="392"/>
      <c r="C213" s="392"/>
      <c r="D213" s="421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</row>
    <row r="214" spans="1:17" ht="12.75" customHeight="1">
      <c r="A214" s="392"/>
      <c r="B214" s="392"/>
      <c r="C214" s="392"/>
      <c r="D214" s="421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2"/>
      <c r="P214" s="392"/>
      <c r="Q214" s="392"/>
    </row>
    <row r="215" spans="1:17" ht="12.75" customHeight="1">
      <c r="A215" s="392"/>
      <c r="B215" s="392"/>
      <c r="C215" s="392"/>
      <c r="D215" s="421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</row>
    <row r="216" spans="1:17" ht="12.75" customHeight="1">
      <c r="A216" s="392"/>
      <c r="B216" s="392"/>
      <c r="C216" s="392"/>
      <c r="D216" s="421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</row>
    <row r="217" spans="1:17" ht="12.75" customHeight="1">
      <c r="A217" s="392"/>
      <c r="B217" s="392"/>
      <c r="C217" s="392"/>
      <c r="D217" s="421"/>
      <c r="E217" s="392"/>
      <c r="F217" s="392"/>
      <c r="G217" s="392"/>
      <c r="H217" s="392"/>
      <c r="I217" s="392"/>
      <c r="J217" s="392"/>
      <c r="K217" s="392"/>
      <c r="L217" s="392"/>
      <c r="M217" s="392"/>
      <c r="N217" s="392"/>
      <c r="O217" s="392"/>
      <c r="P217" s="392"/>
      <c r="Q217" s="392"/>
    </row>
    <row r="218" spans="1:17" ht="12.75" customHeight="1">
      <c r="A218" s="392"/>
      <c r="B218" s="392"/>
      <c r="C218" s="392"/>
      <c r="D218" s="421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</row>
    <row r="219" spans="1:17" ht="12.75" customHeight="1">
      <c r="A219" s="392"/>
      <c r="B219" s="392"/>
      <c r="C219" s="392"/>
      <c r="D219" s="421"/>
      <c r="E219" s="392"/>
      <c r="F219" s="392"/>
      <c r="G219" s="392"/>
      <c r="H219" s="392"/>
      <c r="I219" s="392"/>
      <c r="J219" s="392"/>
      <c r="K219" s="392"/>
      <c r="L219" s="392"/>
      <c r="M219" s="392"/>
      <c r="N219" s="392"/>
      <c r="O219" s="392"/>
      <c r="P219" s="392"/>
      <c r="Q219" s="392"/>
    </row>
    <row r="220" spans="1:17" ht="12.75" customHeight="1">
      <c r="A220" s="392"/>
      <c r="B220" s="392"/>
      <c r="C220" s="392"/>
      <c r="D220" s="421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</row>
    <row r="221" spans="1:17" ht="12.75" customHeight="1">
      <c r="A221" s="392"/>
      <c r="B221" s="392"/>
      <c r="C221" s="392"/>
      <c r="D221" s="421"/>
      <c r="E221" s="392"/>
      <c r="F221" s="392"/>
      <c r="G221" s="392"/>
      <c r="H221" s="392"/>
      <c r="I221" s="392"/>
      <c r="J221" s="392"/>
      <c r="K221" s="392"/>
      <c r="L221" s="392"/>
      <c r="M221" s="392"/>
      <c r="N221" s="392"/>
      <c r="O221" s="392"/>
      <c r="P221" s="392"/>
      <c r="Q221" s="392"/>
    </row>
    <row r="222" spans="1:17" ht="12.75" customHeight="1">
      <c r="A222" s="392"/>
      <c r="B222" s="392"/>
      <c r="C222" s="392"/>
      <c r="D222" s="421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</row>
    <row r="223" spans="1:17" ht="12.75" customHeight="1">
      <c r="A223" s="392"/>
      <c r="B223" s="392"/>
      <c r="C223" s="392"/>
      <c r="D223" s="421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</row>
    <row r="224" spans="1:17" ht="12.75" customHeight="1">
      <c r="A224" s="392"/>
      <c r="B224" s="392"/>
      <c r="C224" s="392"/>
      <c r="D224" s="421"/>
      <c r="E224" s="392"/>
      <c r="F224" s="392"/>
      <c r="G224" s="392"/>
      <c r="H224" s="392"/>
      <c r="I224" s="392"/>
      <c r="J224" s="392"/>
      <c r="K224" s="392"/>
      <c r="L224" s="392"/>
      <c r="M224" s="392"/>
      <c r="N224" s="392"/>
      <c r="O224" s="392"/>
      <c r="P224" s="392"/>
      <c r="Q224" s="392"/>
    </row>
    <row r="225" spans="1:17" ht="12.75" customHeight="1">
      <c r="A225" s="392"/>
      <c r="B225" s="392"/>
      <c r="C225" s="392"/>
      <c r="D225" s="421"/>
      <c r="E225" s="392"/>
      <c r="F225" s="392"/>
      <c r="G225" s="392"/>
      <c r="H225" s="392"/>
      <c r="I225" s="392"/>
      <c r="J225" s="392"/>
      <c r="K225" s="392"/>
      <c r="L225" s="392"/>
      <c r="M225" s="392"/>
      <c r="N225" s="392"/>
      <c r="O225" s="392"/>
      <c r="P225" s="392"/>
      <c r="Q225" s="392"/>
    </row>
    <row r="226" spans="1:17" ht="12.75" customHeight="1">
      <c r="A226" s="392"/>
      <c r="B226" s="392"/>
      <c r="C226" s="392"/>
      <c r="D226" s="421"/>
      <c r="E226" s="392"/>
      <c r="F226" s="392"/>
      <c r="G226" s="392"/>
      <c r="H226" s="392"/>
      <c r="I226" s="392"/>
      <c r="J226" s="392"/>
      <c r="K226" s="392"/>
      <c r="L226" s="392"/>
      <c r="M226" s="392"/>
      <c r="N226" s="392"/>
      <c r="O226" s="392"/>
      <c r="P226" s="392"/>
      <c r="Q226" s="392"/>
    </row>
    <row r="227" spans="1:17" ht="12.75" customHeight="1">
      <c r="A227" s="392"/>
      <c r="B227" s="392"/>
      <c r="C227" s="392"/>
      <c r="D227" s="421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2"/>
      <c r="P227" s="392"/>
      <c r="Q227" s="392"/>
    </row>
    <row r="228" spans="1:17" ht="12.75" customHeight="1">
      <c r="A228" s="392"/>
      <c r="B228" s="392"/>
      <c r="C228" s="392"/>
      <c r="D228" s="421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</row>
    <row r="229" spans="1:17" ht="12.75" customHeight="1">
      <c r="A229" s="392"/>
      <c r="B229" s="392"/>
      <c r="C229" s="392"/>
      <c r="D229" s="421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</row>
    <row r="230" spans="1:17" ht="12.75" customHeight="1">
      <c r="A230" s="392"/>
      <c r="B230" s="392"/>
      <c r="C230" s="392"/>
      <c r="D230" s="421"/>
      <c r="E230" s="392"/>
      <c r="F230" s="392"/>
      <c r="G230" s="392"/>
      <c r="H230" s="392"/>
      <c r="I230" s="392"/>
      <c r="J230" s="392"/>
      <c r="K230" s="392"/>
      <c r="L230" s="392"/>
      <c r="M230" s="392"/>
      <c r="N230" s="392"/>
      <c r="O230" s="392"/>
      <c r="P230" s="392"/>
      <c r="Q230" s="392"/>
    </row>
    <row r="231" spans="1:17" ht="12.75" customHeight="1">
      <c r="A231" s="392"/>
      <c r="B231" s="392"/>
      <c r="C231" s="392"/>
      <c r="D231" s="421"/>
      <c r="E231" s="392"/>
      <c r="F231" s="392"/>
      <c r="G231" s="392"/>
      <c r="H231" s="392"/>
      <c r="I231" s="392"/>
      <c r="J231" s="392"/>
      <c r="K231" s="392"/>
      <c r="L231" s="392"/>
      <c r="M231" s="392"/>
      <c r="N231" s="392"/>
      <c r="O231" s="392"/>
      <c r="P231" s="392"/>
      <c r="Q231" s="392"/>
    </row>
    <row r="232" spans="1:17" ht="12.75" customHeight="1">
      <c r="A232" s="392"/>
      <c r="B232" s="392"/>
      <c r="C232" s="392"/>
      <c r="D232" s="421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392"/>
      <c r="P232" s="392"/>
      <c r="Q232" s="392"/>
    </row>
    <row r="233" spans="1:17" ht="12.75" customHeight="1">
      <c r="A233" s="392"/>
      <c r="B233" s="392"/>
      <c r="C233" s="392"/>
      <c r="D233" s="421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392"/>
      <c r="P233" s="392"/>
      <c r="Q233" s="392"/>
    </row>
    <row r="234" spans="1:17" ht="12.75" customHeight="1">
      <c r="A234" s="392"/>
      <c r="B234" s="392"/>
      <c r="C234" s="392"/>
      <c r="D234" s="421"/>
      <c r="E234" s="392"/>
      <c r="F234" s="392"/>
      <c r="G234" s="392"/>
      <c r="H234" s="392"/>
      <c r="I234" s="392"/>
      <c r="J234" s="392"/>
      <c r="K234" s="392"/>
      <c r="L234" s="392"/>
      <c r="M234" s="392"/>
      <c r="N234" s="392"/>
      <c r="O234" s="392"/>
      <c r="P234" s="392"/>
      <c r="Q234" s="392"/>
    </row>
    <row r="235" spans="1:17" ht="12.75" customHeight="1">
      <c r="A235" s="392"/>
      <c r="B235" s="392"/>
      <c r="C235" s="392"/>
      <c r="D235" s="421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2"/>
      <c r="P235" s="392"/>
      <c r="Q235" s="392"/>
    </row>
    <row r="236" spans="1:17" ht="12.75" customHeight="1">
      <c r="A236" s="392"/>
      <c r="B236" s="392"/>
      <c r="C236" s="392"/>
      <c r="D236" s="421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2"/>
      <c r="P236" s="392"/>
      <c r="Q236" s="392"/>
    </row>
    <row r="237" spans="1:17" ht="12.75" customHeight="1">
      <c r="A237" s="392"/>
      <c r="B237" s="392"/>
      <c r="C237" s="392"/>
      <c r="D237" s="421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</row>
    <row r="238" spans="1:17" ht="12.75" customHeight="1">
      <c r="A238" s="392"/>
      <c r="B238" s="392"/>
      <c r="C238" s="392"/>
      <c r="D238" s="421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</row>
    <row r="239" spans="1:17" ht="12.75" customHeight="1">
      <c r="A239" s="392"/>
      <c r="B239" s="392"/>
      <c r="C239" s="392"/>
      <c r="D239" s="421"/>
      <c r="E239" s="392"/>
      <c r="F239" s="392"/>
      <c r="G239" s="392"/>
      <c r="H239" s="392"/>
      <c r="I239" s="392"/>
      <c r="J239" s="392"/>
      <c r="K239" s="392"/>
      <c r="L239" s="392"/>
      <c r="M239" s="392"/>
      <c r="N239" s="392"/>
      <c r="O239" s="392"/>
      <c r="P239" s="392"/>
      <c r="Q239" s="392"/>
    </row>
    <row r="240" spans="1:17" ht="12.75" customHeight="1">
      <c r="A240" s="392"/>
      <c r="B240" s="392"/>
      <c r="C240" s="392"/>
      <c r="D240" s="421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</row>
    <row r="241" spans="1:17" ht="12.75" customHeight="1">
      <c r="A241" s="392"/>
      <c r="B241" s="392"/>
      <c r="C241" s="392"/>
      <c r="D241" s="421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</row>
    <row r="242" spans="1:17" ht="12.75" customHeight="1">
      <c r="A242" s="392"/>
      <c r="B242" s="392"/>
      <c r="C242" s="392"/>
      <c r="D242" s="421"/>
      <c r="E242" s="392"/>
      <c r="F242" s="392"/>
      <c r="G242" s="392"/>
      <c r="H242" s="392"/>
      <c r="I242" s="392"/>
      <c r="J242" s="392"/>
      <c r="K242" s="392"/>
      <c r="L242" s="392"/>
      <c r="M242" s="392"/>
      <c r="N242" s="392"/>
      <c r="O242" s="392"/>
      <c r="P242" s="392"/>
      <c r="Q242" s="392"/>
    </row>
    <row r="243" spans="1:17" ht="12.75" customHeight="1">
      <c r="A243" s="392"/>
      <c r="B243" s="392"/>
      <c r="C243" s="392"/>
      <c r="D243" s="421"/>
      <c r="E243" s="392"/>
      <c r="F243" s="392"/>
      <c r="G243" s="392"/>
      <c r="H243" s="392"/>
      <c r="I243" s="392"/>
      <c r="J243" s="392"/>
      <c r="K243" s="392"/>
      <c r="L243" s="392"/>
      <c r="M243" s="392"/>
      <c r="N243" s="392"/>
      <c r="O243" s="392"/>
      <c r="P243" s="392"/>
      <c r="Q243" s="392"/>
    </row>
    <row r="244" spans="1:17" ht="12.75" customHeight="1">
      <c r="A244" s="392"/>
      <c r="B244" s="392"/>
      <c r="C244" s="392"/>
      <c r="D244" s="421"/>
      <c r="E244" s="392"/>
      <c r="F244" s="392"/>
      <c r="G244" s="392"/>
      <c r="H244" s="392"/>
      <c r="I244" s="392"/>
      <c r="J244" s="392"/>
      <c r="K244" s="392"/>
      <c r="L244" s="392"/>
      <c r="M244" s="392"/>
      <c r="N244" s="392"/>
      <c r="O244" s="392"/>
      <c r="P244" s="392"/>
      <c r="Q244" s="392"/>
    </row>
    <row r="245" spans="1:17" ht="12.75" customHeight="1">
      <c r="A245" s="392"/>
      <c r="B245" s="392"/>
      <c r="C245" s="392"/>
      <c r="D245" s="421"/>
      <c r="E245" s="392"/>
      <c r="F245" s="392"/>
      <c r="G245" s="392"/>
      <c r="H245" s="392"/>
      <c r="I245" s="392"/>
      <c r="J245" s="392"/>
      <c r="K245" s="392"/>
      <c r="L245" s="392"/>
      <c r="M245" s="392"/>
      <c r="N245" s="392"/>
      <c r="O245" s="392"/>
      <c r="P245" s="392"/>
      <c r="Q245" s="392"/>
    </row>
    <row r="246" spans="1:17" ht="12.75" customHeight="1">
      <c r="A246" s="392"/>
      <c r="B246" s="392"/>
      <c r="C246" s="392"/>
      <c r="D246" s="421"/>
      <c r="E246" s="392"/>
      <c r="F246" s="392"/>
      <c r="G246" s="392"/>
      <c r="H246" s="392"/>
      <c r="I246" s="392"/>
      <c r="J246" s="392"/>
      <c r="K246" s="392"/>
      <c r="L246" s="392"/>
      <c r="M246" s="392"/>
      <c r="N246" s="392"/>
      <c r="O246" s="392"/>
      <c r="P246" s="392"/>
      <c r="Q246" s="392"/>
    </row>
    <row r="247" spans="1:17" ht="12.75" customHeight="1">
      <c r="A247" s="392"/>
      <c r="B247" s="392"/>
      <c r="C247" s="392"/>
      <c r="D247" s="421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2"/>
      <c r="P247" s="392"/>
      <c r="Q247" s="392"/>
    </row>
    <row r="248" spans="1:17" ht="12.75" customHeight="1">
      <c r="A248" s="392"/>
      <c r="B248" s="392"/>
      <c r="C248" s="392"/>
      <c r="D248" s="421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2"/>
      <c r="P248" s="392"/>
      <c r="Q248" s="392"/>
    </row>
    <row r="249" spans="1:17" ht="12.75" customHeight="1">
      <c r="A249" s="392"/>
      <c r="B249" s="392"/>
      <c r="C249" s="392"/>
      <c r="D249" s="421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</row>
    <row r="250" spans="1:17" ht="12.75" customHeight="1">
      <c r="A250" s="392"/>
      <c r="B250" s="392"/>
      <c r="C250" s="392"/>
      <c r="D250" s="421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</row>
    <row r="251" spans="1:17" ht="12.75" customHeight="1">
      <c r="A251" s="392"/>
      <c r="B251" s="392"/>
      <c r="C251" s="392"/>
      <c r="D251" s="421"/>
      <c r="E251" s="392"/>
      <c r="F251" s="392"/>
      <c r="G251" s="392"/>
      <c r="H251" s="392"/>
      <c r="I251" s="392"/>
      <c r="J251" s="392"/>
      <c r="K251" s="392"/>
      <c r="L251" s="392"/>
      <c r="M251" s="392"/>
      <c r="N251" s="392"/>
      <c r="O251" s="392"/>
      <c r="P251" s="392"/>
      <c r="Q251" s="392"/>
    </row>
    <row r="252" spans="1:17" ht="12.75" customHeight="1">
      <c r="A252" s="392"/>
      <c r="B252" s="392"/>
      <c r="C252" s="392"/>
      <c r="D252" s="421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</row>
    <row r="253" spans="1:17" ht="12.75" customHeight="1">
      <c r="A253" s="392"/>
      <c r="B253" s="392"/>
      <c r="C253" s="392"/>
      <c r="D253" s="421"/>
      <c r="E253" s="392"/>
      <c r="F253" s="392"/>
      <c r="G253" s="392"/>
      <c r="H253" s="392"/>
      <c r="I253" s="392"/>
      <c r="J253" s="392"/>
      <c r="K253" s="392"/>
      <c r="L253" s="392"/>
      <c r="M253" s="392"/>
      <c r="N253" s="392"/>
      <c r="O253" s="392"/>
      <c r="P253" s="392"/>
      <c r="Q253" s="392"/>
    </row>
    <row r="254" spans="1:17" ht="12.75" customHeight="1">
      <c r="A254" s="392"/>
      <c r="B254" s="392"/>
      <c r="C254" s="392"/>
      <c r="D254" s="421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</row>
    <row r="255" spans="1:17" ht="12.75" customHeight="1">
      <c r="A255" s="392"/>
      <c r="B255" s="392"/>
      <c r="C255" s="392"/>
      <c r="D255" s="421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P255" s="392"/>
      <c r="Q255" s="392"/>
    </row>
    <row r="256" spans="1:17" ht="12.75" customHeight="1">
      <c r="A256" s="392"/>
      <c r="B256" s="392"/>
      <c r="C256" s="392"/>
      <c r="D256" s="421"/>
      <c r="E256" s="392"/>
      <c r="F256" s="392"/>
      <c r="G256" s="392"/>
      <c r="H256" s="392"/>
      <c r="I256" s="392"/>
      <c r="J256" s="392"/>
      <c r="K256" s="392"/>
      <c r="L256" s="392"/>
      <c r="M256" s="392"/>
      <c r="N256" s="392"/>
      <c r="O256" s="392"/>
      <c r="P256" s="392"/>
      <c r="Q256" s="392"/>
    </row>
    <row r="257" spans="1:17" ht="12.75" customHeight="1">
      <c r="A257" s="392"/>
      <c r="B257" s="392"/>
      <c r="C257" s="392"/>
      <c r="D257" s="421"/>
      <c r="E257" s="392"/>
      <c r="F257" s="392"/>
      <c r="G257" s="392"/>
      <c r="H257" s="392"/>
      <c r="I257" s="392"/>
      <c r="J257" s="392"/>
      <c r="K257" s="392"/>
      <c r="L257" s="392"/>
      <c r="M257" s="392"/>
      <c r="N257" s="392"/>
      <c r="O257" s="392"/>
      <c r="P257" s="392"/>
      <c r="Q257" s="392"/>
    </row>
    <row r="258" spans="1:17" ht="12.75" customHeight="1">
      <c r="A258" s="392"/>
      <c r="B258" s="392"/>
      <c r="C258" s="392"/>
      <c r="D258" s="421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</row>
    <row r="259" spans="1:17" ht="12.75" customHeight="1">
      <c r="A259" s="392"/>
      <c r="B259" s="392"/>
      <c r="C259" s="392"/>
      <c r="D259" s="421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2"/>
      <c r="P259" s="392"/>
      <c r="Q259" s="392"/>
    </row>
    <row r="260" spans="1:17" ht="12.75" customHeight="1">
      <c r="A260" s="392"/>
      <c r="B260" s="392"/>
      <c r="C260" s="392"/>
      <c r="D260" s="421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2"/>
      <c r="P260" s="392"/>
      <c r="Q260" s="392"/>
    </row>
    <row r="261" spans="1:17" ht="12.75" customHeight="1">
      <c r="A261" s="392"/>
      <c r="B261" s="392"/>
      <c r="C261" s="392"/>
      <c r="D261" s="421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</row>
    <row r="262" spans="1:17" ht="12.75" customHeight="1">
      <c r="A262" s="392"/>
      <c r="B262" s="392"/>
      <c r="C262" s="392"/>
      <c r="D262" s="421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</row>
    <row r="263" spans="1:17" ht="12.75" customHeight="1">
      <c r="A263" s="392"/>
      <c r="B263" s="392"/>
      <c r="C263" s="392"/>
      <c r="D263" s="421"/>
      <c r="E263" s="392"/>
      <c r="F263" s="392"/>
      <c r="G263" s="392"/>
      <c r="H263" s="392"/>
      <c r="I263" s="392"/>
      <c r="J263" s="392"/>
      <c r="K263" s="392"/>
      <c r="L263" s="392"/>
      <c r="M263" s="392"/>
      <c r="N263" s="392"/>
      <c r="O263" s="392"/>
      <c r="P263" s="392"/>
      <c r="Q263" s="392"/>
    </row>
    <row r="264" spans="1:17" ht="12.75" customHeight="1">
      <c r="A264" s="392"/>
      <c r="B264" s="392"/>
      <c r="C264" s="392"/>
      <c r="D264" s="421"/>
      <c r="E264" s="392"/>
      <c r="F264" s="392"/>
      <c r="G264" s="392"/>
      <c r="H264" s="392"/>
      <c r="I264" s="392"/>
      <c r="J264" s="392"/>
      <c r="K264" s="392"/>
      <c r="L264" s="392"/>
      <c r="M264" s="392"/>
      <c r="N264" s="392"/>
      <c r="O264" s="392"/>
      <c r="P264" s="392"/>
      <c r="Q264" s="392"/>
    </row>
    <row r="265" spans="1:17" ht="12.75" customHeight="1">
      <c r="A265" s="392"/>
      <c r="B265" s="392"/>
      <c r="C265" s="392"/>
      <c r="D265" s="421"/>
      <c r="E265" s="392"/>
      <c r="F265" s="392"/>
      <c r="G265" s="392"/>
      <c r="H265" s="392"/>
      <c r="I265" s="392"/>
      <c r="J265" s="392"/>
      <c r="K265" s="392"/>
      <c r="L265" s="392"/>
      <c r="M265" s="392"/>
      <c r="N265" s="392"/>
      <c r="O265" s="392"/>
      <c r="P265" s="392"/>
      <c r="Q265" s="392"/>
    </row>
    <row r="266" spans="1:17" ht="12.75" customHeight="1">
      <c r="A266" s="392"/>
      <c r="B266" s="392"/>
      <c r="C266" s="392"/>
      <c r="D266" s="421"/>
      <c r="E266" s="392"/>
      <c r="F266" s="392"/>
      <c r="G266" s="392"/>
      <c r="H266" s="392"/>
      <c r="I266" s="392"/>
      <c r="J266" s="392"/>
      <c r="K266" s="392"/>
      <c r="L266" s="392"/>
      <c r="M266" s="392"/>
      <c r="N266" s="392"/>
      <c r="O266" s="392"/>
      <c r="P266" s="392"/>
      <c r="Q266" s="392"/>
    </row>
    <row r="267" spans="1:17" ht="15.75" customHeight="1"/>
    <row r="268" spans="1:17" ht="15.75" customHeight="1"/>
    <row r="269" spans="1:17" ht="15.75" customHeight="1"/>
    <row r="270" spans="1:17" ht="15.75" customHeight="1"/>
    <row r="271" spans="1:17" ht="15.75" customHeight="1"/>
    <row r="272" spans="1:17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3:D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BQ</vt:lpstr>
      <vt:lpstr>Sheet13</vt:lpstr>
      <vt:lpstr>Rekapitulasi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2022-09-04T05:24:11Z</dcterms:created>
  <dcterms:modified xsi:type="dcterms:W3CDTF">2022-09-12T08:38:31Z</dcterms:modified>
</cp:coreProperties>
</file>