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activeTab="6"/>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Augostometer" sheetId="9" r:id="rId8"/>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G63" i="11" l="1"/>
  <c r="G60" i="11"/>
  <c r="G57" i="11"/>
  <c r="R57" i="1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G54" i="11"/>
  <c r="G51"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G6" i="11"/>
  <c r="G9" i="11"/>
  <c r="G12" i="11"/>
  <c r="G15" i="11"/>
  <c r="G18" i="11"/>
  <c r="G21" i="11"/>
  <c r="G24" i="11"/>
  <c r="G27" i="11"/>
  <c r="G30" i="11"/>
  <c r="G33" i="11"/>
  <c r="G48" i="11"/>
  <c r="G36" i="11"/>
  <c r="G39" i="11"/>
  <c r="G42" i="11"/>
  <c r="G45"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J26" i="1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F4" i="9"/>
  <c r="I4" i="9"/>
  <c r="F10" i="9"/>
  <c r="I10" i="9"/>
  <c r="E10" i="9" s="1"/>
  <c r="E4" i="9" l="1"/>
  <c r="G567" i="1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F63" i="11" s="1"/>
  <c r="J62" i="11"/>
  <c r="F62" i="11" s="1"/>
  <c r="G62" i="11"/>
  <c r="J61" i="11"/>
  <c r="F61" i="11" s="1"/>
  <c r="J60" i="11"/>
  <c r="F60" i="11" s="1"/>
  <c r="J59" i="11"/>
  <c r="F59" i="11" s="1"/>
  <c r="J58" i="11"/>
  <c r="F58" i="11" s="1"/>
  <c r="J57" i="11"/>
  <c r="F57" i="11" s="1"/>
  <c r="J56" i="11"/>
  <c r="F56" i="11" s="1"/>
  <c r="J55" i="11"/>
  <c r="F55" i="11" s="1"/>
  <c r="J54" i="11"/>
  <c r="F54" i="11" s="1"/>
  <c r="J53" i="11"/>
  <c r="F53" i="11" s="1"/>
  <c r="J52" i="11"/>
  <c r="F52" i="11" s="1"/>
  <c r="J51" i="11"/>
  <c r="F51" i="11" s="1"/>
  <c r="J50" i="11"/>
  <c r="F50" i="11" s="1"/>
  <c r="J49" i="11"/>
  <c r="F49" i="11" s="1"/>
  <c r="J48" i="11"/>
  <c r="F48" i="11" s="1"/>
  <c r="J47" i="11"/>
  <c r="F47" i="11" s="1"/>
  <c r="J46" i="11"/>
  <c r="F46" i="11" s="1"/>
  <c r="J45" i="11"/>
  <c r="J44" i="11"/>
  <c r="J43" i="11"/>
  <c r="J42" i="11"/>
  <c r="J41" i="11"/>
  <c r="J40" i="11"/>
  <c r="J39" i="11"/>
  <c r="J38" i="11"/>
  <c r="J37" i="11"/>
  <c r="J36" i="11"/>
  <c r="J35" i="11"/>
  <c r="J34" i="11"/>
  <c r="J33" i="11"/>
  <c r="J32" i="11"/>
  <c r="J31" i="11"/>
  <c r="J30" i="11"/>
  <c r="J29" i="11"/>
  <c r="J28" i="11"/>
  <c r="J27" i="11"/>
  <c r="J24" i="11"/>
  <c r="J23" i="11"/>
  <c r="J22" i="11"/>
  <c r="J21" i="11"/>
  <c r="J20" i="11"/>
  <c r="J19" i="11"/>
  <c r="J18" i="11"/>
  <c r="J17" i="11"/>
  <c r="J16" i="11"/>
  <c r="J15" i="11"/>
  <c r="J14" i="11"/>
  <c r="J13" i="11"/>
  <c r="J12" i="11"/>
  <c r="J11" i="11"/>
  <c r="J10" i="11"/>
  <c r="J9" i="11"/>
  <c r="J8" i="11"/>
  <c r="J7" i="11"/>
  <c r="J6" i="11"/>
  <c r="J5" i="1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F90" i="9"/>
  <c r="E90" i="9"/>
  <c r="I89" i="9"/>
  <c r="E89" i="9" s="1"/>
  <c r="F89" i="9"/>
  <c r="I88" i="9"/>
  <c r="E88" i="9" s="1"/>
  <c r="F88" i="9"/>
  <c r="I87" i="9"/>
  <c r="F87" i="9"/>
  <c r="E87" i="9"/>
  <c r="I86" i="9"/>
  <c r="E86" i="9" s="1"/>
  <c r="F86" i="9"/>
  <c r="I85" i="9"/>
  <c r="E85" i="9" s="1"/>
  <c r="F85" i="9"/>
  <c r="I84" i="9"/>
  <c r="F84" i="9"/>
  <c r="I83" i="9"/>
  <c r="F83" i="9"/>
  <c r="E83" i="9" s="1"/>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E67" i="9" s="1"/>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F47" i="9"/>
  <c r="E47" i="9"/>
  <c r="I46" i="9"/>
  <c r="E46" i="9" s="1"/>
  <c r="F46" i="9"/>
  <c r="I45" i="9"/>
  <c r="E45" i="9" s="1"/>
  <c r="F45" i="9"/>
  <c r="I44" i="9"/>
  <c r="F44" i="9"/>
  <c r="I43" i="9"/>
  <c r="F43" i="9"/>
  <c r="E43" i="9"/>
  <c r="I42" i="9"/>
  <c r="E42" i="9" s="1"/>
  <c r="F42" i="9"/>
  <c r="I41" i="9"/>
  <c r="E41" i="9" s="1"/>
  <c r="F41" i="9"/>
  <c r="I40" i="9"/>
  <c r="F40" i="9"/>
  <c r="E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F14" i="9"/>
  <c r="E14" i="9" s="1"/>
  <c r="I13" i="9"/>
  <c r="E13" i="9" s="1"/>
  <c r="F13" i="9"/>
  <c r="I12" i="9"/>
  <c r="E12" i="9" s="1"/>
  <c r="F12" i="9"/>
  <c r="I11" i="9"/>
  <c r="E11" i="9" s="1"/>
  <c r="F11" i="9"/>
  <c r="I9" i="9"/>
  <c r="I8" i="9"/>
  <c r="I7" i="9"/>
  <c r="I6" i="9"/>
  <c r="I5" i="9"/>
  <c r="Q1" i="9"/>
  <c r="P1" i="9"/>
  <c r="N1" i="9"/>
  <c r="M1" i="9"/>
  <c r="L1" i="9"/>
  <c r="K1" i="9"/>
  <c r="J1" i="9"/>
  <c r="H1" i="9"/>
  <c r="G1" i="9"/>
  <c r="C1" i="9"/>
  <c r="B1" i="9"/>
  <c r="A1" i="9"/>
  <c r="Y15" i="11" l="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U11" i="1" l="1"/>
  <c r="U10" i="1"/>
  <c r="U9" i="1"/>
  <c r="U4" i="1"/>
  <c r="U8" i="1" s="1"/>
  <c r="U7" i="1"/>
  <c r="U6" i="1"/>
  <c r="Y13" i="9"/>
  <c r="Y12" i="9"/>
  <c r="E31"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U14" i="1" l="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5" i="6" l="1"/>
  <c r="Z111" i="6"/>
  <c r="Z113" i="6"/>
  <c r="R14" i="6"/>
  <c r="F94" i="1" s="1"/>
  <c r="E94" i="1" s="1"/>
  <c r="F117" i="1" l="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<sst xmlns="http://schemas.openxmlformats.org/spreadsheetml/2006/main" count="1157" uniqueCount="145">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</sst>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70">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cellXfs>
  <cellStyles count="2">
    <cellStyle name="Normal" xfId="0" builtinId="0"/>
    <cellStyle name="TableStyleLight1" xfId="1"/>
  </cellStyles>
  <dxfs count="43">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opLeftCell="A72"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 t="shared" ref="A1:D1" si="0">COUNT(A$4:A$65000)</f>
        <v>111</v>
      </c>
      <c r="B1">
        <f t="shared" si="0"/>
        <v>113</v>
      </c>
      <c r="C1">
        <f t="shared" si="0"/>
        <v>113</v>
      </c>
      <c r="D1">
        <f t="shared" si="0"/>
        <v>113</v>
      </c>
      <c r="G1">
        <f>COUNT(G$4:G$65000)</f>
        <v>110</v>
      </c>
      <c r="H1">
        <f>COUNT(H$4:H$65000)</f>
        <v>98</v>
      </c>
      <c r="J1">
        <f t="shared" ref="J1:Q1" si="1">COUNT(J$4:J$65000)</f>
        <v>0</v>
      </c>
      <c r="K1">
        <f t="shared" si="1"/>
        <v>0</v>
      </c>
      <c r="L1">
        <f t="shared" si="1"/>
        <v>114</v>
      </c>
      <c r="M1">
        <f t="shared" si="1"/>
        <v>0</v>
      </c>
      <c r="N1">
        <f t="shared" si="1"/>
        <v>0</v>
      </c>
      <c r="O1">
        <f t="shared" si="1"/>
        <v>88</v>
      </c>
      <c r="P1">
        <f t="shared" si="1"/>
        <v>0</v>
      </c>
      <c r="Q1">
        <f t="shared" si="1"/>
        <v>0</v>
      </c>
    </row>
    <row r="2" spans="1:21" ht="32.25" customHeight="1" x14ac:dyDescent="0.25">
      <c r="E2" s="65" t="s">
        <v>114</v>
      </c>
      <c r="F2" s="65"/>
      <c r="G2" s="65"/>
      <c r="H2" s="65"/>
      <c r="I2" s="65"/>
      <c r="N2" s="66" t="s">
        <v>115</v>
      </c>
      <c r="O2" s="66"/>
      <c r="P2" s="66"/>
    </row>
    <row r="3" spans="1:21" ht="45" customHeight="1" thickBot="1" x14ac:dyDescent="0.3">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6" t="s">
        <v>94</v>
      </c>
      <c r="S3" s="45" t="s">
        <v>118</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92</v>
      </c>
      <c r="U4" s="48">
        <f>COUNTIF(I4:I50003,"=1")</f>
        <v>109</v>
      </c>
    </row>
    <row r="5" spans="1:21" x14ac:dyDescent="0.25">
      <c r="A5" s="1">
        <v>8705</v>
      </c>
      <c r="B5" s="3">
        <v>21696</v>
      </c>
      <c r="C5" s="3">
        <v>5635</v>
      </c>
      <c r="D5" s="3">
        <v>31</v>
      </c>
      <c r="E5" s="26">
        <f t="shared" ref="E5:E68" si="2">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3">G5*C5</f>
        <v>82271</v>
      </c>
      <c r="S5">
        <f t="shared" ref="S5:S68" si="4">C5*C5</f>
        <v>31753225</v>
      </c>
      <c r="T5" s="49" t="s">
        <v>90</v>
      </c>
      <c r="U5" s="50">
        <f>-SUM(R4:R50003)</f>
        <v>-6690606.5000000019</v>
      </c>
    </row>
    <row r="6" spans="1:21" x14ac:dyDescent="0.25">
      <c r="A6" s="1">
        <v>8667</v>
      </c>
      <c r="B6" s="3">
        <v>21709</v>
      </c>
      <c r="C6" s="3">
        <v>4577</v>
      </c>
      <c r="D6" s="3">
        <v>31</v>
      </c>
      <c r="E6" s="26">
        <f t="shared" si="2"/>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3"/>
        <v>62704.899999999994</v>
      </c>
      <c r="S6">
        <f t="shared" si="4"/>
        <v>20948929</v>
      </c>
      <c r="T6" s="49" t="s">
        <v>97</v>
      </c>
      <c r="U6" s="51">
        <f>AVERAGEIF(I4:I50003,"=1",G4:G50003)</f>
        <v>12.979816513761453</v>
      </c>
    </row>
    <row r="7" spans="1:21" x14ac:dyDescent="0.25">
      <c r="A7" s="1">
        <v>8708</v>
      </c>
      <c r="B7" s="3">
        <v>21719</v>
      </c>
      <c r="C7" s="3">
        <v>3728</v>
      </c>
      <c r="D7" s="3">
        <v>31</v>
      </c>
      <c r="E7" s="26">
        <f t="shared" si="2"/>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3"/>
        <v>44736</v>
      </c>
      <c r="S7">
        <f t="shared" si="4"/>
        <v>13897984</v>
      </c>
      <c r="T7" s="49" t="s">
        <v>98</v>
      </c>
      <c r="U7" s="51">
        <f>AVERAGEIF(I4:I50003,"=1",C4:C50003)</f>
        <v>4641.5963302752298</v>
      </c>
    </row>
    <row r="8" spans="1:21" x14ac:dyDescent="0.25">
      <c r="A8" s="1">
        <v>8717</v>
      </c>
      <c r="B8" s="3">
        <v>21686</v>
      </c>
      <c r="C8" s="3">
        <v>5617</v>
      </c>
      <c r="D8" s="3">
        <v>33</v>
      </c>
      <c r="E8" s="26">
        <f t="shared" si="2"/>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3"/>
        <v>82008.2</v>
      </c>
      <c r="S8">
        <f t="shared" si="4"/>
        <v>31550689</v>
      </c>
      <c r="T8" s="49" t="s">
        <v>96</v>
      </c>
      <c r="U8" s="51">
        <f>SUMIF(I4:I50003,"=1",C4:C50003)/U4</f>
        <v>4641.5963302752298</v>
      </c>
    </row>
    <row r="9" spans="1:21" x14ac:dyDescent="0.25">
      <c r="A9" s="1"/>
      <c r="B9" s="3">
        <v>21647</v>
      </c>
      <c r="C9" s="3">
        <v>5908</v>
      </c>
      <c r="D9" s="3">
        <v>33</v>
      </c>
      <c r="E9" s="26">
        <f t="shared" si="2"/>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3"/>
        <v>95118.8</v>
      </c>
      <c r="S9">
        <f t="shared" si="4"/>
        <v>34904464</v>
      </c>
      <c r="T9" s="49" t="s">
        <v>99</v>
      </c>
      <c r="U9" s="51">
        <f>SUMIF(I4:I50003,"=1",C4:C50003)</f>
        <v>505934</v>
      </c>
    </row>
    <row r="10" spans="1:21" x14ac:dyDescent="0.25">
      <c r="A10" s="1"/>
      <c r="B10" s="3">
        <v>21646</v>
      </c>
      <c r="C10" s="3">
        <v>5081</v>
      </c>
      <c r="D10" s="3">
        <v>32</v>
      </c>
      <c r="E10" s="26">
        <f t="shared" si="2"/>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3"/>
        <v>70625.900000000009</v>
      </c>
      <c r="S10">
        <f t="shared" si="4"/>
        <v>25816561</v>
      </c>
      <c r="T10" s="49" t="s">
        <v>100</v>
      </c>
      <c r="U10" s="51">
        <f>SUMIF(I4:I50003,"=1",G4:G50003)</f>
        <v>1414.7999999999984</v>
      </c>
    </row>
    <row r="11" spans="1:21" x14ac:dyDescent="0.25">
      <c r="A11" s="1">
        <v>8723</v>
      </c>
      <c r="B11" s="3">
        <v>21682</v>
      </c>
      <c r="C11" s="3">
        <v>3935</v>
      </c>
      <c r="D11" s="3">
        <v>33</v>
      </c>
      <c r="E11" s="26">
        <f t="shared" si="2"/>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3"/>
        <v>47220</v>
      </c>
      <c r="S11">
        <f t="shared" si="4"/>
        <v>15484225</v>
      </c>
      <c r="T11" s="49" t="s">
        <v>102</v>
      </c>
      <c r="U11" s="51">
        <f>SUMIF(I4:I50003,"=1",S4:S500003)</f>
        <v>2435102116</v>
      </c>
    </row>
    <row r="12" spans="1:21" x14ac:dyDescent="0.25">
      <c r="A12" s="1">
        <v>8649</v>
      </c>
      <c r="B12" s="3">
        <v>21538</v>
      </c>
      <c r="C12" s="3">
        <v>5546</v>
      </c>
      <c r="D12" s="3">
        <v>31</v>
      </c>
      <c r="E12" s="26">
        <f t="shared" si="2"/>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3"/>
        <v>82080.800000000003</v>
      </c>
      <c r="S12">
        <f t="shared" si="4"/>
        <v>30758116</v>
      </c>
      <c r="T12" s="52"/>
      <c r="U12" s="51"/>
    </row>
    <row r="13" spans="1:21" x14ac:dyDescent="0.25">
      <c r="A13" s="1">
        <v>8647</v>
      </c>
      <c r="B13" s="3">
        <v>21548</v>
      </c>
      <c r="C13" s="3">
        <v>5379</v>
      </c>
      <c r="D13" s="3">
        <v>31</v>
      </c>
      <c r="E13" s="26">
        <f t="shared" si="2"/>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3"/>
        <v>73692.3</v>
      </c>
      <c r="S13">
        <f t="shared" si="4"/>
        <v>28933641</v>
      </c>
      <c r="T13" s="49" t="s">
        <v>103</v>
      </c>
      <c r="U13" s="51">
        <f>U5+U6*U9</f>
        <v>-123676.01192661561</v>
      </c>
    </row>
    <row r="14" spans="1:21" x14ac:dyDescent="0.25">
      <c r="A14" s="1">
        <v>123</v>
      </c>
      <c r="B14" s="3">
        <v>21572</v>
      </c>
      <c r="C14" s="3">
        <v>4834</v>
      </c>
      <c r="D14" s="3">
        <v>31</v>
      </c>
      <c r="E14" s="26">
        <f t="shared" si="2"/>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3"/>
        <v>58491.4</v>
      </c>
      <c r="S14">
        <f t="shared" si="4"/>
        <v>23367556</v>
      </c>
      <c r="T14" s="49" t="s">
        <v>104</v>
      </c>
      <c r="U14" s="51">
        <f>-U11+(U9*U9)/U4</f>
        <v>-86760718.238532066</v>
      </c>
    </row>
    <row r="15" spans="1:21" x14ac:dyDescent="0.25">
      <c r="A15">
        <v>121</v>
      </c>
      <c r="B15" s="6">
        <v>21521</v>
      </c>
      <c r="C15" s="6">
        <v>5908</v>
      </c>
      <c r="D15" s="6">
        <v>31</v>
      </c>
      <c r="E15" s="26">
        <f t="shared" si="2"/>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3"/>
        <v>89210.8</v>
      </c>
      <c r="S15">
        <f t="shared" si="4"/>
        <v>34904464</v>
      </c>
      <c r="T15" s="52"/>
      <c r="U15" s="51"/>
    </row>
    <row r="16" spans="1:21" x14ac:dyDescent="0.25">
      <c r="A16">
        <v>8892</v>
      </c>
      <c r="B16" s="6">
        <v>22250</v>
      </c>
      <c r="C16" s="6">
        <v>3614</v>
      </c>
      <c r="D16" s="6">
        <v>25</v>
      </c>
      <c r="E16" s="26">
        <f t="shared" si="2"/>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3"/>
        <v>40476.799999999996</v>
      </c>
      <c r="S16">
        <f t="shared" si="4"/>
        <v>13060996</v>
      </c>
      <c r="T16" s="49" t="s">
        <v>88</v>
      </c>
      <c r="U16" s="51">
        <f>U13/U14</f>
        <v>1.4254839567670703E-3</v>
      </c>
    </row>
    <row r="17" spans="1:21" ht="15.75" thickBot="1" x14ac:dyDescent="0.3">
      <c r="A17">
        <v>175</v>
      </c>
      <c r="B17" s="6">
        <v>22353</v>
      </c>
      <c r="C17" s="6">
        <v>3713</v>
      </c>
      <c r="D17" s="6">
        <v>26</v>
      </c>
      <c r="E17" s="26">
        <f t="shared" si="2"/>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3"/>
        <v>41585.599999999999</v>
      </c>
      <c r="S17">
        <f t="shared" si="4"/>
        <v>13786369</v>
      </c>
      <c r="T17" s="53" t="s">
        <v>89</v>
      </c>
      <c r="U17" s="54">
        <f>U6-U16*U7</f>
        <v>6.3632954111652049</v>
      </c>
    </row>
    <row r="18" spans="1:21" x14ac:dyDescent="0.25">
      <c r="A18" s="8">
        <v>212</v>
      </c>
      <c r="B18" s="10">
        <v>22372</v>
      </c>
      <c r="C18" s="10">
        <v>4436</v>
      </c>
      <c r="D18" s="10">
        <v>26</v>
      </c>
      <c r="E18" s="26">
        <f t="shared" si="2"/>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3"/>
        <v>64322</v>
      </c>
      <c r="S18">
        <f t="shared" si="4"/>
        <v>19678096</v>
      </c>
    </row>
    <row r="19" spans="1:21" x14ac:dyDescent="0.25">
      <c r="A19">
        <v>173</v>
      </c>
      <c r="B19" s="13">
        <v>22366</v>
      </c>
      <c r="C19" s="13">
        <v>1680</v>
      </c>
      <c r="D19" s="13">
        <v>26</v>
      </c>
      <c r="E19" s="26">
        <f t="shared" si="2"/>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3"/>
        <v>16464</v>
      </c>
      <c r="S19">
        <f t="shared" si="4"/>
        <v>2822400</v>
      </c>
    </row>
    <row r="20" spans="1:21" x14ac:dyDescent="0.25">
      <c r="A20">
        <v>174</v>
      </c>
      <c r="B20" s="13">
        <v>22367</v>
      </c>
      <c r="C20" s="13">
        <v>3546</v>
      </c>
      <c r="D20" s="13">
        <v>26</v>
      </c>
      <c r="E20" s="26">
        <f t="shared" si="2"/>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3"/>
        <v>39006</v>
      </c>
      <c r="S20">
        <f t="shared" si="4"/>
        <v>12574116</v>
      </c>
    </row>
    <row r="21" spans="1:21" x14ac:dyDescent="0.25">
      <c r="A21">
        <v>8894</v>
      </c>
      <c r="B21" s="13">
        <v>22306</v>
      </c>
      <c r="C21" s="13">
        <v>5720</v>
      </c>
      <c r="D21" s="13">
        <v>26</v>
      </c>
      <c r="E21" s="26">
        <f t="shared" si="2"/>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3"/>
        <v>78936</v>
      </c>
      <c r="S21">
        <f t="shared" si="4"/>
        <v>32718400</v>
      </c>
    </row>
    <row r="22" spans="1:21" x14ac:dyDescent="0.25">
      <c r="A22">
        <v>8895</v>
      </c>
      <c r="B22" s="13">
        <v>22306</v>
      </c>
      <c r="C22" s="13">
        <v>4329</v>
      </c>
      <c r="D22" s="13">
        <v>26</v>
      </c>
      <c r="E22" s="26">
        <f t="shared" si="2"/>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3"/>
        <v>51082.200000000004</v>
      </c>
      <c r="S22">
        <f t="shared" si="4"/>
        <v>18740241</v>
      </c>
    </row>
    <row r="23" spans="1:21" x14ac:dyDescent="0.25">
      <c r="A23">
        <v>8840</v>
      </c>
      <c r="B23" s="13">
        <v>22203</v>
      </c>
      <c r="C23" s="13">
        <v>3097</v>
      </c>
      <c r="D23" s="13">
        <v>25</v>
      </c>
      <c r="E23" s="26">
        <f t="shared" si="2"/>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3"/>
        <v>33447.600000000006</v>
      </c>
      <c r="S23">
        <f t="shared" si="4"/>
        <v>9591409</v>
      </c>
    </row>
    <row r="24" spans="1:21" x14ac:dyDescent="0.25">
      <c r="A24">
        <v>8850</v>
      </c>
      <c r="B24" s="13">
        <v>22217</v>
      </c>
      <c r="C24" s="13">
        <v>5232</v>
      </c>
      <c r="D24" s="13">
        <v>25</v>
      </c>
      <c r="E24" s="26">
        <f t="shared" si="2"/>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3"/>
        <v>70108.800000000003</v>
      </c>
      <c r="S24">
        <f t="shared" si="4"/>
        <v>27373824</v>
      </c>
    </row>
    <row r="25" spans="1:21" x14ac:dyDescent="0.25">
      <c r="A25">
        <v>8852</v>
      </c>
      <c r="B25" s="13">
        <v>22215</v>
      </c>
      <c r="C25" s="13">
        <v>2723</v>
      </c>
      <c r="D25" s="13">
        <v>25</v>
      </c>
      <c r="E25" s="26">
        <f t="shared" si="2"/>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3"/>
        <v>29408.400000000001</v>
      </c>
      <c r="S25">
        <f t="shared" si="4"/>
        <v>7414729</v>
      </c>
    </row>
    <row r="26" spans="1:21" x14ac:dyDescent="0.25">
      <c r="A26">
        <v>8851</v>
      </c>
      <c r="B26" s="13">
        <v>22216</v>
      </c>
      <c r="C26" s="13">
        <v>3339</v>
      </c>
      <c r="D26" s="13">
        <v>26</v>
      </c>
      <c r="E26" s="26">
        <f t="shared" si="2"/>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3"/>
        <v>36061.200000000004</v>
      </c>
      <c r="S26">
        <f t="shared" si="4"/>
        <v>11148921</v>
      </c>
    </row>
    <row r="27" spans="1:21" x14ac:dyDescent="0.25">
      <c r="A27">
        <v>8858</v>
      </c>
      <c r="B27" s="13">
        <v>22212</v>
      </c>
      <c r="C27" s="13">
        <v>3076</v>
      </c>
      <c r="D27" s="13">
        <v>26</v>
      </c>
      <c r="E27" s="26">
        <f t="shared" si="2"/>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3"/>
        <v>33220.800000000003</v>
      </c>
      <c r="S27">
        <f t="shared" si="4"/>
        <v>9461776</v>
      </c>
    </row>
    <row r="28" spans="1:21" x14ac:dyDescent="0.25">
      <c r="A28">
        <v>9200</v>
      </c>
      <c r="B28" s="13">
        <v>21798</v>
      </c>
      <c r="C28" s="13">
        <v>5479</v>
      </c>
      <c r="D28" s="13">
        <v>29</v>
      </c>
      <c r="E28" s="26">
        <f t="shared" si="2"/>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87</v>
      </c>
      <c r="R28">
        <f t="shared" si="3"/>
        <v>77253.899999999994</v>
      </c>
      <c r="S28">
        <f t="shared" si="4"/>
        <v>30019441</v>
      </c>
    </row>
    <row r="29" spans="1:21" x14ac:dyDescent="0.25">
      <c r="A29">
        <v>9201</v>
      </c>
      <c r="B29" s="13">
        <v>21874</v>
      </c>
      <c r="C29" s="13">
        <v>5222</v>
      </c>
      <c r="D29" s="13">
        <v>29</v>
      </c>
      <c r="E29" s="26">
        <f t="shared" si="2"/>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3"/>
        <v>71541.399999999994</v>
      </c>
      <c r="S29">
        <f t="shared" si="4"/>
        <v>27269284</v>
      </c>
    </row>
    <row r="30" spans="1:21" x14ac:dyDescent="0.25">
      <c r="A30">
        <v>9199</v>
      </c>
      <c r="B30" s="13">
        <v>21900</v>
      </c>
      <c r="C30" s="13">
        <v>4905</v>
      </c>
      <c r="D30" s="13">
        <v>29</v>
      </c>
      <c r="E30" s="26">
        <f t="shared" si="2"/>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3"/>
        <v>64255.5</v>
      </c>
      <c r="S30">
        <f t="shared" si="4"/>
        <v>24059025</v>
      </c>
    </row>
    <row r="31" spans="1:21" x14ac:dyDescent="0.25">
      <c r="C31" s="13"/>
      <c r="D31" s="27" t="str">
        <f>E31</f>
        <v/>
      </c>
      <c r="E31" s="26" t="str">
        <f t="shared" si="2"/>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3"/>
        <v>0</v>
      </c>
      <c r="S31">
        <f t="shared" si="4"/>
        <v>0</v>
      </c>
    </row>
    <row r="32" spans="1:21" x14ac:dyDescent="0.25">
      <c r="A32">
        <v>9192</v>
      </c>
      <c r="B32" s="13">
        <v>21962</v>
      </c>
      <c r="C32" s="13">
        <v>4857</v>
      </c>
      <c r="D32" s="13">
        <v>30</v>
      </c>
      <c r="E32" s="26">
        <f t="shared" si="2"/>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3"/>
        <v>61198.2</v>
      </c>
      <c r="S32">
        <f t="shared" si="4"/>
        <v>23590449</v>
      </c>
    </row>
    <row r="33" spans="1:19" x14ac:dyDescent="0.25">
      <c r="A33">
        <v>9165</v>
      </c>
      <c r="B33" s="13">
        <v>21987</v>
      </c>
      <c r="C33" s="13">
        <v>4007</v>
      </c>
      <c r="D33" s="13">
        <v>30</v>
      </c>
      <c r="E33" s="26">
        <f t="shared" si="2"/>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3"/>
        <v>47282.600000000006</v>
      </c>
      <c r="S33">
        <f t="shared" si="4"/>
        <v>16056049</v>
      </c>
    </row>
    <row r="34" spans="1:19" x14ac:dyDescent="0.25">
      <c r="A34">
        <v>9162</v>
      </c>
      <c r="B34" s="13">
        <v>22004</v>
      </c>
      <c r="C34" s="13">
        <v>5068</v>
      </c>
      <c r="D34" s="13">
        <v>30</v>
      </c>
      <c r="E34" s="26">
        <f t="shared" si="2"/>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3"/>
        <v>66390.8</v>
      </c>
      <c r="S34">
        <f t="shared" si="4"/>
        <v>25684624</v>
      </c>
    </row>
    <row r="35" spans="1:19" x14ac:dyDescent="0.25">
      <c r="A35">
        <v>9163</v>
      </c>
      <c r="B35" s="13">
        <v>22009</v>
      </c>
      <c r="C35" s="13">
        <v>5386</v>
      </c>
      <c r="D35" s="13">
        <v>30</v>
      </c>
      <c r="E35" s="26">
        <f t="shared" si="2"/>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3"/>
        <v>70556.599999999991</v>
      </c>
      <c r="S35">
        <f t="shared" si="4"/>
        <v>29008996</v>
      </c>
    </row>
    <row r="36" spans="1:19" x14ac:dyDescent="0.25">
      <c r="A36">
        <v>9164</v>
      </c>
      <c r="B36" s="13">
        <v>22016</v>
      </c>
      <c r="C36" s="13">
        <v>5589</v>
      </c>
      <c r="D36" s="13">
        <v>30</v>
      </c>
      <c r="E36" s="26">
        <f t="shared" si="2"/>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3"/>
        <v>77687.100000000006</v>
      </c>
      <c r="S36">
        <f t="shared" si="4"/>
        <v>31236921</v>
      </c>
    </row>
    <row r="37" spans="1:19" x14ac:dyDescent="0.25">
      <c r="A37">
        <v>195</v>
      </c>
      <c r="B37" s="13">
        <v>22050</v>
      </c>
      <c r="C37" s="13">
        <v>4876</v>
      </c>
      <c r="D37" s="13">
        <v>30</v>
      </c>
      <c r="E37" s="26">
        <f t="shared" si="2"/>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3"/>
        <v>62412.800000000003</v>
      </c>
      <c r="S37">
        <f t="shared" si="4"/>
        <v>23775376</v>
      </c>
    </row>
    <row r="38" spans="1:19" x14ac:dyDescent="0.25">
      <c r="A38">
        <v>8932</v>
      </c>
      <c r="B38" s="13">
        <v>21987</v>
      </c>
      <c r="C38" s="13">
        <v>3899</v>
      </c>
      <c r="D38" s="13">
        <v>30</v>
      </c>
      <c r="E38" s="26">
        <f t="shared" si="2"/>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3"/>
        <v>44448.6</v>
      </c>
      <c r="S38">
        <f t="shared" si="4"/>
        <v>15202201</v>
      </c>
    </row>
    <row r="39" spans="1:19" x14ac:dyDescent="0.25">
      <c r="A39">
        <v>9161</v>
      </c>
      <c r="B39" s="13">
        <v>21945</v>
      </c>
      <c r="C39" s="13">
        <v>5294</v>
      </c>
      <c r="D39" s="13">
        <v>30</v>
      </c>
      <c r="E39" s="26">
        <f t="shared" si="2"/>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3"/>
        <v>73586.600000000006</v>
      </c>
      <c r="S39">
        <f t="shared" si="4"/>
        <v>28026436</v>
      </c>
    </row>
    <row r="40" spans="1:19" x14ac:dyDescent="0.25">
      <c r="A40">
        <v>9172</v>
      </c>
      <c r="B40" s="13">
        <v>22050</v>
      </c>
      <c r="C40" s="13">
        <v>4076</v>
      </c>
      <c r="D40" s="13">
        <v>30</v>
      </c>
      <c r="E40" s="26">
        <f t="shared" si="2"/>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3"/>
        <v>47281.599999999999</v>
      </c>
      <c r="S40">
        <f t="shared" si="4"/>
        <v>16613776</v>
      </c>
    </row>
    <row r="41" spans="1:19" x14ac:dyDescent="0.25">
      <c r="A41">
        <v>9205</v>
      </c>
      <c r="B41" s="13">
        <v>22005</v>
      </c>
      <c r="C41">
        <v>5007</v>
      </c>
      <c r="D41" s="13">
        <v>30</v>
      </c>
      <c r="E41" s="26" t="str">
        <f t="shared" si="2"/>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3"/>
        <v>0</v>
      </c>
      <c r="S41">
        <f t="shared" si="4"/>
        <v>25070049</v>
      </c>
    </row>
    <row r="42" spans="1:19" x14ac:dyDescent="0.25">
      <c r="A42">
        <v>9174</v>
      </c>
      <c r="B42" s="13">
        <v>22055</v>
      </c>
      <c r="C42" s="13">
        <v>4731</v>
      </c>
      <c r="D42" s="13">
        <v>30</v>
      </c>
      <c r="E42" s="26">
        <f t="shared" si="2"/>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3"/>
        <v>60083.7</v>
      </c>
      <c r="S42">
        <f t="shared" si="4"/>
        <v>22382361</v>
      </c>
    </row>
    <row r="43" spans="1:19" x14ac:dyDescent="0.25">
      <c r="A43">
        <v>9204</v>
      </c>
      <c r="B43" s="13">
        <v>22002</v>
      </c>
      <c r="C43">
        <v>5010</v>
      </c>
      <c r="D43" s="13">
        <v>30</v>
      </c>
      <c r="E43" s="26" t="str">
        <f t="shared" si="2"/>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3"/>
        <v>0</v>
      </c>
      <c r="S43">
        <f t="shared" si="4"/>
        <v>25100100</v>
      </c>
    </row>
    <row r="44" spans="1:19" x14ac:dyDescent="0.25">
      <c r="A44">
        <v>9175</v>
      </c>
      <c r="B44" s="13">
        <v>21986</v>
      </c>
      <c r="C44" s="13">
        <v>4788</v>
      </c>
      <c r="D44" s="13">
        <v>30</v>
      </c>
      <c r="E44" s="26">
        <f t="shared" si="2"/>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3"/>
        <v>60328.799999999996</v>
      </c>
      <c r="S44">
        <f t="shared" si="4"/>
        <v>22924944</v>
      </c>
    </row>
    <row r="45" spans="1:19" x14ac:dyDescent="0.25">
      <c r="A45">
        <v>9176</v>
      </c>
      <c r="B45" s="13">
        <v>22032</v>
      </c>
      <c r="C45" s="13">
        <v>4985</v>
      </c>
      <c r="D45" s="13">
        <v>30</v>
      </c>
      <c r="E45" s="26">
        <f t="shared" si="2"/>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3"/>
        <v>67796</v>
      </c>
      <c r="S45">
        <f t="shared" si="4"/>
        <v>24850225</v>
      </c>
    </row>
    <row r="46" spans="1:19" x14ac:dyDescent="0.25">
      <c r="A46">
        <v>9173</v>
      </c>
      <c r="B46" s="13">
        <v>22053</v>
      </c>
      <c r="C46" s="13">
        <v>4590</v>
      </c>
      <c r="D46" s="13">
        <v>30</v>
      </c>
      <c r="E46" s="26">
        <f t="shared" si="2"/>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3"/>
        <v>57375</v>
      </c>
      <c r="S46">
        <f t="shared" si="4"/>
        <v>21068100</v>
      </c>
    </row>
    <row r="47" spans="1:19" x14ac:dyDescent="0.25">
      <c r="A47">
        <v>9171</v>
      </c>
      <c r="B47" s="13">
        <v>22067</v>
      </c>
      <c r="C47" s="13">
        <v>4106</v>
      </c>
      <c r="D47" s="13">
        <v>30</v>
      </c>
      <c r="E47" s="26">
        <f t="shared" si="2"/>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3"/>
        <v>49272</v>
      </c>
      <c r="S47">
        <f t="shared" si="4"/>
        <v>16859236</v>
      </c>
    </row>
    <row r="48" spans="1:19" x14ac:dyDescent="0.25">
      <c r="A48">
        <v>9166</v>
      </c>
      <c r="B48" s="13">
        <v>22057</v>
      </c>
      <c r="C48" s="13">
        <v>3902</v>
      </c>
      <c r="D48" s="13">
        <v>30</v>
      </c>
      <c r="E48" s="26">
        <f t="shared" si="2"/>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3"/>
        <v>45263.199999999997</v>
      </c>
      <c r="S48">
        <f t="shared" si="4"/>
        <v>15225604</v>
      </c>
    </row>
    <row r="49" spans="1:19" x14ac:dyDescent="0.25">
      <c r="A49">
        <v>9203</v>
      </c>
      <c r="B49" s="13">
        <v>22041</v>
      </c>
      <c r="C49" s="13">
        <v>5646</v>
      </c>
      <c r="D49" s="13">
        <v>30</v>
      </c>
      <c r="E49" s="26">
        <f t="shared" si="2"/>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3"/>
        <v>81867</v>
      </c>
      <c r="S49">
        <f t="shared" si="4"/>
        <v>31877316</v>
      </c>
    </row>
    <row r="50" spans="1:19" x14ac:dyDescent="0.25">
      <c r="A50">
        <v>9188</v>
      </c>
      <c r="B50" s="13">
        <v>22015</v>
      </c>
      <c r="C50" s="13">
        <v>4844</v>
      </c>
      <c r="D50" s="13">
        <v>30</v>
      </c>
      <c r="E50" s="26">
        <f t="shared" si="2"/>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3"/>
        <v>62487.6</v>
      </c>
      <c r="S50">
        <f t="shared" si="4"/>
        <v>23464336</v>
      </c>
    </row>
    <row r="51" spans="1:19" x14ac:dyDescent="0.25">
      <c r="A51">
        <v>9204</v>
      </c>
      <c r="B51" s="13">
        <v>22008</v>
      </c>
      <c r="C51" s="13">
        <v>5110</v>
      </c>
      <c r="D51" s="13">
        <v>30</v>
      </c>
      <c r="E51" s="26">
        <f t="shared" si="2"/>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3"/>
        <v>65919</v>
      </c>
      <c r="S51">
        <f t="shared" si="4"/>
        <v>26112100</v>
      </c>
    </row>
    <row r="52" spans="1:19" x14ac:dyDescent="0.25">
      <c r="A52">
        <v>9205</v>
      </c>
      <c r="B52" s="13">
        <v>22034</v>
      </c>
      <c r="C52" s="13">
        <v>4960</v>
      </c>
      <c r="D52" s="13">
        <v>30</v>
      </c>
      <c r="E52" s="26">
        <f t="shared" si="2"/>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3"/>
        <v>62000</v>
      </c>
      <c r="S52">
        <f t="shared" si="4"/>
        <v>24601600</v>
      </c>
    </row>
    <row r="53" spans="1:19" x14ac:dyDescent="0.25">
      <c r="A53">
        <v>9183</v>
      </c>
      <c r="B53" s="13">
        <v>21750</v>
      </c>
      <c r="C53" s="13">
        <v>5283</v>
      </c>
      <c r="D53" s="13">
        <v>29</v>
      </c>
      <c r="E53" s="26">
        <f t="shared" si="2"/>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3"/>
        <v>73962</v>
      </c>
      <c r="S53">
        <f t="shared" si="4"/>
        <v>27910089</v>
      </c>
    </row>
    <row r="54" spans="1:19" x14ac:dyDescent="0.25">
      <c r="A54">
        <v>9185</v>
      </c>
      <c r="B54" s="13">
        <v>21809</v>
      </c>
      <c r="C54" s="13">
        <v>5348</v>
      </c>
      <c r="D54" s="13">
        <v>30</v>
      </c>
      <c r="E54" s="26">
        <f t="shared" si="2"/>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3"/>
        <v>74337.2</v>
      </c>
      <c r="S54">
        <f t="shared" si="4"/>
        <v>28601104</v>
      </c>
    </row>
    <row r="55" spans="1:19" x14ac:dyDescent="0.25">
      <c r="A55">
        <v>9186</v>
      </c>
      <c r="B55" s="13">
        <v>21859</v>
      </c>
      <c r="C55" s="13">
        <v>5216</v>
      </c>
      <c r="D55" s="13">
        <v>30</v>
      </c>
      <c r="E55" s="26">
        <f t="shared" si="2"/>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3"/>
        <v>68851.199999999997</v>
      </c>
      <c r="S55">
        <f t="shared" si="4"/>
        <v>27206656</v>
      </c>
    </row>
    <row r="56" spans="1:19" x14ac:dyDescent="0.25">
      <c r="A56">
        <v>9189</v>
      </c>
      <c r="B56" s="13">
        <v>21884</v>
      </c>
      <c r="C56" s="13">
        <v>5427</v>
      </c>
      <c r="D56" s="13">
        <v>30</v>
      </c>
      <c r="E56" s="26">
        <f t="shared" si="2"/>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3"/>
        <v>72179.100000000006</v>
      </c>
      <c r="S56">
        <f t="shared" si="4"/>
        <v>29452329</v>
      </c>
    </row>
    <row r="57" spans="1:19" x14ac:dyDescent="0.25">
      <c r="A57">
        <v>9177</v>
      </c>
      <c r="B57" s="13">
        <v>21892</v>
      </c>
      <c r="C57" s="13">
        <v>4691</v>
      </c>
      <c r="D57" s="13">
        <v>30</v>
      </c>
      <c r="E57" s="26">
        <f t="shared" si="2"/>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3"/>
        <v>56292</v>
      </c>
      <c r="S57">
        <f t="shared" si="4"/>
        <v>22005481</v>
      </c>
    </row>
    <row r="58" spans="1:19" x14ac:dyDescent="0.25">
      <c r="A58">
        <v>189</v>
      </c>
      <c r="B58" s="13">
        <v>21929</v>
      </c>
      <c r="C58" s="13">
        <v>5522</v>
      </c>
      <c r="D58" s="13">
        <v>30</v>
      </c>
      <c r="E58" s="26">
        <f t="shared" si="2"/>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3"/>
        <v>73442.600000000006</v>
      </c>
      <c r="S58">
        <f t="shared" si="4"/>
        <v>30492484</v>
      </c>
    </row>
    <row r="59" spans="1:19" x14ac:dyDescent="0.25">
      <c r="A59">
        <v>9178</v>
      </c>
      <c r="B59" s="13">
        <v>21922</v>
      </c>
      <c r="C59" s="13">
        <v>5260</v>
      </c>
      <c r="D59" s="13">
        <v>30</v>
      </c>
      <c r="E59" s="26">
        <f t="shared" si="2"/>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3"/>
        <v>69432</v>
      </c>
      <c r="S59">
        <f t="shared" si="4"/>
        <v>27667600</v>
      </c>
    </row>
    <row r="60" spans="1:19" x14ac:dyDescent="0.25">
      <c r="A60">
        <v>9179</v>
      </c>
      <c r="B60" s="13">
        <v>21923</v>
      </c>
      <c r="C60" s="13">
        <v>5089</v>
      </c>
      <c r="D60" s="13">
        <v>30</v>
      </c>
      <c r="E60" s="26">
        <f t="shared" si="2"/>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3"/>
        <v>65139.200000000004</v>
      </c>
      <c r="S60">
        <f t="shared" si="4"/>
        <v>25897921</v>
      </c>
    </row>
    <row r="61" spans="1:19" x14ac:dyDescent="0.25">
      <c r="A61">
        <v>9180</v>
      </c>
      <c r="B61" s="13">
        <v>21965</v>
      </c>
      <c r="C61" s="13">
        <v>4814</v>
      </c>
      <c r="D61" s="13">
        <v>30</v>
      </c>
      <c r="E61" s="26">
        <f t="shared" si="2"/>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3"/>
        <v>63544.799999999996</v>
      </c>
      <c r="S61">
        <f t="shared" si="4"/>
        <v>23174596</v>
      </c>
    </row>
    <row r="62" spans="1:19" x14ac:dyDescent="0.25">
      <c r="A62">
        <v>9182</v>
      </c>
      <c r="B62" s="13">
        <v>21875</v>
      </c>
      <c r="C62" s="13">
        <v>5037</v>
      </c>
      <c r="D62" s="13">
        <v>30</v>
      </c>
      <c r="E62" s="26">
        <f t="shared" si="2"/>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3"/>
        <v>65481</v>
      </c>
      <c r="S62">
        <f t="shared" si="4"/>
        <v>25371369</v>
      </c>
    </row>
    <row r="63" spans="1:19" x14ac:dyDescent="0.25">
      <c r="A63">
        <v>199</v>
      </c>
      <c r="B63" s="13">
        <v>21665</v>
      </c>
      <c r="C63" s="13">
        <v>4731</v>
      </c>
      <c r="D63" s="13">
        <v>30</v>
      </c>
      <c r="E63" s="26">
        <f t="shared" si="2"/>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3"/>
        <v>58191.3</v>
      </c>
      <c r="S63">
        <f t="shared" si="4"/>
        <v>22382361</v>
      </c>
    </row>
    <row r="64" spans="1:19" x14ac:dyDescent="0.25">
      <c r="A64">
        <v>203</v>
      </c>
      <c r="B64" s="13">
        <v>21799</v>
      </c>
      <c r="C64" s="13">
        <v>5212</v>
      </c>
      <c r="D64" s="13">
        <v>30</v>
      </c>
      <c r="E64" s="26">
        <f t="shared" si="2"/>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3"/>
        <v>67756</v>
      </c>
      <c r="S64">
        <f t="shared" si="4"/>
        <v>27164944</v>
      </c>
    </row>
    <row r="65" spans="1:19" x14ac:dyDescent="0.25">
      <c r="A65">
        <v>9238</v>
      </c>
      <c r="B65" s="13">
        <v>21841</v>
      </c>
      <c r="C65" s="13">
        <v>5180</v>
      </c>
      <c r="D65" s="13">
        <v>30</v>
      </c>
      <c r="E65" s="26">
        <f t="shared" si="2"/>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3"/>
        <v>66822</v>
      </c>
      <c r="S65">
        <f t="shared" si="4"/>
        <v>26832400</v>
      </c>
    </row>
    <row r="66" spans="1:19" x14ac:dyDescent="0.25">
      <c r="A66">
        <v>9177</v>
      </c>
      <c r="B66" s="13">
        <v>21816</v>
      </c>
      <c r="C66" s="13">
        <v>4255</v>
      </c>
      <c r="D66" s="13">
        <v>30</v>
      </c>
      <c r="E66" s="26">
        <f t="shared" si="2"/>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3"/>
        <v>49783.5</v>
      </c>
      <c r="S66">
        <f t="shared" si="4"/>
        <v>18105025</v>
      </c>
    </row>
    <row r="67" spans="1:19" x14ac:dyDescent="0.25">
      <c r="A67">
        <v>9189</v>
      </c>
      <c r="B67" s="13">
        <v>21815</v>
      </c>
      <c r="C67" s="13">
        <v>5477</v>
      </c>
      <c r="D67" s="13">
        <v>30</v>
      </c>
      <c r="E67" s="26">
        <f t="shared" si="2"/>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3"/>
        <v>73939.5</v>
      </c>
      <c r="S67">
        <f t="shared" si="4"/>
        <v>29997529</v>
      </c>
    </row>
    <row r="68" spans="1:19" x14ac:dyDescent="0.25">
      <c r="A68">
        <v>9186</v>
      </c>
      <c r="B68" s="13">
        <v>21824</v>
      </c>
      <c r="C68" s="13">
        <v>5282</v>
      </c>
      <c r="D68" s="13">
        <v>31</v>
      </c>
      <c r="E68" s="26">
        <f t="shared" si="2"/>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3"/>
        <v>71307</v>
      </c>
      <c r="S68">
        <f t="shared" si="4"/>
        <v>27899524</v>
      </c>
    </row>
    <row r="69" spans="1:19" x14ac:dyDescent="0.25">
      <c r="A69">
        <v>9216</v>
      </c>
      <c r="B69" s="13">
        <v>21799</v>
      </c>
      <c r="C69" s="13">
        <v>5525</v>
      </c>
      <c r="D69" s="13">
        <v>31</v>
      </c>
      <c r="E69" s="26">
        <f t="shared" ref="E69:E117" si="5">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6">G69*C69</f>
        <v>79560</v>
      </c>
      <c r="S69">
        <f t="shared" ref="S69:S132" si="7">C69*C69</f>
        <v>30525625</v>
      </c>
    </row>
    <row r="70" spans="1:19" x14ac:dyDescent="0.25">
      <c r="A70">
        <v>9214</v>
      </c>
      <c r="B70" s="13">
        <v>21779</v>
      </c>
      <c r="C70" s="13">
        <v>4643</v>
      </c>
      <c r="D70" s="13">
        <v>31</v>
      </c>
      <c r="E70" s="26">
        <f t="shared" si="5"/>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6"/>
        <v>55251.700000000004</v>
      </c>
      <c r="S70">
        <f t="shared" si="7"/>
        <v>21557449</v>
      </c>
    </row>
    <row r="71" spans="1:19" x14ac:dyDescent="0.25">
      <c r="A71">
        <v>9211</v>
      </c>
      <c r="B71" s="13">
        <v>21818</v>
      </c>
      <c r="C71" s="13">
        <v>3469</v>
      </c>
      <c r="D71" s="13">
        <v>31</v>
      </c>
      <c r="E71" s="26">
        <f t="shared" si="5"/>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6"/>
        <v>37812.1</v>
      </c>
      <c r="S71">
        <f t="shared" si="7"/>
        <v>12033961</v>
      </c>
    </row>
    <row r="72" spans="1:19" x14ac:dyDescent="0.25">
      <c r="A72">
        <v>9212</v>
      </c>
      <c r="B72" s="13">
        <v>21815</v>
      </c>
      <c r="C72" s="13">
        <v>5365</v>
      </c>
      <c r="D72" s="13">
        <v>31</v>
      </c>
      <c r="E72" s="26">
        <f t="shared" si="5"/>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6"/>
        <v>71354.5</v>
      </c>
      <c r="S72">
        <f t="shared" si="7"/>
        <v>28783225</v>
      </c>
    </row>
    <row r="73" spans="1:19" x14ac:dyDescent="0.25">
      <c r="A73">
        <v>9210</v>
      </c>
      <c r="B73" s="13">
        <v>21820</v>
      </c>
      <c r="C73" s="13">
        <v>3842</v>
      </c>
      <c r="D73" s="13">
        <v>31</v>
      </c>
      <c r="E73" s="26">
        <f t="shared" si="5"/>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6"/>
        <v>43798.8</v>
      </c>
      <c r="S73">
        <f t="shared" si="7"/>
        <v>14760964</v>
      </c>
    </row>
    <row r="74" spans="1:19" x14ac:dyDescent="0.25">
      <c r="A74">
        <v>9209</v>
      </c>
      <c r="B74" s="13">
        <v>21834</v>
      </c>
      <c r="C74" s="13">
        <v>5114</v>
      </c>
      <c r="D74" s="13">
        <v>31</v>
      </c>
      <c r="E74" s="26">
        <f t="shared" si="5"/>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6"/>
        <v>67504.800000000003</v>
      </c>
      <c r="S74">
        <f t="shared" si="7"/>
        <v>26152996</v>
      </c>
    </row>
    <row r="75" spans="1:19" x14ac:dyDescent="0.25">
      <c r="A75">
        <v>215</v>
      </c>
      <c r="B75" s="13">
        <v>21840</v>
      </c>
      <c r="C75" s="13">
        <v>5420</v>
      </c>
      <c r="D75" s="13">
        <v>30</v>
      </c>
      <c r="E75" s="26">
        <f t="shared" si="5"/>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6"/>
        <v>75338</v>
      </c>
      <c r="S75">
        <f t="shared" si="7"/>
        <v>29376400</v>
      </c>
    </row>
    <row r="76" spans="1:19" x14ac:dyDescent="0.25">
      <c r="A76">
        <v>210</v>
      </c>
      <c r="B76" s="13">
        <v>21490</v>
      </c>
      <c r="C76" s="13">
        <v>4795</v>
      </c>
      <c r="D76" s="13">
        <v>30</v>
      </c>
      <c r="E76" s="26">
        <f t="shared" si="5"/>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6"/>
        <v>60896.5</v>
      </c>
      <c r="S76">
        <f t="shared" si="7"/>
        <v>22992025</v>
      </c>
    </row>
    <row r="77" spans="1:19" x14ac:dyDescent="0.25">
      <c r="A77">
        <v>214</v>
      </c>
      <c r="B77" s="13">
        <v>21573</v>
      </c>
      <c r="C77">
        <v>4823</v>
      </c>
      <c r="D77" s="13">
        <v>30</v>
      </c>
      <c r="E77" s="26" t="str">
        <f t="shared" si="5"/>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6"/>
        <v>0</v>
      </c>
      <c r="S77">
        <f t="shared" si="7"/>
        <v>23261329</v>
      </c>
    </row>
    <row r="78" spans="1:19" x14ac:dyDescent="0.25">
      <c r="A78">
        <v>216</v>
      </c>
      <c r="B78" s="13">
        <v>21594</v>
      </c>
      <c r="C78" s="13">
        <v>4628</v>
      </c>
      <c r="D78" s="13">
        <v>30</v>
      </c>
      <c r="E78" s="26">
        <f t="shared" si="5"/>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6"/>
        <v>56924.4</v>
      </c>
      <c r="S78">
        <f t="shared" si="7"/>
        <v>21418384</v>
      </c>
    </row>
    <row r="79" spans="1:19" x14ac:dyDescent="0.25">
      <c r="A79">
        <v>215</v>
      </c>
      <c r="B79" s="13">
        <v>21625</v>
      </c>
      <c r="C79" s="13">
        <v>5260</v>
      </c>
      <c r="D79" s="13">
        <v>30</v>
      </c>
      <c r="E79" s="26">
        <f t="shared" si="5"/>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6"/>
        <v>71010</v>
      </c>
      <c r="S79">
        <f t="shared" si="7"/>
        <v>27667600</v>
      </c>
    </row>
    <row r="80" spans="1:19" x14ac:dyDescent="0.25">
      <c r="A80">
        <v>211</v>
      </c>
      <c r="B80" s="13">
        <v>21633</v>
      </c>
      <c r="C80">
        <v>4844</v>
      </c>
      <c r="D80" s="13">
        <v>30</v>
      </c>
      <c r="E80" s="26" t="str">
        <f t="shared" si="5"/>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6"/>
        <v>0</v>
      </c>
      <c r="S80">
        <f t="shared" si="7"/>
        <v>23464336</v>
      </c>
    </row>
    <row r="81" spans="1:19" x14ac:dyDescent="0.25">
      <c r="A81">
        <v>212</v>
      </c>
      <c r="B81" s="13">
        <v>21658</v>
      </c>
      <c r="C81" s="13">
        <v>3045</v>
      </c>
      <c r="D81" s="13">
        <v>30</v>
      </c>
      <c r="E81" s="26">
        <f t="shared" si="5"/>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6"/>
        <v>33495</v>
      </c>
      <c r="S81">
        <f t="shared" si="7"/>
        <v>9272025</v>
      </c>
    </row>
    <row r="82" spans="1:19" x14ac:dyDescent="0.25">
      <c r="A82">
        <v>217</v>
      </c>
      <c r="B82" s="13">
        <v>21646</v>
      </c>
      <c r="C82" s="13">
        <v>4323</v>
      </c>
      <c r="D82" s="13">
        <v>30</v>
      </c>
      <c r="E82" s="26">
        <f t="shared" si="5"/>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6"/>
        <v>51011.4</v>
      </c>
      <c r="S82">
        <f t="shared" si="7"/>
        <v>18688329</v>
      </c>
    </row>
    <row r="83" spans="1:19" x14ac:dyDescent="0.25">
      <c r="A83">
        <v>9285</v>
      </c>
      <c r="B83" s="13">
        <v>21626</v>
      </c>
      <c r="C83" s="13">
        <v>4994</v>
      </c>
      <c r="D83" s="13">
        <v>30</v>
      </c>
      <c r="E83" s="26">
        <f t="shared" si="5"/>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6"/>
        <v>64422.6</v>
      </c>
      <c r="S83">
        <f t="shared" si="7"/>
        <v>24940036</v>
      </c>
    </row>
    <row r="84" spans="1:19" x14ac:dyDescent="0.25">
      <c r="A84">
        <v>9288</v>
      </c>
      <c r="B84" s="13">
        <v>21536</v>
      </c>
      <c r="C84" s="13">
        <v>3347</v>
      </c>
      <c r="D84" s="13">
        <v>30</v>
      </c>
      <c r="E84" s="26">
        <f t="shared" si="5"/>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6"/>
        <v>37151.699999999997</v>
      </c>
      <c r="S84">
        <f t="shared" si="7"/>
        <v>11202409</v>
      </c>
    </row>
    <row r="85" spans="1:19" x14ac:dyDescent="0.25">
      <c r="A85">
        <v>9289</v>
      </c>
      <c r="B85" s="13">
        <v>21574</v>
      </c>
      <c r="C85" s="13">
        <v>2721</v>
      </c>
      <c r="D85" s="13">
        <v>30</v>
      </c>
      <c r="E85" s="26">
        <f t="shared" si="5"/>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6"/>
        <v>28842.6</v>
      </c>
      <c r="S85">
        <f t="shared" si="7"/>
        <v>7403841</v>
      </c>
    </row>
    <row r="86" spans="1:19" x14ac:dyDescent="0.25">
      <c r="A86">
        <v>9269</v>
      </c>
      <c r="B86" s="13">
        <v>21597</v>
      </c>
      <c r="C86" s="13">
        <v>4369</v>
      </c>
      <c r="D86" s="13">
        <v>30</v>
      </c>
      <c r="E86" s="26">
        <f t="shared" si="5"/>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6"/>
        <v>53738.700000000004</v>
      </c>
      <c r="S86">
        <f t="shared" si="7"/>
        <v>19088161</v>
      </c>
    </row>
    <row r="87" spans="1:19" x14ac:dyDescent="0.25">
      <c r="A87">
        <v>9267</v>
      </c>
      <c r="B87" s="13">
        <v>21639</v>
      </c>
      <c r="C87" s="13">
        <v>5078</v>
      </c>
      <c r="D87" s="13">
        <v>30</v>
      </c>
      <c r="E87" s="26">
        <f t="shared" si="5"/>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6"/>
        <v>68553</v>
      </c>
      <c r="S87">
        <f t="shared" si="7"/>
        <v>25786084</v>
      </c>
    </row>
    <row r="88" spans="1:19" x14ac:dyDescent="0.25">
      <c r="A88">
        <v>9267</v>
      </c>
      <c r="B88" s="13">
        <v>21674</v>
      </c>
      <c r="C88" s="13">
        <v>5183</v>
      </c>
      <c r="D88" s="13">
        <v>30</v>
      </c>
      <c r="E88" s="26">
        <f t="shared" si="5"/>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6"/>
        <v>70488.800000000003</v>
      </c>
      <c r="S88">
        <f t="shared" si="7"/>
        <v>26863489</v>
      </c>
    </row>
    <row r="89" spans="1:19" x14ac:dyDescent="0.25">
      <c r="A89">
        <v>9267</v>
      </c>
      <c r="B89" s="13">
        <v>21666</v>
      </c>
      <c r="C89" s="13">
        <v>5123</v>
      </c>
      <c r="D89" s="13">
        <v>30</v>
      </c>
      <c r="E89" s="26">
        <f t="shared" si="5"/>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6"/>
        <v>69672.800000000003</v>
      </c>
      <c r="S89">
        <f t="shared" si="7"/>
        <v>26245129</v>
      </c>
    </row>
    <row r="90" spans="1:19" x14ac:dyDescent="0.25">
      <c r="A90">
        <v>9261</v>
      </c>
      <c r="B90" s="13">
        <v>21671</v>
      </c>
      <c r="C90" s="13">
        <v>4657</v>
      </c>
      <c r="D90" s="13">
        <v>30</v>
      </c>
      <c r="E90" s="26">
        <f t="shared" si="5"/>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6"/>
        <v>58212.5</v>
      </c>
      <c r="S90">
        <f t="shared" si="7"/>
        <v>21687649</v>
      </c>
    </row>
    <row r="91" spans="1:19" x14ac:dyDescent="0.25">
      <c r="A91">
        <v>9262</v>
      </c>
      <c r="B91" s="13">
        <v>21655</v>
      </c>
      <c r="C91" s="13">
        <v>4885</v>
      </c>
      <c r="D91" s="13">
        <v>30</v>
      </c>
      <c r="E91" s="26">
        <f t="shared" si="5"/>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6"/>
        <v>61551</v>
      </c>
      <c r="S91">
        <f t="shared" si="7"/>
        <v>23863225</v>
      </c>
    </row>
    <row r="92" spans="1:19" x14ac:dyDescent="0.25">
      <c r="A92">
        <v>9265</v>
      </c>
      <c r="B92" s="13">
        <v>21655</v>
      </c>
      <c r="C92" s="13">
        <v>3995</v>
      </c>
      <c r="D92" s="13">
        <v>30</v>
      </c>
      <c r="E92" s="26">
        <f t="shared" si="5"/>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6"/>
        <v>45942.5</v>
      </c>
      <c r="S92">
        <f t="shared" si="7"/>
        <v>15960025</v>
      </c>
    </row>
    <row r="93" spans="1:19" x14ac:dyDescent="0.25">
      <c r="A93">
        <v>9266</v>
      </c>
      <c r="B93" s="13">
        <v>21663</v>
      </c>
      <c r="C93" s="13">
        <v>4108</v>
      </c>
      <c r="D93" s="13">
        <v>30</v>
      </c>
      <c r="E93" s="26">
        <f t="shared" si="5"/>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6"/>
        <v>47652.799999999996</v>
      </c>
      <c r="S93">
        <f t="shared" si="7"/>
        <v>16875664</v>
      </c>
    </row>
    <row r="94" spans="1:19" x14ac:dyDescent="0.25">
      <c r="A94">
        <v>9327</v>
      </c>
      <c r="B94" s="13">
        <v>21484</v>
      </c>
      <c r="C94" s="13">
        <v>4878</v>
      </c>
      <c r="D94" s="13">
        <v>30</v>
      </c>
      <c r="E94" s="26">
        <f t="shared" si="5"/>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6"/>
        <v>64877.4</v>
      </c>
      <c r="S94">
        <f t="shared" si="7"/>
        <v>23794884</v>
      </c>
    </row>
    <row r="95" spans="1:19" x14ac:dyDescent="0.25">
      <c r="A95">
        <v>9326</v>
      </c>
      <c r="B95" s="13">
        <v>21602</v>
      </c>
      <c r="C95" s="13">
        <v>4673</v>
      </c>
      <c r="D95" s="13">
        <v>30</v>
      </c>
      <c r="E95" s="26">
        <f t="shared" si="5"/>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6"/>
        <v>57477.9</v>
      </c>
      <c r="S95">
        <f t="shared" si="7"/>
        <v>21836929</v>
      </c>
    </row>
    <row r="96" spans="1:19" x14ac:dyDescent="0.25">
      <c r="A96">
        <v>9323</v>
      </c>
      <c r="B96" s="13">
        <v>21617</v>
      </c>
      <c r="C96" s="13">
        <v>4147</v>
      </c>
      <c r="D96" s="13">
        <v>30</v>
      </c>
      <c r="E96" s="26">
        <f t="shared" si="5"/>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6"/>
        <v>48105.2</v>
      </c>
      <c r="S96">
        <f t="shared" si="7"/>
        <v>17197609</v>
      </c>
    </row>
    <row r="97" spans="1:19" x14ac:dyDescent="0.25">
      <c r="A97">
        <v>9355</v>
      </c>
      <c r="B97" s="13">
        <v>21275</v>
      </c>
      <c r="C97" s="13">
        <v>4097</v>
      </c>
      <c r="D97" s="13">
        <v>30</v>
      </c>
      <c r="E97" s="26">
        <f t="shared" si="5"/>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6"/>
        <v>49573.7</v>
      </c>
      <c r="S97">
        <f t="shared" si="7"/>
        <v>16785409</v>
      </c>
    </row>
    <row r="98" spans="1:19" x14ac:dyDescent="0.25">
      <c r="A98">
        <v>9359</v>
      </c>
      <c r="B98" s="13">
        <v>21379</v>
      </c>
      <c r="C98" s="13">
        <v>5529</v>
      </c>
      <c r="D98" s="13">
        <v>30</v>
      </c>
      <c r="E98" s="26">
        <f t="shared" si="5"/>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6"/>
        <v>86252.4</v>
      </c>
      <c r="S98">
        <f t="shared" si="7"/>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116</v>
      </c>
      <c r="R99">
        <f t="shared" si="6"/>
        <v>87703.2</v>
      </c>
      <c r="S99">
        <f t="shared" si="7"/>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6"/>
        <v>86408.4</v>
      </c>
      <c r="S100">
        <f t="shared" si="7"/>
        <v>30680521</v>
      </c>
    </row>
    <row r="101" spans="1:19" x14ac:dyDescent="0.25">
      <c r="A101">
        <v>9359</v>
      </c>
      <c r="B101" s="13">
        <v>21411</v>
      </c>
      <c r="C101" s="13">
        <v>5526</v>
      </c>
      <c r="D101" s="13">
        <v>30</v>
      </c>
      <c r="E101" s="26">
        <f t="shared" si="5"/>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117</v>
      </c>
      <c r="R101">
        <f t="shared" si="6"/>
        <v>86205.599999999991</v>
      </c>
      <c r="S101">
        <f t="shared" si="7"/>
        <v>30536676</v>
      </c>
    </row>
    <row r="102" spans="1:19" x14ac:dyDescent="0.25">
      <c r="A102">
        <v>9452</v>
      </c>
      <c r="B102" s="13">
        <v>21144</v>
      </c>
      <c r="C102" s="13">
        <v>4579</v>
      </c>
      <c r="D102" s="13">
        <v>29</v>
      </c>
      <c r="E102" s="26">
        <f t="shared" si="5"/>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128</v>
      </c>
      <c r="R102">
        <f t="shared" si="6"/>
        <v>55863.799999999996</v>
      </c>
      <c r="S102">
        <f t="shared" si="7"/>
        <v>20967241</v>
      </c>
    </row>
    <row r="103" spans="1:19" x14ac:dyDescent="0.25">
      <c r="A103">
        <v>9452</v>
      </c>
      <c r="B103" s="13">
        <v>21261</v>
      </c>
      <c r="C103" s="13">
        <v>3844</v>
      </c>
      <c r="D103" s="13">
        <v>30</v>
      </c>
      <c r="E103" s="26">
        <f t="shared" si="5"/>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124</v>
      </c>
      <c r="N103" t="s">
        <v>16</v>
      </c>
      <c r="O103" s="55">
        <v>42570</v>
      </c>
      <c r="P103" t="s">
        <v>128</v>
      </c>
      <c r="Q103" t="s">
        <v>125</v>
      </c>
      <c r="R103">
        <f t="shared" si="6"/>
        <v>46896.799999999996</v>
      </c>
      <c r="S103">
        <f t="shared" si="7"/>
        <v>14776336</v>
      </c>
    </row>
    <row r="104" spans="1:19" x14ac:dyDescent="0.25">
      <c r="A104">
        <v>9453</v>
      </c>
      <c r="B104" s="13">
        <v>21293</v>
      </c>
      <c r="C104" s="13">
        <v>3203</v>
      </c>
      <c r="D104" s="13">
        <v>30</v>
      </c>
      <c r="E104" s="26">
        <f t="shared" si="5"/>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128</v>
      </c>
      <c r="Q104" t="s">
        <v>126</v>
      </c>
      <c r="R104">
        <f t="shared" si="6"/>
        <v>35553.299999999996</v>
      </c>
      <c r="S104">
        <f t="shared" si="7"/>
        <v>10259209</v>
      </c>
    </row>
    <row r="105" spans="1:19" x14ac:dyDescent="0.25">
      <c r="A105">
        <v>9453</v>
      </c>
      <c r="B105" s="13">
        <v>21363</v>
      </c>
      <c r="C105" s="13">
        <v>2225</v>
      </c>
      <c r="D105" s="13">
        <v>30</v>
      </c>
      <c r="E105" s="26">
        <f t="shared" si="5"/>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124</v>
      </c>
      <c r="N105" t="s">
        <v>16</v>
      </c>
      <c r="O105" s="55">
        <v>42570</v>
      </c>
      <c r="P105" t="s">
        <v>128</v>
      </c>
      <c r="R105">
        <f t="shared" si="6"/>
        <v>24697.5</v>
      </c>
      <c r="S105">
        <f t="shared" si="7"/>
        <v>4950625</v>
      </c>
    </row>
    <row r="106" spans="1:19" x14ac:dyDescent="0.25">
      <c r="A106">
        <v>9453</v>
      </c>
      <c r="B106" s="13">
        <v>21350</v>
      </c>
      <c r="C106" s="13">
        <v>2853</v>
      </c>
      <c r="D106" s="13">
        <v>30</v>
      </c>
      <c r="E106" s="26">
        <f t="shared" si="5"/>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124</v>
      </c>
      <c r="N106" t="s">
        <v>16</v>
      </c>
      <c r="O106" s="55">
        <v>42570</v>
      </c>
      <c r="P106" t="s">
        <v>128</v>
      </c>
      <c r="R106">
        <f t="shared" si="6"/>
        <v>31668.3</v>
      </c>
      <c r="S106">
        <f t="shared" si="7"/>
        <v>8139609</v>
      </c>
    </row>
    <row r="107" spans="1:19" x14ac:dyDescent="0.25">
      <c r="A107">
        <v>9453</v>
      </c>
      <c r="B107" s="13">
        <v>21346</v>
      </c>
      <c r="C107" s="13">
        <v>2915</v>
      </c>
      <c r="D107" s="13">
        <v>30</v>
      </c>
      <c r="E107" s="26">
        <f t="shared" si="5"/>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124</v>
      </c>
      <c r="N107" t="s">
        <v>16</v>
      </c>
      <c r="O107" s="55">
        <v>42570</v>
      </c>
      <c r="P107" t="s">
        <v>128</v>
      </c>
      <c r="R107">
        <f t="shared" si="6"/>
        <v>32356.5</v>
      </c>
      <c r="S107">
        <f t="shared" si="7"/>
        <v>8497225</v>
      </c>
    </row>
    <row r="108" spans="1:19" x14ac:dyDescent="0.25">
      <c r="A108">
        <v>9453</v>
      </c>
      <c r="B108" s="13">
        <v>21358</v>
      </c>
      <c r="C108" s="13">
        <v>3072</v>
      </c>
      <c r="D108" s="13">
        <v>30</v>
      </c>
      <c r="E108" s="26">
        <f t="shared" si="5"/>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124</v>
      </c>
      <c r="N108" t="s">
        <v>16</v>
      </c>
      <c r="O108" s="55">
        <v>42570</v>
      </c>
      <c r="P108" t="s">
        <v>128</v>
      </c>
      <c r="R108">
        <f t="shared" si="6"/>
        <v>34099.199999999997</v>
      </c>
      <c r="S108">
        <f t="shared" si="7"/>
        <v>9437184</v>
      </c>
    </row>
    <row r="109" spans="1:19" x14ac:dyDescent="0.25">
      <c r="A109">
        <v>9453</v>
      </c>
      <c r="B109" s="13">
        <v>21344</v>
      </c>
      <c r="C109" s="13">
        <v>3376</v>
      </c>
      <c r="D109" s="13">
        <v>30</v>
      </c>
      <c r="E109" s="26">
        <f t="shared" si="5"/>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128</v>
      </c>
      <c r="R109">
        <f t="shared" si="6"/>
        <v>37473.599999999999</v>
      </c>
      <c r="S109">
        <f t="shared" si="7"/>
        <v>11397376</v>
      </c>
    </row>
    <row r="110" spans="1:19" x14ac:dyDescent="0.25">
      <c r="A110">
        <v>9468</v>
      </c>
      <c r="B110" s="13">
        <v>21390</v>
      </c>
      <c r="C110" s="13">
        <v>4890</v>
      </c>
      <c r="D110" s="13">
        <v>30</v>
      </c>
      <c r="E110" s="26">
        <f t="shared" si="5"/>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128</v>
      </c>
      <c r="R110">
        <f t="shared" si="6"/>
        <v>65037</v>
      </c>
      <c r="S110">
        <f t="shared" si="7"/>
        <v>23912100</v>
      </c>
    </row>
    <row r="111" spans="1:19" x14ac:dyDescent="0.25">
      <c r="A111">
        <v>9465</v>
      </c>
      <c r="B111" s="13">
        <v>21378</v>
      </c>
      <c r="C111" s="13">
        <v>5706</v>
      </c>
      <c r="D111" s="13">
        <v>30</v>
      </c>
      <c r="E111" s="26">
        <f t="shared" si="5"/>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128</v>
      </c>
      <c r="R111">
        <f t="shared" si="6"/>
        <v>90725.400000000009</v>
      </c>
      <c r="S111">
        <f t="shared" si="7"/>
        <v>32558436</v>
      </c>
    </row>
    <row r="112" spans="1:19" x14ac:dyDescent="0.25">
      <c r="A112">
        <v>9465</v>
      </c>
      <c r="B112" s="13">
        <v>21414</v>
      </c>
      <c r="C112" s="13">
        <v>5666</v>
      </c>
      <c r="D112" s="13">
        <v>31</v>
      </c>
      <c r="E112" s="26">
        <f t="shared" si="5"/>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128</v>
      </c>
      <c r="R112">
        <f t="shared" si="6"/>
        <v>89522.8</v>
      </c>
      <c r="S112">
        <f t="shared" si="7"/>
        <v>32103556</v>
      </c>
    </row>
    <row r="113" spans="1:19" x14ac:dyDescent="0.25">
      <c r="A113">
        <v>9465</v>
      </c>
      <c r="B113" s="13">
        <v>21449</v>
      </c>
      <c r="C113" s="13">
        <v>4763</v>
      </c>
      <c r="D113" s="13">
        <v>31</v>
      </c>
      <c r="E113" s="26">
        <f t="shared" si="5"/>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124</v>
      </c>
      <c r="N113" t="s">
        <v>16</v>
      </c>
      <c r="O113" s="55">
        <v>42570</v>
      </c>
      <c r="P113" t="s">
        <v>128</v>
      </c>
      <c r="R113">
        <f t="shared" si="6"/>
        <v>75255.400000000009</v>
      </c>
      <c r="S113">
        <f t="shared" si="7"/>
        <v>22686169</v>
      </c>
    </row>
    <row r="114" spans="1:19" x14ac:dyDescent="0.25">
      <c r="A114">
        <v>9465</v>
      </c>
      <c r="B114" s="13">
        <v>21456</v>
      </c>
      <c r="C114" s="13">
        <v>4626</v>
      </c>
      <c r="D114" s="13">
        <v>31</v>
      </c>
      <c r="E114" s="26">
        <f t="shared" si="5"/>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124</v>
      </c>
      <c r="N114" t="s">
        <v>16</v>
      </c>
      <c r="O114" s="55">
        <v>42570</v>
      </c>
      <c r="P114" t="s">
        <v>128</v>
      </c>
      <c r="R114">
        <f t="shared" si="6"/>
        <v>73090.8</v>
      </c>
      <c r="S114">
        <f t="shared" si="7"/>
        <v>21399876</v>
      </c>
    </row>
    <row r="115" spans="1:19" x14ac:dyDescent="0.25">
      <c r="A115">
        <v>9465</v>
      </c>
      <c r="B115" s="13">
        <v>21455</v>
      </c>
      <c r="C115" s="13">
        <v>4891</v>
      </c>
      <c r="D115" s="13">
        <v>31</v>
      </c>
      <c r="E115" s="26">
        <f t="shared" si="5"/>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124</v>
      </c>
      <c r="N115" t="s">
        <v>16</v>
      </c>
      <c r="O115" s="55">
        <v>42570</v>
      </c>
      <c r="P115" t="s">
        <v>128</v>
      </c>
      <c r="R115">
        <f t="shared" si="6"/>
        <v>77277.8</v>
      </c>
      <c r="S115">
        <f t="shared" si="7"/>
        <v>23921881</v>
      </c>
    </row>
    <row r="116" spans="1:19" x14ac:dyDescent="0.25">
      <c r="A116">
        <v>9465</v>
      </c>
      <c r="B116" s="13">
        <v>21473</v>
      </c>
      <c r="C116" s="13">
        <v>4849</v>
      </c>
      <c r="D116" s="13">
        <v>31</v>
      </c>
      <c r="E116" s="26">
        <f t="shared" si="5"/>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124</v>
      </c>
      <c r="N116" t="s">
        <v>16</v>
      </c>
      <c r="O116" s="55">
        <v>42570</v>
      </c>
      <c r="P116" t="s">
        <v>128</v>
      </c>
      <c r="R116">
        <f t="shared" si="6"/>
        <v>76614.2</v>
      </c>
      <c r="S116">
        <f t="shared" si="7"/>
        <v>23512801</v>
      </c>
    </row>
    <row r="117" spans="1:19" s="56" customFormat="1" x14ac:dyDescent="0.25">
      <c r="A117" s="56">
        <v>9465</v>
      </c>
      <c r="B117" s="57">
        <v>21410</v>
      </c>
      <c r="C117" s="57">
        <v>5505</v>
      </c>
      <c r="D117" s="57">
        <v>31</v>
      </c>
      <c r="E117" s="58">
        <f t="shared" si="5"/>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128</v>
      </c>
      <c r="Q117" s="56" t="s">
        <v>127</v>
      </c>
      <c r="R117" s="56">
        <f t="shared" si="6"/>
        <v>86979</v>
      </c>
      <c r="S117" s="56">
        <f t="shared" si="7"/>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7"/>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7"/>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7"/>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7"/>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7"/>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7"/>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7"/>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7"/>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7"/>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7"/>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7"/>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7"/>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7"/>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7"/>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7"/>
        <v>0</v>
      </c>
    </row>
    <row r="133" spans="6:19" x14ac:dyDescent="0.25">
      <c r="F133" s="24" t="str">
        <f>IF(Kalibratiemetingen!C133&gt;0,Grafiek_kalibratiemetingen!$R$13*Kalibratiemetingen!C133+Grafiek_kalibratiemetingen!$R$14,TRIM(""))</f>
        <v/>
      </c>
      <c r="I133" s="2">
        <f>IF(IF(Kalibratiemetingen!C133&gt;0,1,0)+IF(Kalibratiemetingen!G133&gt;0,1,0)=2,1,0)</f>
        <v>0</v>
      </c>
      <c r="S133">
        <f t="shared" ref="S133:S134" si="8">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 t="shared" si="8"/>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2" priority="12">
      <formula>LEN(TRIM(G4))&gt;0</formula>
    </cfRule>
  </conditionalFormatting>
  <conditionalFormatting sqref="B4:D1048576">
    <cfRule type="notContainsBlanks" dxfId="41" priority="10">
      <formula>LEN(TRIM(B4))&gt;0</formula>
    </cfRule>
  </conditionalFormatting>
  <conditionalFormatting sqref="F4:F1048576">
    <cfRule type="notContainsBlanks" dxfId="40" priority="4">
      <formula>LEN(TRIM(F4))&gt;0</formula>
    </cfRule>
  </conditionalFormatting>
  <conditionalFormatting sqref="B4:I1048576">
    <cfRule type="containsBlanks" dxfId="39" priority="1">
      <formula>LEN(TRIM(B4))=0</formula>
    </cfRule>
  </conditionalFormatting>
  <conditionalFormatting sqref="E4:E1048576">
    <cfRule type="notContainsBlanks" dxfId="38" priority="3">
      <formula>LEN(TRIM(E4))&gt;0</formula>
    </cfRule>
  </conditionalFormatting>
  <conditionalFormatting sqref="I4:I1048576">
    <cfRule type="cellIs" dxfId="37"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1" sqref="Q21"/>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92</v>
      </c>
      <c r="R1">
        <f>COUNTIF(V3:V50000,"=1")</f>
        <v>109</v>
      </c>
    </row>
    <row r="2" spans="17:29" x14ac:dyDescent="0.25">
      <c r="Q2" t="s">
        <v>90</v>
      </c>
      <c r="R2" s="18">
        <f>-SUM(W3:W50000)</f>
        <v>-6690606.5</v>
      </c>
      <c r="T2" t="s">
        <v>95</v>
      </c>
      <c r="U2" t="s">
        <v>91</v>
      </c>
      <c r="V2" t="s">
        <v>93</v>
      </c>
      <c r="W2" t="s">
        <v>94</v>
      </c>
      <c r="X2" t="s">
        <v>101</v>
      </c>
      <c r="Z2" s="17" t="s">
        <v>105</v>
      </c>
      <c r="AA2" s="17" t="s">
        <v>106</v>
      </c>
      <c r="AB2" s="17" t="s">
        <v>107</v>
      </c>
      <c r="AC2">
        <f>MAX(AA3:AA50000)</f>
        <v>2.4932182440782462</v>
      </c>
    </row>
    <row r="3" spans="17:29" x14ac:dyDescent="0.25">
      <c r="Q3" t="s">
        <v>97</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108</v>
      </c>
      <c r="AC3">
        <f>MIN(AA3:AA50000)</f>
        <v>9.8074782900550161E-3</v>
      </c>
    </row>
    <row r="4" spans="17:29" x14ac:dyDescent="0.25">
      <c r="Q4" t="s">
        <v>98</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109</v>
      </c>
      <c r="AC4">
        <f>AVERAGEIF(V3:V50000,"=1",AA3:AA50000)</f>
        <v>0.51561512786493124</v>
      </c>
    </row>
    <row r="5" spans="17:29" x14ac:dyDescent="0.25">
      <c r="Q5" t="s">
        <v>96</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112</v>
      </c>
      <c r="AC5">
        <f>_xlfn.STDEV.P(AA3:AA50000)</f>
        <v>0.39359352980538653</v>
      </c>
    </row>
    <row r="6" spans="17:29" x14ac:dyDescent="0.25">
      <c r="Q6" t="s">
        <v>99</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113</v>
      </c>
      <c r="AC6">
        <f>_xlfn.STDEV.S(AA3:AA50000)</f>
        <v>0.39592941695844286</v>
      </c>
    </row>
    <row r="7" spans="17:29" x14ac:dyDescent="0.25">
      <c r="Q7" t="s">
        <v>100</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102</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103</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104</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88</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89</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35" priority="1" operator="equal">
      <formula>0</formula>
    </cfRule>
    <cfRule type="cellIs" dxfId="34"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0" sqref="C20"/>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67" t="s">
        <v>61</v>
      </c>
      <c r="C1" s="67"/>
      <c r="D1" s="67"/>
      <c r="E1" s="67"/>
      <c r="F1" s="67"/>
      <c r="G1" s="67"/>
      <c r="H1" s="67"/>
      <c r="I1" s="67"/>
      <c r="J1" s="67"/>
      <c r="K1" s="67"/>
      <c r="L1" s="67"/>
      <c r="M1" s="67"/>
    </row>
    <row r="3" spans="1:14" x14ac:dyDescent="0.25">
      <c r="A3" s="8" t="s">
        <v>62</v>
      </c>
      <c r="B3" s="8" t="s">
        <v>63</v>
      </c>
      <c r="C3" s="8" t="s">
        <v>64</v>
      </c>
      <c r="D3" s="8" t="s">
        <v>65</v>
      </c>
      <c r="E3" s="8" t="s">
        <v>66</v>
      </c>
      <c r="F3" s="8" t="s">
        <v>67</v>
      </c>
      <c r="G3" s="8" t="s">
        <v>68</v>
      </c>
      <c r="H3" s="8" t="s">
        <v>69</v>
      </c>
      <c r="I3" s="8" t="s">
        <v>70</v>
      </c>
      <c r="J3" s="8" t="s">
        <v>71</v>
      </c>
      <c r="K3" s="8" t="s">
        <v>72</v>
      </c>
      <c r="L3" s="8" t="s">
        <v>73</v>
      </c>
      <c r="M3" s="8" t="s">
        <v>74</v>
      </c>
      <c r="N3" s="8" t="s">
        <v>75</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76</v>
      </c>
      <c r="M4" t="s">
        <v>77</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76</v>
      </c>
      <c r="M5" t="s">
        <v>77</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76</v>
      </c>
      <c r="M6" t="s">
        <v>77</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T17" sqref="T17"/>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68" t="s">
        <v>78</v>
      </c>
      <c r="C1" s="68"/>
      <c r="D1" s="68"/>
      <c r="E1" s="68"/>
      <c r="F1" s="68"/>
      <c r="G1" s="68"/>
      <c r="H1" s="68"/>
    </row>
    <row r="4" spans="1:19" x14ac:dyDescent="0.25">
      <c r="G4" s="8" t="s">
        <v>79</v>
      </c>
      <c r="H4" t="s">
        <v>80</v>
      </c>
    </row>
    <row r="5" spans="1:19" x14ac:dyDescent="0.25">
      <c r="A5" s="8" t="s">
        <v>81</v>
      </c>
      <c r="B5">
        <v>21089</v>
      </c>
      <c r="C5">
        <v>21093</v>
      </c>
      <c r="D5">
        <v>21116</v>
      </c>
      <c r="E5">
        <v>21096</v>
      </c>
      <c r="F5">
        <v>21108</v>
      </c>
      <c r="G5">
        <f>AVERAGE(B5:F5)</f>
        <v>21100.400000000001</v>
      </c>
      <c r="H5">
        <f>((G5/G$9)-1)*100</f>
        <v>0.23657282927804779</v>
      </c>
    </row>
    <row r="6" spans="1:19" x14ac:dyDescent="0.25">
      <c r="A6" s="8" t="s">
        <v>82</v>
      </c>
      <c r="B6">
        <v>22307</v>
      </c>
      <c r="C6">
        <v>21562</v>
      </c>
      <c r="D6">
        <v>21585</v>
      </c>
      <c r="E6">
        <v>21660</v>
      </c>
      <c r="F6">
        <v>21917</v>
      </c>
      <c r="G6">
        <f>AVERAGE(B6:F6)</f>
        <v>21806.2</v>
      </c>
      <c r="H6">
        <f>((G6/G$9)-1)*100</f>
        <v>3.5894463815758337</v>
      </c>
    </row>
    <row r="7" spans="1:19" x14ac:dyDescent="0.25">
      <c r="A7" s="8" t="s">
        <v>83</v>
      </c>
      <c r="B7">
        <v>21307</v>
      </c>
      <c r="C7">
        <v>21299</v>
      </c>
      <c r="D7">
        <v>21191</v>
      </c>
      <c r="E7">
        <v>21150</v>
      </c>
      <c r="F7">
        <v>21200</v>
      </c>
      <c r="G7">
        <f>AVERAGE(B7:F7)</f>
        <v>21229.4</v>
      </c>
      <c r="H7">
        <f>((G7/G$9)-1)*100</f>
        <v>0.84938196535966348</v>
      </c>
    </row>
    <row r="8" spans="1:19" x14ac:dyDescent="0.25">
      <c r="A8" s="8" t="s">
        <v>84</v>
      </c>
      <c r="B8">
        <v>21084</v>
      </c>
      <c r="C8">
        <v>21081</v>
      </c>
      <c r="D8">
        <v>21094</v>
      </c>
      <c r="E8">
        <v>21093</v>
      </c>
      <c r="F8">
        <v>21084</v>
      </c>
      <c r="G8">
        <f>AVERAGE(B8:F8)</f>
        <v>21087.200000000001</v>
      </c>
      <c r="H8">
        <f>((G8/G$9)-1)*100</f>
        <v>0.17386677814410501</v>
      </c>
    </row>
    <row r="9" spans="1:19" x14ac:dyDescent="0.25">
      <c r="A9" s="8" t="s">
        <v>85</v>
      </c>
      <c r="B9">
        <v>21034</v>
      </c>
      <c r="C9">
        <v>21062</v>
      </c>
      <c r="D9">
        <v>21043</v>
      </c>
      <c r="E9">
        <v>21052</v>
      </c>
      <c r="F9">
        <v>21062</v>
      </c>
      <c r="G9" s="15">
        <f>AVERAGE(B9:F9)</f>
        <v>21050.6</v>
      </c>
      <c r="H9">
        <f>((G9/G$9)-1)*100</f>
        <v>0</v>
      </c>
    </row>
    <row r="11" spans="1:19" x14ac:dyDescent="0.25">
      <c r="O11" t="s">
        <v>121</v>
      </c>
    </row>
    <row r="13" spans="1:19" x14ac:dyDescent="0.25">
      <c r="O13" t="s">
        <v>119</v>
      </c>
      <c r="P13">
        <v>21167</v>
      </c>
      <c r="Q13">
        <v>59</v>
      </c>
      <c r="R13">
        <v>296</v>
      </c>
      <c r="S13" t="s">
        <v>120</v>
      </c>
    </row>
    <row r="14" spans="1:19" x14ac:dyDescent="0.25">
      <c r="O14" t="s">
        <v>123</v>
      </c>
      <c r="P14">
        <v>21219</v>
      </c>
      <c r="Q14">
        <v>8</v>
      </c>
      <c r="S14" t="s">
        <v>122</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topLeftCell="A24" zoomScaleNormal="100" workbookViewId="0">
      <selection activeCell="A58" sqref="A58"/>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51</v>
      </c>
      <c r="B1">
        <f>COUNT(B$4:B$64994)</f>
        <v>0</v>
      </c>
      <c r="C1">
        <f>COUNT(C$4:C$64994)</f>
        <v>18</v>
      </c>
      <c r="D1">
        <f>COUNT(D$4:D$64994)</f>
        <v>54</v>
      </c>
      <c r="E1">
        <f>COUNT(E$4:E$64994)</f>
        <v>54</v>
      </c>
      <c r="H1">
        <f>COUNT(H$4:H$64994)</f>
        <v>54</v>
      </c>
      <c r="I1">
        <f>COUNT(I$4:I$64994)</f>
        <v>30</v>
      </c>
      <c r="K1">
        <f t="shared" ref="K1:Q1" si="0">COUNT(K$4:K$65000)</f>
        <v>0</v>
      </c>
      <c r="L1">
        <f t="shared" si="0"/>
        <v>51</v>
      </c>
      <c r="M1">
        <f>COUNT(M$4:M$65000)</f>
        <v>0</v>
      </c>
      <c r="N1">
        <f t="shared" si="0"/>
        <v>0</v>
      </c>
      <c r="O1">
        <f t="shared" si="0"/>
        <v>51</v>
      </c>
      <c r="P1">
        <f t="shared" si="0"/>
        <v>0</v>
      </c>
      <c r="Q1">
        <f t="shared" si="0"/>
        <v>0</v>
      </c>
    </row>
    <row r="2" spans="1:25" ht="32.25" customHeight="1" x14ac:dyDescent="0.25">
      <c r="F2" s="65" t="s">
        <v>114</v>
      </c>
      <c r="G2" s="65"/>
      <c r="H2" s="65"/>
      <c r="I2" s="65"/>
      <c r="J2" s="65"/>
      <c r="N2" s="66" t="s">
        <v>115</v>
      </c>
      <c r="O2" s="66"/>
      <c r="P2" s="66"/>
    </row>
    <row r="3" spans="1:25" ht="45" customHeight="1" x14ac:dyDescent="0.25">
      <c r="A3" s="20" t="s">
        <v>0</v>
      </c>
      <c r="B3" s="23" t="s">
        <v>3</v>
      </c>
      <c r="C3" s="19" t="s">
        <v>4</v>
      </c>
      <c r="D3" s="19" t="s">
        <v>5</v>
      </c>
      <c r="E3" s="19" t="s">
        <v>6</v>
      </c>
      <c r="F3" s="25" t="s">
        <v>110</v>
      </c>
      <c r="G3" s="22" t="s">
        <v>86</v>
      </c>
      <c r="H3" s="21" t="s">
        <v>1</v>
      </c>
      <c r="I3" s="21" t="s">
        <v>2</v>
      </c>
      <c r="J3" s="21" t="s">
        <v>111</v>
      </c>
      <c r="K3" s="23" t="s">
        <v>7</v>
      </c>
      <c r="L3" s="23" t="s">
        <v>8</v>
      </c>
      <c r="M3" s="23" t="s">
        <v>9</v>
      </c>
      <c r="N3" s="23" t="s">
        <v>10</v>
      </c>
      <c r="O3" s="23" t="s">
        <v>11</v>
      </c>
      <c r="P3" s="23" t="s">
        <v>12</v>
      </c>
      <c r="Q3" s="23" t="s">
        <v>13</v>
      </c>
      <c r="R3" s="43" t="s">
        <v>94</v>
      </c>
      <c r="S3" s="44" t="s">
        <v>101</v>
      </c>
      <c r="X3" s="17" t="s">
        <v>92</v>
      </c>
      <c r="Y3">
        <f>COUNTIF(J4:J49994,"=1")</f>
        <v>54</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90</v>
      </c>
      <c r="Y4" s="18">
        <f>-SUM(R4:R50000)</f>
        <v>-3225891.9000000004</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97</v>
      </c>
      <c r="Y5">
        <f>AVERAGEIF(J4:J49994,"=1",H4:H49994)</f>
        <v>12.144444444444446</v>
      </c>
    </row>
    <row r="6" spans="1:25" x14ac:dyDescent="0.25">
      <c r="A6" s="28">
        <v>259</v>
      </c>
      <c r="B6" s="28" t="s">
        <v>22</v>
      </c>
      <c r="C6" s="38">
        <v>21129</v>
      </c>
      <c r="D6" s="38">
        <v>5193</v>
      </c>
      <c r="E6" s="38">
        <v>30</v>
      </c>
      <c r="F6" s="39">
        <f t="shared" si="1"/>
        <v>3.4166401343416197E-2</v>
      </c>
      <c r="G6" s="24">
        <f>D6*Grafiek_kalibratiemetingen!$R$13+Grafiek_kalibratiemetingen!$R$14</f>
        <v>13.765833598656585</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98</v>
      </c>
      <c r="Y6">
        <f>AVERAGEIF(J4:J49994,"=1",D4:D49994)</f>
        <v>4886.9444444444443</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96</v>
      </c>
      <c r="Y7">
        <f>SUMIF(J4:J49994,"=1",D4:D49994)/Y3</f>
        <v>4886.9444444444443</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99</v>
      </c>
      <c r="Y8">
        <f>SUMIF(J4:J49994,"=1",D4:D49994)</f>
        <v>263895</v>
      </c>
    </row>
    <row r="9" spans="1:25" x14ac:dyDescent="0.25">
      <c r="A9" s="28">
        <v>258</v>
      </c>
      <c r="B9" s="28" t="s">
        <v>22</v>
      </c>
      <c r="C9" s="38">
        <v>21216</v>
      </c>
      <c r="D9" s="38">
        <v>5364</v>
      </c>
      <c r="E9" s="38">
        <v>30</v>
      </c>
      <c r="F9" s="39">
        <f t="shared" si="1"/>
        <v>-0.20959135526374695</v>
      </c>
      <c r="G9" s="24">
        <f>D9*Grafiek_kalibratiemetingen!$R$13+Grafiek_kalibratiemetingen!$R$14</f>
        <v>14.009591355263748</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100</v>
      </c>
      <c r="Y9">
        <f>SUMIF(J4:J49994,"=1",H4:H49994)</f>
        <v>655.80000000000007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128</v>
      </c>
      <c r="Q10" s="28"/>
      <c r="R10">
        <f t="shared" si="2"/>
        <v>29386.400000000001</v>
      </c>
      <c r="S10">
        <f t="shared" si="3"/>
        <v>7268416</v>
      </c>
      <c r="X10" s="17" t="s">
        <v>102</v>
      </c>
      <c r="Y10">
        <f>SUMIF(J4:J49994,"=1",S4:S50000)</f>
        <v>1315808449</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128</v>
      </c>
      <c r="Q11" s="28"/>
      <c r="R11">
        <f t="shared" si="2"/>
        <v>31468.3</v>
      </c>
      <c r="S11">
        <f t="shared" si="3"/>
        <v>8334769</v>
      </c>
    </row>
    <row r="12" spans="1:25" x14ac:dyDescent="0.25">
      <c r="A12" s="28">
        <v>256</v>
      </c>
      <c r="B12" s="28" t="s">
        <v>22</v>
      </c>
      <c r="C12" s="38">
        <v>21256</v>
      </c>
      <c r="D12" s="38">
        <v>2853</v>
      </c>
      <c r="E12" s="38">
        <v>27</v>
      </c>
      <c r="F12" s="39">
        <f t="shared" si="1"/>
        <v>0.46979886017828498</v>
      </c>
      <c r="G12" s="24">
        <f>D12*Grafiek_kalibratiemetingen!$R$13+Grafiek_kalibratiemetingen!$R$14</f>
        <v>10.430201139821715</v>
      </c>
      <c r="H12" s="41">
        <v>10.9</v>
      </c>
      <c r="I12" s="41">
        <v>27.5</v>
      </c>
      <c r="J12" s="41">
        <f>IF(IF(DrieMeters!D12&gt;0,1,0)+IF(DrieMeters!H12&gt;0,1,0)=2,1,0)</f>
        <v>1</v>
      </c>
      <c r="K12" s="28" t="s">
        <v>14</v>
      </c>
      <c r="L12" s="28">
        <v>729</v>
      </c>
      <c r="M12" t="s">
        <v>15</v>
      </c>
      <c r="N12" s="28" t="s">
        <v>16</v>
      </c>
      <c r="O12" s="42">
        <v>42570</v>
      </c>
      <c r="P12" s="28" t="s">
        <v>128</v>
      </c>
      <c r="Q12" s="28"/>
      <c r="R12">
        <f t="shared" si="2"/>
        <v>31097.7</v>
      </c>
      <c r="S12">
        <f t="shared" si="3"/>
        <v>8139609</v>
      </c>
      <c r="X12" t="s">
        <v>103</v>
      </c>
      <c r="Y12">
        <f>Y4+Y5*Y8</f>
        <v>-21033.733333333395</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128</v>
      </c>
      <c r="Q13" s="28"/>
      <c r="R13">
        <f t="shared" si="2"/>
        <v>53074</v>
      </c>
      <c r="S13">
        <f t="shared" si="3"/>
        <v>19891600</v>
      </c>
      <c r="X13" t="s">
        <v>104</v>
      </c>
      <c r="Y13">
        <f>-Y10+(Y8*Y8)/Y3</f>
        <v>-26168244.833333254</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128</v>
      </c>
      <c r="Q14" s="28"/>
      <c r="R14">
        <f t="shared" si="2"/>
        <v>51289</v>
      </c>
      <c r="S14">
        <f t="shared" si="3"/>
        <v>18576100</v>
      </c>
    </row>
    <row r="15" spans="1:25" x14ac:dyDescent="0.25">
      <c r="A15" s="29">
        <v>255</v>
      </c>
      <c r="B15" s="28" t="s">
        <v>22</v>
      </c>
      <c r="C15" s="30">
        <v>21274</v>
      </c>
      <c r="D15" s="30">
        <v>4202</v>
      </c>
      <c r="E15" s="30">
        <v>29</v>
      </c>
      <c r="F15" s="39">
        <f t="shared" si="1"/>
        <v>-0.45317899750044965</v>
      </c>
      <c r="G15" s="24">
        <f>D15*Grafiek_kalibratiemetingen!$R$13+Grafiek_kalibratiemetingen!$R$14</f>
        <v>12.35317899750045</v>
      </c>
      <c r="H15" s="31">
        <v>11.9</v>
      </c>
      <c r="I15" s="31">
        <v>27.5</v>
      </c>
      <c r="J15" s="41">
        <f>IF(IF(DrieMeters!D15&gt;0,1,0)+IF(DrieMeters!H15&gt;0,1,0)=2,1,0)</f>
        <v>1</v>
      </c>
      <c r="K15" s="28" t="s">
        <v>14</v>
      </c>
      <c r="L15" s="28">
        <v>729</v>
      </c>
      <c r="M15" t="s">
        <v>15</v>
      </c>
      <c r="N15" s="28" t="s">
        <v>16</v>
      </c>
      <c r="O15" s="42">
        <v>42570</v>
      </c>
      <c r="P15" s="28" t="s">
        <v>128</v>
      </c>
      <c r="Q15" s="29"/>
      <c r="R15">
        <f t="shared" si="2"/>
        <v>50003.8</v>
      </c>
      <c r="S15">
        <f t="shared" si="3"/>
        <v>17656804</v>
      </c>
      <c r="X15" t="s">
        <v>88</v>
      </c>
      <c r="Y15">
        <f>Y12/Y13</f>
        <v>8.0378846450337819E-4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128</v>
      </c>
      <c r="Q16" s="29"/>
      <c r="R16">
        <f t="shared" si="2"/>
        <v>75491.399999999994</v>
      </c>
      <c r="S16">
        <f t="shared" si="3"/>
        <v>28665316</v>
      </c>
      <c r="X16" t="s">
        <v>89</v>
      </c>
      <c r="Y16">
        <f>Y5-Y15*Y6</f>
        <v>8.2163748733311301</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128</v>
      </c>
      <c r="Q17" s="29"/>
      <c r="R17">
        <f t="shared" si="2"/>
        <v>75942.599999999991</v>
      </c>
      <c r="S17">
        <f t="shared" si="3"/>
        <v>29008996</v>
      </c>
    </row>
    <row r="18" spans="1:19" x14ac:dyDescent="0.25">
      <c r="A18" s="29">
        <v>257</v>
      </c>
      <c r="B18" s="28" t="s">
        <v>22</v>
      </c>
      <c r="C18" s="30">
        <v>21185</v>
      </c>
      <c r="D18" s="30">
        <v>5094</v>
      </c>
      <c r="E18" s="30">
        <v>29</v>
      </c>
      <c r="F18" s="39">
        <f t="shared" si="1"/>
        <v>0.47528931306335132</v>
      </c>
      <c r="G18" s="24">
        <f>D18*Grafiek_kalibratiemetingen!$R$13+Grafiek_kalibratiemetingen!$R$14</f>
        <v>13.624710686936648</v>
      </c>
      <c r="H18" s="31">
        <v>14.1</v>
      </c>
      <c r="I18" s="31">
        <v>27.4</v>
      </c>
      <c r="J18" s="41">
        <f>IF(IF(DrieMeters!D18&gt;0,1,0)+IF(DrieMeters!H18&gt;0,1,0)=2,1,0)</f>
        <v>1</v>
      </c>
      <c r="K18" s="28" t="s">
        <v>14</v>
      </c>
      <c r="L18" s="28">
        <v>729</v>
      </c>
      <c r="M18" t="s">
        <v>15</v>
      </c>
      <c r="N18" s="28" t="s">
        <v>16</v>
      </c>
      <c r="O18" s="42">
        <v>42570</v>
      </c>
      <c r="P18" s="28" t="s">
        <v>128</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128</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128</v>
      </c>
      <c r="Q20" s="29"/>
      <c r="R20">
        <f t="shared" si="4"/>
        <v>50450.399999999994</v>
      </c>
      <c r="S20">
        <f t="shared" si="5"/>
        <v>18593344</v>
      </c>
    </row>
    <row r="21" spans="1:19" x14ac:dyDescent="0.25">
      <c r="A21" s="29">
        <v>253</v>
      </c>
      <c r="B21" s="28" t="s">
        <v>22</v>
      </c>
      <c r="C21" s="30">
        <v>21268</v>
      </c>
      <c r="D21" s="30">
        <v>4049</v>
      </c>
      <c r="E21" s="30">
        <v>29</v>
      </c>
      <c r="F21" s="39">
        <f t="shared" si="1"/>
        <v>-0.43507995211509431</v>
      </c>
      <c r="G21" s="24">
        <f>D21*Grafiek_kalibratiemetingen!$R$13+Grafiek_kalibratiemetingen!$R$14</f>
        <v>12.135079952115094</v>
      </c>
      <c r="H21" s="31">
        <v>11.7</v>
      </c>
      <c r="I21" s="31">
        <v>27.7</v>
      </c>
      <c r="J21" s="41">
        <f>IF(IF(DrieMeters!D21&gt;0,1,0)+IF(DrieMeters!H21&gt;0,1,0)=2,1,0)</f>
        <v>1</v>
      </c>
      <c r="K21" s="28" t="s">
        <v>14</v>
      </c>
      <c r="L21" s="28">
        <v>729</v>
      </c>
      <c r="M21" t="s">
        <v>15</v>
      </c>
      <c r="N21" s="28" t="s">
        <v>16</v>
      </c>
      <c r="O21" s="42">
        <v>42570</v>
      </c>
      <c r="P21" s="28" t="s">
        <v>128</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128</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128</v>
      </c>
      <c r="Q23" s="29"/>
      <c r="R23">
        <f t="shared" si="4"/>
        <v>54072</v>
      </c>
      <c r="S23">
        <f t="shared" si="5"/>
        <v>20304036</v>
      </c>
    </row>
    <row r="24" spans="1:19" x14ac:dyDescent="0.25">
      <c r="A24" s="29">
        <v>9309</v>
      </c>
      <c r="B24" s="28" t="s">
        <v>22</v>
      </c>
      <c r="C24" s="30">
        <v>21317</v>
      </c>
      <c r="D24" s="30">
        <v>4299</v>
      </c>
      <c r="E24" s="30">
        <v>29</v>
      </c>
      <c r="F24" s="39">
        <f t="shared" si="1"/>
        <v>-0.4914509413068533</v>
      </c>
      <c r="G24" s="24">
        <f>D24*Grafiek_kalibratiemetingen!$R$13+Grafiek_kalibratiemetingen!$R$14</f>
        <v>12.491450941306853</v>
      </c>
      <c r="H24" s="31">
        <v>12</v>
      </c>
      <c r="I24" s="31">
        <v>28</v>
      </c>
      <c r="J24" s="41">
        <f>IF(IF(DrieMeters!D24&gt;0,1,0)+IF(DrieMeters!H24&gt;0,1,0)=2,1,0)</f>
        <v>1</v>
      </c>
      <c r="K24" s="28" t="s">
        <v>14</v>
      </c>
      <c r="L24" s="28">
        <v>729</v>
      </c>
      <c r="M24" t="s">
        <v>15</v>
      </c>
      <c r="N24" s="28" t="s">
        <v>16</v>
      </c>
      <c r="O24" s="42">
        <v>42570</v>
      </c>
      <c r="P24" s="28" t="s">
        <v>128</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128</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128</v>
      </c>
      <c r="Q26" s="29"/>
      <c r="R26">
        <f t="shared" si="4"/>
        <v>57656.5</v>
      </c>
      <c r="S26">
        <f t="shared" si="5"/>
        <v>22705225</v>
      </c>
    </row>
    <row r="27" spans="1:19" x14ac:dyDescent="0.25">
      <c r="A27" s="29">
        <v>9303</v>
      </c>
      <c r="B27" s="28" t="s">
        <v>22</v>
      </c>
      <c r="C27" s="30">
        <v>21362</v>
      </c>
      <c r="D27" s="30">
        <v>4490</v>
      </c>
      <c r="E27" s="30">
        <v>30</v>
      </c>
      <c r="F27" s="39">
        <f t="shared" si="1"/>
        <v>-0.66371837704935821</v>
      </c>
      <c r="G27" s="24">
        <f>D27*Grafiek_kalibratiemetingen!$R$13+Grafiek_kalibratiemetingen!$R$14</f>
        <v>12.763718377049358</v>
      </c>
      <c r="H27" s="31">
        <v>12.1</v>
      </c>
      <c r="I27" s="31">
        <v>27.7</v>
      </c>
      <c r="J27" s="41">
        <f>IF(IF(DrieMeters!D27&gt;0,1,0)+IF(DrieMeters!H27&gt;0,1,0)=2,1,0)</f>
        <v>1</v>
      </c>
      <c r="K27" s="28" t="s">
        <v>14</v>
      </c>
      <c r="L27" s="28">
        <v>729</v>
      </c>
      <c r="M27" t="s">
        <v>15</v>
      </c>
      <c r="N27" s="28" t="s">
        <v>16</v>
      </c>
      <c r="O27" s="42">
        <v>42570</v>
      </c>
      <c r="P27" s="28" t="s">
        <v>128</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128</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128</v>
      </c>
      <c r="Q29" s="29"/>
      <c r="R29">
        <f t="shared" si="4"/>
        <v>72664.800000000003</v>
      </c>
      <c r="S29">
        <f t="shared" si="5"/>
        <v>28547649</v>
      </c>
    </row>
    <row r="30" spans="1:19" x14ac:dyDescent="0.25">
      <c r="A30" s="29">
        <v>9304</v>
      </c>
      <c r="B30" s="28" t="s">
        <v>22</v>
      </c>
      <c r="C30" s="30">
        <v>21355</v>
      </c>
      <c r="D30" s="30">
        <v>5124</v>
      </c>
      <c r="E30" s="30">
        <v>30</v>
      </c>
      <c r="F30" s="39">
        <f t="shared" si="1"/>
        <v>-6.7475205639659919E-2</v>
      </c>
      <c r="G30" s="24">
        <f>D30*Grafiek_kalibratiemetingen!$R$13+Grafiek_kalibratiemetingen!$R$14</f>
        <v>13.66747520563966</v>
      </c>
      <c r="H30" s="31">
        <v>13.6</v>
      </c>
      <c r="I30" s="31">
        <v>27.7</v>
      </c>
      <c r="J30" s="41">
        <f>IF(IF(DrieMeters!D30&gt;0,1,0)+IF(DrieMeters!H30&gt;0,1,0)=2,1,0)</f>
        <v>1</v>
      </c>
      <c r="K30" s="28" t="s">
        <v>14</v>
      </c>
      <c r="L30" s="28">
        <v>729</v>
      </c>
      <c r="M30" t="s">
        <v>15</v>
      </c>
      <c r="N30" s="28" t="s">
        <v>16</v>
      </c>
      <c r="O30" s="42">
        <v>42570</v>
      </c>
      <c r="P30" s="28" t="s">
        <v>128</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128</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128</v>
      </c>
      <c r="Q32" s="29"/>
      <c r="R32">
        <f t="shared" si="4"/>
        <v>64181</v>
      </c>
      <c r="S32">
        <f t="shared" si="5"/>
        <v>24373969</v>
      </c>
    </row>
    <row r="33" spans="1:21" x14ac:dyDescent="0.25">
      <c r="A33" s="29">
        <v>9301</v>
      </c>
      <c r="B33" s="28" t="s">
        <v>22</v>
      </c>
      <c r="C33" s="13">
        <v>21116</v>
      </c>
      <c r="D33" s="13">
        <v>4648</v>
      </c>
      <c r="E33" s="13">
        <v>30</v>
      </c>
      <c r="F33" s="39">
        <f t="shared" si="1"/>
        <v>1.1055157781450831E-2</v>
      </c>
      <c r="G33" s="24">
        <f>D33*Grafiek_kalibratiemetingen!$R$13+Grafiek_kalibratiemetingen!$R$14</f>
        <v>12.988944842218549</v>
      </c>
      <c r="H33" s="12">
        <v>13</v>
      </c>
      <c r="I33" s="12">
        <v>27.6</v>
      </c>
      <c r="J33" s="2">
        <f>IF(IF(DrieMeters!D33&gt;0,1,0)+IF(DrieMeters!H33&gt;0,1,0)=2,1,0)</f>
        <v>1</v>
      </c>
      <c r="K33" s="28" t="s">
        <v>14</v>
      </c>
      <c r="L33" s="28">
        <v>729</v>
      </c>
      <c r="M33" t="s">
        <v>15</v>
      </c>
      <c r="N33" s="28" t="s">
        <v>16</v>
      </c>
      <c r="O33" s="42">
        <v>42570</v>
      </c>
      <c r="P33" s="28" t="s">
        <v>128</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136</v>
      </c>
      <c r="L34" s="29">
        <v>780</v>
      </c>
      <c r="M34" s="29" t="s">
        <v>15</v>
      </c>
      <c r="N34" s="29" t="s">
        <v>16</v>
      </c>
      <c r="O34" s="32">
        <v>42570</v>
      </c>
      <c r="P34" s="29" t="s">
        <v>17</v>
      </c>
      <c r="Q34" s="29" t="s">
        <v>138</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136</v>
      </c>
      <c r="L35" s="29">
        <v>780</v>
      </c>
      <c r="M35" s="29" t="s">
        <v>15</v>
      </c>
      <c r="N35" s="29" t="s">
        <v>16</v>
      </c>
      <c r="O35" s="32">
        <v>42570</v>
      </c>
      <c r="P35" s="29" t="s">
        <v>17</v>
      </c>
      <c r="Q35" s="29" t="s">
        <v>138</v>
      </c>
      <c r="R35">
        <f t="shared" si="6"/>
        <v>55539.9</v>
      </c>
      <c r="S35">
        <f t="shared" si="7"/>
        <v>30239001</v>
      </c>
    </row>
    <row r="36" spans="1:21" x14ac:dyDescent="0.25">
      <c r="A36" s="29">
        <v>266</v>
      </c>
      <c r="B36" s="28" t="s">
        <v>22</v>
      </c>
      <c r="C36" s="13">
        <v>20587</v>
      </c>
      <c r="D36" s="13">
        <v>4770</v>
      </c>
      <c r="E36" s="13">
        <v>30</v>
      </c>
      <c r="F36" s="39">
        <f t="shared" si="1"/>
        <v>-3.0628538849441274</v>
      </c>
      <c r="G36" s="24">
        <f>D36*Grafiek_kalibratiemetingen!$R$13+Grafiek_kalibratiemetingen!$R$14</f>
        <v>13.162853884944127</v>
      </c>
      <c r="H36" s="12">
        <v>10.1</v>
      </c>
      <c r="I36" s="12"/>
      <c r="J36" s="2">
        <f>IF(IF(DrieMeters!D36&gt;0,1,0)+IF(DrieMeters!H36&gt;0,1,0)=2,1,0)</f>
        <v>1</v>
      </c>
      <c r="K36" s="29" t="s">
        <v>136</v>
      </c>
      <c r="L36" s="29">
        <v>780</v>
      </c>
      <c r="M36" s="29" t="s">
        <v>15</v>
      </c>
      <c r="N36" s="29" t="s">
        <v>16</v>
      </c>
      <c r="O36" s="32">
        <v>42570</v>
      </c>
      <c r="P36" s="29" t="s">
        <v>17</v>
      </c>
      <c r="Q36" s="29" t="s">
        <v>138</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136</v>
      </c>
      <c r="L37" s="29">
        <v>780</v>
      </c>
      <c r="M37" s="29" t="s">
        <v>15</v>
      </c>
      <c r="N37" s="29" t="s">
        <v>16</v>
      </c>
      <c r="O37" s="32">
        <v>42570</v>
      </c>
      <c r="P37" s="29" t="s">
        <v>17</v>
      </c>
      <c r="Q37" s="29" t="s">
        <v>138</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136</v>
      </c>
      <c r="L38" s="29">
        <v>780</v>
      </c>
      <c r="M38" s="29" t="s">
        <v>15</v>
      </c>
      <c r="N38" s="29" t="s">
        <v>16</v>
      </c>
      <c r="O38" s="32">
        <v>42570</v>
      </c>
      <c r="P38" s="29" t="s">
        <v>17</v>
      </c>
      <c r="Q38" s="29" t="s">
        <v>138</v>
      </c>
      <c r="R38">
        <f t="shared" si="6"/>
        <v>45257.399999999994</v>
      </c>
      <c r="S38">
        <f t="shared" si="7"/>
        <v>19686969</v>
      </c>
    </row>
    <row r="39" spans="1:21" x14ac:dyDescent="0.25">
      <c r="A39" s="29">
        <v>267</v>
      </c>
      <c r="B39" s="28" t="s">
        <v>22</v>
      </c>
      <c r="C39" s="13">
        <v>20538</v>
      </c>
      <c r="D39" s="13">
        <v>3888</v>
      </c>
      <c r="E39" s="13">
        <v>30</v>
      </c>
      <c r="F39" s="39">
        <f t="shared" si="1"/>
        <v>-1.705577035075601</v>
      </c>
      <c r="G39" s="24">
        <f>D39*Grafiek_kalibratiemetingen!$R$13+Grafiek_kalibratiemetingen!$R$14</f>
        <v>11.9055770350756</v>
      </c>
      <c r="H39" s="12">
        <v>10.199999999999999</v>
      </c>
      <c r="I39" s="12"/>
      <c r="J39" s="2">
        <f>IF(IF(DrieMeters!D39&gt;0,1,0)+IF(DrieMeters!H39&gt;0,1,0)=2,1,0)</f>
        <v>1</v>
      </c>
      <c r="K39" s="29" t="s">
        <v>136</v>
      </c>
      <c r="L39" s="29">
        <v>780</v>
      </c>
      <c r="M39" s="29" t="s">
        <v>15</v>
      </c>
      <c r="N39" s="29" t="s">
        <v>16</v>
      </c>
      <c r="O39" s="32">
        <v>42570</v>
      </c>
      <c r="P39" s="29" t="s">
        <v>17</v>
      </c>
      <c r="Q39" s="29" t="s">
        <v>138</v>
      </c>
      <c r="R39">
        <f t="shared" si="6"/>
        <v>39657.599999999999</v>
      </c>
      <c r="S39">
        <f t="shared" si="7"/>
        <v>15116544</v>
      </c>
    </row>
    <row r="40" spans="1:21" x14ac:dyDescent="0.25">
      <c r="A40" t="s">
        <v>137</v>
      </c>
      <c r="B40" s="28" t="s">
        <v>49</v>
      </c>
      <c r="C40" s="13"/>
      <c r="D40" s="13">
        <v>5499</v>
      </c>
      <c r="E40" s="13">
        <v>32</v>
      </c>
      <c r="F40" s="39">
        <f t="shared" si="1"/>
        <v>-1.8000000000000007</v>
      </c>
      <c r="G40" s="24">
        <v>13.8</v>
      </c>
      <c r="H40" s="12">
        <v>12</v>
      </c>
      <c r="I40" s="12"/>
      <c r="J40" s="2">
        <f>IF(IF(DrieMeters!D40&gt;0,1,0)+IF(DrieMeters!H40&gt;0,1,0)=2,1,0)</f>
        <v>1</v>
      </c>
      <c r="K40" s="29" t="s">
        <v>136</v>
      </c>
      <c r="L40" s="29">
        <v>780</v>
      </c>
      <c r="M40" s="29" t="s">
        <v>15</v>
      </c>
      <c r="N40" s="29" t="s">
        <v>16</v>
      </c>
      <c r="O40" s="32">
        <v>42570</v>
      </c>
      <c r="P40" s="29" t="s">
        <v>17</v>
      </c>
      <c r="Q40" s="29" t="s">
        <v>138</v>
      </c>
      <c r="R40">
        <f t="shared" si="6"/>
        <v>65988</v>
      </c>
      <c r="S40">
        <f t="shared" si="7"/>
        <v>30239001</v>
      </c>
    </row>
    <row r="41" spans="1:21" x14ac:dyDescent="0.25">
      <c r="A41" t="s">
        <v>137</v>
      </c>
      <c r="B41" s="28" t="s">
        <v>41</v>
      </c>
      <c r="C41" s="13"/>
      <c r="D41" s="13">
        <v>5674</v>
      </c>
      <c r="E41" s="13">
        <v>31</v>
      </c>
      <c r="F41" s="39">
        <f t="shared" si="1"/>
        <v>-1.9000000000000004</v>
      </c>
      <c r="G41" s="24">
        <v>13.9</v>
      </c>
      <c r="H41" s="12">
        <v>12</v>
      </c>
      <c r="I41" s="12"/>
      <c r="J41" s="2">
        <f>IF(IF(DrieMeters!D41&gt;0,1,0)+IF(DrieMeters!H41&gt;0,1,0)=2,1,0)</f>
        <v>1</v>
      </c>
      <c r="K41" s="29" t="s">
        <v>136</v>
      </c>
      <c r="L41" s="29">
        <v>780</v>
      </c>
      <c r="M41" s="29" t="s">
        <v>15</v>
      </c>
      <c r="N41" s="29" t="s">
        <v>16</v>
      </c>
      <c r="O41" s="32">
        <v>42570</v>
      </c>
      <c r="P41" s="29" t="s">
        <v>17</v>
      </c>
      <c r="Q41" s="29" t="s">
        <v>138</v>
      </c>
      <c r="R41">
        <f t="shared" si="6"/>
        <v>68088</v>
      </c>
      <c r="S41">
        <f t="shared" si="7"/>
        <v>32194276</v>
      </c>
      <c r="U41" t="s">
        <v>140</v>
      </c>
    </row>
    <row r="42" spans="1:21" x14ac:dyDescent="0.25">
      <c r="A42" t="s">
        <v>137</v>
      </c>
      <c r="B42" s="28" t="s">
        <v>22</v>
      </c>
      <c r="C42" s="13">
        <v>20890</v>
      </c>
      <c r="D42" s="13">
        <v>5164</v>
      </c>
      <c r="E42" s="13">
        <v>31</v>
      </c>
      <c r="F42" s="39">
        <f t="shared" si="1"/>
        <v>-1.7244945639103406</v>
      </c>
      <c r="G42" s="24">
        <f>D42*Grafiek_kalibratiemetingen!$R$13+Grafiek_kalibratiemetingen!$R$14</f>
        <v>13.724494563910341</v>
      </c>
      <c r="H42" s="12">
        <v>12</v>
      </c>
      <c r="I42" s="12"/>
      <c r="J42" s="2">
        <f>IF(IF(DrieMeters!D42&gt;0,1,0)+IF(DrieMeters!H42&gt;0,1,0)=2,1,0)</f>
        <v>1</v>
      </c>
      <c r="K42" s="29" t="s">
        <v>136</v>
      </c>
      <c r="L42" s="29">
        <v>780</v>
      </c>
      <c r="M42" s="29" t="s">
        <v>15</v>
      </c>
      <c r="N42" s="29" t="s">
        <v>16</v>
      </c>
      <c r="O42" s="32">
        <v>42570</v>
      </c>
      <c r="P42" s="29" t="s">
        <v>17</v>
      </c>
      <c r="Q42" s="29" t="s">
        <v>138</v>
      </c>
      <c r="R42">
        <f t="shared" ref="R42:R57" si="8">H42*D42</f>
        <v>61968</v>
      </c>
      <c r="S42">
        <f t="shared" ref="S42:S57"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136</v>
      </c>
      <c r="L43" s="29">
        <v>780</v>
      </c>
      <c r="M43" s="29" t="s">
        <v>15</v>
      </c>
      <c r="N43" s="29" t="s">
        <v>16</v>
      </c>
      <c r="O43" s="32">
        <v>42570</v>
      </c>
      <c r="P43" s="29" t="s">
        <v>17</v>
      </c>
      <c r="Q43" s="29" t="s">
        <v>139</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136</v>
      </c>
      <c r="L44" s="29">
        <v>780</v>
      </c>
      <c r="M44" s="29" t="s">
        <v>15</v>
      </c>
      <c r="N44" s="29" t="s">
        <v>16</v>
      </c>
      <c r="O44" s="32">
        <v>42570</v>
      </c>
      <c r="P44" s="29" t="s">
        <v>17</v>
      </c>
      <c r="Q44" s="29" t="s">
        <v>139</v>
      </c>
      <c r="R44">
        <f t="shared" si="8"/>
        <v>53372</v>
      </c>
      <c r="S44">
        <f t="shared" si="9"/>
        <v>23541904</v>
      </c>
    </row>
    <row r="45" spans="1:21" x14ac:dyDescent="0.25">
      <c r="A45">
        <v>262</v>
      </c>
      <c r="B45" s="28" t="s">
        <v>22</v>
      </c>
      <c r="C45" s="13">
        <v>21022</v>
      </c>
      <c r="D45" s="13">
        <v>4134</v>
      </c>
      <c r="E45" s="13">
        <v>31</v>
      </c>
      <c r="F45" s="39">
        <f t="shared" si="1"/>
        <v>-1.2562460884402924</v>
      </c>
      <c r="G45" s="24">
        <f>D45*Grafiek_kalibratiemetingen!$R$13+Grafiek_kalibratiemetingen!$R$14</f>
        <v>12.256246088440292</v>
      </c>
      <c r="H45" s="12">
        <v>11</v>
      </c>
      <c r="I45" s="12"/>
      <c r="J45" s="2">
        <f>IF(IF(DrieMeters!D45&gt;0,1,0)+IF(DrieMeters!H45&gt;0,1,0)=2,1,0)</f>
        <v>1</v>
      </c>
      <c r="K45" s="29" t="s">
        <v>136</v>
      </c>
      <c r="L45" s="29">
        <v>780</v>
      </c>
      <c r="M45" s="29" t="s">
        <v>15</v>
      </c>
      <c r="N45" s="29" t="s">
        <v>16</v>
      </c>
      <c r="O45" s="32">
        <v>42570</v>
      </c>
      <c r="P45" s="29" t="s">
        <v>17</v>
      </c>
      <c r="Q45" s="29" t="s">
        <v>139</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136</v>
      </c>
      <c r="L46" s="29">
        <v>780</v>
      </c>
      <c r="M46" s="29" t="s">
        <v>15</v>
      </c>
      <c r="N46" s="29" t="s">
        <v>16</v>
      </c>
      <c r="O46" s="32">
        <v>42570</v>
      </c>
      <c r="P46" s="29" t="s">
        <v>17</v>
      </c>
      <c r="Q46" s="29" t="s">
        <v>139</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136</v>
      </c>
      <c r="L47" s="29">
        <v>780</v>
      </c>
      <c r="M47" s="29" t="s">
        <v>15</v>
      </c>
      <c r="N47" s="29" t="s">
        <v>16</v>
      </c>
      <c r="O47" s="32">
        <v>42570</v>
      </c>
      <c r="P47" s="29" t="s">
        <v>17</v>
      </c>
      <c r="Q47" s="29" t="s">
        <v>139</v>
      </c>
      <c r="R47">
        <f t="shared" si="8"/>
        <v>66346.2</v>
      </c>
      <c r="S47">
        <f t="shared" si="9"/>
        <v>29095236</v>
      </c>
    </row>
    <row r="48" spans="1:21" x14ac:dyDescent="0.25">
      <c r="A48">
        <v>261</v>
      </c>
      <c r="B48" s="28" t="s">
        <v>22</v>
      </c>
      <c r="C48" s="13">
        <v>20277</v>
      </c>
      <c r="D48" s="13">
        <v>5135</v>
      </c>
      <c r="E48" s="13">
        <v>32</v>
      </c>
      <c r="F48" s="39">
        <f t="shared" si="1"/>
        <v>-1.383155529164096</v>
      </c>
      <c r="G48" s="24">
        <f>D48*Grafiek_kalibratiemetingen!$R$13+Grafiek_kalibratiemetingen!$R$14</f>
        <v>13.683155529164097</v>
      </c>
      <c r="H48" s="12">
        <v>12.3</v>
      </c>
      <c r="I48" s="12"/>
      <c r="J48" s="2">
        <f>IF(IF(DrieMeters!D48&gt;0,1,0)+IF(DrieMeters!H48&gt;0,1,0)=2,1,0)</f>
        <v>1</v>
      </c>
      <c r="K48" s="29" t="s">
        <v>136</v>
      </c>
      <c r="L48" s="29">
        <v>780</v>
      </c>
      <c r="M48" s="29" t="s">
        <v>15</v>
      </c>
      <c r="N48" s="29" t="s">
        <v>16</v>
      </c>
      <c r="O48" s="32">
        <v>42570</v>
      </c>
      <c r="P48" s="29" t="s">
        <v>17</v>
      </c>
      <c r="Q48" s="29" t="s">
        <v>139</v>
      </c>
      <c r="R48">
        <f t="shared" si="8"/>
        <v>63160.500000000007</v>
      </c>
      <c r="S48">
        <f t="shared" si="9"/>
        <v>26368225</v>
      </c>
    </row>
    <row r="49" spans="1:19" x14ac:dyDescent="0.25">
      <c r="A49">
        <v>266</v>
      </c>
      <c r="B49" s="28" t="s">
        <v>49</v>
      </c>
      <c r="C49" s="13"/>
      <c r="D49" s="13">
        <v>5417</v>
      </c>
      <c r="E49" s="13">
        <v>33</v>
      </c>
      <c r="F49" s="39">
        <f t="shared" si="1"/>
        <v>-1.5</v>
      </c>
      <c r="G49" s="24">
        <v>13.6</v>
      </c>
      <c r="H49" s="12">
        <v>12.1</v>
      </c>
      <c r="I49" s="12"/>
      <c r="J49" s="2">
        <f>IF(IF(DrieMeters!D49&gt;0,1,0)+IF(DrieMeters!H49&gt;0,1,0)=2,1,0)</f>
        <v>1</v>
      </c>
      <c r="K49" s="29" t="s">
        <v>136</v>
      </c>
      <c r="L49" s="29">
        <v>780</v>
      </c>
      <c r="M49" s="29" t="s">
        <v>15</v>
      </c>
      <c r="N49" s="29" t="s">
        <v>16</v>
      </c>
      <c r="O49" s="32">
        <v>42570</v>
      </c>
      <c r="P49" s="29" t="s">
        <v>17</v>
      </c>
      <c r="Q49" s="29" t="s">
        <v>139</v>
      </c>
      <c r="R49">
        <f t="shared" si="8"/>
        <v>65545.7</v>
      </c>
      <c r="S49">
        <f t="shared" si="9"/>
        <v>29343889</v>
      </c>
    </row>
    <row r="50" spans="1:19"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136</v>
      </c>
      <c r="L50" s="29">
        <v>780</v>
      </c>
      <c r="M50" s="29" t="s">
        <v>15</v>
      </c>
      <c r="N50" s="29" t="s">
        <v>16</v>
      </c>
      <c r="O50" s="32">
        <v>42570</v>
      </c>
      <c r="P50" s="29" t="s">
        <v>17</v>
      </c>
      <c r="Q50" s="29" t="s">
        <v>139</v>
      </c>
      <c r="R50">
        <f t="shared" si="8"/>
        <v>66066</v>
      </c>
      <c r="S50">
        <f t="shared" si="9"/>
        <v>29811600</v>
      </c>
    </row>
    <row r="51" spans="1:19" x14ac:dyDescent="0.25">
      <c r="A51">
        <v>266</v>
      </c>
      <c r="B51" s="28" t="s">
        <v>22</v>
      </c>
      <c r="C51" s="13">
        <v>20290</v>
      </c>
      <c r="D51" s="13">
        <v>5152</v>
      </c>
      <c r="E51" s="13">
        <v>32</v>
      </c>
      <c r="F51" s="39">
        <f t="shared" si="1"/>
        <v>-1.6073887564291365</v>
      </c>
      <c r="G51" s="24">
        <f>D51*Grafiek_kalibratiemetingen!$R$13+Grafiek_kalibratiemetingen!$R$14</f>
        <v>13.707388756429136</v>
      </c>
      <c r="H51" s="12">
        <v>12.1</v>
      </c>
      <c r="I51" s="12"/>
      <c r="J51" s="2">
        <f>IF(IF(DrieMeters!D51&gt;0,1,0)+IF(DrieMeters!H51&gt;0,1,0)=2,1,0)</f>
        <v>1</v>
      </c>
      <c r="K51" s="29" t="s">
        <v>136</v>
      </c>
      <c r="L51" s="29">
        <v>780</v>
      </c>
      <c r="M51" s="29" t="s">
        <v>15</v>
      </c>
      <c r="N51" s="29" t="s">
        <v>16</v>
      </c>
      <c r="O51" s="32">
        <v>42570</v>
      </c>
      <c r="P51" s="29" t="s">
        <v>17</v>
      </c>
      <c r="Q51" s="29" t="s">
        <v>139</v>
      </c>
      <c r="R51">
        <f t="shared" si="8"/>
        <v>62339.199999999997</v>
      </c>
      <c r="S51">
        <f t="shared" si="9"/>
        <v>26543104</v>
      </c>
    </row>
    <row r="52" spans="1:19"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136</v>
      </c>
      <c r="L52" s="29">
        <v>780</v>
      </c>
      <c r="M52" s="29" t="s">
        <v>15</v>
      </c>
      <c r="N52" s="29" t="s">
        <v>16</v>
      </c>
      <c r="O52" s="32">
        <v>42570</v>
      </c>
      <c r="P52" s="29" t="s">
        <v>17</v>
      </c>
      <c r="Q52" s="29" t="s">
        <v>139</v>
      </c>
      <c r="R52">
        <f t="shared" si="8"/>
        <v>65628</v>
      </c>
      <c r="S52">
        <f t="shared" si="9"/>
        <v>29909961</v>
      </c>
    </row>
    <row r="53" spans="1:19" x14ac:dyDescent="0.25">
      <c r="A53">
        <v>269</v>
      </c>
      <c r="B53" s="28" t="s">
        <v>41</v>
      </c>
      <c r="C53" s="13"/>
      <c r="D53" s="13">
        <v>5483</v>
      </c>
      <c r="E53" s="13">
        <v>33</v>
      </c>
      <c r="F53" s="39">
        <f t="shared" si="1"/>
        <v>-1.5</v>
      </c>
      <c r="G53" s="24">
        <v>13.5</v>
      </c>
      <c r="H53" s="12">
        <v>12</v>
      </c>
      <c r="I53" s="12"/>
      <c r="J53" s="2">
        <f>IF(IF(DrieMeters!D53&gt;0,1,0)+IF(DrieMeters!H53&gt;0,1,0)=2,1,0)</f>
        <v>1</v>
      </c>
      <c r="K53" s="29" t="s">
        <v>136</v>
      </c>
      <c r="L53" s="29">
        <v>780</v>
      </c>
      <c r="M53" s="29" t="s">
        <v>15</v>
      </c>
      <c r="N53" s="29" t="s">
        <v>16</v>
      </c>
      <c r="O53" s="32">
        <v>42570</v>
      </c>
      <c r="P53" s="29" t="s">
        <v>17</v>
      </c>
      <c r="Q53" s="29" t="s">
        <v>139</v>
      </c>
      <c r="R53">
        <f t="shared" si="8"/>
        <v>65796</v>
      </c>
      <c r="S53">
        <f t="shared" si="9"/>
        <v>30063289</v>
      </c>
    </row>
    <row r="54" spans="1:19" x14ac:dyDescent="0.25">
      <c r="A54">
        <v>269</v>
      </c>
      <c r="B54" s="28" t="s">
        <v>22</v>
      </c>
      <c r="C54" s="13">
        <v>20302</v>
      </c>
      <c r="D54" s="13">
        <v>5362</v>
      </c>
      <c r="E54" s="13">
        <v>32</v>
      </c>
      <c r="F54" s="26">
        <f t="shared" ref="F54:F62" si="10">IF(J54,H54-G54,TRIM(""))</f>
        <v>-2.0067403873502148</v>
      </c>
      <c r="G54" s="24">
        <f>D54*Grafiek_kalibratiemetingen!$R$13+Grafiek_kalibratiemetingen!$R$14</f>
        <v>14.006740387350215</v>
      </c>
      <c r="H54" s="12">
        <v>12</v>
      </c>
      <c r="I54" s="12"/>
      <c r="J54" s="2">
        <f>IF(IF(DrieMeters!D54&gt;0,1,0)+IF(DrieMeters!H54&gt;0,1,0)=2,1,0)</f>
        <v>1</v>
      </c>
      <c r="K54" s="29" t="s">
        <v>136</v>
      </c>
      <c r="L54" s="29">
        <v>780</v>
      </c>
      <c r="M54" s="29" t="s">
        <v>15</v>
      </c>
      <c r="N54" s="29" t="s">
        <v>16</v>
      </c>
      <c r="O54" s="32">
        <v>42570</v>
      </c>
      <c r="P54" s="29" t="s">
        <v>17</v>
      </c>
      <c r="Q54" s="29" t="s">
        <v>139</v>
      </c>
      <c r="R54">
        <f t="shared" si="8"/>
        <v>64344</v>
      </c>
      <c r="S54">
        <f t="shared" si="9"/>
        <v>28751044</v>
      </c>
    </row>
    <row r="55" spans="1:19" x14ac:dyDescent="0.25">
      <c r="A55">
        <v>270</v>
      </c>
      <c r="B55" s="28" t="s">
        <v>49</v>
      </c>
      <c r="C55" s="13"/>
      <c r="D55" s="13">
        <v>5389</v>
      </c>
      <c r="E55" s="13">
        <v>33</v>
      </c>
      <c r="F55" s="26">
        <f t="shared" si="10"/>
        <v>-1.5</v>
      </c>
      <c r="G55" s="24">
        <v>13.5</v>
      </c>
      <c r="H55" s="12">
        <v>12</v>
      </c>
      <c r="I55" s="12"/>
      <c r="J55" s="2">
        <f>IF(IF(DrieMeters!D55&gt;0,1,0)+IF(DrieMeters!H55&gt;0,1,0)=2,1,0)</f>
        <v>1</v>
      </c>
      <c r="O55" s="7"/>
      <c r="R55">
        <f t="shared" si="8"/>
        <v>64668</v>
      </c>
      <c r="S55">
        <f t="shared" si="9"/>
        <v>29041321</v>
      </c>
    </row>
    <row r="56" spans="1:19" x14ac:dyDescent="0.25">
      <c r="A56">
        <v>270</v>
      </c>
      <c r="B56" s="28" t="s">
        <v>41</v>
      </c>
      <c r="C56" s="13"/>
      <c r="D56" s="13">
        <v>5377</v>
      </c>
      <c r="E56" s="13">
        <v>33</v>
      </c>
      <c r="F56" s="26">
        <f t="shared" si="10"/>
        <v>-1.3000000000000007</v>
      </c>
      <c r="G56" s="24">
        <v>13.3</v>
      </c>
      <c r="H56" s="12">
        <v>12</v>
      </c>
      <c r="I56" s="12"/>
      <c r="J56" s="2">
        <f>IF(IF(DrieMeters!D56&gt;0,1,0)+IF(DrieMeters!H56&gt;0,1,0)=2,1,0)</f>
        <v>1</v>
      </c>
      <c r="O56" s="7"/>
      <c r="R56">
        <f t="shared" si="8"/>
        <v>64524</v>
      </c>
      <c r="S56">
        <f t="shared" si="9"/>
        <v>28912129</v>
      </c>
    </row>
    <row r="57" spans="1:19" x14ac:dyDescent="0.25">
      <c r="A57">
        <v>270</v>
      </c>
      <c r="B57" s="28" t="s">
        <v>22</v>
      </c>
      <c r="C57" s="13">
        <v>20271</v>
      </c>
      <c r="D57" s="13">
        <v>5029</v>
      </c>
      <c r="E57" s="13">
        <v>32</v>
      </c>
      <c r="F57" s="26">
        <f t="shared" si="10"/>
        <v>-1.532054229746791</v>
      </c>
      <c r="G57" s="24">
        <f>D57*Grafiek_kalibratiemetingen!$R$13+Grafiek_kalibratiemetingen!$R$14</f>
        <v>13.532054229746791</v>
      </c>
      <c r="H57" s="12">
        <v>12</v>
      </c>
      <c r="I57" s="12"/>
      <c r="J57" s="2">
        <f>IF(IF(DrieMeters!D57&gt;0,1,0)+IF(DrieMeters!H57&gt;0,1,0)=2,1,0)</f>
        <v>1</v>
      </c>
      <c r="O57" s="7"/>
      <c r="R57">
        <f t="shared" si="8"/>
        <v>60348</v>
      </c>
      <c r="S57">
        <f t="shared" si="9"/>
        <v>25290841</v>
      </c>
    </row>
    <row r="58" spans="1:19" x14ac:dyDescent="0.25">
      <c r="B58" s="28" t="s">
        <v>49</v>
      </c>
      <c r="C58" s="13"/>
      <c r="D58" s="13"/>
      <c r="E58" s="13"/>
      <c r="F58" s="26" t="str">
        <f t="shared" si="10"/>
        <v/>
      </c>
      <c r="G58" s="24"/>
      <c r="H58" s="12"/>
      <c r="I58" s="12"/>
      <c r="J58" s="2">
        <f>IF(IF(DrieMeters!D58&gt;0,1,0)+IF(DrieMeters!H58&gt;0,1,0)=2,1,0)</f>
        <v>0</v>
      </c>
      <c r="O58" s="7"/>
    </row>
    <row r="59" spans="1:19" x14ac:dyDescent="0.25">
      <c r="B59" s="28" t="s">
        <v>41</v>
      </c>
      <c r="C59" s="13"/>
      <c r="D59" s="13"/>
      <c r="E59" s="13"/>
      <c r="F59" s="26" t="str">
        <f t="shared" si="10"/>
        <v/>
      </c>
      <c r="G59" s="24"/>
      <c r="H59" s="12"/>
      <c r="I59" s="12"/>
      <c r="J59" s="2">
        <f>IF(IF(DrieMeters!D59&gt;0,1,0)+IF(DrieMeters!H59&gt;0,1,0)=2,1,0)</f>
        <v>0</v>
      </c>
      <c r="O59" s="7"/>
    </row>
    <row r="60" spans="1:19" x14ac:dyDescent="0.25">
      <c r="B60" s="28" t="s">
        <v>22</v>
      </c>
      <c r="C60" s="13"/>
      <c r="D60" s="13"/>
      <c r="E60" s="13"/>
      <c r="F60" s="26" t="str">
        <f t="shared" si="10"/>
        <v/>
      </c>
      <c r="G60" s="24">
        <f>D60*Grafiek_kalibratiemetingen!$R$13+Grafiek_kalibratiemetingen!$R$14</f>
        <v>6.3632954111653559</v>
      </c>
      <c r="H60" s="12"/>
      <c r="I60" s="12"/>
      <c r="J60" s="2">
        <f>IF(IF(DrieMeters!D60&gt;0,1,0)+IF(DrieMeters!H60&gt;0,1,0)=2,1,0)</f>
        <v>0</v>
      </c>
      <c r="O60" s="7"/>
    </row>
    <row r="61" spans="1:19" x14ac:dyDescent="0.25">
      <c r="B61" s="28" t="s">
        <v>49</v>
      </c>
      <c r="C61" s="13"/>
      <c r="D61" s="13"/>
      <c r="E61" s="13"/>
      <c r="F61" s="26" t="str">
        <f t="shared" si="10"/>
        <v/>
      </c>
      <c r="G61" s="24"/>
      <c r="H61" s="12"/>
      <c r="I61" s="12"/>
      <c r="J61" s="2">
        <f>IF(IF(DrieMeters!D61&gt;0,1,0)+IF(DrieMeters!H61&gt;0,1,0)=2,1,0)</f>
        <v>0</v>
      </c>
      <c r="O61" s="7"/>
    </row>
    <row r="62" spans="1:19" x14ac:dyDescent="0.25">
      <c r="B62" s="28" t="s">
        <v>41</v>
      </c>
      <c r="C62" s="13"/>
      <c r="D62" s="13"/>
      <c r="E62" s="13"/>
      <c r="F62" s="26" t="str">
        <f t="shared" si="10"/>
        <v/>
      </c>
      <c r="G62" s="24" t="str">
        <f>IF(DrieMeters!D62&gt;0,Grafiek_kalibratiemetingen!$R$13*DrieMeters!D62+Grafiek_kalibratiemetingen!$R$14,TRIM(""))</f>
        <v/>
      </c>
      <c r="H62" s="12"/>
      <c r="I62" s="12"/>
      <c r="J62" s="2">
        <f>IF(IF(DrieMeters!D62&gt;0,1,0)+IF(DrieMeters!H62&gt;0,1,0)=2,1,0)</f>
        <v>0</v>
      </c>
      <c r="O62" s="7"/>
    </row>
    <row r="63" spans="1:19" x14ac:dyDescent="0.25">
      <c r="B63" s="28" t="s">
        <v>22</v>
      </c>
      <c r="C63" s="13"/>
      <c r="D63" s="13"/>
      <c r="E63" s="13"/>
      <c r="F63" s="26" t="str">
        <f t="shared" ref="F63:F97" si="11">IF(J63,H63-G63,TRIM(""))</f>
        <v/>
      </c>
      <c r="G63" s="24">
        <f>D63*Grafiek_kalibratiemetingen!$R$13+Grafiek_kalibratiemetingen!$R$14</f>
        <v>6.3632954111653559</v>
      </c>
      <c r="H63" s="12"/>
      <c r="I63" s="12"/>
      <c r="J63" s="2">
        <f>IF(IF(DrieMeters!D63&gt;0,1,0)+IF(DrieMeters!H63&gt;0,1,0)=2,1,0)</f>
        <v>0</v>
      </c>
      <c r="O63" s="14"/>
    </row>
    <row r="64" spans="1:19" x14ac:dyDescent="0.25">
      <c r="C64" s="13"/>
      <c r="D64" s="13"/>
      <c r="E64" s="13"/>
      <c r="F64" s="26" t="str">
        <f t="shared" si="11"/>
        <v/>
      </c>
      <c r="G64" s="24" t="str">
        <f>IF(DrieMeters!D64&gt;0,Grafiek_kalibratiemetingen!$R$13*DrieMeters!D64+Grafiek_kalibratiemetingen!$R$14,TRIM(""))</f>
        <v/>
      </c>
      <c r="H64" s="12"/>
      <c r="I64" s="12"/>
      <c r="J64" s="2">
        <f>IF(IF(DrieMeters!D64&gt;0,1,0)+IF(DrieMeters!H64&gt;0,1,0)=2,1,0)</f>
        <v>0</v>
      </c>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33" priority="7">
      <formula>LEN(TRIM(H4))&gt;0</formula>
    </cfRule>
  </conditionalFormatting>
  <conditionalFormatting sqref="C4:E1048576">
    <cfRule type="notContainsBlanks" dxfId="32" priority="6">
      <formula>LEN(TRIM(C4))&gt;0</formula>
    </cfRule>
  </conditionalFormatting>
  <conditionalFormatting sqref="G4:G1048576">
    <cfRule type="notContainsBlanks" dxfId="31" priority="4">
      <formula>LEN(TRIM(G4))&gt;0</formula>
    </cfRule>
  </conditionalFormatting>
  <conditionalFormatting sqref="C4:J1048576">
    <cfRule type="containsBlanks" dxfId="30" priority="1">
      <formula>LEN(TRIM(C4))=0</formula>
    </cfRule>
  </conditionalFormatting>
  <conditionalFormatting sqref="F4:F1048576">
    <cfRule type="notContainsBlanks" dxfId="29" priority="3">
      <formula>LEN(TRIM(F4))&gt;0</formula>
    </cfRule>
  </conditionalFormatting>
  <conditionalFormatting sqref="J4:J1048576">
    <cfRule type="cellIs" dxfId="28"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workbookViewId="0">
      <selection activeCell="I12" sqref="I12"/>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s>
  <sheetData>
    <row r="1" spans="1:9" x14ac:dyDescent="0.25">
      <c r="C1" s="69" t="s">
        <v>131</v>
      </c>
      <c r="D1" s="69"/>
      <c r="E1" s="69" t="s">
        <v>130</v>
      </c>
      <c r="F1" s="69"/>
      <c r="G1" s="64" t="s">
        <v>141</v>
      </c>
      <c r="H1" s="64" t="s">
        <v>142</v>
      </c>
    </row>
    <row r="2" spans="1:9" x14ac:dyDescent="0.25">
      <c r="A2" s="17" t="s">
        <v>134</v>
      </c>
      <c r="B2" s="17" t="s">
        <v>135</v>
      </c>
      <c r="C2" s="63" t="s">
        <v>132</v>
      </c>
      <c r="D2" s="63" t="s">
        <v>133</v>
      </c>
      <c r="E2" s="63" t="s">
        <v>132</v>
      </c>
      <c r="F2" s="63" t="s">
        <v>133</v>
      </c>
      <c r="G2" s="63" t="s">
        <v>132</v>
      </c>
      <c r="H2" s="63" t="s">
        <v>132</v>
      </c>
    </row>
    <row r="3" spans="1:9" x14ac:dyDescent="0.25">
      <c r="A3">
        <v>256</v>
      </c>
      <c r="B3" s="55">
        <v>42570</v>
      </c>
      <c r="C3">
        <v>10.9</v>
      </c>
      <c r="D3">
        <v>27.5</v>
      </c>
      <c r="E3">
        <v>11</v>
      </c>
      <c r="F3">
        <v>28</v>
      </c>
    </row>
    <row r="4" spans="1:9" x14ac:dyDescent="0.25">
      <c r="A4">
        <v>255</v>
      </c>
      <c r="B4" s="55">
        <v>42570</v>
      </c>
      <c r="C4">
        <v>11.9</v>
      </c>
      <c r="D4">
        <v>27.5</v>
      </c>
      <c r="E4">
        <v>12</v>
      </c>
      <c r="F4">
        <v>27.9</v>
      </c>
    </row>
    <row r="5" spans="1:9" x14ac:dyDescent="0.25">
      <c r="A5">
        <v>257</v>
      </c>
      <c r="B5" s="55">
        <v>42570</v>
      </c>
      <c r="C5">
        <v>14.1</v>
      </c>
      <c r="D5">
        <v>27.4</v>
      </c>
      <c r="E5">
        <v>14.5</v>
      </c>
      <c r="F5">
        <v>27.9</v>
      </c>
    </row>
    <row r="6" spans="1:9" x14ac:dyDescent="0.25">
      <c r="A6">
        <v>253</v>
      </c>
      <c r="B6" s="55">
        <v>42570</v>
      </c>
      <c r="C6">
        <v>11.7</v>
      </c>
      <c r="D6">
        <v>27.7</v>
      </c>
      <c r="E6">
        <v>11.7</v>
      </c>
      <c r="F6">
        <v>28</v>
      </c>
    </row>
    <row r="7" spans="1:9" x14ac:dyDescent="0.25">
      <c r="A7">
        <v>9309</v>
      </c>
      <c r="C7">
        <v>12</v>
      </c>
      <c r="D7">
        <v>28</v>
      </c>
      <c r="E7">
        <v>11.9</v>
      </c>
      <c r="F7">
        <v>28.5</v>
      </c>
    </row>
    <row r="8" spans="1:9" x14ac:dyDescent="0.25">
      <c r="A8">
        <v>9301</v>
      </c>
      <c r="C8">
        <v>13</v>
      </c>
      <c r="D8">
        <v>27.6</v>
      </c>
      <c r="E8">
        <v>12.9</v>
      </c>
      <c r="F8">
        <v>28.4</v>
      </c>
    </row>
    <row r="9" spans="1:9" x14ac:dyDescent="0.25">
      <c r="A9">
        <v>9304</v>
      </c>
      <c r="C9">
        <v>13.6</v>
      </c>
      <c r="D9">
        <v>27.7</v>
      </c>
      <c r="E9">
        <v>13.4</v>
      </c>
      <c r="F9">
        <v>28.2</v>
      </c>
    </row>
    <row r="10" spans="1:9" x14ac:dyDescent="0.25">
      <c r="A10">
        <v>9303</v>
      </c>
      <c r="C10">
        <v>12.1</v>
      </c>
      <c r="D10">
        <v>27.7</v>
      </c>
      <c r="E10">
        <v>12.1</v>
      </c>
      <c r="F10">
        <v>28.3</v>
      </c>
    </row>
    <row r="11" spans="1:9" x14ac:dyDescent="0.25">
      <c r="A11">
        <v>9533</v>
      </c>
      <c r="C11">
        <v>13.9</v>
      </c>
      <c r="D11">
        <v>29.4</v>
      </c>
      <c r="G11">
        <v>13.3</v>
      </c>
      <c r="H11">
        <v>12.9</v>
      </c>
      <c r="I11" t="s">
        <v>144</v>
      </c>
    </row>
    <row r="12" spans="1:9" x14ac:dyDescent="0.25">
      <c r="A12">
        <v>9530</v>
      </c>
      <c r="C12">
        <v>12.2</v>
      </c>
      <c r="D12">
        <v>29.3</v>
      </c>
      <c r="G12">
        <v>11.36</v>
      </c>
      <c r="H12">
        <v>11.1</v>
      </c>
    </row>
    <row r="13" spans="1:9" x14ac:dyDescent="0.25">
      <c r="A13">
        <v>9531</v>
      </c>
      <c r="C13">
        <v>13.8</v>
      </c>
      <c r="G13">
        <v>13.18</v>
      </c>
      <c r="H13">
        <v>12.8</v>
      </c>
      <c r="I13" t="s">
        <v>143</v>
      </c>
    </row>
    <row r="14" spans="1:9" x14ac:dyDescent="0.25">
      <c r="A14">
        <v>9531</v>
      </c>
      <c r="C14">
        <v>13.8</v>
      </c>
      <c r="G14">
        <v>13.25</v>
      </c>
      <c r="H14">
        <v>12.7</v>
      </c>
    </row>
    <row r="15" spans="1:9" x14ac:dyDescent="0.25">
      <c r="A15">
        <v>9531</v>
      </c>
      <c r="C15">
        <v>13.8</v>
      </c>
      <c r="G15">
        <v>13.24</v>
      </c>
      <c r="H15">
        <v>12.5</v>
      </c>
    </row>
    <row r="16" spans="1:9" x14ac:dyDescent="0.25">
      <c r="A16">
        <v>9531</v>
      </c>
      <c r="C16">
        <v>13.8</v>
      </c>
      <c r="G16">
        <v>13.26</v>
      </c>
      <c r="H16">
        <v>12.7</v>
      </c>
    </row>
    <row r="17" spans="1:8" x14ac:dyDescent="0.25">
      <c r="A17">
        <v>9531</v>
      </c>
      <c r="C17">
        <v>13.8</v>
      </c>
      <c r="G17">
        <v>13.24</v>
      </c>
      <c r="H17">
        <v>12.6</v>
      </c>
    </row>
    <row r="18" spans="1:8" x14ac:dyDescent="0.25">
      <c r="A18">
        <v>9531</v>
      </c>
      <c r="C18">
        <v>13.8</v>
      </c>
      <c r="G18">
        <v>13.25</v>
      </c>
      <c r="H18">
        <v>12.7</v>
      </c>
    </row>
    <row r="19" spans="1:8" x14ac:dyDescent="0.25">
      <c r="A19">
        <v>9536</v>
      </c>
      <c r="C19">
        <v>14.3</v>
      </c>
      <c r="D19">
        <v>30.6</v>
      </c>
      <c r="G19">
        <v>13.89</v>
      </c>
      <c r="H19">
        <v>13.3</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 t="shared" ref="A1:D1" si="0">COUNT(A$4:A$65000)</f>
        <v>11</v>
      </c>
      <c r="B1">
        <f t="shared" si="0"/>
        <v>11</v>
      </c>
      <c r="C1">
        <f t="shared" si="0"/>
        <v>11</v>
      </c>
      <c r="D1">
        <f t="shared" si="0"/>
        <v>11</v>
      </c>
      <c r="G1">
        <f>COUNT(G$4:G$65000)</f>
        <v>11</v>
      </c>
      <c r="H1">
        <f>COUNT(H$4:H$65000)</f>
        <v>11</v>
      </c>
      <c r="J1">
        <f t="shared" ref="J1:Q1" si="1">COUNT(J$4:J$65000)</f>
        <v>0</v>
      </c>
      <c r="K1">
        <f t="shared" si="1"/>
        <v>0</v>
      </c>
      <c r="L1">
        <f t="shared" si="1"/>
        <v>11</v>
      </c>
      <c r="M1">
        <f>COUNT(M$4:M$65000)</f>
        <v>0</v>
      </c>
      <c r="N1">
        <f t="shared" si="1"/>
        <v>0</v>
      </c>
      <c r="O1">
        <f t="shared" si="1"/>
        <v>11</v>
      </c>
      <c r="P1">
        <f t="shared" si="1"/>
        <v>0</v>
      </c>
      <c r="Q1">
        <f t="shared" si="1"/>
        <v>0</v>
      </c>
    </row>
    <row r="2" spans="1:25" ht="32.25" customHeight="1" x14ac:dyDescent="0.25">
      <c r="E2" s="65" t="s">
        <v>114</v>
      </c>
      <c r="F2" s="65"/>
      <c r="G2" s="65"/>
      <c r="H2" s="65"/>
      <c r="I2" s="65"/>
      <c r="N2" s="66" t="s">
        <v>115</v>
      </c>
      <c r="O2" s="66"/>
      <c r="P2" s="66"/>
    </row>
    <row r="3" spans="1:25" ht="45" x14ac:dyDescent="0.25">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3" t="s">
        <v>94</v>
      </c>
      <c r="S3" s="44" t="s">
        <v>101</v>
      </c>
      <c r="X3" s="17" t="s">
        <v>92</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129</v>
      </c>
      <c r="K4" s="28" t="s">
        <v>14</v>
      </c>
      <c r="L4" s="28">
        <v>729</v>
      </c>
      <c r="M4" s="28" t="s">
        <v>15</v>
      </c>
      <c r="N4" s="28" t="s">
        <v>16</v>
      </c>
      <c r="O4" s="42">
        <v>42566</v>
      </c>
      <c r="P4" s="28" t="s">
        <v>19</v>
      </c>
      <c r="Q4" s="28"/>
      <c r="R4">
        <f>G4*C4</f>
        <v>147136</v>
      </c>
      <c r="S4">
        <f>C4*C4</f>
        <v>147865600</v>
      </c>
      <c r="X4" s="17" t="s">
        <v>90</v>
      </c>
      <c r="Y4" s="18">
        <f>-SUM(R4:R50000)</f>
        <v>-946168.5</v>
      </c>
    </row>
    <row r="5" spans="1:25" x14ac:dyDescent="0.25">
      <c r="A5" s="28">
        <v>9359</v>
      </c>
      <c r="B5" s="38">
        <v>25744</v>
      </c>
      <c r="C5" s="38">
        <v>7956</v>
      </c>
      <c r="D5" s="38">
        <v>30</v>
      </c>
      <c r="E5" s="39">
        <f t="shared" ref="E5:E68" si="2">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129</v>
      </c>
      <c r="K5" s="28" t="s">
        <v>14</v>
      </c>
      <c r="L5" s="28">
        <v>729</v>
      </c>
      <c r="M5" t="s">
        <v>15</v>
      </c>
      <c r="N5" s="28" t="s">
        <v>16</v>
      </c>
      <c r="O5" s="42">
        <v>42566</v>
      </c>
      <c r="P5" s="28" t="s">
        <v>19</v>
      </c>
      <c r="Q5" s="28"/>
      <c r="R5">
        <f>G5*C5</f>
        <v>124113.59999999999</v>
      </c>
      <c r="S5">
        <f>C5*C5</f>
        <v>63297936</v>
      </c>
      <c r="X5" s="17" t="s">
        <v>97</v>
      </c>
      <c r="Y5">
        <f>AVERAGEIF(I4:I50000,"=1",G4:G50000)</f>
        <v>13.481818181818181</v>
      </c>
    </row>
    <row r="6" spans="1:25" x14ac:dyDescent="0.25">
      <c r="A6" s="28">
        <v>9453</v>
      </c>
      <c r="B6" s="38">
        <v>20492</v>
      </c>
      <c r="C6" s="38">
        <v>3801</v>
      </c>
      <c r="D6" s="38">
        <v>30</v>
      </c>
      <c r="E6" s="39">
        <f t="shared" si="2"/>
        <v>-0.68155993083686717</v>
      </c>
      <c r="F6" s="40">
        <f>IF(Augostometer!C6&gt;0,Grafiek_kalibratiemetingen!$R$13*Augostometer!C6+Grafiek_kalibratiemetingen!$R$14,TRIM(""))</f>
        <v>11.781559930836867</v>
      </c>
      <c r="G6" s="41">
        <v>11.1</v>
      </c>
      <c r="H6" s="41">
        <v>30.1</v>
      </c>
      <c r="I6" s="41">
        <f>IF(IF(Augostometer!C6&gt;0,1,0)+IF(Augostometer!G6&gt;0,1,0)=2,1,0)</f>
        <v>1</v>
      </c>
      <c r="J6" s="28" t="s">
        <v>129</v>
      </c>
      <c r="K6" s="28" t="s">
        <v>14</v>
      </c>
      <c r="L6" s="28">
        <v>729</v>
      </c>
      <c r="M6" t="s">
        <v>15</v>
      </c>
      <c r="N6" s="28" t="s">
        <v>16</v>
      </c>
      <c r="O6" s="42">
        <v>42570</v>
      </c>
      <c r="P6" s="28" t="s">
        <v>128</v>
      </c>
      <c r="Q6" s="28"/>
      <c r="R6">
        <f t="shared" ref="R6:R17" si="3">G6*C6</f>
        <v>42191.1</v>
      </c>
      <c r="S6">
        <f t="shared" ref="S6:S17" si="4">C6*C6</f>
        <v>14447601</v>
      </c>
      <c r="X6" s="17" t="s">
        <v>98</v>
      </c>
      <c r="Y6">
        <f>AVERAGEIF(I4:I50000,"=1",C4:C50000)</f>
        <v>6296.363636363636</v>
      </c>
    </row>
    <row r="7" spans="1:25" x14ac:dyDescent="0.25">
      <c r="A7" s="28">
        <v>9468</v>
      </c>
      <c r="B7" s="38">
        <v>20581</v>
      </c>
      <c r="C7" s="38">
        <v>5873</v>
      </c>
      <c r="D7" s="38">
        <v>30</v>
      </c>
      <c r="E7" s="39">
        <f t="shared" si="2"/>
        <v>-1.4351626892581706</v>
      </c>
      <c r="F7" s="40">
        <f>IF(Augostometer!C7&gt;0,Grafiek_kalibratiemetingen!$R$13*Augostometer!C7+Grafiek_kalibratiemetingen!$R$14,TRIM(""))</f>
        <v>14.735162689258171</v>
      </c>
      <c r="G7" s="41">
        <v>13.3</v>
      </c>
      <c r="H7" s="41">
        <v>30.6</v>
      </c>
      <c r="I7" s="41">
        <f>IF(IF(Augostometer!C7&gt;0,1,0)+IF(Augostometer!G7&gt;0,1,0)=2,1,0)</f>
        <v>1</v>
      </c>
      <c r="J7" s="28" t="s">
        <v>129</v>
      </c>
      <c r="K7" s="28" t="s">
        <v>14</v>
      </c>
      <c r="L7" s="28">
        <v>729</v>
      </c>
      <c r="M7" t="s">
        <v>15</v>
      </c>
      <c r="N7" s="28" t="s">
        <v>16</v>
      </c>
      <c r="O7" s="42">
        <v>42570</v>
      </c>
      <c r="P7" s="28" t="s">
        <v>128</v>
      </c>
      <c r="Q7" s="28"/>
      <c r="R7">
        <f t="shared" si="3"/>
        <v>78110.900000000009</v>
      </c>
      <c r="S7">
        <f t="shared" si="4"/>
        <v>34492129</v>
      </c>
      <c r="X7" t="s">
        <v>96</v>
      </c>
      <c r="Y7">
        <f>SUMIF(I4:I50000,"=1",C4:C50000)/Y3</f>
        <v>6296.363636363636</v>
      </c>
    </row>
    <row r="8" spans="1:25" x14ac:dyDescent="0.25">
      <c r="A8" s="28">
        <v>9465</v>
      </c>
      <c r="B8" s="38">
        <v>20653</v>
      </c>
      <c r="C8" s="38">
        <v>6606</v>
      </c>
      <c r="D8" s="38">
        <v>31</v>
      </c>
      <c r="E8" s="39">
        <f t="shared" si="2"/>
        <v>0.11995757043158939</v>
      </c>
      <c r="F8" s="40">
        <f>IF(Augostometer!C8&gt;0,Grafiek_kalibratiemetingen!$R$13*Augostometer!C8+Grafiek_kalibratiemetingen!$R$14,TRIM(""))</f>
        <v>15.780042429568411</v>
      </c>
      <c r="G8" s="41">
        <v>15.9</v>
      </c>
      <c r="H8" s="41">
        <v>30.3</v>
      </c>
      <c r="I8" s="41">
        <f>IF(IF(Augostometer!C8&gt;0,1,0)+IF(Augostometer!G8&gt;0,1,0)=2,1,0)</f>
        <v>1</v>
      </c>
      <c r="J8" s="28" t="s">
        <v>129</v>
      </c>
      <c r="K8" s="28" t="s">
        <v>14</v>
      </c>
      <c r="L8" s="28">
        <v>729</v>
      </c>
      <c r="M8" t="s">
        <v>15</v>
      </c>
      <c r="N8" s="28" t="s">
        <v>16</v>
      </c>
      <c r="O8" s="42">
        <v>42570</v>
      </c>
      <c r="P8" s="28" t="s">
        <v>128</v>
      </c>
      <c r="Q8" s="28"/>
      <c r="R8">
        <f t="shared" si="3"/>
        <v>105035.40000000001</v>
      </c>
      <c r="S8">
        <f t="shared" si="4"/>
        <v>43639236</v>
      </c>
      <c r="X8" s="17" t="s">
        <v>99</v>
      </c>
      <c r="Y8">
        <f>SUMIF(I4:I50000,"=1",C4:C50000)</f>
        <v>69260</v>
      </c>
    </row>
    <row r="9" spans="1:25" x14ac:dyDescent="0.25">
      <c r="A9" s="28">
        <v>9465</v>
      </c>
      <c r="B9" s="38">
        <v>20598</v>
      </c>
      <c r="C9" s="38">
        <v>6595</v>
      </c>
      <c r="D9" s="38">
        <v>31</v>
      </c>
      <c r="E9" s="39">
        <f t="shared" si="2"/>
        <v>3.5637893956028677E-2</v>
      </c>
      <c r="F9" s="40">
        <f>IF(Augostometer!C9&gt;0,Grafiek_kalibratiemetingen!$R$13*Augostometer!C9+Grafiek_kalibratiemetingen!$R$14,TRIM(""))</f>
        <v>15.764362106043972</v>
      </c>
      <c r="G9" s="41">
        <v>15.8</v>
      </c>
      <c r="H9" s="41">
        <v>30.6</v>
      </c>
      <c r="I9" s="41">
        <f>IF(IF(Augostometer!C9&gt;0,1,0)+IF(Augostometer!G9&gt;0,1,0)=2,1,0)</f>
        <v>1</v>
      </c>
      <c r="J9" s="28" t="s">
        <v>129</v>
      </c>
      <c r="K9" s="28" t="s">
        <v>14</v>
      </c>
      <c r="L9" s="28">
        <v>729</v>
      </c>
      <c r="M9" t="s">
        <v>15</v>
      </c>
      <c r="N9" s="28" t="s">
        <v>16</v>
      </c>
      <c r="O9" s="42">
        <v>42570</v>
      </c>
      <c r="P9" s="28" t="s">
        <v>128</v>
      </c>
      <c r="Q9" s="28"/>
      <c r="R9">
        <f t="shared" si="3"/>
        <v>104201</v>
      </c>
      <c r="S9">
        <f t="shared" si="4"/>
        <v>43494025</v>
      </c>
      <c r="X9" s="17" t="s">
        <v>100</v>
      </c>
      <c r="Y9">
        <f>SUMIF(I4:I50000,"=1",G4:G50000)</f>
        <v>148.29999999999998</v>
      </c>
    </row>
    <row r="10" spans="1:25" x14ac:dyDescent="0.25">
      <c r="A10" s="28">
        <v>259</v>
      </c>
      <c r="B10" s="38">
        <v>20130</v>
      </c>
      <c r="C10" s="38">
        <v>5957</v>
      </c>
      <c r="D10" s="38">
        <v>30</v>
      </c>
      <c r="E10" s="39">
        <f t="shared" si="2"/>
        <v>-1.054903341626602</v>
      </c>
      <c r="F10" s="40">
        <f>IF(Augostometer!C10&gt;0,Grafiek_kalibratiemetingen!$R$13*Augostometer!C10+Grafiek_kalibratiemetingen!$R$14,TRIM(""))</f>
        <v>14.854903341626603</v>
      </c>
      <c r="G10" s="41">
        <v>13.8</v>
      </c>
      <c r="H10" s="41">
        <v>29.2</v>
      </c>
      <c r="I10" s="41">
        <f>IF(IF(Augostometer!C10&gt;0,1,0)+IF(Augostometer!G10&gt;0,1,0)=2,1,0)</f>
        <v>1</v>
      </c>
      <c r="J10" s="28" t="s">
        <v>129</v>
      </c>
      <c r="K10" s="28" t="s">
        <v>14</v>
      </c>
      <c r="L10" s="28">
        <v>729</v>
      </c>
      <c r="M10" t="s">
        <v>15</v>
      </c>
      <c r="N10" s="28" t="s">
        <v>16</v>
      </c>
      <c r="O10" s="42">
        <v>42570</v>
      </c>
      <c r="P10" s="28" t="s">
        <v>128</v>
      </c>
      <c r="Q10" s="28"/>
      <c r="R10">
        <f t="shared" si="3"/>
        <v>82206.600000000006</v>
      </c>
      <c r="S10">
        <f t="shared" si="4"/>
        <v>35485849</v>
      </c>
      <c r="X10" s="17" t="s">
        <v>102</v>
      </c>
      <c r="Y10">
        <f>SUMIF(I4:I50000,"=1",S4:S50000)</f>
        <v>490862190</v>
      </c>
    </row>
    <row r="11" spans="1:25" x14ac:dyDescent="0.25">
      <c r="A11" s="28">
        <v>258</v>
      </c>
      <c r="B11" s="38">
        <v>20214</v>
      </c>
      <c r="C11" s="38">
        <v>6115</v>
      </c>
      <c r="D11" s="38">
        <v>30</v>
      </c>
      <c r="E11" s="39">
        <f t="shared" si="2"/>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129</v>
      </c>
      <c r="K11" s="28" t="s">
        <v>14</v>
      </c>
      <c r="L11" s="28">
        <v>729</v>
      </c>
      <c r="M11" t="s">
        <v>15</v>
      </c>
      <c r="N11" s="28" t="s">
        <v>16</v>
      </c>
      <c r="O11" s="42">
        <v>42570</v>
      </c>
      <c r="P11" s="28" t="s">
        <v>128</v>
      </c>
      <c r="Q11" s="28"/>
      <c r="R11">
        <f t="shared" si="3"/>
        <v>84387</v>
      </c>
      <c r="S11">
        <f t="shared" si="4"/>
        <v>37393225</v>
      </c>
    </row>
    <row r="12" spans="1:25" x14ac:dyDescent="0.25">
      <c r="A12" s="28">
        <v>256</v>
      </c>
      <c r="B12" s="30">
        <v>20537</v>
      </c>
      <c r="C12" s="30">
        <v>3331</v>
      </c>
      <c r="D12" s="30">
        <v>29</v>
      </c>
      <c r="E12" s="39">
        <f t="shared" si="2"/>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129</v>
      </c>
      <c r="K12" s="28" t="s">
        <v>14</v>
      </c>
      <c r="L12" s="28">
        <v>729</v>
      </c>
      <c r="M12" t="s">
        <v>15</v>
      </c>
      <c r="N12" s="28" t="s">
        <v>16</v>
      </c>
      <c r="O12" s="42">
        <v>42570</v>
      </c>
      <c r="P12" s="28" t="s">
        <v>128</v>
      </c>
      <c r="Q12" s="28"/>
      <c r="R12">
        <f t="shared" si="3"/>
        <v>36307.9</v>
      </c>
      <c r="S12">
        <f t="shared" si="4"/>
        <v>11095561</v>
      </c>
      <c r="X12" t="s">
        <v>103</v>
      </c>
      <c r="Y12">
        <f>Y4+Y5*Y8</f>
        <v>-12417.772727272823</v>
      </c>
    </row>
    <row r="13" spans="1:25" x14ac:dyDescent="0.25">
      <c r="A13" s="28">
        <v>255</v>
      </c>
      <c r="B13" s="30">
        <v>20572</v>
      </c>
      <c r="C13" s="30">
        <v>4878</v>
      </c>
      <c r="D13" s="30">
        <v>30</v>
      </c>
      <c r="E13" s="39">
        <f t="shared" si="2"/>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129</v>
      </c>
      <c r="K13" s="28" t="s">
        <v>14</v>
      </c>
      <c r="L13" s="28">
        <v>729</v>
      </c>
      <c r="M13" t="s">
        <v>15</v>
      </c>
      <c r="N13" s="28" t="s">
        <v>16</v>
      </c>
      <c r="O13" s="42">
        <v>42570</v>
      </c>
      <c r="P13" s="28" t="s">
        <v>128</v>
      </c>
      <c r="Q13" s="28"/>
      <c r="R13">
        <f t="shared" si="3"/>
        <v>58048.200000000004</v>
      </c>
      <c r="S13">
        <f t="shared" si="4"/>
        <v>23794884</v>
      </c>
      <c r="X13" t="s">
        <v>104</v>
      </c>
      <c r="Y13">
        <f>-Y10+(Y8*Y8)/Y3</f>
        <v>-54776044.545454562</v>
      </c>
    </row>
    <row r="14" spans="1:25" x14ac:dyDescent="0.25">
      <c r="A14" s="28">
        <v>257</v>
      </c>
      <c r="B14" s="30">
        <v>20616</v>
      </c>
      <c r="C14" s="30">
        <v>5988</v>
      </c>
      <c r="D14" s="30">
        <v>30</v>
      </c>
      <c r="E14" s="39">
        <f t="shared" si="2"/>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129</v>
      </c>
      <c r="K14" s="28" t="s">
        <v>14</v>
      </c>
      <c r="L14" s="28">
        <v>729</v>
      </c>
      <c r="M14" t="s">
        <v>15</v>
      </c>
      <c r="N14" s="28" t="s">
        <v>16</v>
      </c>
      <c r="O14" s="42">
        <v>42570</v>
      </c>
      <c r="P14" s="28" t="s">
        <v>128</v>
      </c>
      <c r="Q14" s="28"/>
      <c r="R14">
        <f t="shared" si="3"/>
        <v>84430.8</v>
      </c>
      <c r="S14">
        <f t="shared" si="4"/>
        <v>35856144</v>
      </c>
    </row>
    <row r="15" spans="1:25" x14ac:dyDescent="0.25">
      <c r="A15" s="29"/>
      <c r="B15" s="30"/>
      <c r="C15" s="30"/>
      <c r="D15" s="30"/>
      <c r="E15" s="39" t="str">
        <f t="shared" si="2"/>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3"/>
        <v>0</v>
      </c>
      <c r="S15">
        <f t="shared" si="4"/>
        <v>0</v>
      </c>
      <c r="X15" t="s">
        <v>88</v>
      </c>
      <c r="Y15">
        <f>Y12/Y13</f>
        <v>2.2670079284326997E-4</v>
      </c>
    </row>
    <row r="16" spans="1:25" x14ac:dyDescent="0.25">
      <c r="A16" s="29"/>
      <c r="B16" s="30"/>
      <c r="C16" s="30"/>
      <c r="D16" s="30"/>
      <c r="E16" s="39" t="str">
        <f t="shared" si="2"/>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3"/>
        <v>0</v>
      </c>
      <c r="S16">
        <f t="shared" si="4"/>
        <v>0</v>
      </c>
      <c r="X16" t="s">
        <v>89</v>
      </c>
      <c r="Y16">
        <f>Y5-Y15*Y6</f>
        <v>12.054427553425009</v>
      </c>
    </row>
    <row r="17" spans="1:19" x14ac:dyDescent="0.25">
      <c r="A17" s="29"/>
      <c r="B17" s="30"/>
      <c r="C17" s="30"/>
      <c r="D17" s="30"/>
      <c r="E17" s="39" t="str">
        <f t="shared" si="2"/>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3"/>
        <v>0</v>
      </c>
      <c r="S17">
        <f t="shared" si="4"/>
        <v>0</v>
      </c>
    </row>
    <row r="18" spans="1:19" x14ac:dyDescent="0.25">
      <c r="A18" s="33"/>
      <c r="B18" s="34"/>
      <c r="C18" s="34"/>
      <c r="D18" s="34"/>
      <c r="E18" s="39" t="str">
        <f t="shared" si="2"/>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2"/>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2"/>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2"/>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2"/>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2"/>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2"/>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2"/>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2"/>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2"/>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2"/>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2"/>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2"/>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2"/>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2"/>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2"/>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2"/>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2"/>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2"/>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2"/>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2"/>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2"/>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2"/>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2"/>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2"/>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2"/>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2"/>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2"/>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2"/>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2"/>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2"/>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2"/>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2"/>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2"/>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2"/>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2"/>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2"/>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2"/>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2"/>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2"/>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2"/>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2"/>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2"/>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2"/>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2"/>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2"/>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2"/>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2"/>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2"/>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2"/>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2"/>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5">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5"/>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5"/>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5"/>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5"/>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5"/>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5"/>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5"/>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5"/>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5"/>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5"/>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5"/>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5"/>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5"/>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5"/>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5"/>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5"/>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5"/>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5"/>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5"/>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5"/>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5"/>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5"/>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5"/>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5"/>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5"/>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5"/>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5"/>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5"/>
        <v/>
      </c>
      <c r="F97" s="24" t="str">
        <f>IF(Augostometer!C97&gt;0,Grafiek_kalibratiemetingen!$R$13*Augostometer!C97+Grafiek_kalibratiemetingen!$R$14,TRIM(""))</f>
        <v/>
      </c>
      <c r="I97" s="2">
        <f>IF(IF(Augostometer!C97&gt;0,1,0)+IF(Augostometer!G97&gt;0,1,0)=2,1,0)</f>
        <v>0</v>
      </c>
    </row>
    <row r="98" spans="5:9" x14ac:dyDescent="0.25">
      <c r="E98" s="26" t="str">
        <f t="shared" si="5"/>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5"/>
        <v/>
      </c>
      <c r="F101" s="24" t="str">
        <f>IF(Augostometer!C101&gt;0,Grafiek_kalibratiemetingen!$R$13*Augostometer!C101+Grafiek_kalibratiemetingen!$R$14,TRIM(""))</f>
        <v/>
      </c>
      <c r="I101" s="2">
        <f>IF(IF(Augostometer!C101&gt;0,1,0)+IF(Augostometer!G101&gt;0,1,0)=2,1,0)</f>
        <v>0</v>
      </c>
    </row>
    <row r="102" spans="5:9" x14ac:dyDescent="0.25">
      <c r="E102" s="26" t="str">
        <f t="shared" si="5"/>
        <v/>
      </c>
      <c r="F102" s="24" t="str">
        <f>IF(Augostometer!C102&gt;0,Grafiek_kalibratiemetingen!$R$13*Augostometer!C102+Grafiek_kalibratiemetingen!$R$14,TRIM(""))</f>
        <v/>
      </c>
      <c r="I102" s="2">
        <f>IF(IF(Augostometer!C102&gt;0,1,0)+IF(Augostometer!G102&gt;0,1,0)=2,1,0)</f>
        <v>0</v>
      </c>
    </row>
    <row r="103" spans="5:9" x14ac:dyDescent="0.25">
      <c r="E103" s="26" t="str">
        <f t="shared" si="5"/>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26" priority="27">
      <formula>LEN(TRIM(G4))&gt;0</formula>
    </cfRule>
  </conditionalFormatting>
  <conditionalFormatting sqref="B4:D9 B15:D1048576">
    <cfRule type="notContainsBlanks" dxfId="25" priority="26">
      <formula>LEN(TRIM(B4))&gt;0</formula>
    </cfRule>
  </conditionalFormatting>
  <conditionalFormatting sqref="F4:F1048576">
    <cfRule type="notContainsBlanks" dxfId="24" priority="24">
      <formula>LEN(TRIM(F4))&gt;0</formula>
    </cfRule>
  </conditionalFormatting>
  <conditionalFormatting sqref="B4:I9 B15:I1048576 E10:F14 I10:I14">
    <cfRule type="containsBlanks" dxfId="23" priority="21">
      <formula>LEN(TRIM(B4))=0</formula>
    </cfRule>
  </conditionalFormatting>
  <conditionalFormatting sqref="E4:E1048576">
    <cfRule type="notContainsBlanks" dxfId="22" priority="23">
      <formula>LEN(TRIM(E4))&gt;0</formula>
    </cfRule>
  </conditionalFormatting>
  <conditionalFormatting sqref="I4:I1048576">
    <cfRule type="cellIs" dxfId="21" priority="25" operator="equal">
      <formula>0</formula>
    </cfRule>
  </conditionalFormatting>
  <conditionalFormatting sqref="G14:H14">
    <cfRule type="containsBlanks" dxfId="20" priority="1">
      <formula>LEN(TRIM(G14))=0</formula>
    </cfRule>
  </conditionalFormatting>
  <conditionalFormatting sqref="B10:D10">
    <cfRule type="notContainsBlanks" dxfId="19" priority="20">
      <formula>LEN(TRIM(B10))&gt;0</formula>
    </cfRule>
  </conditionalFormatting>
  <conditionalFormatting sqref="B10:D10">
    <cfRule type="containsBlanks" dxfId="18" priority="19">
      <formula>LEN(TRIM(B10))=0</formula>
    </cfRule>
  </conditionalFormatting>
  <conditionalFormatting sqref="B11:D11">
    <cfRule type="notContainsBlanks" dxfId="17" priority="18">
      <formula>LEN(TRIM(B11))&gt;0</formula>
    </cfRule>
  </conditionalFormatting>
  <conditionalFormatting sqref="B11:D11">
    <cfRule type="containsBlanks" dxfId="16" priority="17">
      <formula>LEN(TRIM(B11))=0</formula>
    </cfRule>
  </conditionalFormatting>
  <conditionalFormatting sqref="B12:D12">
    <cfRule type="notContainsBlanks" dxfId="15" priority="16">
      <formula>LEN(TRIM(B12))&gt;0</formula>
    </cfRule>
  </conditionalFormatting>
  <conditionalFormatting sqref="B12:D12">
    <cfRule type="containsBlanks" dxfId="14" priority="15">
      <formula>LEN(TRIM(B12))=0</formula>
    </cfRule>
  </conditionalFormatting>
  <conditionalFormatting sqref="B13:D13">
    <cfRule type="notContainsBlanks" dxfId="13" priority="14">
      <formula>LEN(TRIM(B13))&gt;0</formula>
    </cfRule>
  </conditionalFormatting>
  <conditionalFormatting sqref="B13:D13">
    <cfRule type="containsBlanks" dxfId="12" priority="13">
      <formula>LEN(TRIM(B13))=0</formula>
    </cfRule>
  </conditionalFormatting>
  <conditionalFormatting sqref="B14:D14">
    <cfRule type="notContainsBlanks" dxfId="11" priority="12">
      <formula>LEN(TRIM(B14))&gt;0</formula>
    </cfRule>
  </conditionalFormatting>
  <conditionalFormatting sqref="B14:D14">
    <cfRule type="containsBlanks" dxfId="10" priority="11">
      <formula>LEN(TRIM(B14))=0</formula>
    </cfRule>
  </conditionalFormatting>
  <conditionalFormatting sqref="G10:H10">
    <cfRule type="notContainsBlanks" dxfId="9" priority="10">
      <formula>LEN(TRIM(G10))&gt;0</formula>
    </cfRule>
  </conditionalFormatting>
  <conditionalFormatting sqref="G10:H10">
    <cfRule type="containsBlanks" dxfId="8" priority="9">
      <formula>LEN(TRIM(G10))=0</formula>
    </cfRule>
  </conditionalFormatting>
  <conditionalFormatting sqref="G11:H11">
    <cfRule type="notContainsBlanks" dxfId="7" priority="8">
      <formula>LEN(TRIM(G11))&gt;0</formula>
    </cfRule>
  </conditionalFormatting>
  <conditionalFormatting sqref="G11:H11">
    <cfRule type="containsBlanks" dxfId="6" priority="7">
      <formula>LEN(TRIM(G11))=0</formula>
    </cfRule>
  </conditionalFormatting>
  <conditionalFormatting sqref="G12:H12">
    <cfRule type="notContainsBlanks" dxfId="5" priority="6">
      <formula>LEN(TRIM(G12))&gt;0</formula>
    </cfRule>
  </conditionalFormatting>
  <conditionalFormatting sqref="G12:H12">
    <cfRule type="containsBlanks" dxfId="4" priority="5">
      <formula>LEN(TRIM(G12))=0</formula>
    </cfRule>
  </conditionalFormatting>
  <conditionalFormatting sqref="G13:H13">
    <cfRule type="notContainsBlanks" dxfId="3" priority="4">
      <formula>LEN(TRIM(G13))&gt;0</formula>
    </cfRule>
  </conditionalFormatting>
  <conditionalFormatting sqref="G13:H13">
    <cfRule type="containsBlanks" dxfId="2" priority="3">
      <formula>LEN(TRIM(G13))=0</formula>
    </cfRule>
  </conditionalFormatting>
  <conditionalFormatting sqref="G14:H14">
    <cfRule type="notContainsBlanks" dxfId="1"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Kalibratiemetingen</vt:lpstr>
      <vt:lpstr>Grafiek_kalibratiemetingen</vt:lpstr>
      <vt:lpstr>LegePeriodicos</vt:lpstr>
      <vt:lpstr>Impedantiemeter</vt:lpstr>
      <vt:lpstr>PeriodeTest</vt:lpstr>
      <vt:lpstr>DrieMeters</vt:lpstr>
      <vt:lpstr>Gehakas</vt:lpstr>
      <vt:lpstr>Augostometer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2016-07-20T17:33:21Z</dcterms:modified>
  <dc:language>en-US</dc:language>
</cp:coreProperties>
</file>