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activeTab="5"/>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Augostometer" sheetId="9" r:id="rId8"/>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G63" i="11" l="1"/>
  <c r="G60" i="11"/>
  <c r="G57" i="11"/>
  <c r="R57" i="11"/>
  <c r="S57" i="11"/>
  <c r="R56" i="11"/>
  <c r="S56" i="11"/>
  <c r="R55" i="11"/>
  <c r="S55" i="11"/>
  <c r="R42" i="11"/>
  <c r="S42" i="11"/>
  <c r="R43" i="11"/>
  <c r="S43" i="11"/>
  <c r="R44" i="11"/>
  <c r="S44" i="11"/>
  <c r="R45" i="11"/>
  <c r="S45" i="11"/>
  <c r="R46" i="11"/>
  <c r="S46" i="11"/>
  <c r="R47" i="11"/>
  <c r="S47" i="11"/>
  <c r="R48" i="11"/>
  <c r="S48" i="11"/>
  <c r="R49" i="11"/>
  <c r="S49" i="11"/>
  <c r="R50" i="11"/>
  <c r="S50" i="11"/>
  <c r="R51" i="11"/>
  <c r="S51" i="11"/>
  <c r="R52" i="11"/>
  <c r="S52" i="11"/>
  <c r="R53" i="11"/>
  <c r="S53" i="11"/>
  <c r="R54" i="11"/>
  <c r="S54" i="11"/>
  <c r="G54" i="11"/>
  <c r="G51"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G6" i="11"/>
  <c r="G9" i="11"/>
  <c r="G12" i="11"/>
  <c r="G15" i="11"/>
  <c r="G18" i="11"/>
  <c r="G21" i="11"/>
  <c r="G24" i="11"/>
  <c r="G27" i="11"/>
  <c r="G30" i="11"/>
  <c r="G33" i="11"/>
  <c r="G48" i="11"/>
  <c r="G36" i="11"/>
  <c r="G39" i="11"/>
  <c r="G42" i="11"/>
  <c r="G45" i="11"/>
  <c r="R33" i="11"/>
  <c r="S33" i="11"/>
  <c r="R34" i="11"/>
  <c r="S34" i="11"/>
  <c r="R35" i="11"/>
  <c r="S35" i="11"/>
  <c r="R36" i="11"/>
  <c r="S36" i="11"/>
  <c r="R37" i="11"/>
  <c r="S37" i="11"/>
  <c r="R38" i="11"/>
  <c r="S38" i="11"/>
  <c r="R39" i="11"/>
  <c r="S39" i="11"/>
  <c r="R40" i="11"/>
  <c r="S40" i="11"/>
  <c r="R41" i="11"/>
  <c r="S41" i="11"/>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J25" i="11"/>
  <c r="J26" i="11"/>
  <c r="I10" i="12"/>
  <c r="H10" i="12"/>
  <c r="I9" i="12"/>
  <c r="H9" i="12"/>
  <c r="I8" i="12"/>
  <c r="H8" i="12"/>
  <c r="I7" i="12"/>
  <c r="H7" i="12"/>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I4" i="12"/>
  <c r="I5" i="12"/>
  <c r="I6" i="12"/>
  <c r="I3" i="12"/>
  <c r="H4" i="12"/>
  <c r="H5" i="12"/>
  <c r="H6" i="12"/>
  <c r="H3" i="12"/>
  <c r="F4" i="9"/>
  <c r="I4" i="9"/>
  <c r="F10" i="9"/>
  <c r="I10" i="9"/>
  <c r="E10" i="9" s="1"/>
  <c r="E4" i="9" l="1"/>
  <c r="G567" i="1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F63" i="11" s="1"/>
  <c r="J62" i="11"/>
  <c r="F62" i="11" s="1"/>
  <c r="G62" i="11"/>
  <c r="J61" i="11"/>
  <c r="F61" i="11" s="1"/>
  <c r="J60" i="11"/>
  <c r="F60" i="11" s="1"/>
  <c r="J59" i="11"/>
  <c r="F59" i="11" s="1"/>
  <c r="J58" i="11"/>
  <c r="F58" i="11" s="1"/>
  <c r="J57" i="11"/>
  <c r="F57" i="11" s="1"/>
  <c r="J56" i="11"/>
  <c r="F56" i="11" s="1"/>
  <c r="J55" i="11"/>
  <c r="F55" i="11" s="1"/>
  <c r="J54" i="11"/>
  <c r="F54" i="11" s="1"/>
  <c r="J53" i="11"/>
  <c r="F53" i="11" s="1"/>
  <c r="J52" i="11"/>
  <c r="F52" i="11" s="1"/>
  <c r="J51" i="11"/>
  <c r="F51" i="11" s="1"/>
  <c r="J50" i="11"/>
  <c r="F50" i="11" s="1"/>
  <c r="J49" i="11"/>
  <c r="F49" i="11" s="1"/>
  <c r="J48" i="11"/>
  <c r="F48" i="11" s="1"/>
  <c r="J47" i="11"/>
  <c r="F47" i="11" s="1"/>
  <c r="J46" i="11"/>
  <c r="F46" i="11" s="1"/>
  <c r="J45" i="11"/>
  <c r="J44" i="11"/>
  <c r="J43" i="11"/>
  <c r="J42" i="11"/>
  <c r="J41" i="11"/>
  <c r="J40" i="11"/>
  <c r="J39" i="11"/>
  <c r="J38" i="11"/>
  <c r="J37" i="11"/>
  <c r="J36" i="11"/>
  <c r="J35" i="11"/>
  <c r="J34" i="11"/>
  <c r="J33" i="11"/>
  <c r="J32" i="11"/>
  <c r="J31" i="11"/>
  <c r="J30" i="11"/>
  <c r="J29" i="11"/>
  <c r="J28" i="11"/>
  <c r="J27" i="11"/>
  <c r="J24" i="11"/>
  <c r="J23" i="11"/>
  <c r="J22" i="11"/>
  <c r="J21" i="11"/>
  <c r="J20" i="11"/>
  <c r="J19" i="11"/>
  <c r="J18" i="11"/>
  <c r="J17" i="11"/>
  <c r="J16" i="11"/>
  <c r="J15" i="11"/>
  <c r="J14" i="11"/>
  <c r="J13" i="11"/>
  <c r="J12" i="11"/>
  <c r="J11" i="11"/>
  <c r="J10" i="11"/>
  <c r="J9" i="11"/>
  <c r="J8" i="11"/>
  <c r="J7" i="11"/>
  <c r="J6" i="11"/>
  <c r="J5" i="1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F90" i="9"/>
  <c r="E90" i="9"/>
  <c r="I89" i="9"/>
  <c r="E89" i="9" s="1"/>
  <c r="F89" i="9"/>
  <c r="I88" i="9"/>
  <c r="E88" i="9" s="1"/>
  <c r="F88" i="9"/>
  <c r="I87" i="9"/>
  <c r="F87" i="9"/>
  <c r="E87" i="9"/>
  <c r="I86" i="9"/>
  <c r="E86" i="9" s="1"/>
  <c r="F86" i="9"/>
  <c r="I85" i="9"/>
  <c r="E85" i="9" s="1"/>
  <c r="F85" i="9"/>
  <c r="I84" i="9"/>
  <c r="F84" i="9"/>
  <c r="I83" i="9"/>
  <c r="F83" i="9"/>
  <c r="E83" i="9" s="1"/>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E67" i="9" s="1"/>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F47" i="9"/>
  <c r="E47" i="9"/>
  <c r="I46" i="9"/>
  <c r="E46" i="9" s="1"/>
  <c r="F46" i="9"/>
  <c r="I45" i="9"/>
  <c r="E45" i="9" s="1"/>
  <c r="F45" i="9"/>
  <c r="I44" i="9"/>
  <c r="F44" i="9"/>
  <c r="I43" i="9"/>
  <c r="F43" i="9"/>
  <c r="E43" i="9"/>
  <c r="I42" i="9"/>
  <c r="E42" i="9" s="1"/>
  <c r="F42" i="9"/>
  <c r="I41" i="9"/>
  <c r="E41" i="9" s="1"/>
  <c r="F41" i="9"/>
  <c r="I40" i="9"/>
  <c r="F40" i="9"/>
  <c r="E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F14" i="9"/>
  <c r="E14" i="9" s="1"/>
  <c r="I13" i="9"/>
  <c r="E13" i="9" s="1"/>
  <c r="F13" i="9"/>
  <c r="I12" i="9"/>
  <c r="E12" i="9" s="1"/>
  <c r="F12" i="9"/>
  <c r="I11" i="9"/>
  <c r="E11" i="9" s="1"/>
  <c r="F11" i="9"/>
  <c r="I9" i="9"/>
  <c r="I8" i="9"/>
  <c r="I7" i="9"/>
  <c r="I6" i="9"/>
  <c r="I5" i="9"/>
  <c r="Q1" i="9"/>
  <c r="P1" i="9"/>
  <c r="N1" i="9"/>
  <c r="M1" i="9"/>
  <c r="L1" i="9"/>
  <c r="K1" i="9"/>
  <c r="J1" i="9"/>
  <c r="H1" i="9"/>
  <c r="G1" i="9"/>
  <c r="C1" i="9"/>
  <c r="B1" i="9"/>
  <c r="A1" i="9"/>
  <c r="Y15" i="11" l="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U11" i="1" l="1"/>
  <c r="U10" i="1"/>
  <c r="U9" i="1"/>
  <c r="U4" i="1"/>
  <c r="U8" i="1" s="1"/>
  <c r="U7" i="1"/>
  <c r="U6" i="1"/>
  <c r="Y13" i="9"/>
  <c r="Y12" i="9"/>
  <c r="E31"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5" i="1"/>
  <c r="I6" i="1"/>
  <c r="I7" i="1"/>
  <c r="I8" i="1"/>
  <c r="I9" i="1"/>
  <c r="I10" i="1"/>
  <c r="I11" i="1"/>
  <c r="I12" i="1"/>
  <c r="I4" i="1"/>
  <c r="B1" i="1"/>
  <c r="U14" i="1" l="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H7" i="5" s="1"/>
  <c r="G6" i="5"/>
  <c r="H6" i="5" s="1"/>
  <c r="G5" i="5"/>
  <c r="H5" i="5" s="1"/>
  <c r="G31" i="4"/>
  <c r="I31" i="4" s="1"/>
  <c r="F31" i="4"/>
  <c r="E31" i="4"/>
  <c r="I30" i="4"/>
  <c r="G30" i="4"/>
  <c r="H30" i="4" s="1"/>
  <c r="F30" i="4"/>
  <c r="E30" i="4"/>
  <c r="F29" i="4"/>
  <c r="G29" i="4" s="1"/>
  <c r="E29" i="4"/>
  <c r="F28" i="4"/>
  <c r="E28" i="4"/>
  <c r="G28" i="4" s="1"/>
  <c r="F27" i="4"/>
  <c r="G27" i="4" s="1"/>
  <c r="E27" i="4"/>
  <c r="F26" i="4"/>
  <c r="E26" i="4"/>
  <c r="G26" i="4" s="1"/>
  <c r="F25" i="4"/>
  <c r="E25" i="4"/>
  <c r="G25" i="4" s="1"/>
  <c r="G24" i="4"/>
  <c r="I24" i="4" s="1"/>
  <c r="F24" i="4"/>
  <c r="E24" i="4"/>
  <c r="G23" i="4"/>
  <c r="I23" i="4" s="1"/>
  <c r="F23" i="4"/>
  <c r="E23" i="4"/>
  <c r="I22" i="4"/>
  <c r="G22" i="4"/>
  <c r="H22" i="4" s="1"/>
  <c r="F22" i="4"/>
  <c r="E22" i="4"/>
  <c r="F21" i="4"/>
  <c r="G21" i="4" s="1"/>
  <c r="E21" i="4"/>
  <c r="F20" i="4"/>
  <c r="E20" i="4"/>
  <c r="G20" i="4" s="1"/>
  <c r="F19" i="4"/>
  <c r="G19" i="4" s="1"/>
  <c r="E19" i="4"/>
  <c r="F18" i="4"/>
  <c r="E18" i="4"/>
  <c r="G18" i="4" s="1"/>
  <c r="F17" i="4"/>
  <c r="E17" i="4"/>
  <c r="G17" i="4" s="1"/>
  <c r="G16" i="4"/>
  <c r="I16" i="4" s="1"/>
  <c r="F16" i="4"/>
  <c r="E16" i="4"/>
  <c r="G15" i="4"/>
  <c r="I15" i="4" s="1"/>
  <c r="F15" i="4"/>
  <c r="E15" i="4"/>
  <c r="I14" i="4"/>
  <c r="G14" i="4"/>
  <c r="H14" i="4" s="1"/>
  <c r="F14" i="4"/>
  <c r="E14" i="4"/>
  <c r="F13" i="4"/>
  <c r="G13" i="4" s="1"/>
  <c r="E13" i="4"/>
  <c r="F12" i="4"/>
  <c r="E12" i="4"/>
  <c r="G12" i="4" s="1"/>
  <c r="F11" i="4"/>
  <c r="G11" i="4" s="1"/>
  <c r="E11" i="4"/>
  <c r="F10" i="4"/>
  <c r="E10" i="4"/>
  <c r="G10" i="4" s="1"/>
  <c r="F9" i="4"/>
  <c r="E9" i="4"/>
  <c r="G9" i="4" s="1"/>
  <c r="G8" i="4"/>
  <c r="I8" i="4" s="1"/>
  <c r="F8" i="4"/>
  <c r="E8" i="4"/>
  <c r="G7" i="4"/>
  <c r="I7" i="4" s="1"/>
  <c r="F7" i="4"/>
  <c r="E7" i="4"/>
  <c r="I6" i="4"/>
  <c r="G6" i="4"/>
  <c r="H6" i="4" s="1"/>
  <c r="F6" i="4"/>
  <c r="E6" i="4"/>
  <c r="F5" i="4"/>
  <c r="G5" i="4" s="1"/>
  <c r="E5" i="4"/>
  <c r="F4" i="4"/>
  <c r="E4" i="4"/>
  <c r="G4" i="4" s="1"/>
  <c r="Q1" i="1"/>
  <c r="P1" i="1"/>
  <c r="O1" i="1"/>
  <c r="N1" i="1"/>
  <c r="M1" i="1"/>
  <c r="L1" i="1"/>
  <c r="K1" i="1"/>
  <c r="D1" i="1"/>
  <c r="C1" i="1"/>
  <c r="J1" i="1"/>
  <c r="H1" i="1"/>
  <c r="G1" i="1"/>
  <c r="A1" i="1"/>
  <c r="R8" i="6" l="1"/>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Z115" i="6" l="1"/>
  <c r="Z111" i="6"/>
  <c r="Z113" i="6"/>
  <c r="R14" i="6"/>
  <c r="F94" i="1" s="1"/>
  <c r="E94" i="1" s="1"/>
  <c r="F117" i="1" l="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<sst xmlns="http://schemas.openxmlformats.org/spreadsheetml/2006/main" count="1153" uniqueCount="143">
  <si>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</si>
  <si>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</si>
  <si>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</si>
  <si>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</si>
  <si>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</si>
  <si>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</si>
  <si>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</si>
  <si>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</si>
  <si>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</si>
  <si>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</si>
  <si>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</si>
  <si>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</si>
  <si>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</si>
  <si>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</si>
  <si>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</si>
  <si>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</si>
  <si>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</si>
  <si>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</si>
  <si>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</si>
  <si>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</si>
  <si>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</si>
  <si>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</si>
  <si>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</si>
  <si>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</si>
  <si>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</si>
  <si>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</si>
  <si>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</si>
  <si>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</si>
  <si>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</si>
  <si>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</si>
  <si>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</si>
  <si>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</si>
  <si>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</si>
  <si>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</si>
  <si>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</si>
  <si>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</si>
  <si>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</si>
  <si>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</si>
  <si>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</si>
  <si>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</si>
  <si>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</si>
  <si>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</si>
  <si>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</si>
  <si>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</si>
  <si>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</si>
  <si>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</si>
  <si>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</si>
  <si>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</si>
  <si>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</si>
  <si>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</si>
  <si>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</si>
  <si>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</si>
  <si>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</si>
  <si>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</si>
  <si>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</si>
  <si>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</si>
  <si>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</si>
  <si>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</si>
  <si>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</si>
  <si>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</si>
  <si>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</si>
  <si>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</si>
  <si>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</si>
  <si>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</si>
  <si>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</si>
  <si>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</si>
  <si>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</si>
  <si>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</si>
  <si>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</si>
  <si>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</si>
  <si>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</si>
  <si>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</si>
  <si>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</si>
  <si>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</si>
  <si>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</si>
  <si>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</si>
  <si>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</si>
  <si>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</si>
  <si>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</si>
  <si>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</si>
  <si>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</si>
  <si>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</si>
  <si>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</si>
  <si>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</si>
  <si>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</si>
  <si>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</si>
  <si>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</si>
  <si>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</si>
  <si>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</si>
  <si>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</si>
  <si>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</si>
  <si>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</si>
  <si>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</si>
  <si>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</si>
  <si>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</si>
  <si>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</si>
  <si>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</si>
  <si>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</si>
  <si>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</si>
  <si>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</si>
  <si>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</si>
  <si>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</si>
  <si>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</si>
  <si>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</si>
  <si>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</si>
  <si>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</si>
  <si>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</si>
  <si>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</si>
  <si>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</si>
  <si>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</si>
  <si>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</si>
  <si>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</si>
  <si>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</si>
  <si>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</si>
  <si>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</si>
  <si>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</si>
  <si>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</si>
  <si>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</si>
  <si>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</si>
  <si>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</si>
  <si>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</si>
  <si>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</si>
  <si>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</si>
  <si>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</si>
  <si>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</si>
  <si>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</si>
  <si>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</si>
  <si>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</si>
  <si>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</si>
  <si>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</si>
  <si>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</si>
  <si>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</si>
  <si>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</si>
  <si>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</si>
  <si>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</si>
  <si>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</si>
  <si>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ErrorTemp</t>
  </si>
  <si>
    <t>ErrorHum</t>
  </si>
  <si>
    <t>San Agustin</t>
  </si>
  <si>
    <t>nummerloos1</t>
  </si>
  <si>
    <t>uit grote bak, redelijk warm</t>
  </si>
  <si>
    <t>monster zoals sol y café</t>
  </si>
  <si>
    <t>grote afwijkingen overal, kan ook te wijten zijn aan andere gehaka. Staat andere software op, heeft backlight, toont geen temperatuur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</si>
</sst>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69">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cellXfs>
  <cellStyles count="2">
    <cellStyle name="Normal" xfId="0" builtinId="0"/>
    <cellStyle name="TableStyleLight1" xfId="1"/>
  </cellStyles>
  <dxfs count="43">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1"/>
            <c:dispEq val="1"/>
            <c:trendlineLbl>
              <c:layout>
                <c:manualLayout>
                  <c:x val="5.0208603034872089E-2"/>
                  <c:y val="8.35122882366976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chemeClr val="accent2">
                    <a:alpha val="50000"/>
                  </a:schemeClr>
                </a:solidFill>
              </a:ln>
              <a:effectLst/>
            </c:spPr>
            <c:trendlineType val="poly"/>
            <c:order val="2"/>
            <c:dispRSqr val="1"/>
            <c:dispEq val="1"/>
            <c:trendlineLbl>
              <c:layout>
                <c:manualLayout>
                  <c:x val="-6.197708361889967E-2"/>
                  <c:y val="-7.33757409917570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topLeftCell="A72" zoomScaleNormal="100" workbookViewId="0">
      <selection activeCell="A118" sqref="A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 t="shared" ref="A1:D1" si="0">COUNT(A$4:A$65000)</f>
        <v>111</v>
      </c>
      <c r="B1">
        <f t="shared" si="0"/>
        <v>113</v>
      </c>
      <c r="C1">
        <f t="shared" si="0"/>
        <v>113</v>
      </c>
      <c r="D1">
        <f t="shared" si="0"/>
        <v>113</v>
      </c>
      <c r="G1">
        <f>COUNT(G$4:G$65000)</f>
        <v>110</v>
      </c>
      <c r="H1">
        <f>COUNT(H$4:H$65000)</f>
        <v>98</v>
      </c>
      <c r="J1">
        <f t="shared" ref="J1:Q1" si="1">COUNT(J$4:J$65000)</f>
        <v>0</v>
      </c>
      <c r="K1">
        <f t="shared" si="1"/>
        <v>0</v>
      </c>
      <c r="L1">
        <f t="shared" si="1"/>
        <v>114</v>
      </c>
      <c r="M1">
        <f t="shared" si="1"/>
        <v>0</v>
      </c>
      <c r="N1">
        <f t="shared" si="1"/>
        <v>0</v>
      </c>
      <c r="O1">
        <f t="shared" si="1"/>
        <v>88</v>
      </c>
      <c r="P1">
        <f t="shared" si="1"/>
        <v>0</v>
      </c>
      <c r="Q1">
        <f t="shared" si="1"/>
        <v>0</v>
      </c>
    </row>
    <row r="2" spans="1:21" ht="32.25" customHeight="1" x14ac:dyDescent="0.25">
      <c r="E2" s="64" t="s">
        <v>114</v>
      </c>
      <c r="F2" s="64"/>
      <c r="G2" s="64"/>
      <c r="H2" s="64"/>
      <c r="I2" s="64"/>
      <c r="N2" s="65" t="s">
        <v>115</v>
      </c>
      <c r="O2" s="65"/>
      <c r="P2" s="65"/>
    </row>
    <row r="3" spans="1:21" ht="45" customHeight="1" thickBot="1" x14ac:dyDescent="0.3">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6" t="s">
        <v>94</v>
      </c>
      <c r="S3" s="45" t="s">
        <v>118</v>
      </c>
    </row>
    <row r="4" spans="1:21" x14ac:dyDescent="0.25">
      <c r="A4" s="1">
        <v>8703</v>
      </c>
      <c r="B4" s="3">
        <v>21629</v>
      </c>
      <c r="C4" s="3">
        <v>6274</v>
      </c>
      <c r="D4" s="3">
        <v>30</v>
      </c>
      <c r="E4" s="26">
        <f>IF(I4,G4-F4,TRIM(""))</f>
        <v>2.4932182440782462</v>
      </c>
      <c r="F4" s="24">
        <f>IF(Kalibratiemetingen!C4&gt;0,Grafiek_kalibratiemetingen!$R$13*Kalibratiemetingen!C4+Grafiek_kalibratiemetingen!$R$14,TRIM(""))</f>
        <v>15.306781755921754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92</v>
      </c>
      <c r="U4" s="48">
        <f>COUNTIF(I4:I50003,"=1")</f>
        <v>109</v>
      </c>
    </row>
    <row r="5" spans="1:21" x14ac:dyDescent="0.25">
      <c r="A5" s="1">
        <v>8705</v>
      </c>
      <c r="B5" s="3">
        <v>21696</v>
      </c>
      <c r="C5" s="3">
        <v>5635</v>
      </c>
      <c r="D5" s="3">
        <v>31</v>
      </c>
      <c r="E5" s="26">
        <f t="shared" ref="E5:E68" si="2">IF(I5,G5-F5,TRIM(""))</f>
        <v>0.20410249245238354</v>
      </c>
      <c r="F5" s="24">
        <f>IF(Kalibratiemetingen!C5&gt;0,Grafiek_kalibratiemetingen!$R$13*Kalibratiemetingen!C5+Grafiek_kalibratiemetingen!$R$14,TRIM(""))</f>
        <v>14.395897507547616</v>
      </c>
      <c r="G5" s="2">
        <v>14.6</v>
      </c>
      <c r="H5" s="2"/>
      <c r="I5" s="2">
        <f>IF(IF(Kalibratiemetingen!C5&gt;0,1,0)+IF(Kalibratiemetingen!G5&gt;0,1,0)=2,1,0)</f>
        <v>1</v>
      </c>
      <c r="J5" s="1"/>
      <c r="K5" s="1" t="s">
        <v>14</v>
      </c>
      <c r="L5" s="1">
        <v>729</v>
      </c>
      <c r="M5" s="1" t="s">
        <v>15</v>
      </c>
      <c r="N5" s="1" t="s">
        <v>16</v>
      </c>
      <c r="O5" s="4">
        <v>42551</v>
      </c>
      <c r="P5" s="1" t="s">
        <v>17</v>
      </c>
      <c r="Q5" s="1" t="s">
        <v>18</v>
      </c>
      <c r="R5">
        <f t="shared" ref="R5:R68" si="3">G5*C5</f>
        <v>82271</v>
      </c>
      <c r="S5">
        <f t="shared" ref="S5:S68" si="4">C5*C5</f>
        <v>31753225</v>
      </c>
      <c r="T5" s="49" t="s">
        <v>90</v>
      </c>
      <c r="U5" s="50">
        <f>-SUM(R4:R50003)</f>
        <v>-6690606.5000000019</v>
      </c>
    </row>
    <row r="6" spans="1:21" x14ac:dyDescent="0.25">
      <c r="A6" s="1">
        <v>8667</v>
      </c>
      <c r="B6" s="3">
        <v>21709</v>
      </c>
      <c r="C6" s="3">
        <v>4577</v>
      </c>
      <c r="D6" s="3">
        <v>31</v>
      </c>
      <c r="E6" s="26">
        <f t="shared" si="2"/>
        <v>0.81226451871190974</v>
      </c>
      <c r="F6" s="24">
        <f>IF(Kalibratiemetingen!C6&gt;0,Grafiek_kalibratiemetingen!$R$13*Kalibratiemetingen!C6+Grafiek_kalibratiemetingen!$R$14,TRIM(""))</f>
        <v>12.88773548128809</v>
      </c>
      <c r="G6" s="2">
        <v>13.7</v>
      </c>
      <c r="H6" s="2"/>
      <c r="I6" s="2">
        <f>IF(IF(Kalibratiemetingen!C6&gt;0,1,0)+IF(Kalibratiemetingen!G6&gt;0,1,0)=2,1,0)</f>
        <v>1</v>
      </c>
      <c r="J6" s="1"/>
      <c r="K6" s="1" t="s">
        <v>14</v>
      </c>
      <c r="L6" s="1">
        <v>729</v>
      </c>
      <c r="M6" s="1" t="s">
        <v>15</v>
      </c>
      <c r="N6" s="1" t="s">
        <v>16</v>
      </c>
      <c r="O6" s="4">
        <v>42551</v>
      </c>
      <c r="P6" s="1" t="s">
        <v>17</v>
      </c>
      <c r="Q6" s="1" t="s">
        <v>18</v>
      </c>
      <c r="R6">
        <f t="shared" si="3"/>
        <v>62704.899999999994</v>
      </c>
      <c r="S6">
        <f t="shared" si="4"/>
        <v>20948929</v>
      </c>
      <c r="T6" s="49" t="s">
        <v>97</v>
      </c>
      <c r="U6" s="51">
        <f>AVERAGEIF(I4:I50003,"=1",G4:G50003)</f>
        <v>12.979816513761453</v>
      </c>
    </row>
    <row r="7" spans="1:21" x14ac:dyDescent="0.25">
      <c r="A7" s="1">
        <v>8708</v>
      </c>
      <c r="B7" s="3">
        <v>21719</v>
      </c>
      <c r="C7" s="3">
        <v>3728</v>
      </c>
      <c r="D7" s="3">
        <v>31</v>
      </c>
      <c r="E7" s="26">
        <f t="shared" si="2"/>
        <v>0.32250039800712571</v>
      </c>
      <c r="F7" s="24">
        <f>IF(Kalibratiemetingen!C7&gt;0,Grafiek_kalibratiemetingen!$R$13*Kalibratiemetingen!C7+Grafiek_kalibratiemetingen!$R$14,TRIM(""))</f>
        <v>11.677499601992874</v>
      </c>
      <c r="G7" s="2">
        <v>12</v>
      </c>
      <c r="H7" s="2"/>
      <c r="I7" s="2">
        <f>IF(IF(Kalibratiemetingen!C7&gt;0,1,0)+IF(Kalibratiemetingen!G7&gt;0,1,0)=2,1,0)</f>
        <v>1</v>
      </c>
      <c r="J7" s="1"/>
      <c r="K7" s="1" t="s">
        <v>14</v>
      </c>
      <c r="L7" s="1">
        <v>729</v>
      </c>
      <c r="M7" s="1" t="s">
        <v>15</v>
      </c>
      <c r="N7" s="1" t="s">
        <v>16</v>
      </c>
      <c r="O7" s="4">
        <v>42551</v>
      </c>
      <c r="P7" s="1" t="s">
        <v>17</v>
      </c>
      <c r="Q7" s="1" t="s">
        <v>18</v>
      </c>
      <c r="R7">
        <f t="shared" si="3"/>
        <v>44736</v>
      </c>
      <c r="S7">
        <f t="shared" si="4"/>
        <v>13897984</v>
      </c>
      <c r="T7" s="49" t="s">
        <v>98</v>
      </c>
      <c r="U7" s="51">
        <f>AVERAGEIF(I4:I50003,"=1",C4:C50003)</f>
        <v>4641.5963302752298</v>
      </c>
    </row>
    <row r="8" spans="1:21" x14ac:dyDescent="0.25">
      <c r="A8" s="1">
        <v>8717</v>
      </c>
      <c r="B8" s="3">
        <v>21686</v>
      </c>
      <c r="C8" s="3">
        <v>5617</v>
      </c>
      <c r="D8" s="3">
        <v>33</v>
      </c>
      <c r="E8" s="26">
        <f t="shared" si="2"/>
        <v>0.22976120367419206</v>
      </c>
      <c r="F8" s="24">
        <f>IF(Kalibratiemetingen!C8&gt;0,Grafiek_kalibratiemetingen!$R$13*Kalibratiemetingen!C8+Grafiek_kalibratiemetingen!$R$14,TRIM(""))</f>
        <v>14.370238796325808</v>
      </c>
      <c r="G8" s="2">
        <v>14.6</v>
      </c>
      <c r="H8" s="2"/>
      <c r="I8" s="2">
        <f>IF(IF(Kalibratiemetingen!C8&gt;0,1,0)+IF(Kalibratiemetingen!G8&gt;0,1,0)=2,1,0)</f>
        <v>1</v>
      </c>
      <c r="J8" s="1"/>
      <c r="K8" s="1" t="s">
        <v>14</v>
      </c>
      <c r="L8" s="1">
        <v>729</v>
      </c>
      <c r="M8" s="1" t="s">
        <v>15</v>
      </c>
      <c r="N8" s="1" t="s">
        <v>16</v>
      </c>
      <c r="O8" s="4">
        <v>42551</v>
      </c>
      <c r="P8" s="1" t="s">
        <v>17</v>
      </c>
      <c r="Q8" s="1" t="s">
        <v>18</v>
      </c>
      <c r="R8">
        <f t="shared" si="3"/>
        <v>82008.2</v>
      </c>
      <c r="S8">
        <f t="shared" si="4"/>
        <v>31550689</v>
      </c>
      <c r="T8" s="49" t="s">
        <v>96</v>
      </c>
      <c r="U8" s="51">
        <f>SUMIF(I4:I50003,"=1",C4:C50003)/U4</f>
        <v>4641.5963302752298</v>
      </c>
    </row>
    <row r="9" spans="1:21" x14ac:dyDescent="0.25">
      <c r="A9" s="1"/>
      <c r="B9" s="3">
        <v>21647</v>
      </c>
      <c r="C9" s="3">
        <v>5908</v>
      </c>
      <c r="D9" s="3">
        <v>33</v>
      </c>
      <c r="E9" s="26">
        <f t="shared" si="2"/>
        <v>1.3149453722549858</v>
      </c>
      <c r="F9" s="24">
        <f>IF(Kalibratiemetingen!C9&gt;0,Grafiek_kalibratiemetingen!$R$13*Kalibratiemetingen!C9+Grafiek_kalibratiemetingen!$R$14,TRIM(""))</f>
        <v>14.785054627745016</v>
      </c>
      <c r="G9" s="2">
        <v>16.100000000000001</v>
      </c>
      <c r="H9" s="2"/>
      <c r="I9" s="2">
        <f>IF(IF(Kalibratiemetingen!C9&gt;0,1,0)+IF(Kalibratiemetingen!G9&gt;0,1,0)=2,1,0)</f>
        <v>1</v>
      </c>
      <c r="J9" s="1"/>
      <c r="K9" s="1" t="s">
        <v>14</v>
      </c>
      <c r="L9" s="1">
        <v>729</v>
      </c>
      <c r="M9" s="1" t="s">
        <v>15</v>
      </c>
      <c r="N9" s="1" t="s">
        <v>16</v>
      </c>
      <c r="O9" s="4">
        <v>42551</v>
      </c>
      <c r="P9" s="1" t="s">
        <v>17</v>
      </c>
      <c r="Q9" s="1" t="s">
        <v>18</v>
      </c>
      <c r="R9">
        <f t="shared" si="3"/>
        <v>95118.8</v>
      </c>
      <c r="S9">
        <f t="shared" si="4"/>
        <v>34904464</v>
      </c>
      <c r="T9" s="49" t="s">
        <v>99</v>
      </c>
      <c r="U9" s="51">
        <f>SUMIF(I4:I50003,"=1",C4:C50003)</f>
        <v>505934</v>
      </c>
    </row>
    <row r="10" spans="1:21" x14ac:dyDescent="0.25">
      <c r="A10" s="1"/>
      <c r="B10" s="3">
        <v>21646</v>
      </c>
      <c r="C10" s="3">
        <v>5081</v>
      </c>
      <c r="D10" s="3">
        <v>32</v>
      </c>
      <c r="E10" s="26">
        <f t="shared" si="2"/>
        <v>0.29382060450132386</v>
      </c>
      <c r="F10" s="24">
        <f>IF(Kalibratiemetingen!C10&gt;0,Grafiek_kalibratiemetingen!$R$13*Kalibratiemetingen!C10+Grafiek_kalibratiemetingen!$R$14,TRIM(""))</f>
        <v>13.606179395498676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3"/>
        <v>70625.900000000009</v>
      </c>
      <c r="S10">
        <f t="shared" si="4"/>
        <v>25816561</v>
      </c>
      <c r="T10" s="49" t="s">
        <v>100</v>
      </c>
      <c r="U10" s="51">
        <f>SUMIF(I4:I50003,"=1",G4:G50003)</f>
        <v>1414.7999999999984</v>
      </c>
    </row>
    <row r="11" spans="1:21" x14ac:dyDescent="0.25">
      <c r="A11" s="1">
        <v>8723</v>
      </c>
      <c r="B11" s="3">
        <v>21682</v>
      </c>
      <c r="C11" s="3">
        <v>3935</v>
      </c>
      <c r="D11" s="3">
        <v>33</v>
      </c>
      <c r="E11" s="26">
        <f t="shared" si="2"/>
        <v>2.7425218956349084E-2</v>
      </c>
      <c r="F11" s="24">
        <f>IF(Kalibratiemetingen!C11&gt;0,Grafiek_kalibratiemetingen!$R$13*Kalibratiemetingen!C11+Grafiek_kalibratiemetingen!$R$14,TRIM(""))</f>
        <v>11.972574781043651</v>
      </c>
      <c r="G11" s="2">
        <v>12</v>
      </c>
      <c r="H11" s="2"/>
      <c r="I11" s="2">
        <f>IF(IF(Kalibratiemetingen!C11&gt;0,1,0)+IF(Kalibratiemetingen!G11&gt;0,1,0)=2,1,0)</f>
        <v>1</v>
      </c>
      <c r="J11" s="1"/>
      <c r="K11" s="1" t="s">
        <v>14</v>
      </c>
      <c r="L11" s="1">
        <v>729</v>
      </c>
      <c r="M11" s="1" t="s">
        <v>15</v>
      </c>
      <c r="N11" s="1" t="s">
        <v>16</v>
      </c>
      <c r="O11" s="4">
        <v>42551</v>
      </c>
      <c r="P11" s="1" t="s">
        <v>17</v>
      </c>
      <c r="Q11" s="1" t="s">
        <v>18</v>
      </c>
      <c r="R11">
        <f t="shared" si="3"/>
        <v>47220</v>
      </c>
      <c r="S11">
        <f t="shared" si="4"/>
        <v>15484225</v>
      </c>
      <c r="T11" s="49" t="s">
        <v>102</v>
      </c>
      <c r="U11" s="51">
        <f>SUMIF(I4:I50003,"=1",S4:S500003)</f>
        <v>2435102116</v>
      </c>
    </row>
    <row r="12" spans="1:21" x14ac:dyDescent="0.25">
      <c r="A12" s="1">
        <v>8649</v>
      </c>
      <c r="B12" s="3">
        <v>21538</v>
      </c>
      <c r="C12" s="3">
        <v>5546</v>
      </c>
      <c r="D12" s="3">
        <v>31</v>
      </c>
      <c r="E12" s="26">
        <f t="shared" si="2"/>
        <v>0.53097056460465097</v>
      </c>
      <c r="F12" s="24">
        <f>IF(Kalibratiemetingen!C12&gt;0,Grafiek_kalibratiemetingen!$R$13*Kalibratiemetingen!C12+Grafiek_kalibratiemetingen!$R$14,TRIM(""))</f>
        <v>14.26902943539535</v>
      </c>
      <c r="G12" s="2">
        <v>14.8</v>
      </c>
      <c r="H12" s="2"/>
      <c r="I12" s="2">
        <f>IF(IF(Kalibratiemetingen!C12&gt;0,1,0)+IF(Kalibratiemetingen!G12&gt;0,1,0)=2,1,0)</f>
        <v>1</v>
      </c>
      <c r="J12" s="1"/>
      <c r="K12" s="1" t="s">
        <v>14</v>
      </c>
      <c r="L12" s="1">
        <v>729</v>
      </c>
      <c r="M12" s="1" t="s">
        <v>15</v>
      </c>
      <c r="N12" s="1" t="s">
        <v>16</v>
      </c>
      <c r="O12" s="4">
        <v>42551</v>
      </c>
      <c r="P12" s="1" t="s">
        <v>17</v>
      </c>
      <c r="Q12" s="1" t="s">
        <v>18</v>
      </c>
      <c r="R12">
        <f t="shared" si="3"/>
        <v>82080.800000000003</v>
      </c>
      <c r="S12">
        <f t="shared" si="4"/>
        <v>30758116</v>
      </c>
      <c r="T12" s="52"/>
      <c r="U12" s="51"/>
    </row>
    <row r="13" spans="1:21" x14ac:dyDescent="0.25">
      <c r="A13" s="1">
        <v>8647</v>
      </c>
      <c r="B13" s="3">
        <v>21548</v>
      </c>
      <c r="C13" s="3">
        <v>5379</v>
      </c>
      <c r="D13" s="3">
        <v>31</v>
      </c>
      <c r="E13" s="26">
        <f t="shared" si="2"/>
        <v>-0.33097361461525487</v>
      </c>
      <c r="F13" s="24">
        <f>IF(Kalibratiemetingen!C13&gt;0,Grafiek_kalibratiemetingen!$R$13*Kalibratiemetingen!C13+Grafiek_kalibratiemetingen!$R$14,TRIM(""))</f>
        <v>14.030973614615254</v>
      </c>
      <c r="G13" s="2">
        <v>13.7</v>
      </c>
      <c r="H13" s="2"/>
      <c r="I13" s="2">
        <f>IF(IF(Kalibratiemetingen!C13&gt;0,1,0)+IF(Kalibratiemetingen!G13&gt;0,1,0)=2,1,0)</f>
        <v>1</v>
      </c>
      <c r="J13" s="1"/>
      <c r="K13" s="1" t="s">
        <v>14</v>
      </c>
      <c r="L13" s="1">
        <v>729</v>
      </c>
      <c r="M13" s="1" t="s">
        <v>15</v>
      </c>
      <c r="N13" s="1" t="s">
        <v>16</v>
      </c>
      <c r="O13" s="4">
        <v>42551</v>
      </c>
      <c r="P13" s="1" t="s">
        <v>17</v>
      </c>
      <c r="Q13" s="1" t="s">
        <v>18</v>
      </c>
      <c r="R13">
        <f t="shared" si="3"/>
        <v>73692.3</v>
      </c>
      <c r="S13">
        <f t="shared" si="4"/>
        <v>28933641</v>
      </c>
      <c r="T13" s="49" t="s">
        <v>103</v>
      </c>
      <c r="U13" s="51">
        <f>U5+U6*U9</f>
        <v>-123676.01192661561</v>
      </c>
    </row>
    <row r="14" spans="1:21" x14ac:dyDescent="0.25">
      <c r="A14" s="1">
        <v>123</v>
      </c>
      <c r="B14" s="3">
        <v>21572</v>
      </c>
      <c r="C14" s="3">
        <v>4834</v>
      </c>
      <c r="D14" s="3">
        <v>31</v>
      </c>
      <c r="E14" s="26">
        <f t="shared" si="2"/>
        <v>-1.1540848581772192</v>
      </c>
      <c r="F14" s="24">
        <f>IF(Kalibratiemetingen!C14&gt;0,Grafiek_kalibratiemetingen!$R$13*Kalibratiemetingen!C14+Grafiek_kalibratiemetingen!$R$14,TRIM(""))</f>
        <v>13.254084858177219</v>
      </c>
      <c r="G14" s="2">
        <v>12.1</v>
      </c>
      <c r="H14" s="2"/>
      <c r="I14" s="2">
        <f>IF(IF(Kalibratiemetingen!C14&gt;0,1,0)+IF(Kalibratiemetingen!G14&gt;0,1,0)=2,1,0)</f>
        <v>1</v>
      </c>
      <c r="J14" s="1"/>
      <c r="K14" s="1" t="s">
        <v>14</v>
      </c>
      <c r="L14" s="1">
        <v>729</v>
      </c>
      <c r="M14" s="1" t="s">
        <v>15</v>
      </c>
      <c r="N14" s="1" t="s">
        <v>16</v>
      </c>
      <c r="O14" s="4">
        <v>42551</v>
      </c>
      <c r="P14" s="1" t="s">
        <v>19</v>
      </c>
      <c r="Q14" s="1" t="s">
        <v>18</v>
      </c>
      <c r="R14">
        <f t="shared" si="3"/>
        <v>58491.4</v>
      </c>
      <c r="S14">
        <f t="shared" si="4"/>
        <v>23367556</v>
      </c>
      <c r="T14" s="49" t="s">
        <v>104</v>
      </c>
      <c r="U14" s="51">
        <f>-U11+(U9*U9)/U4</f>
        <v>-86760718.238532066</v>
      </c>
    </row>
    <row r="15" spans="1:21" x14ac:dyDescent="0.25">
      <c r="A15">
        <v>121</v>
      </c>
      <c r="B15" s="6">
        <v>21521</v>
      </c>
      <c r="C15" s="6">
        <v>5908</v>
      </c>
      <c r="D15" s="6">
        <v>31</v>
      </c>
      <c r="E15" s="26">
        <f t="shared" si="2"/>
        <v>0.31494537225498398</v>
      </c>
      <c r="F15" s="24">
        <f>IF(Kalibratiemetingen!C15&gt;0,Grafiek_kalibratiemetingen!$R$13*Kalibratiemetingen!C15+Grafiek_kalibratiemetingen!$R$14,TRIM(""))</f>
        <v>14.785054627745016</v>
      </c>
      <c r="G15" s="5">
        <v>15.1</v>
      </c>
      <c r="H15" s="5"/>
      <c r="I15" s="2">
        <f>IF(IF(Kalibratiemetingen!C15&gt;0,1,0)+IF(Kalibratiemetingen!G15&gt;0,1,0)=2,1,0)</f>
        <v>1</v>
      </c>
      <c r="K15" t="s">
        <v>14</v>
      </c>
      <c r="L15">
        <v>729</v>
      </c>
      <c r="M15" t="s">
        <v>15</v>
      </c>
      <c r="N15" t="s">
        <v>16</v>
      </c>
      <c r="O15" s="7">
        <v>42551</v>
      </c>
      <c r="P15" t="s">
        <v>19</v>
      </c>
      <c r="Q15" t="s">
        <v>20</v>
      </c>
      <c r="R15">
        <f t="shared" si="3"/>
        <v>89210.8</v>
      </c>
      <c r="S15">
        <f t="shared" si="4"/>
        <v>34904464</v>
      </c>
      <c r="T15" s="52"/>
      <c r="U15" s="51"/>
    </row>
    <row r="16" spans="1:21" x14ac:dyDescent="0.25">
      <c r="A16">
        <v>8892</v>
      </c>
      <c r="B16" s="6">
        <v>22250</v>
      </c>
      <c r="C16" s="6">
        <v>3614</v>
      </c>
      <c r="D16" s="6">
        <v>25</v>
      </c>
      <c r="E16" s="26">
        <f t="shared" si="2"/>
        <v>-0.31499443092143231</v>
      </c>
      <c r="F16" s="24">
        <f>IF(Kalibratiemetingen!C16&gt;0,Grafiek_kalibratiemetingen!$R$13*Kalibratiemetingen!C16+Grafiek_kalibratiemetingen!$R$14,TRIM(""))</f>
        <v>11.514994430921432</v>
      </c>
      <c r="G16" s="5">
        <v>11.2</v>
      </c>
      <c r="H16" s="5">
        <v>31.3</v>
      </c>
      <c r="I16" s="2">
        <f>IF(IF(Kalibratiemetingen!C16&gt;0,1,0)+IF(Kalibratiemetingen!G16&gt;0,1,0)=2,1,0)</f>
        <v>1</v>
      </c>
      <c r="J16" t="s">
        <v>21</v>
      </c>
      <c r="K16" t="s">
        <v>14</v>
      </c>
      <c r="L16">
        <v>729</v>
      </c>
      <c r="M16" t="s">
        <v>15</v>
      </c>
      <c r="N16" t="s">
        <v>16</v>
      </c>
      <c r="O16" s="7">
        <v>42556</v>
      </c>
      <c r="P16" t="s">
        <v>17</v>
      </c>
      <c r="R16">
        <f t="shared" si="3"/>
        <v>40476.799999999996</v>
      </c>
      <c r="S16">
        <f t="shared" si="4"/>
        <v>13060996</v>
      </c>
      <c r="T16" s="49" t="s">
        <v>88</v>
      </c>
      <c r="U16" s="51">
        <f>U13/U14</f>
        <v>1.4254839567670703E-3</v>
      </c>
    </row>
    <row r="17" spans="1:21" ht="15.75" thickBot="1" x14ac:dyDescent="0.3">
      <c r="A17">
        <v>175</v>
      </c>
      <c r="B17" s="6">
        <v>22353</v>
      </c>
      <c r="C17" s="6">
        <v>3713</v>
      </c>
      <c r="D17" s="6">
        <v>26</v>
      </c>
      <c r="E17" s="26">
        <f t="shared" si="2"/>
        <v>-0.45611734264137027</v>
      </c>
      <c r="F17" s="24">
        <f>IF(Kalibratiemetingen!C17&gt;0,Grafiek_kalibratiemetingen!$R$13*Kalibratiemetingen!C17+Grafiek_kalibratiemetingen!$R$14,TRIM(""))</f>
        <v>11.65611734264137</v>
      </c>
      <c r="G17" s="5">
        <v>11.2</v>
      </c>
      <c r="H17" s="5">
        <v>31.3</v>
      </c>
      <c r="I17" s="2">
        <f>IF(IF(Kalibratiemetingen!C17&gt;0,1,0)+IF(Kalibratiemetingen!G17&gt;0,1,0)=2,1,0)</f>
        <v>1</v>
      </c>
      <c r="J17" t="s">
        <v>21</v>
      </c>
      <c r="K17" t="s">
        <v>14</v>
      </c>
      <c r="L17">
        <v>729</v>
      </c>
      <c r="M17" t="s">
        <v>15</v>
      </c>
      <c r="N17" t="s">
        <v>16</v>
      </c>
      <c r="O17" s="7">
        <v>42556</v>
      </c>
      <c r="P17" t="s">
        <v>17</v>
      </c>
      <c r="R17">
        <f t="shared" si="3"/>
        <v>41585.599999999999</v>
      </c>
      <c r="S17">
        <f t="shared" si="4"/>
        <v>13786369</v>
      </c>
      <c r="T17" s="53" t="s">
        <v>89</v>
      </c>
      <c r="U17" s="54">
        <f>U6-U16*U7</f>
        <v>6.3632954111652049</v>
      </c>
    </row>
    <row r="18" spans="1:21" x14ac:dyDescent="0.25">
      <c r="A18" s="8">
        <v>212</v>
      </c>
      <c r="B18" s="10">
        <v>22372</v>
      </c>
      <c r="C18" s="10">
        <v>4436</v>
      </c>
      <c r="D18" s="10">
        <v>26</v>
      </c>
      <c r="E18" s="26">
        <f t="shared" si="2"/>
        <v>1.8132577566160624</v>
      </c>
      <c r="F18" s="24">
        <f>IF(Kalibratiemetingen!C18&gt;0,Grafiek_kalibratiemetingen!$R$13*Kalibratiemetingen!C18+Grafiek_kalibratiemetingen!$R$14,TRIM(""))</f>
        <v>12.686742243383938</v>
      </c>
      <c r="G18" s="9">
        <v>14.5</v>
      </c>
      <c r="H18" s="9">
        <v>31.5</v>
      </c>
      <c r="I18" s="2">
        <f>IF(IF(Kalibratiemetingen!C18&gt;0,1,0)+IF(Kalibratiemetingen!G18&gt;0,1,0)=2,1,0)</f>
        <v>1</v>
      </c>
      <c r="J18" s="8" t="s">
        <v>21</v>
      </c>
      <c r="K18" s="8" t="s">
        <v>14</v>
      </c>
      <c r="L18" s="8">
        <v>729</v>
      </c>
      <c r="M18" s="8" t="s">
        <v>15</v>
      </c>
      <c r="N18" s="8" t="s">
        <v>16</v>
      </c>
      <c r="O18" s="11">
        <v>42556</v>
      </c>
      <c r="P18" s="8" t="s">
        <v>17</v>
      </c>
      <c r="R18">
        <f t="shared" si="3"/>
        <v>64322</v>
      </c>
      <c r="S18">
        <f t="shared" si="4"/>
        <v>19678096</v>
      </c>
    </row>
    <row r="19" spans="1:21" x14ac:dyDescent="0.25">
      <c r="A19">
        <v>173</v>
      </c>
      <c r="B19" s="13">
        <v>22366</v>
      </c>
      <c r="C19" s="13">
        <v>1680</v>
      </c>
      <c r="D19" s="13">
        <v>26</v>
      </c>
      <c r="E19" s="26">
        <f t="shared" si="2"/>
        <v>1.0418915414660201</v>
      </c>
      <c r="F19" s="24">
        <f>IF(Kalibratiemetingen!C19&gt;0,Grafiek_kalibratiemetingen!$R$13*Kalibratiemetingen!C19+Grafiek_kalibratiemetingen!$R$14,TRIM(""))</f>
        <v>8.7581084585339806</v>
      </c>
      <c r="G19" s="12">
        <v>9.8000000000000007</v>
      </c>
      <c r="H19" s="12">
        <v>31.4</v>
      </c>
      <c r="I19" s="2">
        <f>IF(IF(Kalibratiemetingen!C19&gt;0,1,0)+IF(Kalibratiemetingen!G19&gt;0,1,0)=2,1,0)</f>
        <v>1</v>
      </c>
      <c r="J19" t="s">
        <v>21</v>
      </c>
      <c r="K19" t="s">
        <v>14</v>
      </c>
      <c r="L19">
        <v>729</v>
      </c>
      <c r="M19" t="s">
        <v>15</v>
      </c>
      <c r="N19" t="s">
        <v>16</v>
      </c>
      <c r="O19" s="7">
        <v>42556</v>
      </c>
      <c r="P19" t="s">
        <v>17</v>
      </c>
      <c r="R19">
        <f t="shared" si="3"/>
        <v>16464</v>
      </c>
      <c r="S19">
        <f t="shared" si="4"/>
        <v>2822400</v>
      </c>
    </row>
    <row r="20" spans="1:21" x14ac:dyDescent="0.25">
      <c r="A20">
        <v>174</v>
      </c>
      <c r="B20" s="13">
        <v>22367</v>
      </c>
      <c r="C20" s="13">
        <v>3546</v>
      </c>
      <c r="D20" s="13">
        <v>26</v>
      </c>
      <c r="E20" s="26">
        <f t="shared" si="2"/>
        <v>-0.41806152186127221</v>
      </c>
      <c r="F20" s="24">
        <f>IF(Kalibratiemetingen!C20&gt;0,Grafiek_kalibratiemetingen!$R$13*Kalibratiemetingen!C20+Grafiek_kalibratiemetingen!$R$14,TRIM(""))</f>
        <v>11.418061521861272</v>
      </c>
      <c r="G20" s="12">
        <v>11</v>
      </c>
      <c r="H20" s="12">
        <v>31.3</v>
      </c>
      <c r="I20" s="2">
        <f>IF(IF(Kalibratiemetingen!C20&gt;0,1,0)+IF(Kalibratiemetingen!G20&gt;0,1,0)=2,1,0)</f>
        <v>1</v>
      </c>
      <c r="J20" t="s">
        <v>21</v>
      </c>
      <c r="K20" t="s">
        <v>14</v>
      </c>
      <c r="L20">
        <v>729</v>
      </c>
      <c r="M20" t="s">
        <v>15</v>
      </c>
      <c r="N20" t="s">
        <v>16</v>
      </c>
      <c r="O20" s="7">
        <v>42556</v>
      </c>
      <c r="P20" t="s">
        <v>17</v>
      </c>
      <c r="R20">
        <f t="shared" si="3"/>
        <v>39006</v>
      </c>
      <c r="S20">
        <f t="shared" si="4"/>
        <v>12574116</v>
      </c>
    </row>
    <row r="21" spans="1:21" x14ac:dyDescent="0.25">
      <c r="A21">
        <v>8894</v>
      </c>
      <c r="B21" s="13">
        <v>22306</v>
      </c>
      <c r="C21" s="13">
        <v>5720</v>
      </c>
      <c r="D21" s="13">
        <v>26</v>
      </c>
      <c r="E21" s="26">
        <f t="shared" si="2"/>
        <v>-0.71706364387281241</v>
      </c>
      <c r="F21" s="24">
        <f>IF(Kalibratiemetingen!C21&gt;0,Grafiek_kalibratiemetingen!$R$13*Kalibratiemetingen!C21+Grafiek_kalibratiemetingen!$R$14,TRIM(""))</f>
        <v>14.517063643872813</v>
      </c>
      <c r="G21" s="12">
        <v>13.8</v>
      </c>
      <c r="H21" s="12">
        <v>31.8</v>
      </c>
      <c r="I21" s="2">
        <f>IF(IF(Kalibratiemetingen!C21&gt;0,1,0)+IF(Kalibratiemetingen!G21&gt;0,1,0)=2,1,0)</f>
        <v>1</v>
      </c>
      <c r="J21" t="s">
        <v>21</v>
      </c>
      <c r="K21" t="s">
        <v>14</v>
      </c>
      <c r="L21">
        <v>729</v>
      </c>
      <c r="M21" t="s">
        <v>15</v>
      </c>
      <c r="N21" t="s">
        <v>16</v>
      </c>
      <c r="O21" s="7">
        <v>42556</v>
      </c>
      <c r="P21" t="s">
        <v>17</v>
      </c>
      <c r="R21">
        <f t="shared" si="3"/>
        <v>78936</v>
      </c>
      <c r="S21">
        <f t="shared" si="4"/>
        <v>32718400</v>
      </c>
    </row>
    <row r="22" spans="1:21" x14ac:dyDescent="0.25">
      <c r="A22">
        <v>8895</v>
      </c>
      <c r="B22" s="13">
        <v>22306</v>
      </c>
      <c r="C22" s="13">
        <v>4329</v>
      </c>
      <c r="D22" s="13">
        <v>26</v>
      </c>
      <c r="E22" s="26">
        <f t="shared" si="2"/>
        <v>-0.73421546000986382</v>
      </c>
      <c r="F22" s="24">
        <f>IF(Kalibratiemetingen!C22&gt;0,Grafiek_kalibratiemetingen!$R$13*Kalibratiemetingen!C22+Grafiek_kalibratiemetingen!$R$14,TRIM(""))</f>
        <v>12.534215460009865</v>
      </c>
      <c r="G22" s="12">
        <v>11.8</v>
      </c>
      <c r="H22" s="12">
        <v>31.7</v>
      </c>
      <c r="I22" s="2">
        <f>IF(IF(Kalibratiemetingen!C22&gt;0,1,0)+IF(Kalibratiemetingen!G22&gt;0,1,0)=2,1,0)</f>
        <v>1</v>
      </c>
      <c r="J22" t="s">
        <v>21</v>
      </c>
      <c r="K22" t="s">
        <v>14</v>
      </c>
      <c r="L22">
        <v>729</v>
      </c>
      <c r="M22" t="s">
        <v>15</v>
      </c>
      <c r="N22" t="s">
        <v>16</v>
      </c>
      <c r="O22" s="7">
        <v>42556</v>
      </c>
      <c r="P22" t="s">
        <v>17</v>
      </c>
      <c r="R22">
        <f t="shared" si="3"/>
        <v>51082.200000000004</v>
      </c>
      <c r="S22">
        <f t="shared" si="4"/>
        <v>18740241</v>
      </c>
    </row>
    <row r="23" spans="1:21" x14ac:dyDescent="0.25">
      <c r="A23">
        <v>8840</v>
      </c>
      <c r="B23" s="13">
        <v>22203</v>
      </c>
      <c r="C23" s="13">
        <v>3097</v>
      </c>
      <c r="D23" s="13">
        <v>25</v>
      </c>
      <c r="E23" s="26">
        <f t="shared" si="2"/>
        <v>2.1980774727127894E-2</v>
      </c>
      <c r="F23" s="24">
        <f>IF(Kalibratiemetingen!C23&gt;0,Grafiek_kalibratiemetingen!$R$13*Kalibratiemetingen!C23+Grafiek_kalibratiemetingen!$R$14,TRIM(""))</f>
        <v>10.778019225272873</v>
      </c>
      <c r="G23" s="12">
        <v>10.8</v>
      </c>
      <c r="H23" s="12">
        <v>31.6</v>
      </c>
      <c r="I23" s="2">
        <f>IF(IF(Kalibratiemetingen!C23&gt;0,1,0)+IF(Kalibratiemetingen!G23&gt;0,1,0)=2,1,0)</f>
        <v>1</v>
      </c>
      <c r="J23" t="s">
        <v>21</v>
      </c>
      <c r="K23" t="s">
        <v>14</v>
      </c>
      <c r="L23">
        <v>729</v>
      </c>
      <c r="M23" t="s">
        <v>15</v>
      </c>
      <c r="N23" t="s">
        <v>16</v>
      </c>
      <c r="O23" s="7">
        <v>42556</v>
      </c>
      <c r="P23" t="s">
        <v>19</v>
      </c>
      <c r="R23">
        <f t="shared" si="3"/>
        <v>33447.600000000006</v>
      </c>
      <c r="S23">
        <f t="shared" si="4"/>
        <v>9591409</v>
      </c>
    </row>
    <row r="24" spans="1:21" x14ac:dyDescent="0.25">
      <c r="A24">
        <v>8850</v>
      </c>
      <c r="B24" s="13">
        <v>22217</v>
      </c>
      <c r="C24" s="13">
        <v>5232</v>
      </c>
      <c r="D24" s="13">
        <v>25</v>
      </c>
      <c r="E24" s="26">
        <f t="shared" si="2"/>
        <v>-0.42142747297049965</v>
      </c>
      <c r="F24" s="24">
        <f>IF(Kalibratiemetingen!C24&gt;0,Grafiek_kalibratiemetingen!$R$13*Kalibratiemetingen!C24+Grafiek_kalibratiemetingen!$R$14,TRIM(""))</f>
        <v>13.8214274729705</v>
      </c>
      <c r="G24" s="12">
        <v>13.4</v>
      </c>
      <c r="H24" s="12">
        <v>31.4</v>
      </c>
      <c r="I24" s="2">
        <f>IF(IF(Kalibratiemetingen!C24&gt;0,1,0)+IF(Kalibratiemetingen!G24&gt;0,1,0)=2,1,0)</f>
        <v>1</v>
      </c>
      <c r="J24" t="s">
        <v>21</v>
      </c>
      <c r="K24" t="s">
        <v>14</v>
      </c>
      <c r="L24">
        <v>729</v>
      </c>
      <c r="M24" t="s">
        <v>15</v>
      </c>
      <c r="N24" t="s">
        <v>16</v>
      </c>
      <c r="O24" s="7">
        <v>42556</v>
      </c>
      <c r="P24" t="s">
        <v>19</v>
      </c>
      <c r="R24">
        <f t="shared" si="3"/>
        <v>70108.800000000003</v>
      </c>
      <c r="S24">
        <f t="shared" si="4"/>
        <v>27373824</v>
      </c>
    </row>
    <row r="25" spans="1:21" x14ac:dyDescent="0.25">
      <c r="A25">
        <v>8852</v>
      </c>
      <c r="B25" s="13">
        <v>22215</v>
      </c>
      <c r="C25" s="13">
        <v>2723</v>
      </c>
      <c r="D25" s="13">
        <v>25</v>
      </c>
      <c r="E25" s="26">
        <f t="shared" si="2"/>
        <v>0.55511177455800009</v>
      </c>
      <c r="F25" s="24">
        <f>IF(Kalibratiemetingen!C25&gt;0,Grafiek_kalibratiemetingen!$R$13*Kalibratiemetingen!C25+Grafiek_kalibratiemetingen!$R$14,TRIM(""))</f>
        <v>10.244888225442001</v>
      </c>
      <c r="G25" s="12">
        <v>10.8</v>
      </c>
      <c r="H25" s="12">
        <v>31.5</v>
      </c>
      <c r="I25" s="2">
        <f>IF(IF(Kalibratiemetingen!C25&gt;0,1,0)+IF(Kalibratiemetingen!G25&gt;0,1,0)=2,1,0)</f>
        <v>1</v>
      </c>
      <c r="J25" t="s">
        <v>21</v>
      </c>
      <c r="K25" t="s">
        <v>14</v>
      </c>
      <c r="L25">
        <v>729</v>
      </c>
      <c r="M25" t="s">
        <v>15</v>
      </c>
      <c r="N25" t="s">
        <v>16</v>
      </c>
      <c r="O25" s="7">
        <v>42556</v>
      </c>
      <c r="P25" t="s">
        <v>19</v>
      </c>
      <c r="R25">
        <f t="shared" si="3"/>
        <v>29408.400000000001</v>
      </c>
      <c r="S25">
        <f t="shared" si="4"/>
        <v>7414729</v>
      </c>
    </row>
    <row r="26" spans="1:21" x14ac:dyDescent="0.25">
      <c r="A26">
        <v>8851</v>
      </c>
      <c r="B26" s="13">
        <v>22216</v>
      </c>
      <c r="C26" s="13">
        <v>3339</v>
      </c>
      <c r="D26" s="13">
        <v>26</v>
      </c>
      <c r="E26" s="26">
        <f t="shared" si="2"/>
        <v>-0.32298634281049488</v>
      </c>
      <c r="F26" s="24">
        <f>IF(Kalibratiemetingen!C26&gt;0,Grafiek_kalibratiemetingen!$R$13*Kalibratiemetingen!C26+Grafiek_kalibratiemetingen!$R$14,TRIM(""))</f>
        <v>11.122986342810496</v>
      </c>
      <c r="G26" s="12">
        <v>10.8</v>
      </c>
      <c r="H26" s="12">
        <v>31.5</v>
      </c>
      <c r="I26" s="2">
        <f>IF(IF(Kalibratiemetingen!C26&gt;0,1,0)+IF(Kalibratiemetingen!G26&gt;0,1,0)=2,1,0)</f>
        <v>1</v>
      </c>
      <c r="J26" t="s">
        <v>21</v>
      </c>
      <c r="K26" t="s">
        <v>14</v>
      </c>
      <c r="L26">
        <v>729</v>
      </c>
      <c r="M26" t="s">
        <v>15</v>
      </c>
      <c r="N26" t="s">
        <v>16</v>
      </c>
      <c r="O26" s="7">
        <v>42556</v>
      </c>
      <c r="P26" t="s">
        <v>19</v>
      </c>
      <c r="R26">
        <f t="shared" si="3"/>
        <v>36061.200000000004</v>
      </c>
      <c r="S26">
        <f t="shared" si="4"/>
        <v>11148921</v>
      </c>
    </row>
    <row r="27" spans="1:21" x14ac:dyDescent="0.25">
      <c r="A27">
        <v>8858</v>
      </c>
      <c r="B27" s="13">
        <v>22212</v>
      </c>
      <c r="C27" s="13">
        <v>3076</v>
      </c>
      <c r="D27" s="13">
        <v>26</v>
      </c>
      <c r="E27" s="26">
        <f t="shared" si="2"/>
        <v>5.191593781923487E-2</v>
      </c>
      <c r="F27" s="24">
        <f>IF(Kalibratiemetingen!C27&gt;0,Grafiek_kalibratiemetingen!$R$13*Kalibratiemetingen!C27+Grafiek_kalibratiemetingen!$R$14,TRIM(""))</f>
        <v>10.748084062180766</v>
      </c>
      <c r="G27" s="12">
        <v>10.8</v>
      </c>
      <c r="H27" s="12">
        <v>31.6</v>
      </c>
      <c r="I27" s="2">
        <f>IF(IF(Kalibratiemetingen!C27&gt;0,1,0)+IF(Kalibratiemetingen!G27&gt;0,1,0)=2,1,0)</f>
        <v>1</v>
      </c>
      <c r="J27" t="s">
        <v>21</v>
      </c>
      <c r="K27" t="s">
        <v>14</v>
      </c>
      <c r="L27">
        <v>729</v>
      </c>
      <c r="M27" t="s">
        <v>15</v>
      </c>
      <c r="N27" t="s">
        <v>16</v>
      </c>
      <c r="O27" s="7">
        <v>42556</v>
      </c>
      <c r="P27" t="s">
        <v>19</v>
      </c>
      <c r="R27">
        <f t="shared" si="3"/>
        <v>33220.800000000003</v>
      </c>
      <c r="S27">
        <f t="shared" si="4"/>
        <v>9461776</v>
      </c>
    </row>
    <row r="28" spans="1:21" x14ac:dyDescent="0.25">
      <c r="A28">
        <v>9200</v>
      </c>
      <c r="B28" s="13">
        <v>21798</v>
      </c>
      <c r="C28" s="13">
        <v>5479</v>
      </c>
      <c r="D28" s="13">
        <v>29</v>
      </c>
      <c r="E28" s="26">
        <f t="shared" si="2"/>
        <v>-7.352201029195804E-2</v>
      </c>
      <c r="F28" s="24">
        <f>IF(Kalibratiemetingen!C28&gt;0,Grafiek_kalibratiemetingen!$R$13*Kalibratiemetingen!C28+Grafiek_kalibratiemetingen!$R$14,TRIM(""))</f>
        <v>14.173522010291958</v>
      </c>
      <c r="G28" s="12">
        <v>14.1</v>
      </c>
      <c r="H28" s="12">
        <v>28.7</v>
      </c>
      <c r="I28" s="2">
        <f>IF(IF(Kalibratiemetingen!C28&gt;0,1,0)+IF(Kalibratiemetingen!G28&gt;0,1,0)=2,1,0)</f>
        <v>1</v>
      </c>
      <c r="J28" t="s">
        <v>22</v>
      </c>
      <c r="K28" t="s">
        <v>14</v>
      </c>
      <c r="L28">
        <v>729</v>
      </c>
      <c r="M28" t="s">
        <v>15</v>
      </c>
      <c r="N28" t="s">
        <v>16</v>
      </c>
      <c r="O28" s="7">
        <v>42562</v>
      </c>
      <c r="P28" t="s">
        <v>17</v>
      </c>
      <c r="Q28" t="s">
        <v>87</v>
      </c>
      <c r="R28">
        <f t="shared" si="3"/>
        <v>77253.899999999994</v>
      </c>
      <c r="S28">
        <f t="shared" si="4"/>
        <v>30019441</v>
      </c>
    </row>
    <row r="29" spans="1:21" x14ac:dyDescent="0.25">
      <c r="A29">
        <v>9201</v>
      </c>
      <c r="B29" s="13">
        <v>21874</v>
      </c>
      <c r="C29" s="13">
        <v>5222</v>
      </c>
      <c r="D29" s="13">
        <v>29</v>
      </c>
      <c r="E29" s="26">
        <f t="shared" si="2"/>
        <v>-0.10717263340282912</v>
      </c>
      <c r="F29" s="24">
        <f>IF(Kalibratiemetingen!C29&gt;0,Grafiek_kalibratiemetingen!$R$13*Kalibratiemetingen!C29+Grafiek_kalibratiemetingen!$R$14,TRIM(""))</f>
        <v>13.807172633402828</v>
      </c>
      <c r="G29" s="12">
        <v>13.7</v>
      </c>
      <c r="H29" s="12">
        <v>29</v>
      </c>
      <c r="I29" s="2">
        <f>IF(IF(Kalibratiemetingen!C29&gt;0,1,0)+IF(Kalibratiemetingen!G29&gt;0,1,0)=2,1,0)</f>
        <v>1</v>
      </c>
      <c r="J29" t="s">
        <v>22</v>
      </c>
      <c r="K29" t="s">
        <v>14</v>
      </c>
      <c r="L29">
        <v>729</v>
      </c>
      <c r="M29" t="s">
        <v>15</v>
      </c>
      <c r="N29" t="s">
        <v>16</v>
      </c>
      <c r="O29" s="7">
        <v>42562</v>
      </c>
      <c r="P29" t="s">
        <v>17</v>
      </c>
      <c r="R29">
        <f t="shared" si="3"/>
        <v>71541.399999999994</v>
      </c>
      <c r="S29">
        <f t="shared" si="4"/>
        <v>27269284</v>
      </c>
    </row>
    <row r="30" spans="1:21" x14ac:dyDescent="0.25">
      <c r="A30">
        <v>9199</v>
      </c>
      <c r="B30" s="13">
        <v>21900</v>
      </c>
      <c r="C30" s="13">
        <v>4905</v>
      </c>
      <c r="D30" s="13">
        <v>29</v>
      </c>
      <c r="E30" s="26">
        <f t="shared" si="2"/>
        <v>-0.2552942191076788</v>
      </c>
      <c r="F30" s="24">
        <f>IF(Kalibratiemetingen!C30&gt;0,Grafiek_kalibratiemetingen!$R$13*Kalibratiemetingen!C30+Grafiek_kalibratiemetingen!$R$14,TRIM(""))</f>
        <v>13.355294219107678</v>
      </c>
      <c r="G30" s="12">
        <v>13.1</v>
      </c>
      <c r="H30" s="12">
        <v>28.5</v>
      </c>
      <c r="I30" s="2">
        <f>IF(IF(Kalibratiemetingen!C30&gt;0,1,0)+IF(Kalibratiemetingen!G30&gt;0,1,0)=2,1,0)</f>
        <v>1</v>
      </c>
      <c r="J30" t="s">
        <v>22</v>
      </c>
      <c r="K30" t="s">
        <v>14</v>
      </c>
      <c r="L30">
        <v>729</v>
      </c>
      <c r="M30" t="s">
        <v>15</v>
      </c>
      <c r="N30" t="s">
        <v>16</v>
      </c>
      <c r="O30" s="7">
        <v>42562</v>
      </c>
      <c r="P30" t="s">
        <v>17</v>
      </c>
      <c r="R30">
        <f t="shared" si="3"/>
        <v>64255.5</v>
      </c>
      <c r="S30">
        <f t="shared" si="4"/>
        <v>24059025</v>
      </c>
    </row>
    <row r="31" spans="1:21" x14ac:dyDescent="0.25">
      <c r="C31" s="13"/>
      <c r="D31" s="27" t="str">
        <f>E31</f>
        <v/>
      </c>
      <c r="E31" s="26" t="str">
        <f t="shared" si="2"/>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3"/>
        <v>0</v>
      </c>
      <c r="S31">
        <f t="shared" si="4"/>
        <v>0</v>
      </c>
    </row>
    <row r="32" spans="1:21" x14ac:dyDescent="0.25">
      <c r="A32">
        <v>9192</v>
      </c>
      <c r="B32" s="13">
        <v>21962</v>
      </c>
      <c r="C32" s="13">
        <v>4857</v>
      </c>
      <c r="D32" s="13">
        <v>30</v>
      </c>
      <c r="E32" s="26">
        <f t="shared" si="2"/>
        <v>-0.68687098918286082</v>
      </c>
      <c r="F32" s="24">
        <f>IF(Kalibratiemetingen!C32&gt;0,Grafiek_kalibratiemetingen!$R$13*Kalibratiemetingen!C32+Grafiek_kalibratiemetingen!$R$14,TRIM(""))</f>
        <v>13.28687098918286</v>
      </c>
      <c r="G32" s="12">
        <v>12.6</v>
      </c>
      <c r="H32" s="12">
        <v>28.1</v>
      </c>
      <c r="I32" s="2">
        <f>IF(IF(Kalibratiemetingen!C32&gt;0,1,0)+IF(Kalibratiemetingen!G32&gt;0,1,0)=2,1,0)</f>
        <v>1</v>
      </c>
      <c r="J32" t="s">
        <v>22</v>
      </c>
      <c r="K32" t="s">
        <v>14</v>
      </c>
      <c r="L32">
        <v>729</v>
      </c>
      <c r="M32" t="s">
        <v>15</v>
      </c>
      <c r="N32" t="s">
        <v>16</v>
      </c>
      <c r="O32" s="7">
        <v>42562</v>
      </c>
      <c r="P32" t="s">
        <v>17</v>
      </c>
      <c r="R32">
        <f t="shared" si="3"/>
        <v>61198.2</v>
      </c>
      <c r="S32">
        <f t="shared" si="4"/>
        <v>23590449</v>
      </c>
    </row>
    <row r="33" spans="1:19" x14ac:dyDescent="0.25">
      <c r="A33">
        <v>9165</v>
      </c>
      <c r="B33" s="13">
        <v>21987</v>
      </c>
      <c r="C33" s="13">
        <v>4007</v>
      </c>
      <c r="D33" s="13">
        <v>30</v>
      </c>
      <c r="E33" s="26">
        <f t="shared" si="2"/>
        <v>-0.27520962593087717</v>
      </c>
      <c r="F33" s="24">
        <f>IF(Kalibratiemetingen!C33&gt;0,Grafiek_kalibratiemetingen!$R$13*Kalibratiemetingen!C33+Grafiek_kalibratiemetingen!$R$14,TRIM(""))</f>
        <v>12.075209625930878</v>
      </c>
      <c r="G33" s="12">
        <v>11.8</v>
      </c>
      <c r="H33" s="12">
        <v>27.8</v>
      </c>
      <c r="I33" s="2">
        <f>IF(IF(Kalibratiemetingen!C33&gt;0,1,0)+IF(Kalibratiemetingen!G33&gt;0,1,0)=2,1,0)</f>
        <v>1</v>
      </c>
      <c r="J33" t="s">
        <v>22</v>
      </c>
      <c r="K33" t="s">
        <v>14</v>
      </c>
      <c r="L33">
        <v>729</v>
      </c>
      <c r="M33" t="s">
        <v>15</v>
      </c>
      <c r="N33" t="s">
        <v>16</v>
      </c>
      <c r="O33" s="7">
        <v>42562</v>
      </c>
      <c r="P33" t="s">
        <v>17</v>
      </c>
      <c r="R33">
        <f t="shared" si="3"/>
        <v>47282.600000000006</v>
      </c>
      <c r="S33">
        <f t="shared" si="4"/>
        <v>16056049</v>
      </c>
    </row>
    <row r="34" spans="1:19" x14ac:dyDescent="0.25">
      <c r="A34">
        <v>9162</v>
      </c>
      <c r="B34" s="13">
        <v>22004</v>
      </c>
      <c r="C34" s="13">
        <v>5068</v>
      </c>
      <c r="D34" s="13">
        <v>30</v>
      </c>
      <c r="E34" s="26">
        <f t="shared" si="2"/>
        <v>-0.48764810406070502</v>
      </c>
      <c r="F34" s="24">
        <f>IF(Kalibratiemetingen!C34&gt;0,Grafiek_kalibratiemetingen!$R$13*Kalibratiemetingen!C34+Grafiek_kalibratiemetingen!$R$14,TRIM(""))</f>
        <v>13.587648104060705</v>
      </c>
      <c r="G34" s="12">
        <v>13.1</v>
      </c>
      <c r="H34" s="12">
        <v>27.5</v>
      </c>
      <c r="I34" s="2">
        <f>IF(IF(Kalibratiemetingen!C34&gt;0,1,0)+IF(Kalibratiemetingen!G34&gt;0,1,0)=2,1,0)</f>
        <v>1</v>
      </c>
      <c r="J34" t="s">
        <v>22</v>
      </c>
      <c r="K34" t="s">
        <v>14</v>
      </c>
      <c r="L34">
        <v>729</v>
      </c>
      <c r="M34" t="s">
        <v>15</v>
      </c>
      <c r="N34" t="s">
        <v>16</v>
      </c>
      <c r="O34" s="7">
        <v>42562</v>
      </c>
      <c r="P34" t="s">
        <v>17</v>
      </c>
      <c r="R34">
        <f t="shared" si="3"/>
        <v>66390.8</v>
      </c>
      <c r="S34">
        <f t="shared" si="4"/>
        <v>25684624</v>
      </c>
    </row>
    <row r="35" spans="1:19" x14ac:dyDescent="0.25">
      <c r="A35">
        <v>9163</v>
      </c>
      <c r="B35" s="13">
        <v>22009</v>
      </c>
      <c r="C35" s="13">
        <v>5386</v>
      </c>
      <c r="D35" s="13">
        <v>30</v>
      </c>
      <c r="E35" s="26">
        <f t="shared" si="2"/>
        <v>-0.9409520023126241</v>
      </c>
      <c r="F35" s="24">
        <f>IF(Kalibratiemetingen!C35&gt;0,Grafiek_kalibratiemetingen!$R$13*Kalibratiemetingen!C35+Grafiek_kalibratiemetingen!$R$14,TRIM(""))</f>
        <v>14.040952002312624</v>
      </c>
      <c r="G35" s="12">
        <v>13.1</v>
      </c>
      <c r="H35" s="12">
        <v>27.6</v>
      </c>
      <c r="I35" s="2">
        <f>IF(IF(Kalibratiemetingen!C35&gt;0,1,0)+IF(Kalibratiemetingen!G35&gt;0,1,0)=2,1,0)</f>
        <v>1</v>
      </c>
      <c r="J35" t="s">
        <v>23</v>
      </c>
      <c r="K35" t="s">
        <v>14</v>
      </c>
      <c r="L35">
        <v>729</v>
      </c>
      <c r="M35" t="s">
        <v>15</v>
      </c>
      <c r="N35" t="s">
        <v>16</v>
      </c>
      <c r="O35" s="7">
        <v>42562</v>
      </c>
      <c r="P35" t="s">
        <v>17</v>
      </c>
      <c r="R35">
        <f t="shared" si="3"/>
        <v>70556.599999999991</v>
      </c>
      <c r="S35">
        <f t="shared" si="4"/>
        <v>29008996</v>
      </c>
    </row>
    <row r="36" spans="1:19" x14ac:dyDescent="0.25">
      <c r="A36">
        <v>9164</v>
      </c>
      <c r="B36" s="13">
        <v>22016</v>
      </c>
      <c r="C36" s="13">
        <v>5589</v>
      </c>
      <c r="D36" s="13">
        <v>30</v>
      </c>
      <c r="E36" s="26">
        <f t="shared" si="2"/>
        <v>-0.43032524553633245</v>
      </c>
      <c r="F36" s="24">
        <f>IF(Kalibratiemetingen!C36&gt;0,Grafiek_kalibratiemetingen!$R$13*Kalibratiemetingen!C36+Grafiek_kalibratiemetingen!$R$14,TRIM(""))</f>
        <v>14.330325245536333</v>
      </c>
      <c r="G36" s="12">
        <v>13.9</v>
      </c>
      <c r="H36" s="12">
        <v>27.5</v>
      </c>
      <c r="I36" s="2">
        <f>IF(IF(Kalibratiemetingen!C36&gt;0,1,0)+IF(Kalibratiemetingen!G36&gt;0,1,0)=2,1,0)</f>
        <v>1</v>
      </c>
      <c r="J36" t="s">
        <v>23</v>
      </c>
      <c r="K36" t="s">
        <v>14</v>
      </c>
      <c r="L36">
        <v>729</v>
      </c>
      <c r="M36" t="s">
        <v>15</v>
      </c>
      <c r="N36" t="s">
        <v>16</v>
      </c>
      <c r="O36" s="7">
        <v>42562</v>
      </c>
      <c r="P36" t="s">
        <v>17</v>
      </c>
      <c r="R36">
        <f t="shared" si="3"/>
        <v>77687.100000000006</v>
      </c>
      <c r="S36">
        <f t="shared" si="4"/>
        <v>31236921</v>
      </c>
    </row>
    <row r="37" spans="1:19" x14ac:dyDescent="0.25">
      <c r="A37">
        <v>195</v>
      </c>
      <c r="B37" s="13">
        <v>22050</v>
      </c>
      <c r="C37" s="13">
        <v>4876</v>
      </c>
      <c r="D37" s="13">
        <v>30</v>
      </c>
      <c r="E37" s="26">
        <f t="shared" si="2"/>
        <v>-0.51395518436143206</v>
      </c>
      <c r="F37" s="24">
        <f>IF(Kalibratiemetingen!C37&gt;0,Grafiek_kalibratiemetingen!$R$13*Kalibratiemetingen!C37+Grafiek_kalibratiemetingen!$R$14,TRIM(""))</f>
        <v>13.313955184361433</v>
      </c>
      <c r="G37" s="12">
        <v>12.8</v>
      </c>
      <c r="H37" s="12">
        <v>27.5</v>
      </c>
      <c r="I37" s="2">
        <f>IF(IF(Kalibratiemetingen!C37&gt;0,1,0)+IF(Kalibratiemetingen!G37&gt;0,1,0)=2,1,0)</f>
        <v>1</v>
      </c>
      <c r="J37" t="s">
        <v>23</v>
      </c>
      <c r="K37" t="s">
        <v>14</v>
      </c>
      <c r="L37">
        <v>729</v>
      </c>
      <c r="M37" t="s">
        <v>15</v>
      </c>
      <c r="N37" t="s">
        <v>16</v>
      </c>
      <c r="O37" s="7">
        <v>42562</v>
      </c>
      <c r="P37" t="s">
        <v>17</v>
      </c>
      <c r="R37">
        <f t="shared" si="3"/>
        <v>62412.800000000003</v>
      </c>
      <c r="S37">
        <f t="shared" si="4"/>
        <v>23775376</v>
      </c>
    </row>
    <row r="38" spans="1:19" x14ac:dyDescent="0.25">
      <c r="A38">
        <v>8932</v>
      </c>
      <c r="B38" s="13">
        <v>21987</v>
      </c>
      <c r="C38" s="13">
        <v>3899</v>
      </c>
      <c r="D38" s="13">
        <v>30</v>
      </c>
      <c r="E38" s="26">
        <f t="shared" si="2"/>
        <v>-0.52125735860003708</v>
      </c>
      <c r="F38" s="24">
        <f>IF(Kalibratiemetingen!C38&gt;0,Grafiek_kalibratiemetingen!$R$13*Kalibratiemetingen!C38+Grafiek_kalibratiemetingen!$R$14,TRIM(""))</f>
        <v>11.921257358600037</v>
      </c>
      <c r="G38" s="12">
        <v>11.4</v>
      </c>
      <c r="H38" s="12">
        <v>27.7</v>
      </c>
      <c r="I38" s="2">
        <f>IF(IF(Kalibratiemetingen!C38&gt;0,1,0)+IF(Kalibratiemetingen!G38&gt;0,1,0)=2,1,0)</f>
        <v>1</v>
      </c>
      <c r="J38" t="s">
        <v>23</v>
      </c>
      <c r="K38" t="s">
        <v>14</v>
      </c>
      <c r="L38">
        <v>729</v>
      </c>
      <c r="M38" t="s">
        <v>15</v>
      </c>
      <c r="N38" t="s">
        <v>16</v>
      </c>
      <c r="O38" s="7">
        <v>42562</v>
      </c>
      <c r="P38" t="s">
        <v>17</v>
      </c>
      <c r="R38">
        <f t="shared" si="3"/>
        <v>44448.6</v>
      </c>
      <c r="S38">
        <f t="shared" si="4"/>
        <v>15202201</v>
      </c>
    </row>
    <row r="39" spans="1:19" x14ac:dyDescent="0.25">
      <c r="A39">
        <v>9161</v>
      </c>
      <c r="B39" s="13">
        <v>21945</v>
      </c>
      <c r="C39" s="13">
        <v>5294</v>
      </c>
      <c r="D39" s="13">
        <v>30</v>
      </c>
      <c r="E39" s="26">
        <f t="shared" si="2"/>
        <v>-9.8074782900550161E-3</v>
      </c>
      <c r="F39" s="24">
        <f>IF(Kalibratiemetingen!C39&gt;0,Grafiek_kalibratiemetingen!$R$13*Kalibratiemetingen!C39+Grafiek_kalibratiemetingen!$R$14,TRIM(""))</f>
        <v>13.909807478290055</v>
      </c>
      <c r="G39" s="12">
        <v>13.9</v>
      </c>
      <c r="H39" s="12">
        <v>28.1</v>
      </c>
      <c r="I39" s="2">
        <f>IF(IF(Kalibratiemetingen!C39&gt;0,1,0)+IF(Kalibratiemetingen!G39&gt;0,1,0)=2,1,0)</f>
        <v>1</v>
      </c>
      <c r="J39" t="s">
        <v>23</v>
      </c>
      <c r="K39" t="s">
        <v>14</v>
      </c>
      <c r="L39">
        <v>729</v>
      </c>
      <c r="M39" t="s">
        <v>15</v>
      </c>
      <c r="N39" t="s">
        <v>16</v>
      </c>
      <c r="O39" s="7">
        <v>42562</v>
      </c>
      <c r="P39" t="s">
        <v>17</v>
      </c>
      <c r="R39">
        <f t="shared" si="3"/>
        <v>73586.600000000006</v>
      </c>
      <c r="S39">
        <f t="shared" si="4"/>
        <v>28026436</v>
      </c>
    </row>
    <row r="40" spans="1:19" x14ac:dyDescent="0.25">
      <c r="A40">
        <v>9172</v>
      </c>
      <c r="B40" s="13">
        <v>22050</v>
      </c>
      <c r="C40" s="13">
        <v>4076</v>
      </c>
      <c r="D40" s="13">
        <v>30</v>
      </c>
      <c r="E40" s="26">
        <f t="shared" si="2"/>
        <v>-0.57356801894780496</v>
      </c>
      <c r="F40" s="24">
        <f>IF(Kalibratiemetingen!C40&gt;0,Grafiek_kalibratiemetingen!$R$13*Kalibratiemetingen!C40+Grafiek_kalibratiemetingen!$R$14,TRIM(""))</f>
        <v>12.173568018947805</v>
      </c>
      <c r="G40" s="12">
        <v>11.6</v>
      </c>
      <c r="H40" s="12">
        <v>28.5</v>
      </c>
      <c r="I40" s="2">
        <f>IF(IF(Kalibratiemetingen!C40&gt;0,1,0)+IF(Kalibratiemetingen!G40&gt;0,1,0)=2,1,0)</f>
        <v>1</v>
      </c>
      <c r="J40" t="s">
        <v>23</v>
      </c>
      <c r="K40" t="s">
        <v>14</v>
      </c>
      <c r="L40">
        <v>729</v>
      </c>
      <c r="M40" t="s">
        <v>15</v>
      </c>
      <c r="N40" t="s">
        <v>16</v>
      </c>
      <c r="O40" s="7">
        <v>42562</v>
      </c>
      <c r="P40" t="s">
        <v>17</v>
      </c>
      <c r="R40">
        <f t="shared" si="3"/>
        <v>47281.599999999999</v>
      </c>
      <c r="S40">
        <f t="shared" si="4"/>
        <v>16613776</v>
      </c>
    </row>
    <row r="41" spans="1:19" x14ac:dyDescent="0.25">
      <c r="A41">
        <v>9205</v>
      </c>
      <c r="B41" s="13">
        <v>22005</v>
      </c>
      <c r="C41">
        <v>5007</v>
      </c>
      <c r="D41" s="13">
        <v>30</v>
      </c>
      <c r="E41" s="26" t="str">
        <f t="shared" si="2"/>
        <v/>
      </c>
      <c r="F41" s="24">
        <f>IF(Kalibratiemetingen!C41&gt;0,Grafiek_kalibratiemetingen!$R$13*Kalibratiemetingen!C41+Grafiek_kalibratiemetingen!$R$14,TRIM(""))</f>
        <v>13.500693582697917</v>
      </c>
      <c r="I41" s="2">
        <f>IF(IF(Kalibratiemetingen!C41&gt;0,1,0)+IF(Kalibratiemetingen!G41&gt;0,1,0)=2,1,0)</f>
        <v>0</v>
      </c>
      <c r="J41" t="s">
        <v>23</v>
      </c>
      <c r="K41" t="s">
        <v>14</v>
      </c>
      <c r="L41">
        <v>729</v>
      </c>
      <c r="M41" t="s">
        <v>15</v>
      </c>
      <c r="N41" t="s">
        <v>16</v>
      </c>
      <c r="O41" s="7">
        <v>42562</v>
      </c>
      <c r="P41" t="s">
        <v>17</v>
      </c>
      <c r="Q41" t="s">
        <v>24</v>
      </c>
      <c r="R41">
        <f t="shared" si="3"/>
        <v>0</v>
      </c>
      <c r="S41">
        <f t="shared" si="4"/>
        <v>25070049</v>
      </c>
    </row>
    <row r="42" spans="1:19" x14ac:dyDescent="0.25">
      <c r="A42">
        <v>9174</v>
      </c>
      <c r="B42" s="13">
        <v>22055</v>
      </c>
      <c r="C42" s="13">
        <v>4731</v>
      </c>
      <c r="D42" s="13">
        <v>30</v>
      </c>
      <c r="E42" s="26">
        <f t="shared" si="2"/>
        <v>-0.407260010630214</v>
      </c>
      <c r="F42" s="24">
        <f>IF(Kalibratiemetingen!C42&gt;0,Grafiek_kalibratiemetingen!$R$13*Kalibratiemetingen!C42+Grafiek_kalibratiemetingen!$R$14,TRIM(""))</f>
        <v>13.107260010630213</v>
      </c>
      <c r="G42" s="12">
        <v>12.7</v>
      </c>
      <c r="H42" s="12">
        <v>28.4</v>
      </c>
      <c r="I42" s="2">
        <f>IF(IF(Kalibratiemetingen!C42&gt;0,1,0)+IF(Kalibratiemetingen!G42&gt;0,1,0)=2,1,0)</f>
        <v>1</v>
      </c>
      <c r="J42" t="s">
        <v>23</v>
      </c>
      <c r="K42" t="s">
        <v>14</v>
      </c>
      <c r="L42">
        <v>729</v>
      </c>
      <c r="M42" t="s">
        <v>15</v>
      </c>
      <c r="N42" t="s">
        <v>16</v>
      </c>
      <c r="O42" s="7">
        <v>42562</v>
      </c>
      <c r="P42" t="s">
        <v>17</v>
      </c>
      <c r="R42">
        <f t="shared" si="3"/>
        <v>60083.7</v>
      </c>
      <c r="S42">
        <f t="shared" si="4"/>
        <v>22382361</v>
      </c>
    </row>
    <row r="43" spans="1:19" x14ac:dyDescent="0.25">
      <c r="A43">
        <v>9204</v>
      </c>
      <c r="B43" s="13">
        <v>22002</v>
      </c>
      <c r="C43">
        <v>5010</v>
      </c>
      <c r="D43" s="13">
        <v>30</v>
      </c>
      <c r="E43" s="26" t="str">
        <f t="shared" si="2"/>
        <v/>
      </c>
      <c r="F43" s="24">
        <f>IF(Kalibratiemetingen!C43&gt;0,Grafiek_kalibratiemetingen!$R$13*Kalibratiemetingen!C43+Grafiek_kalibratiemetingen!$R$14,TRIM(""))</f>
        <v>13.504970034568217</v>
      </c>
      <c r="I43" s="2">
        <f>IF(IF(Kalibratiemetingen!C43&gt;0,1,0)+IF(Kalibratiemetingen!G43&gt;0,1,0)=2,1,0)</f>
        <v>0</v>
      </c>
      <c r="J43" t="s">
        <v>23</v>
      </c>
      <c r="K43" t="s">
        <v>14</v>
      </c>
      <c r="L43">
        <v>729</v>
      </c>
      <c r="M43" t="s">
        <v>15</v>
      </c>
      <c r="N43" t="s">
        <v>16</v>
      </c>
      <c r="O43" s="7">
        <v>42562</v>
      </c>
      <c r="P43" t="s">
        <v>17</v>
      </c>
      <c r="R43">
        <f t="shared" si="3"/>
        <v>0</v>
      </c>
      <c r="S43">
        <f t="shared" si="4"/>
        <v>25100100</v>
      </c>
    </row>
    <row r="44" spans="1:19" x14ac:dyDescent="0.25">
      <c r="A44">
        <v>9175</v>
      </c>
      <c r="B44" s="13">
        <v>21986</v>
      </c>
      <c r="C44" s="13">
        <v>4788</v>
      </c>
      <c r="D44" s="13">
        <v>30</v>
      </c>
      <c r="E44" s="26">
        <f t="shared" si="2"/>
        <v>-0.58851259616593588</v>
      </c>
      <c r="F44" s="24">
        <f>IF(Kalibratiemetingen!C44&gt;0,Grafiek_kalibratiemetingen!$R$13*Kalibratiemetingen!C44+Grafiek_kalibratiemetingen!$R$14,TRIM(""))</f>
        <v>13.188512596165936</v>
      </c>
      <c r="G44" s="12">
        <v>12.6</v>
      </c>
      <c r="H44" s="12">
        <v>28.3</v>
      </c>
      <c r="I44" s="2">
        <f>IF(IF(Kalibratiemetingen!C44&gt;0,1,0)+IF(Kalibratiemetingen!G44&gt;0,1,0)=2,1,0)</f>
        <v>1</v>
      </c>
      <c r="J44" t="s">
        <v>23</v>
      </c>
      <c r="K44" t="s">
        <v>14</v>
      </c>
      <c r="L44">
        <v>729</v>
      </c>
      <c r="M44" t="s">
        <v>15</v>
      </c>
      <c r="N44" t="s">
        <v>16</v>
      </c>
      <c r="O44" s="7">
        <v>42562</v>
      </c>
      <c r="P44" t="s">
        <v>17</v>
      </c>
      <c r="R44">
        <f t="shared" si="3"/>
        <v>60328.799999999996</v>
      </c>
      <c r="S44">
        <f t="shared" si="4"/>
        <v>22924944</v>
      </c>
    </row>
    <row r="45" spans="1:19" x14ac:dyDescent="0.25">
      <c r="A45">
        <v>9176</v>
      </c>
      <c r="B45" s="13">
        <v>22032</v>
      </c>
      <c r="C45" s="13">
        <v>4985</v>
      </c>
      <c r="D45" s="13">
        <v>30</v>
      </c>
      <c r="E45" s="26">
        <f t="shared" si="2"/>
        <v>0.13066706435095732</v>
      </c>
      <c r="F45" s="24">
        <f>IF(Kalibratiemetingen!C45&gt;0,Grafiek_kalibratiemetingen!$R$13*Kalibratiemetingen!C45+Grafiek_kalibratiemetingen!$R$14,TRIM(""))</f>
        <v>13.469332935649042</v>
      </c>
      <c r="G45" s="12">
        <v>13.6</v>
      </c>
      <c r="H45" s="12">
        <v>28.4</v>
      </c>
      <c r="I45" s="2">
        <f>IF(IF(Kalibratiemetingen!C45&gt;0,1,0)+IF(Kalibratiemetingen!G45&gt;0,1,0)=2,1,0)</f>
        <v>1</v>
      </c>
      <c r="J45" t="s">
        <v>23</v>
      </c>
      <c r="K45" t="s">
        <v>14</v>
      </c>
      <c r="L45">
        <v>729</v>
      </c>
      <c r="M45" t="s">
        <v>15</v>
      </c>
      <c r="N45" t="s">
        <v>16</v>
      </c>
      <c r="O45" s="7">
        <v>42562</v>
      </c>
      <c r="P45" t="s">
        <v>17</v>
      </c>
      <c r="R45">
        <f t="shared" si="3"/>
        <v>67796</v>
      </c>
      <c r="S45">
        <f t="shared" si="4"/>
        <v>24850225</v>
      </c>
    </row>
    <row r="46" spans="1:19" x14ac:dyDescent="0.25">
      <c r="A46">
        <v>9173</v>
      </c>
      <c r="B46" s="13">
        <v>22053</v>
      </c>
      <c r="C46" s="13">
        <v>4590</v>
      </c>
      <c r="D46" s="13">
        <v>30</v>
      </c>
      <c r="E46" s="26">
        <f t="shared" si="2"/>
        <v>-0.40626677272606138</v>
      </c>
      <c r="F46" s="24">
        <f>IF(Kalibratiemetingen!C46&gt;0,Grafiek_kalibratiemetingen!$R$13*Kalibratiemetingen!C46+Grafiek_kalibratiemetingen!$R$14,TRIM(""))</f>
        <v>12.906266772726061</v>
      </c>
      <c r="G46" s="12">
        <v>12.5</v>
      </c>
      <c r="H46" s="12">
        <v>28.4</v>
      </c>
      <c r="I46" s="2">
        <f>IF(IF(Kalibratiemetingen!C46&gt;0,1,0)+IF(Kalibratiemetingen!G46&gt;0,1,0)=2,1,0)</f>
        <v>1</v>
      </c>
      <c r="J46" t="s">
        <v>23</v>
      </c>
      <c r="K46" t="s">
        <v>14</v>
      </c>
      <c r="L46">
        <v>729</v>
      </c>
      <c r="M46" t="s">
        <v>15</v>
      </c>
      <c r="N46" t="s">
        <v>16</v>
      </c>
      <c r="O46" s="7">
        <v>42562</v>
      </c>
      <c r="P46" t="s">
        <v>17</v>
      </c>
      <c r="R46">
        <f t="shared" si="3"/>
        <v>57375</v>
      </c>
      <c r="S46">
        <f t="shared" si="4"/>
        <v>21068100</v>
      </c>
    </row>
    <row r="47" spans="1:19" x14ac:dyDescent="0.25">
      <c r="A47">
        <v>9171</v>
      </c>
      <c r="B47" s="13">
        <v>22067</v>
      </c>
      <c r="C47" s="13">
        <v>4106</v>
      </c>
      <c r="D47" s="13">
        <v>30</v>
      </c>
      <c r="E47" s="26">
        <f t="shared" si="2"/>
        <v>-0.21633253765081406</v>
      </c>
      <c r="F47" s="24">
        <f>IF(Kalibratiemetingen!C47&gt;0,Grafiek_kalibratiemetingen!$R$13*Kalibratiemetingen!C47+Grafiek_kalibratiemetingen!$R$14,TRIM(""))</f>
        <v>12.216332537650814</v>
      </c>
      <c r="G47" s="12">
        <v>12</v>
      </c>
      <c r="H47" s="12">
        <v>28.3</v>
      </c>
      <c r="I47" s="2">
        <f>IF(IF(Kalibratiemetingen!C47&gt;0,1,0)+IF(Kalibratiemetingen!G47&gt;0,1,0)=2,1,0)</f>
        <v>1</v>
      </c>
      <c r="J47" t="s">
        <v>23</v>
      </c>
      <c r="K47" t="s">
        <v>14</v>
      </c>
      <c r="L47">
        <v>729</v>
      </c>
      <c r="M47" t="s">
        <v>15</v>
      </c>
      <c r="N47" t="s">
        <v>16</v>
      </c>
      <c r="O47" s="7">
        <v>42562</v>
      </c>
      <c r="P47" t="s">
        <v>17</v>
      </c>
      <c r="R47">
        <f t="shared" si="3"/>
        <v>49272</v>
      </c>
      <c r="S47">
        <f t="shared" si="4"/>
        <v>16859236</v>
      </c>
    </row>
    <row r="48" spans="1:19" x14ac:dyDescent="0.25">
      <c r="A48">
        <v>9166</v>
      </c>
      <c r="B48" s="13">
        <v>22057</v>
      </c>
      <c r="C48" s="13">
        <v>3902</v>
      </c>
      <c r="D48" s="13">
        <v>30</v>
      </c>
      <c r="E48" s="26">
        <f t="shared" si="2"/>
        <v>-0.32553381047033803</v>
      </c>
      <c r="F48" s="24">
        <f>IF(Kalibratiemetingen!C48&gt;0,Grafiek_kalibratiemetingen!$R$13*Kalibratiemetingen!C48+Grafiek_kalibratiemetingen!$R$14,TRIM(""))</f>
        <v>11.925533810470338</v>
      </c>
      <c r="G48" s="12">
        <v>11.6</v>
      </c>
      <c r="H48" s="12">
        <v>28.1</v>
      </c>
      <c r="I48" s="2">
        <f>IF(IF(Kalibratiemetingen!C48&gt;0,1,0)+IF(Kalibratiemetingen!G48&gt;0,1,0)=2,1,0)</f>
        <v>1</v>
      </c>
      <c r="J48" t="s">
        <v>23</v>
      </c>
      <c r="K48" t="s">
        <v>14</v>
      </c>
      <c r="L48">
        <v>729</v>
      </c>
      <c r="M48" t="s">
        <v>15</v>
      </c>
      <c r="N48" t="s">
        <v>16</v>
      </c>
      <c r="O48" s="7">
        <v>42562</v>
      </c>
      <c r="P48" t="s">
        <v>17</v>
      </c>
      <c r="R48">
        <f t="shared" si="3"/>
        <v>45263.199999999997</v>
      </c>
      <c r="S48">
        <f t="shared" si="4"/>
        <v>15225604</v>
      </c>
    </row>
    <row r="49" spans="1:19" x14ac:dyDescent="0.25">
      <c r="A49">
        <v>9203</v>
      </c>
      <c r="B49" s="13">
        <v>22041</v>
      </c>
      <c r="C49" s="13">
        <v>5646</v>
      </c>
      <c r="D49" s="13">
        <v>30</v>
      </c>
      <c r="E49" s="26">
        <f t="shared" si="2"/>
        <v>8.8422168927944966E-2</v>
      </c>
      <c r="F49" s="24">
        <f>IF(Kalibratiemetingen!C49&gt;0,Grafiek_kalibratiemetingen!$R$13*Kalibratiemetingen!C49+Grafiek_kalibratiemetingen!$R$14,TRIM(""))</f>
        <v>14.411577831072055</v>
      </c>
      <c r="G49" s="12">
        <v>14.5</v>
      </c>
      <c r="H49" s="12">
        <v>28.8</v>
      </c>
      <c r="I49" s="2">
        <f>IF(IF(Kalibratiemetingen!C49&gt;0,1,0)+IF(Kalibratiemetingen!G49&gt;0,1,0)=2,1,0)</f>
        <v>1</v>
      </c>
      <c r="J49" t="s">
        <v>23</v>
      </c>
      <c r="K49" t="s">
        <v>14</v>
      </c>
      <c r="L49">
        <v>729</v>
      </c>
      <c r="M49" t="s">
        <v>15</v>
      </c>
      <c r="N49" t="s">
        <v>16</v>
      </c>
      <c r="O49" s="7">
        <v>42562</v>
      </c>
      <c r="P49" t="s">
        <v>17</v>
      </c>
      <c r="R49">
        <f t="shared" si="3"/>
        <v>81867</v>
      </c>
      <c r="S49">
        <f t="shared" si="4"/>
        <v>31877316</v>
      </c>
    </row>
    <row r="50" spans="1:19" x14ac:dyDescent="0.25">
      <c r="A50">
        <v>9188</v>
      </c>
      <c r="B50" s="13">
        <v>22015</v>
      </c>
      <c r="C50" s="13">
        <v>4844</v>
      </c>
      <c r="D50" s="13">
        <v>30</v>
      </c>
      <c r="E50" s="26">
        <f t="shared" si="2"/>
        <v>-0.36833969774488828</v>
      </c>
      <c r="F50" s="24">
        <f>IF(Kalibratiemetingen!C50&gt;0,Grafiek_kalibratiemetingen!$R$13*Kalibratiemetingen!C50+Grafiek_kalibratiemetingen!$R$14,TRIM(""))</f>
        <v>13.268339697744889</v>
      </c>
      <c r="G50" s="12">
        <v>12.9</v>
      </c>
      <c r="H50" s="12">
        <v>28.8</v>
      </c>
      <c r="I50" s="2">
        <f>IF(IF(Kalibratiemetingen!C50&gt;0,1,0)+IF(Kalibratiemetingen!G50&gt;0,1,0)=2,1,0)</f>
        <v>1</v>
      </c>
      <c r="J50" t="s">
        <v>23</v>
      </c>
      <c r="K50" t="s">
        <v>14</v>
      </c>
      <c r="L50">
        <v>729</v>
      </c>
      <c r="M50" t="s">
        <v>15</v>
      </c>
      <c r="N50" t="s">
        <v>16</v>
      </c>
      <c r="O50" s="7">
        <v>42562</v>
      </c>
      <c r="P50" t="s">
        <v>17</v>
      </c>
      <c r="R50">
        <f t="shared" si="3"/>
        <v>62487.6</v>
      </c>
      <c r="S50">
        <f t="shared" si="4"/>
        <v>23464336</v>
      </c>
    </row>
    <row r="51" spans="1:19" x14ac:dyDescent="0.25">
      <c r="A51">
        <v>9204</v>
      </c>
      <c r="B51" s="13">
        <v>22008</v>
      </c>
      <c r="C51" s="13">
        <v>5110</v>
      </c>
      <c r="D51" s="13">
        <v>30</v>
      </c>
      <c r="E51" s="26">
        <f t="shared" si="2"/>
        <v>-0.74751843024492182</v>
      </c>
      <c r="F51" s="24">
        <f>IF(Kalibratiemetingen!C51&gt;0,Grafiek_kalibratiemetingen!$R$13*Kalibratiemetingen!C51+Grafiek_kalibratiemetingen!$R$14,TRIM(""))</f>
        <v>13.647518430244922</v>
      </c>
      <c r="G51" s="12">
        <v>12.9</v>
      </c>
      <c r="H51" s="12">
        <v>28.9</v>
      </c>
      <c r="I51" s="2">
        <f>IF(IF(Kalibratiemetingen!C51&gt;0,1,0)+IF(Kalibratiemetingen!G51&gt;0,1,0)=2,1,0)</f>
        <v>1</v>
      </c>
      <c r="J51" t="s">
        <v>23</v>
      </c>
      <c r="K51" t="s">
        <v>14</v>
      </c>
      <c r="L51">
        <v>729</v>
      </c>
      <c r="M51" t="s">
        <v>15</v>
      </c>
      <c r="N51" t="s">
        <v>16</v>
      </c>
      <c r="O51" s="7">
        <v>42562</v>
      </c>
      <c r="P51" t="s">
        <v>17</v>
      </c>
      <c r="R51">
        <f t="shared" si="3"/>
        <v>65919</v>
      </c>
      <c r="S51">
        <f t="shared" si="4"/>
        <v>26112100</v>
      </c>
    </row>
    <row r="52" spans="1:19" x14ac:dyDescent="0.25">
      <c r="A52">
        <v>9205</v>
      </c>
      <c r="B52" s="13">
        <v>22034</v>
      </c>
      <c r="C52" s="13">
        <v>4960</v>
      </c>
      <c r="D52" s="13">
        <v>30</v>
      </c>
      <c r="E52" s="26">
        <f t="shared" si="2"/>
        <v>-0.93369583672986423</v>
      </c>
      <c r="F52" s="24">
        <f>IF(Kalibratiemetingen!C52&gt;0,Grafiek_kalibratiemetingen!$R$13*Kalibratiemetingen!C52+Grafiek_kalibratiemetingen!$R$14,TRIM(""))</f>
        <v>13.433695836729864</v>
      </c>
      <c r="G52" s="12">
        <v>12.5</v>
      </c>
      <c r="H52" s="12">
        <v>28.9</v>
      </c>
      <c r="I52" s="2">
        <f>IF(IF(Kalibratiemetingen!C52&gt;0,1,0)+IF(Kalibratiemetingen!G52&gt;0,1,0)=2,1,0)</f>
        <v>1</v>
      </c>
      <c r="J52" t="s">
        <v>23</v>
      </c>
      <c r="K52" t="s">
        <v>14</v>
      </c>
      <c r="L52">
        <v>729</v>
      </c>
      <c r="M52" t="s">
        <v>15</v>
      </c>
      <c r="N52" t="s">
        <v>16</v>
      </c>
      <c r="O52" s="7">
        <v>42562</v>
      </c>
      <c r="P52" t="s">
        <v>17</v>
      </c>
      <c r="Q52" t="s">
        <v>24</v>
      </c>
      <c r="R52">
        <f t="shared" si="3"/>
        <v>62000</v>
      </c>
      <c r="S52">
        <f t="shared" si="4"/>
        <v>24601600</v>
      </c>
    </row>
    <row r="53" spans="1:19" x14ac:dyDescent="0.25">
      <c r="A53">
        <v>9183</v>
      </c>
      <c r="B53" s="13">
        <v>21750</v>
      </c>
      <c r="C53" s="13">
        <v>5283</v>
      </c>
      <c r="D53" s="13">
        <v>29</v>
      </c>
      <c r="E53" s="26">
        <f t="shared" si="2"/>
        <v>0.10587284523438178</v>
      </c>
      <c r="F53" s="24">
        <f>IF(Kalibratiemetingen!C53&gt;0,Grafiek_kalibratiemetingen!$R$13*Kalibratiemetingen!C53+Grafiek_kalibratiemetingen!$R$14,TRIM(""))</f>
        <v>13.894127154765618</v>
      </c>
      <c r="G53" s="12">
        <v>14</v>
      </c>
      <c r="H53" s="12">
        <v>28.4</v>
      </c>
      <c r="I53" s="2">
        <f>IF(IF(Kalibratiemetingen!C53&gt;0,1,0)+IF(Kalibratiemetingen!G53&gt;0,1,0)=2,1,0)</f>
        <v>1</v>
      </c>
      <c r="J53" t="s">
        <v>23</v>
      </c>
      <c r="K53" t="s">
        <v>14</v>
      </c>
      <c r="L53">
        <v>729</v>
      </c>
      <c r="M53" t="s">
        <v>15</v>
      </c>
      <c r="N53" t="s">
        <v>16</v>
      </c>
      <c r="O53" s="7">
        <v>42562</v>
      </c>
      <c r="P53" t="s">
        <v>17</v>
      </c>
      <c r="R53">
        <f t="shared" si="3"/>
        <v>73962</v>
      </c>
      <c r="S53">
        <f t="shared" si="4"/>
        <v>27910089</v>
      </c>
    </row>
    <row r="54" spans="1:19" x14ac:dyDescent="0.25">
      <c r="A54">
        <v>9185</v>
      </c>
      <c r="B54" s="13">
        <v>21809</v>
      </c>
      <c r="C54" s="13">
        <v>5348</v>
      </c>
      <c r="D54" s="13">
        <v>30</v>
      </c>
      <c r="E54" s="26">
        <f t="shared" si="2"/>
        <v>-8.6783611955475237E-2</v>
      </c>
      <c r="F54" s="24">
        <f>IF(Kalibratiemetingen!C54&gt;0,Grafiek_kalibratiemetingen!$R$13*Kalibratiemetingen!C54+Grafiek_kalibratiemetingen!$R$14,TRIM(""))</f>
        <v>13.986783611955476</v>
      </c>
      <c r="G54" s="12">
        <v>13.9</v>
      </c>
      <c r="H54" s="12">
        <v>28.4</v>
      </c>
      <c r="I54" s="2">
        <f>IF(IF(Kalibratiemetingen!C54&gt;0,1,0)+IF(Kalibratiemetingen!G54&gt;0,1,0)=2,1,0)</f>
        <v>1</v>
      </c>
      <c r="J54" t="s">
        <v>23</v>
      </c>
      <c r="K54" t="s">
        <v>14</v>
      </c>
      <c r="L54">
        <v>729</v>
      </c>
      <c r="M54" t="s">
        <v>15</v>
      </c>
      <c r="N54" t="s">
        <v>16</v>
      </c>
      <c r="O54" s="7">
        <v>42562</v>
      </c>
      <c r="P54" t="s">
        <v>17</v>
      </c>
      <c r="R54">
        <f t="shared" si="3"/>
        <v>74337.2</v>
      </c>
      <c r="S54">
        <f t="shared" si="4"/>
        <v>28601104</v>
      </c>
    </row>
    <row r="55" spans="1:19" x14ac:dyDescent="0.25">
      <c r="A55">
        <v>9186</v>
      </c>
      <c r="B55" s="13">
        <v>21859</v>
      </c>
      <c r="C55" s="13">
        <v>5216</v>
      </c>
      <c r="D55" s="13">
        <v>30</v>
      </c>
      <c r="E55" s="26">
        <f t="shared" si="2"/>
        <v>-0.59861972966222865</v>
      </c>
      <c r="F55" s="24">
        <f>IF(Kalibratiemetingen!C55&gt;0,Grafiek_kalibratiemetingen!$R$13*Kalibratiemetingen!C55+Grafiek_kalibratiemetingen!$R$14,TRIM(""))</f>
        <v>13.798619729662228</v>
      </c>
      <c r="G55" s="12">
        <v>13.2</v>
      </c>
      <c r="H55" s="12">
        <v>28.3</v>
      </c>
      <c r="I55" s="2">
        <f>IF(IF(Kalibratiemetingen!C55&gt;0,1,0)+IF(Kalibratiemetingen!G55&gt;0,1,0)=2,1,0)</f>
        <v>1</v>
      </c>
      <c r="J55" t="s">
        <v>23</v>
      </c>
      <c r="K55" t="s">
        <v>14</v>
      </c>
      <c r="L55">
        <v>729</v>
      </c>
      <c r="M55" t="s">
        <v>15</v>
      </c>
      <c r="N55" t="s">
        <v>16</v>
      </c>
      <c r="O55" s="7">
        <v>42562</v>
      </c>
      <c r="P55" t="s">
        <v>17</v>
      </c>
      <c r="R55">
        <f t="shared" si="3"/>
        <v>68851.199999999997</v>
      </c>
      <c r="S55">
        <f t="shared" si="4"/>
        <v>27206656</v>
      </c>
    </row>
    <row r="56" spans="1:19" x14ac:dyDescent="0.25">
      <c r="A56">
        <v>9189</v>
      </c>
      <c r="B56" s="13">
        <v>21884</v>
      </c>
      <c r="C56" s="13">
        <v>5427</v>
      </c>
      <c r="D56" s="13">
        <v>30</v>
      </c>
      <c r="E56" s="26">
        <f t="shared" si="2"/>
        <v>-0.79939684454007143</v>
      </c>
      <c r="F56" s="24">
        <f>IF(Kalibratiemetingen!C56&gt;0,Grafiek_kalibratiemetingen!$R$13*Kalibratiemetingen!C56+Grafiek_kalibratiemetingen!$R$14,TRIM(""))</f>
        <v>14.099396844540072</v>
      </c>
      <c r="G56" s="12">
        <v>13.3</v>
      </c>
      <c r="H56" s="12">
        <v>28.4</v>
      </c>
      <c r="I56" s="2">
        <f>IF(IF(Kalibratiemetingen!C56&gt;0,1,0)+IF(Kalibratiemetingen!G56&gt;0,1,0)=2,1,0)</f>
        <v>1</v>
      </c>
      <c r="J56" t="s">
        <v>23</v>
      </c>
      <c r="K56" t="s">
        <v>14</v>
      </c>
      <c r="L56">
        <v>729</v>
      </c>
      <c r="M56" t="s">
        <v>15</v>
      </c>
      <c r="N56" t="s">
        <v>16</v>
      </c>
      <c r="O56" s="7">
        <v>42562</v>
      </c>
      <c r="P56" t="s">
        <v>17</v>
      </c>
      <c r="R56">
        <f t="shared" si="3"/>
        <v>72179.100000000006</v>
      </c>
      <c r="S56">
        <f t="shared" si="4"/>
        <v>29452329</v>
      </c>
    </row>
    <row r="57" spans="1:19" x14ac:dyDescent="0.25">
      <c r="A57">
        <v>9177</v>
      </c>
      <c r="B57" s="13">
        <v>21892</v>
      </c>
      <c r="C57" s="13">
        <v>4691</v>
      </c>
      <c r="D57" s="13">
        <v>30</v>
      </c>
      <c r="E57" s="26">
        <f t="shared" si="2"/>
        <v>-1.0502406523595322</v>
      </c>
      <c r="F57" s="24">
        <f>IF(Kalibratiemetingen!C57&gt;0,Grafiek_kalibratiemetingen!$R$13*Kalibratiemetingen!C57+Grafiek_kalibratiemetingen!$R$14,TRIM(""))</f>
        <v>13.050240652359532</v>
      </c>
      <c r="G57" s="12">
        <v>12</v>
      </c>
      <c r="H57" s="12">
        <v>28.3</v>
      </c>
      <c r="I57" s="2">
        <f>IF(IF(Kalibratiemetingen!C57&gt;0,1,0)+IF(Kalibratiemetingen!G57&gt;0,1,0)=2,1,0)</f>
        <v>1</v>
      </c>
      <c r="J57" t="s">
        <v>23</v>
      </c>
      <c r="K57" t="s">
        <v>14</v>
      </c>
      <c r="L57">
        <v>729</v>
      </c>
      <c r="M57" t="s">
        <v>15</v>
      </c>
      <c r="N57" t="s">
        <v>16</v>
      </c>
      <c r="O57" s="7">
        <v>42562</v>
      </c>
      <c r="P57" t="s">
        <v>19</v>
      </c>
      <c r="R57">
        <f t="shared" si="3"/>
        <v>56292</v>
      </c>
      <c r="S57">
        <f t="shared" si="4"/>
        <v>22005481</v>
      </c>
    </row>
    <row r="58" spans="1:19" x14ac:dyDescent="0.25">
      <c r="A58">
        <v>189</v>
      </c>
      <c r="B58" s="13">
        <v>21929</v>
      </c>
      <c r="C58" s="13">
        <v>5522</v>
      </c>
      <c r="D58" s="13">
        <v>30</v>
      </c>
      <c r="E58" s="26">
        <f t="shared" si="2"/>
        <v>-0.93481782043294004</v>
      </c>
      <c r="F58" s="24">
        <f>IF(Kalibratiemetingen!C58&gt;0,Grafiek_kalibratiemetingen!$R$13*Kalibratiemetingen!C58+Grafiek_kalibratiemetingen!$R$14,TRIM(""))</f>
        <v>14.234817820432941</v>
      </c>
      <c r="G58" s="12">
        <v>13.3</v>
      </c>
      <c r="H58" s="12">
        <v>28.3</v>
      </c>
      <c r="I58" s="2">
        <f>IF(IF(Kalibratiemetingen!C58&gt;0,1,0)+IF(Kalibratiemetingen!G58&gt;0,1,0)=2,1,0)</f>
        <v>1</v>
      </c>
      <c r="J58" t="s">
        <v>23</v>
      </c>
      <c r="K58" t="s">
        <v>14</v>
      </c>
      <c r="L58">
        <v>729</v>
      </c>
      <c r="M58" t="s">
        <v>15</v>
      </c>
      <c r="N58" t="s">
        <v>16</v>
      </c>
      <c r="O58" s="7">
        <v>42562</v>
      </c>
      <c r="P58" t="s">
        <v>19</v>
      </c>
      <c r="R58">
        <f t="shared" si="3"/>
        <v>73442.600000000006</v>
      </c>
      <c r="S58">
        <f t="shared" si="4"/>
        <v>30492484</v>
      </c>
    </row>
    <row r="59" spans="1:19" x14ac:dyDescent="0.25">
      <c r="A59">
        <v>9178</v>
      </c>
      <c r="B59" s="13">
        <v>21922</v>
      </c>
      <c r="C59" s="13">
        <v>5260</v>
      </c>
      <c r="D59" s="13">
        <v>30</v>
      </c>
      <c r="E59" s="26">
        <f t="shared" si="2"/>
        <v>-0.66134102375997728</v>
      </c>
      <c r="F59" s="24">
        <f>IF(Kalibratiemetingen!C59&gt;0,Grafiek_kalibratiemetingen!$R$13*Kalibratiemetingen!C59+Grafiek_kalibratiemetingen!$R$14,TRIM(""))</f>
        <v>13.861341023759977</v>
      </c>
      <c r="G59" s="12">
        <v>13.2</v>
      </c>
      <c r="H59" s="12">
        <v>28.3</v>
      </c>
      <c r="I59" s="2">
        <f>IF(IF(Kalibratiemetingen!C59&gt;0,1,0)+IF(Kalibratiemetingen!G59&gt;0,1,0)=2,1,0)</f>
        <v>1</v>
      </c>
      <c r="J59" t="s">
        <v>23</v>
      </c>
      <c r="K59" t="s">
        <v>14</v>
      </c>
      <c r="L59">
        <v>729</v>
      </c>
      <c r="M59" t="s">
        <v>15</v>
      </c>
      <c r="N59" t="s">
        <v>16</v>
      </c>
      <c r="O59" s="7">
        <v>42562</v>
      </c>
      <c r="P59" t="s">
        <v>19</v>
      </c>
      <c r="R59">
        <f t="shared" si="3"/>
        <v>69432</v>
      </c>
      <c r="S59">
        <f t="shared" si="4"/>
        <v>27667600</v>
      </c>
    </row>
    <row r="60" spans="1:19" x14ac:dyDescent="0.25">
      <c r="A60">
        <v>9179</v>
      </c>
      <c r="B60" s="13">
        <v>21923</v>
      </c>
      <c r="C60" s="13">
        <v>5089</v>
      </c>
      <c r="D60" s="13">
        <v>30</v>
      </c>
      <c r="E60" s="26">
        <f t="shared" si="2"/>
        <v>-0.81758326715281271</v>
      </c>
      <c r="F60" s="24">
        <f>IF(Kalibratiemetingen!C60&gt;0,Grafiek_kalibratiemetingen!$R$13*Kalibratiemetingen!C60+Grafiek_kalibratiemetingen!$R$14,TRIM(""))</f>
        <v>13.617583267152813</v>
      </c>
      <c r="G60" s="12">
        <v>12.8</v>
      </c>
      <c r="H60" s="12">
        <v>28.2</v>
      </c>
      <c r="I60" s="2">
        <f>IF(IF(Kalibratiemetingen!C60&gt;0,1,0)+IF(Kalibratiemetingen!G60&gt;0,1,0)=2,1,0)</f>
        <v>1</v>
      </c>
      <c r="J60" t="s">
        <v>23</v>
      </c>
      <c r="K60" t="s">
        <v>14</v>
      </c>
      <c r="L60">
        <v>729</v>
      </c>
      <c r="M60" t="s">
        <v>15</v>
      </c>
      <c r="N60" t="s">
        <v>16</v>
      </c>
      <c r="O60" s="7">
        <v>42562</v>
      </c>
      <c r="P60" t="s">
        <v>19</v>
      </c>
      <c r="R60">
        <f t="shared" si="3"/>
        <v>65139.200000000004</v>
      </c>
      <c r="S60">
        <f t="shared" si="4"/>
        <v>25897921</v>
      </c>
    </row>
    <row r="61" spans="1:19" x14ac:dyDescent="0.25">
      <c r="A61">
        <v>9180</v>
      </c>
      <c r="B61" s="13">
        <v>21965</v>
      </c>
      <c r="C61" s="13">
        <v>4814</v>
      </c>
      <c r="D61" s="13">
        <v>30</v>
      </c>
      <c r="E61" s="26">
        <f t="shared" si="2"/>
        <v>-2.5575179041878116E-2</v>
      </c>
      <c r="F61" s="24">
        <f>IF(Kalibratiemetingen!C61&gt;0,Grafiek_kalibratiemetingen!$R$13*Kalibratiemetingen!C61+Grafiek_kalibratiemetingen!$R$14,TRIM(""))</f>
        <v>13.225575179041877</v>
      </c>
      <c r="G61" s="12">
        <v>13.2</v>
      </c>
      <c r="H61" s="12">
        <v>28.2</v>
      </c>
      <c r="I61" s="2">
        <f>IF(IF(Kalibratiemetingen!C61&gt;0,1,0)+IF(Kalibratiemetingen!G61&gt;0,1,0)=2,1,0)</f>
        <v>1</v>
      </c>
      <c r="J61" t="s">
        <v>23</v>
      </c>
      <c r="K61" t="s">
        <v>14</v>
      </c>
      <c r="L61">
        <v>729</v>
      </c>
      <c r="M61" t="s">
        <v>15</v>
      </c>
      <c r="N61" t="s">
        <v>16</v>
      </c>
      <c r="O61" s="7">
        <v>42562</v>
      </c>
      <c r="P61" t="s">
        <v>19</v>
      </c>
      <c r="R61">
        <f t="shared" si="3"/>
        <v>63544.799999999996</v>
      </c>
      <c r="S61">
        <f t="shared" si="4"/>
        <v>23174596</v>
      </c>
    </row>
    <row r="62" spans="1:19" x14ac:dyDescent="0.25">
      <c r="A62">
        <v>9182</v>
      </c>
      <c r="B62" s="13">
        <v>21875</v>
      </c>
      <c r="C62" s="13">
        <v>5037</v>
      </c>
      <c r="D62" s="13">
        <v>30</v>
      </c>
      <c r="E62" s="26">
        <f t="shared" si="2"/>
        <v>-0.5434581014009261</v>
      </c>
      <c r="F62" s="24">
        <f>IF(Kalibratiemetingen!C62&gt;0,Grafiek_kalibratiemetingen!$R$13*Kalibratiemetingen!C62+Grafiek_kalibratiemetingen!$R$14,TRIM(""))</f>
        <v>13.543458101400926</v>
      </c>
      <c r="G62" s="12">
        <v>13</v>
      </c>
      <c r="H62" s="12">
        <v>28.4</v>
      </c>
      <c r="I62" s="2">
        <f>IF(IF(Kalibratiemetingen!C62&gt;0,1,0)+IF(Kalibratiemetingen!G62&gt;0,1,0)=2,1,0)</f>
        <v>1</v>
      </c>
      <c r="J62" t="s">
        <v>23</v>
      </c>
      <c r="K62" t="s">
        <v>14</v>
      </c>
      <c r="L62">
        <v>729</v>
      </c>
      <c r="M62" t="s">
        <v>15</v>
      </c>
      <c r="N62" t="s">
        <v>16</v>
      </c>
      <c r="O62" s="7">
        <v>42562</v>
      </c>
      <c r="P62" t="s">
        <v>19</v>
      </c>
      <c r="R62">
        <f t="shared" si="3"/>
        <v>65481</v>
      </c>
      <c r="S62">
        <f t="shared" si="4"/>
        <v>25371369</v>
      </c>
    </row>
    <row r="63" spans="1:19" x14ac:dyDescent="0.25">
      <c r="A63">
        <v>199</v>
      </c>
      <c r="B63" s="13">
        <v>21665</v>
      </c>
      <c r="C63" s="13">
        <v>4731</v>
      </c>
      <c r="D63" s="13">
        <v>30</v>
      </c>
      <c r="E63" s="26">
        <f t="shared" si="2"/>
        <v>-0.80726001063021258</v>
      </c>
      <c r="F63" s="24">
        <f>IF(Kalibratiemetingen!C63&gt;0,Grafiek_kalibratiemetingen!$R$13*Kalibratiemetingen!C63+Grafiek_kalibratiemetingen!$R$14,TRIM(""))</f>
        <v>13.107260010630213</v>
      </c>
      <c r="G63" s="12">
        <v>12.3</v>
      </c>
      <c r="H63" s="12">
        <v>30.3</v>
      </c>
      <c r="I63" s="2">
        <f>IF(IF(Kalibratiemetingen!C63&gt;0,1,0)+IF(Kalibratiemetingen!G63&gt;0,1,0)=2,1,0)</f>
        <v>1</v>
      </c>
      <c r="J63" t="s">
        <v>23</v>
      </c>
      <c r="K63" t="s">
        <v>14</v>
      </c>
      <c r="L63">
        <v>729</v>
      </c>
      <c r="M63" t="s">
        <v>15</v>
      </c>
      <c r="N63" t="s">
        <v>16</v>
      </c>
      <c r="O63" s="14">
        <v>42564</v>
      </c>
      <c r="P63" t="s">
        <v>19</v>
      </c>
      <c r="R63">
        <f t="shared" si="3"/>
        <v>58191.3</v>
      </c>
      <c r="S63">
        <f t="shared" si="4"/>
        <v>22382361</v>
      </c>
    </row>
    <row r="64" spans="1:19" x14ac:dyDescent="0.25">
      <c r="A64">
        <v>203</v>
      </c>
      <c r="B64" s="13">
        <v>21799</v>
      </c>
      <c r="C64" s="13">
        <v>5212</v>
      </c>
      <c r="D64" s="13">
        <v>30</v>
      </c>
      <c r="E64" s="26">
        <f t="shared" si="2"/>
        <v>-0.79291779383515859</v>
      </c>
      <c r="F64" s="24">
        <f>IF(Kalibratiemetingen!C64&gt;0,Grafiek_kalibratiemetingen!$R$13*Kalibratiemetingen!C64+Grafiek_kalibratiemetingen!$R$14,TRIM(""))</f>
        <v>13.792917793835159</v>
      </c>
      <c r="G64" s="12">
        <v>13</v>
      </c>
      <c r="H64" s="12">
        <v>30.3</v>
      </c>
      <c r="I64" s="2">
        <f>IF(IF(Kalibratiemetingen!C64&gt;0,1,0)+IF(Kalibratiemetingen!G64&gt;0,1,0)=2,1,0)</f>
        <v>1</v>
      </c>
      <c r="J64" t="s">
        <v>23</v>
      </c>
      <c r="K64" t="s">
        <v>14</v>
      </c>
      <c r="L64">
        <v>729</v>
      </c>
      <c r="M64" t="s">
        <v>15</v>
      </c>
      <c r="N64" t="s">
        <v>16</v>
      </c>
      <c r="O64" s="14">
        <v>42564</v>
      </c>
      <c r="P64" t="s">
        <v>19</v>
      </c>
      <c r="R64">
        <f t="shared" si="3"/>
        <v>67756</v>
      </c>
      <c r="S64">
        <f t="shared" si="4"/>
        <v>27164944</v>
      </c>
    </row>
    <row r="65" spans="1:19" x14ac:dyDescent="0.25">
      <c r="A65">
        <v>9238</v>
      </c>
      <c r="B65" s="13">
        <v>21841</v>
      </c>
      <c r="C65" s="13">
        <v>5180</v>
      </c>
      <c r="D65" s="13">
        <v>30</v>
      </c>
      <c r="E65" s="26">
        <f t="shared" si="2"/>
        <v>-0.8473023072186141</v>
      </c>
      <c r="F65" s="24">
        <f>IF(Kalibratiemetingen!C65&gt;0,Grafiek_kalibratiemetingen!$R$13*Kalibratiemetingen!C65+Grafiek_kalibratiemetingen!$R$14,TRIM(""))</f>
        <v>13.747302307218614</v>
      </c>
      <c r="G65" s="12">
        <v>12.9</v>
      </c>
      <c r="H65" s="12">
        <v>30.2</v>
      </c>
      <c r="I65" s="2">
        <f>IF(IF(Kalibratiemetingen!C65&gt;0,1,0)+IF(Kalibratiemetingen!G65&gt;0,1,0)=2,1,0)</f>
        <v>1</v>
      </c>
      <c r="J65" t="s">
        <v>23</v>
      </c>
      <c r="K65" t="s">
        <v>14</v>
      </c>
      <c r="L65">
        <v>729</v>
      </c>
      <c r="M65" t="s">
        <v>15</v>
      </c>
      <c r="N65" t="s">
        <v>16</v>
      </c>
      <c r="O65" s="14">
        <v>42564</v>
      </c>
      <c r="P65" t="s">
        <v>19</v>
      </c>
      <c r="R65">
        <f t="shared" si="3"/>
        <v>66822</v>
      </c>
      <c r="S65">
        <f t="shared" si="4"/>
        <v>26832400</v>
      </c>
    </row>
    <row r="66" spans="1:19" x14ac:dyDescent="0.25">
      <c r="A66">
        <v>9177</v>
      </c>
      <c r="B66" s="13">
        <v>21816</v>
      </c>
      <c r="C66" s="13">
        <v>4255</v>
      </c>
      <c r="D66" s="13">
        <v>30</v>
      </c>
      <c r="E66" s="26">
        <f t="shared" si="2"/>
        <v>-0.7287296472091036</v>
      </c>
      <c r="F66" s="24">
        <f>IF(Kalibratiemetingen!C66&gt;0,Grafiek_kalibratiemetingen!$R$13*Kalibratiemetingen!C66+Grafiek_kalibratiemetingen!$R$14,TRIM(""))</f>
        <v>12.428729647209103</v>
      </c>
      <c r="G66" s="12">
        <v>11.7</v>
      </c>
      <c r="H66" s="12">
        <v>30.4</v>
      </c>
      <c r="I66" s="2">
        <f>IF(IF(Kalibratiemetingen!C66&gt;0,1,0)+IF(Kalibratiemetingen!G66&gt;0,1,0)=2,1,0)</f>
        <v>1</v>
      </c>
      <c r="J66" t="s">
        <v>23</v>
      </c>
      <c r="K66" t="s">
        <v>14</v>
      </c>
      <c r="L66">
        <v>729</v>
      </c>
      <c r="M66" t="s">
        <v>15</v>
      </c>
      <c r="N66" t="s">
        <v>16</v>
      </c>
      <c r="O66" s="14">
        <v>42564</v>
      </c>
      <c r="P66" t="s">
        <v>19</v>
      </c>
      <c r="R66">
        <f t="shared" si="3"/>
        <v>49783.5</v>
      </c>
      <c r="S66">
        <f t="shared" si="4"/>
        <v>18105025</v>
      </c>
    </row>
    <row r="67" spans="1:19" x14ac:dyDescent="0.25">
      <c r="A67">
        <v>9189</v>
      </c>
      <c r="B67" s="13">
        <v>21815</v>
      </c>
      <c r="C67" s="13">
        <v>5477</v>
      </c>
      <c r="D67" s="13">
        <v>30</v>
      </c>
      <c r="E67" s="26">
        <f t="shared" si="2"/>
        <v>-0.67067104237842301</v>
      </c>
      <c r="F67" s="24">
        <f>IF(Kalibratiemetingen!C67&gt;0,Grafiek_kalibratiemetingen!$R$13*Kalibratiemetingen!C67+Grafiek_kalibratiemetingen!$R$14,TRIM(""))</f>
        <v>14.170671042378423</v>
      </c>
      <c r="G67" s="12">
        <v>13.5</v>
      </c>
      <c r="H67" s="12">
        <v>30.4</v>
      </c>
      <c r="I67" s="2">
        <f>IF(IF(Kalibratiemetingen!C67&gt;0,1,0)+IF(Kalibratiemetingen!G67&gt;0,1,0)=2,1,0)</f>
        <v>1</v>
      </c>
      <c r="J67" t="s">
        <v>23</v>
      </c>
      <c r="K67" t="s">
        <v>14</v>
      </c>
      <c r="L67">
        <v>729</v>
      </c>
      <c r="M67" t="s">
        <v>15</v>
      </c>
      <c r="N67" t="s">
        <v>16</v>
      </c>
      <c r="O67" s="14">
        <v>42564</v>
      </c>
      <c r="P67" t="s">
        <v>19</v>
      </c>
      <c r="Q67" t="s">
        <v>25</v>
      </c>
      <c r="R67">
        <f t="shared" si="3"/>
        <v>73939.5</v>
      </c>
      <c r="S67">
        <f t="shared" si="4"/>
        <v>29997529</v>
      </c>
    </row>
    <row r="68" spans="1:19" x14ac:dyDescent="0.25">
      <c r="A68">
        <v>9186</v>
      </c>
      <c r="B68" s="13">
        <v>21824</v>
      </c>
      <c r="C68" s="13">
        <v>5282</v>
      </c>
      <c r="D68" s="13">
        <v>31</v>
      </c>
      <c r="E68" s="26">
        <f t="shared" si="2"/>
        <v>-0.39270167080885088</v>
      </c>
      <c r="F68" s="24">
        <f>IF(Kalibratiemetingen!C68&gt;0,Grafiek_kalibratiemetingen!$R$13*Kalibratiemetingen!C68+Grafiek_kalibratiemetingen!$R$14,TRIM(""))</f>
        <v>13.892701670808851</v>
      </c>
      <c r="G68" s="12">
        <v>13.5</v>
      </c>
      <c r="H68" s="12">
        <v>30.3</v>
      </c>
      <c r="I68" s="2">
        <f>IF(IF(Kalibratiemetingen!C68&gt;0,1,0)+IF(Kalibratiemetingen!G68&gt;0,1,0)=2,1,0)</f>
        <v>1</v>
      </c>
      <c r="J68" t="s">
        <v>23</v>
      </c>
      <c r="K68" t="s">
        <v>14</v>
      </c>
      <c r="L68">
        <v>729</v>
      </c>
      <c r="M68" t="s">
        <v>15</v>
      </c>
      <c r="N68" t="s">
        <v>16</v>
      </c>
      <c r="O68" s="14">
        <v>42564</v>
      </c>
      <c r="P68" t="s">
        <v>19</v>
      </c>
      <c r="Q68" t="s">
        <v>26</v>
      </c>
      <c r="R68">
        <f t="shared" si="3"/>
        <v>71307</v>
      </c>
      <c r="S68">
        <f t="shared" si="4"/>
        <v>27899524</v>
      </c>
    </row>
    <row r="69" spans="1:19" x14ac:dyDescent="0.25">
      <c r="A69">
        <v>9216</v>
      </c>
      <c r="B69" s="13">
        <v>21799</v>
      </c>
      <c r="C69" s="13">
        <v>5525</v>
      </c>
      <c r="D69" s="13">
        <v>31</v>
      </c>
      <c r="E69" s="26">
        <f t="shared" ref="E69:E117" si="5">IF(I69,G69-F69,TRIM(""))</f>
        <v>0.16090572769675937</v>
      </c>
      <c r="F69" s="24">
        <f>IF(Kalibratiemetingen!C69&gt;0,Grafiek_kalibratiemetingen!$R$13*Kalibratiemetingen!C69+Grafiek_kalibratiemetingen!$R$14,TRIM(""))</f>
        <v>14.239094272303241</v>
      </c>
      <c r="G69" s="12">
        <v>14.4</v>
      </c>
      <c r="H69" s="12">
        <v>30.1</v>
      </c>
      <c r="I69" s="2">
        <f>IF(IF(Kalibratiemetingen!C69&gt;0,1,0)+IF(Kalibratiemetingen!G69&gt;0,1,0)=2,1,0)</f>
        <v>1</v>
      </c>
      <c r="J69" t="s">
        <v>23</v>
      </c>
      <c r="K69" t="s">
        <v>14</v>
      </c>
      <c r="L69">
        <v>729</v>
      </c>
      <c r="M69" t="s">
        <v>15</v>
      </c>
      <c r="N69" t="s">
        <v>16</v>
      </c>
      <c r="O69" s="14">
        <v>42564</v>
      </c>
      <c r="P69" t="s">
        <v>19</v>
      </c>
      <c r="R69">
        <f t="shared" ref="R69:R117" si="6">G69*C69</f>
        <v>79560</v>
      </c>
      <c r="S69">
        <f t="shared" ref="S69:S132" si="7">C69*C69</f>
        <v>30525625</v>
      </c>
    </row>
    <row r="70" spans="1:19" x14ac:dyDescent="0.25">
      <c r="A70">
        <v>9214</v>
      </c>
      <c r="B70" s="13">
        <v>21779</v>
      </c>
      <c r="C70" s="13">
        <v>4643</v>
      </c>
      <c r="D70" s="13">
        <v>31</v>
      </c>
      <c r="E70" s="26">
        <f t="shared" si="5"/>
        <v>-1.0818174224347139</v>
      </c>
      <c r="F70" s="24">
        <f>IF(Kalibratiemetingen!C70&gt;0,Grafiek_kalibratiemetingen!$R$13*Kalibratiemetingen!C70+Grafiek_kalibratiemetingen!$R$14,TRIM(""))</f>
        <v>12.981817422434714</v>
      </c>
      <c r="G70" s="12">
        <v>11.9</v>
      </c>
      <c r="H70" s="12">
        <v>30.3</v>
      </c>
      <c r="I70" s="2">
        <f>IF(IF(Kalibratiemetingen!C70&gt;0,1,0)+IF(Kalibratiemetingen!G70&gt;0,1,0)=2,1,0)</f>
        <v>1</v>
      </c>
      <c r="J70" t="s">
        <v>23</v>
      </c>
      <c r="K70" t="s">
        <v>14</v>
      </c>
      <c r="L70">
        <v>729</v>
      </c>
      <c r="M70" t="s">
        <v>15</v>
      </c>
      <c r="N70" t="s">
        <v>16</v>
      </c>
      <c r="O70" s="14">
        <v>42564</v>
      </c>
      <c r="P70" t="s">
        <v>19</v>
      </c>
      <c r="R70">
        <f t="shared" si="6"/>
        <v>55251.700000000004</v>
      </c>
      <c r="S70">
        <f t="shared" si="7"/>
        <v>21557449</v>
      </c>
    </row>
    <row r="71" spans="1:19" x14ac:dyDescent="0.25">
      <c r="A71">
        <v>9211</v>
      </c>
      <c r="B71" s="13">
        <v>21818</v>
      </c>
      <c r="C71" s="13">
        <v>3469</v>
      </c>
      <c r="D71" s="13">
        <v>31</v>
      </c>
      <c r="E71" s="26">
        <f t="shared" si="5"/>
        <v>-0.40829925719020999</v>
      </c>
      <c r="F71" s="24">
        <f>IF(Kalibratiemetingen!C71&gt;0,Grafiek_kalibratiemetingen!$R$13*Kalibratiemetingen!C71+Grafiek_kalibratiemetingen!$R$14,TRIM(""))</f>
        <v>11.30829925719021</v>
      </c>
      <c r="G71" s="12">
        <v>10.9</v>
      </c>
      <c r="H71" s="12">
        <v>30.3</v>
      </c>
      <c r="I71" s="2">
        <f>IF(IF(Kalibratiemetingen!C71&gt;0,1,0)+IF(Kalibratiemetingen!G71&gt;0,1,0)=2,1,0)</f>
        <v>1</v>
      </c>
      <c r="J71" t="s">
        <v>23</v>
      </c>
      <c r="K71" t="s">
        <v>14</v>
      </c>
      <c r="L71">
        <v>729</v>
      </c>
      <c r="M71" t="s">
        <v>15</v>
      </c>
      <c r="N71" t="s">
        <v>16</v>
      </c>
      <c r="O71" s="14">
        <v>42564</v>
      </c>
      <c r="P71" t="s">
        <v>19</v>
      </c>
      <c r="R71">
        <f t="shared" si="6"/>
        <v>37812.1</v>
      </c>
      <c r="S71">
        <f t="shared" si="7"/>
        <v>12033961</v>
      </c>
    </row>
    <row r="72" spans="1:19" x14ac:dyDescent="0.25">
      <c r="A72">
        <v>9212</v>
      </c>
      <c r="B72" s="13">
        <v>21815</v>
      </c>
      <c r="C72" s="13">
        <v>5365</v>
      </c>
      <c r="D72" s="13">
        <v>31</v>
      </c>
      <c r="E72" s="26">
        <f t="shared" si="5"/>
        <v>-0.71101683922051606</v>
      </c>
      <c r="F72" s="24">
        <f>IF(Kalibratiemetingen!C72&gt;0,Grafiek_kalibratiemetingen!$R$13*Kalibratiemetingen!C72+Grafiek_kalibratiemetingen!$R$14,TRIM(""))</f>
        <v>14.011016839220517</v>
      </c>
      <c r="G72" s="12">
        <v>13.3</v>
      </c>
      <c r="H72" s="12">
        <v>30.2</v>
      </c>
      <c r="I72" s="2">
        <f>IF(IF(Kalibratiemetingen!C72&gt;0,1,0)+IF(Kalibratiemetingen!G72&gt;0,1,0)=2,1,0)</f>
        <v>1</v>
      </c>
      <c r="J72" t="s">
        <v>23</v>
      </c>
      <c r="K72" t="s">
        <v>14</v>
      </c>
      <c r="L72">
        <v>729</v>
      </c>
      <c r="M72" t="s">
        <v>15</v>
      </c>
      <c r="N72" t="s">
        <v>16</v>
      </c>
      <c r="O72" s="14">
        <v>42564</v>
      </c>
      <c r="P72" t="s">
        <v>19</v>
      </c>
      <c r="R72">
        <f t="shared" si="6"/>
        <v>71354.5</v>
      </c>
      <c r="S72">
        <f t="shared" si="7"/>
        <v>28783225</v>
      </c>
    </row>
    <row r="73" spans="1:19" x14ac:dyDescent="0.25">
      <c r="A73">
        <v>9210</v>
      </c>
      <c r="B73" s="13">
        <v>21820</v>
      </c>
      <c r="C73" s="13">
        <v>3842</v>
      </c>
      <c r="D73" s="13">
        <v>31</v>
      </c>
      <c r="E73" s="26">
        <f t="shared" si="5"/>
        <v>-0.44000477306431662</v>
      </c>
      <c r="F73" s="24">
        <f>IF(Kalibratiemetingen!C73&gt;0,Grafiek_kalibratiemetingen!$R$13*Kalibratiemetingen!C73+Grafiek_kalibratiemetingen!$R$14,TRIM(""))</f>
        <v>11.840004773064317</v>
      </c>
      <c r="G73" s="12">
        <v>11.4</v>
      </c>
      <c r="H73" s="12">
        <v>30.2</v>
      </c>
      <c r="I73" s="2">
        <f>IF(IF(Kalibratiemetingen!C73&gt;0,1,0)+IF(Kalibratiemetingen!G73&gt;0,1,0)=2,1,0)</f>
        <v>1</v>
      </c>
      <c r="J73" t="s">
        <v>23</v>
      </c>
      <c r="K73" t="s">
        <v>14</v>
      </c>
      <c r="L73">
        <v>729</v>
      </c>
      <c r="M73" t="s">
        <v>15</v>
      </c>
      <c r="N73" t="s">
        <v>16</v>
      </c>
      <c r="O73" s="14">
        <v>42564</v>
      </c>
      <c r="P73" t="s">
        <v>19</v>
      </c>
      <c r="R73">
        <f t="shared" si="6"/>
        <v>43798.8</v>
      </c>
      <c r="S73">
        <f t="shared" si="7"/>
        <v>14760964</v>
      </c>
    </row>
    <row r="74" spans="1:19" x14ac:dyDescent="0.25">
      <c r="A74">
        <v>9209</v>
      </c>
      <c r="B74" s="13">
        <v>21834</v>
      </c>
      <c r="C74" s="13">
        <v>5114</v>
      </c>
      <c r="D74" s="13">
        <v>31</v>
      </c>
      <c r="E74" s="26">
        <f t="shared" si="5"/>
        <v>-0.45322036607198868</v>
      </c>
      <c r="F74" s="24">
        <f>IF(Kalibratiemetingen!C74&gt;0,Grafiek_kalibratiemetingen!$R$13*Kalibratiemetingen!C74+Grafiek_kalibratiemetingen!$R$14,TRIM(""))</f>
        <v>13.653220366071988</v>
      </c>
      <c r="G74" s="12">
        <v>13.2</v>
      </c>
      <c r="H74" s="12">
        <v>30.2</v>
      </c>
      <c r="I74" s="2">
        <f>IF(IF(Kalibratiemetingen!C74&gt;0,1,0)+IF(Kalibratiemetingen!G74&gt;0,1,0)=2,1,0)</f>
        <v>1</v>
      </c>
      <c r="J74" t="s">
        <v>23</v>
      </c>
      <c r="K74" t="s">
        <v>14</v>
      </c>
      <c r="L74">
        <v>729</v>
      </c>
      <c r="M74" t="s">
        <v>15</v>
      </c>
      <c r="N74" t="s">
        <v>16</v>
      </c>
      <c r="O74" s="14">
        <v>42564</v>
      </c>
      <c r="P74" t="s">
        <v>19</v>
      </c>
      <c r="R74">
        <f t="shared" si="6"/>
        <v>67504.800000000003</v>
      </c>
      <c r="S74">
        <f t="shared" si="7"/>
        <v>26152996</v>
      </c>
    </row>
    <row r="75" spans="1:19" x14ac:dyDescent="0.25">
      <c r="A75">
        <v>215</v>
      </c>
      <c r="B75" s="13">
        <v>21840</v>
      </c>
      <c r="C75" s="13">
        <v>5420</v>
      </c>
      <c r="D75" s="13">
        <v>30</v>
      </c>
      <c r="E75" s="26">
        <f t="shared" si="5"/>
        <v>-0.1894184568427022</v>
      </c>
      <c r="F75" s="24">
        <f>IF(Kalibratiemetingen!C75&gt;0,Grafiek_kalibratiemetingen!$R$13*Kalibratiemetingen!C75+Grafiek_kalibratiemetingen!$R$14,TRIM(""))</f>
        <v>14.089418456842703</v>
      </c>
      <c r="G75" s="12">
        <v>13.9</v>
      </c>
      <c r="H75" s="12">
        <v>31</v>
      </c>
      <c r="I75" s="2">
        <f>IF(IF(Kalibratiemetingen!C75&gt;0,1,0)+IF(Kalibratiemetingen!G75&gt;0,1,0)=2,1,0)</f>
        <v>1</v>
      </c>
      <c r="J75" t="s">
        <v>23</v>
      </c>
      <c r="K75" t="s">
        <v>14</v>
      </c>
      <c r="L75">
        <v>729</v>
      </c>
      <c r="M75" t="s">
        <v>15</v>
      </c>
      <c r="N75" t="s">
        <v>16</v>
      </c>
      <c r="O75" s="14">
        <v>42564</v>
      </c>
      <c r="P75" t="s">
        <v>19</v>
      </c>
      <c r="R75">
        <f t="shared" si="6"/>
        <v>75338</v>
      </c>
      <c r="S75">
        <f t="shared" si="7"/>
        <v>29376400</v>
      </c>
    </row>
    <row r="76" spans="1:19" x14ac:dyDescent="0.25">
      <c r="A76">
        <v>210</v>
      </c>
      <c r="B76" s="13">
        <v>21490</v>
      </c>
      <c r="C76" s="13">
        <v>4795</v>
      </c>
      <c r="D76" s="13">
        <v>30</v>
      </c>
      <c r="E76" s="26">
        <f t="shared" si="5"/>
        <v>-0.49849098386330581</v>
      </c>
      <c r="F76" s="24">
        <f>IF(Kalibratiemetingen!C76&gt;0,Grafiek_kalibratiemetingen!$R$13*Kalibratiemetingen!C76+Grafiek_kalibratiemetingen!$R$14,TRIM(""))</f>
        <v>13.198490983863305</v>
      </c>
      <c r="G76" s="12">
        <v>12.7</v>
      </c>
      <c r="H76" s="12">
        <v>29.4</v>
      </c>
      <c r="I76" s="2">
        <f>IF(IF(Kalibratiemetingen!C76&gt;0,1,0)+IF(Kalibratiemetingen!G76&gt;0,1,0)=2,1,0)</f>
        <v>1</v>
      </c>
      <c r="J76" t="s">
        <v>23</v>
      </c>
      <c r="K76" t="s">
        <v>14</v>
      </c>
      <c r="L76">
        <v>729</v>
      </c>
      <c r="M76" t="s">
        <v>15</v>
      </c>
      <c r="N76" t="s">
        <v>16</v>
      </c>
      <c r="O76" t="s">
        <v>27</v>
      </c>
      <c r="P76" t="s">
        <v>28</v>
      </c>
      <c r="R76">
        <f t="shared" si="6"/>
        <v>60896.5</v>
      </c>
      <c r="S76">
        <f t="shared" si="7"/>
        <v>22992025</v>
      </c>
    </row>
    <row r="77" spans="1:19" x14ac:dyDescent="0.25">
      <c r="A77">
        <v>214</v>
      </c>
      <c r="B77" s="13">
        <v>21573</v>
      </c>
      <c r="C77">
        <v>4823</v>
      </c>
      <c r="D77" s="13">
        <v>30</v>
      </c>
      <c r="E77" s="26" t="str">
        <f t="shared" si="5"/>
        <v/>
      </c>
      <c r="F77" s="24">
        <f>IF(Kalibratiemetingen!C77&gt;0,Grafiek_kalibratiemetingen!$R$13*Kalibratiemetingen!C77+Grafiek_kalibratiemetingen!$R$14,TRIM(""))</f>
        <v>13.23840453465278</v>
      </c>
      <c r="I77" s="2">
        <f>IF(IF(Kalibratiemetingen!C77&gt;0,1,0)+IF(Kalibratiemetingen!G77&gt;0,1,0)=2,1,0)</f>
        <v>0</v>
      </c>
      <c r="J77" t="s">
        <v>23</v>
      </c>
      <c r="K77" t="s">
        <v>14</v>
      </c>
      <c r="L77">
        <v>729</v>
      </c>
      <c r="M77" t="s">
        <v>15</v>
      </c>
      <c r="N77" t="s">
        <v>16</v>
      </c>
      <c r="O77" t="s">
        <v>27</v>
      </c>
      <c r="P77" t="s">
        <v>28</v>
      </c>
      <c r="Q77" t="s">
        <v>29</v>
      </c>
      <c r="R77">
        <f t="shared" si="6"/>
        <v>0</v>
      </c>
      <c r="S77">
        <f t="shared" si="7"/>
        <v>23261329</v>
      </c>
    </row>
    <row r="78" spans="1:19" x14ac:dyDescent="0.25">
      <c r="A78">
        <v>216</v>
      </c>
      <c r="B78" s="13">
        <v>21594</v>
      </c>
      <c r="C78" s="13">
        <v>4628</v>
      </c>
      <c r="D78" s="13">
        <v>30</v>
      </c>
      <c r="E78" s="26">
        <f t="shared" si="5"/>
        <v>-0.66043516308320704</v>
      </c>
      <c r="F78" s="24">
        <f>IF(Kalibratiemetingen!C78&gt;0,Grafiek_kalibratiemetingen!$R$13*Kalibratiemetingen!C78+Grafiek_kalibratiemetingen!$R$14,TRIM(""))</f>
        <v>12.960435163083208</v>
      </c>
      <c r="G78" s="12">
        <v>12.3</v>
      </c>
      <c r="H78" s="12">
        <v>29.4</v>
      </c>
      <c r="I78" s="2">
        <f>IF(IF(Kalibratiemetingen!C78&gt;0,1,0)+IF(Kalibratiemetingen!G78&gt;0,1,0)=2,1,0)</f>
        <v>1</v>
      </c>
      <c r="J78" t="s">
        <v>23</v>
      </c>
      <c r="K78" t="s">
        <v>14</v>
      </c>
      <c r="L78">
        <v>729</v>
      </c>
      <c r="M78" t="s">
        <v>15</v>
      </c>
      <c r="N78" t="s">
        <v>16</v>
      </c>
      <c r="O78" t="s">
        <v>27</v>
      </c>
      <c r="P78" t="s">
        <v>28</v>
      </c>
      <c r="R78">
        <f t="shared" si="6"/>
        <v>56924.4</v>
      </c>
      <c r="S78">
        <f t="shared" si="7"/>
        <v>21418384</v>
      </c>
    </row>
    <row r="79" spans="1:19" x14ac:dyDescent="0.25">
      <c r="A79">
        <v>215</v>
      </c>
      <c r="B79" s="13">
        <v>21625</v>
      </c>
      <c r="C79" s="13">
        <v>5260</v>
      </c>
      <c r="D79" s="13">
        <v>30</v>
      </c>
      <c r="E79" s="26">
        <f t="shared" si="5"/>
        <v>-0.36134102375997657</v>
      </c>
      <c r="F79" s="24">
        <f>IF(Kalibratiemetingen!C79&gt;0,Grafiek_kalibratiemetingen!$R$13*Kalibratiemetingen!C79+Grafiek_kalibratiemetingen!$R$14,TRIM(""))</f>
        <v>13.861341023759977</v>
      </c>
      <c r="G79" s="12">
        <v>13.5</v>
      </c>
      <c r="H79" s="12">
        <v>29.4</v>
      </c>
      <c r="I79" s="2">
        <f>IF(IF(Kalibratiemetingen!C79&gt;0,1,0)+IF(Kalibratiemetingen!G79&gt;0,1,0)=2,1,0)</f>
        <v>1</v>
      </c>
      <c r="J79" t="s">
        <v>23</v>
      </c>
      <c r="K79" t="s">
        <v>14</v>
      </c>
      <c r="L79">
        <v>729</v>
      </c>
      <c r="M79" t="s">
        <v>15</v>
      </c>
      <c r="N79" t="s">
        <v>16</v>
      </c>
      <c r="O79" t="s">
        <v>27</v>
      </c>
      <c r="P79" t="s">
        <v>28</v>
      </c>
      <c r="R79">
        <f t="shared" si="6"/>
        <v>71010</v>
      </c>
      <c r="S79">
        <f t="shared" si="7"/>
        <v>27667600</v>
      </c>
    </row>
    <row r="80" spans="1:19" x14ac:dyDescent="0.25">
      <c r="A80">
        <v>211</v>
      </c>
      <c r="B80" s="13">
        <v>21633</v>
      </c>
      <c r="C80">
        <v>4844</v>
      </c>
      <c r="D80" s="13">
        <v>30</v>
      </c>
      <c r="E80" s="26" t="str">
        <f t="shared" si="5"/>
        <v/>
      </c>
      <c r="F80" s="24">
        <f>IF(Kalibratiemetingen!C80&gt;0,Grafiek_kalibratiemetingen!$R$13*Kalibratiemetingen!C80+Grafiek_kalibratiemetingen!$R$14,TRIM(""))</f>
        <v>13.268339697744889</v>
      </c>
      <c r="I80" s="2">
        <f>IF(IF(Kalibratiemetingen!C80&gt;0,1,0)+IF(Kalibratiemetingen!G80&gt;0,1,0)=2,1,0)</f>
        <v>0</v>
      </c>
      <c r="J80" t="s">
        <v>23</v>
      </c>
      <c r="K80" t="s">
        <v>14</v>
      </c>
      <c r="L80">
        <v>729</v>
      </c>
      <c r="M80" t="s">
        <v>15</v>
      </c>
      <c r="N80" t="s">
        <v>16</v>
      </c>
      <c r="O80" t="s">
        <v>27</v>
      </c>
      <c r="P80" t="s">
        <v>28</v>
      </c>
      <c r="Q80" t="s">
        <v>29</v>
      </c>
      <c r="R80">
        <f t="shared" si="6"/>
        <v>0</v>
      </c>
      <c r="S80">
        <f t="shared" si="7"/>
        <v>23464336</v>
      </c>
    </row>
    <row r="81" spans="1:19" x14ac:dyDescent="0.25">
      <c r="A81">
        <v>212</v>
      </c>
      <c r="B81" s="13">
        <v>21658</v>
      </c>
      <c r="C81" s="13">
        <v>3045</v>
      </c>
      <c r="D81" s="13">
        <v>30</v>
      </c>
      <c r="E81" s="26">
        <f t="shared" si="5"/>
        <v>0.29610594047901273</v>
      </c>
      <c r="F81" s="24">
        <f>IF(Kalibratiemetingen!C81&gt;0,Grafiek_kalibratiemetingen!$R$13*Kalibratiemetingen!C81+Grafiek_kalibratiemetingen!$R$14,TRIM(""))</f>
        <v>10.703894059520987</v>
      </c>
      <c r="G81" s="12">
        <v>11</v>
      </c>
      <c r="H81" s="12">
        <v>29.4</v>
      </c>
      <c r="I81" s="2">
        <f>IF(IF(Kalibratiemetingen!C81&gt;0,1,0)+IF(Kalibratiemetingen!G81&gt;0,1,0)=2,1,0)</f>
        <v>1</v>
      </c>
      <c r="J81" t="s">
        <v>23</v>
      </c>
      <c r="K81" t="s">
        <v>14</v>
      </c>
      <c r="L81">
        <v>729</v>
      </c>
      <c r="M81" t="s">
        <v>15</v>
      </c>
      <c r="N81" t="s">
        <v>16</v>
      </c>
      <c r="O81" t="s">
        <v>27</v>
      </c>
      <c r="P81" t="s">
        <v>28</v>
      </c>
      <c r="R81">
        <f t="shared" si="6"/>
        <v>33495</v>
      </c>
      <c r="S81">
        <f t="shared" si="7"/>
        <v>9272025</v>
      </c>
    </row>
    <row r="82" spans="1:19" x14ac:dyDescent="0.25">
      <c r="A82">
        <v>217</v>
      </c>
      <c r="B82" s="13">
        <v>21646</v>
      </c>
      <c r="C82" s="13">
        <v>4323</v>
      </c>
      <c r="D82" s="13">
        <v>30</v>
      </c>
      <c r="E82" s="26">
        <f t="shared" si="5"/>
        <v>-0.72566255626926157</v>
      </c>
      <c r="F82" s="24">
        <f>IF(Kalibratiemetingen!C82&gt;0,Grafiek_kalibratiemetingen!$R$13*Kalibratiemetingen!C82+Grafiek_kalibratiemetingen!$R$14,TRIM(""))</f>
        <v>12.525662556269262</v>
      </c>
      <c r="G82" s="12">
        <v>11.8</v>
      </c>
      <c r="H82" s="12">
        <v>29.3</v>
      </c>
      <c r="I82" s="2">
        <f>IF(IF(Kalibratiemetingen!C82&gt;0,1,0)+IF(Kalibratiemetingen!G82&gt;0,1,0)=2,1,0)</f>
        <v>1</v>
      </c>
      <c r="J82" t="s">
        <v>23</v>
      </c>
      <c r="K82" t="s">
        <v>14</v>
      </c>
      <c r="L82">
        <v>729</v>
      </c>
      <c r="M82" t="s">
        <v>15</v>
      </c>
      <c r="N82" t="s">
        <v>16</v>
      </c>
      <c r="O82" t="s">
        <v>27</v>
      </c>
      <c r="P82" t="s">
        <v>28</v>
      </c>
      <c r="R82">
        <f t="shared" si="6"/>
        <v>51011.4</v>
      </c>
      <c r="S82">
        <f t="shared" si="7"/>
        <v>18688329</v>
      </c>
    </row>
    <row r="83" spans="1:19" x14ac:dyDescent="0.25">
      <c r="A83">
        <v>9285</v>
      </c>
      <c r="B83" s="13">
        <v>21626</v>
      </c>
      <c r="C83" s="13">
        <v>4994</v>
      </c>
      <c r="D83" s="13">
        <v>30</v>
      </c>
      <c r="E83" s="26">
        <f t="shared" si="5"/>
        <v>-0.58216229125994445</v>
      </c>
      <c r="F83" s="24">
        <f>IF(Kalibratiemetingen!C83&gt;0,Grafiek_kalibratiemetingen!$R$13*Kalibratiemetingen!C83+Grafiek_kalibratiemetingen!$R$14,TRIM(""))</f>
        <v>13.482162291259945</v>
      </c>
      <c r="G83" s="12">
        <v>12.9</v>
      </c>
      <c r="H83" s="12">
        <v>30</v>
      </c>
      <c r="I83" s="2">
        <f>IF(IF(Kalibratiemetingen!C83&gt;0,1,0)+IF(Kalibratiemetingen!G83&gt;0,1,0)=2,1,0)</f>
        <v>1</v>
      </c>
      <c r="J83" t="s">
        <v>23</v>
      </c>
      <c r="K83" t="s">
        <v>14</v>
      </c>
      <c r="L83">
        <v>729</v>
      </c>
      <c r="M83" t="s">
        <v>15</v>
      </c>
      <c r="N83" t="s">
        <v>16</v>
      </c>
      <c r="O83" t="s">
        <v>27</v>
      </c>
      <c r="P83" t="s">
        <v>28</v>
      </c>
      <c r="R83">
        <f t="shared" si="6"/>
        <v>64422.6</v>
      </c>
      <c r="S83">
        <f t="shared" si="7"/>
        <v>24940036</v>
      </c>
    </row>
    <row r="84" spans="1:19" x14ac:dyDescent="0.25">
      <c r="A84">
        <v>9288</v>
      </c>
      <c r="B84" s="13">
        <v>21536</v>
      </c>
      <c r="C84" s="13">
        <v>3347</v>
      </c>
      <c r="D84" s="13">
        <v>30</v>
      </c>
      <c r="E84" s="26">
        <f t="shared" si="5"/>
        <v>-3.4390214464632862E-2</v>
      </c>
      <c r="F84" s="24">
        <f>IF(Kalibratiemetingen!C84&gt;0,Grafiek_kalibratiemetingen!$R$13*Kalibratiemetingen!C84+Grafiek_kalibratiemetingen!$R$14,TRIM(""))</f>
        <v>11.134390214464633</v>
      </c>
      <c r="G84" s="12">
        <v>11.1</v>
      </c>
      <c r="H84" s="12">
        <v>30.2</v>
      </c>
      <c r="I84" s="2">
        <f>IF(IF(Kalibratiemetingen!C84&gt;0,1,0)+IF(Kalibratiemetingen!G84&gt;0,1,0)=2,1,0)</f>
        <v>1</v>
      </c>
      <c r="J84" t="s">
        <v>23</v>
      </c>
      <c r="K84" t="s">
        <v>14</v>
      </c>
      <c r="L84">
        <v>729</v>
      </c>
      <c r="M84" t="s">
        <v>15</v>
      </c>
      <c r="N84" t="s">
        <v>16</v>
      </c>
      <c r="O84" t="s">
        <v>27</v>
      </c>
      <c r="P84" t="s">
        <v>28</v>
      </c>
      <c r="R84">
        <f t="shared" si="6"/>
        <v>37151.699999999997</v>
      </c>
      <c r="S84">
        <f t="shared" si="7"/>
        <v>11202409</v>
      </c>
    </row>
    <row r="85" spans="1:19" x14ac:dyDescent="0.25">
      <c r="A85">
        <v>9289</v>
      </c>
      <c r="B85" s="13">
        <v>21574</v>
      </c>
      <c r="C85" s="13">
        <v>2721</v>
      </c>
      <c r="D85" s="13">
        <v>30</v>
      </c>
      <c r="E85" s="26">
        <f t="shared" si="5"/>
        <v>0.3579627424715337</v>
      </c>
      <c r="F85" s="24">
        <f>IF(Kalibratiemetingen!C85&gt;0,Grafiek_kalibratiemetingen!$R$13*Kalibratiemetingen!C85+Grafiek_kalibratiemetingen!$R$14,TRIM(""))</f>
        <v>10.242037257528466</v>
      </c>
      <c r="G85" s="12">
        <v>10.6</v>
      </c>
      <c r="H85" s="12">
        <v>31</v>
      </c>
      <c r="I85" s="2">
        <f>IF(IF(Kalibratiemetingen!C85&gt;0,1,0)+IF(Kalibratiemetingen!G85&gt;0,1,0)=2,1,0)</f>
        <v>1</v>
      </c>
      <c r="J85" t="s">
        <v>23</v>
      </c>
      <c r="K85" t="s">
        <v>14</v>
      </c>
      <c r="L85">
        <v>729</v>
      </c>
      <c r="M85" t="s">
        <v>15</v>
      </c>
      <c r="N85" t="s">
        <v>16</v>
      </c>
      <c r="O85" t="s">
        <v>27</v>
      </c>
      <c r="P85" t="s">
        <v>28</v>
      </c>
      <c r="R85">
        <f t="shared" si="6"/>
        <v>28842.6</v>
      </c>
      <c r="S85">
        <f t="shared" si="7"/>
        <v>7403841</v>
      </c>
    </row>
    <row r="86" spans="1:19" x14ac:dyDescent="0.25">
      <c r="A86">
        <v>9269</v>
      </c>
      <c r="B86" s="13">
        <v>21597</v>
      </c>
      <c r="C86" s="13">
        <v>4369</v>
      </c>
      <c r="D86" s="13">
        <v>30</v>
      </c>
      <c r="E86" s="26">
        <f t="shared" si="5"/>
        <v>-0.29123481828054487</v>
      </c>
      <c r="F86" s="24">
        <f>IF(Kalibratiemetingen!C86&gt;0,Grafiek_kalibratiemetingen!$R$13*Kalibratiemetingen!C86+Grafiek_kalibratiemetingen!$R$14,TRIM(""))</f>
        <v>12.591234818280546</v>
      </c>
      <c r="G86" s="12">
        <v>12.3</v>
      </c>
      <c r="H86" s="12">
        <v>30.2</v>
      </c>
      <c r="I86" s="2">
        <f>IF(IF(Kalibratiemetingen!C86&gt;0,1,0)+IF(Kalibratiemetingen!G86&gt;0,1,0)=2,1,0)</f>
        <v>1</v>
      </c>
      <c r="J86" t="s">
        <v>23</v>
      </c>
      <c r="K86" t="s">
        <v>14</v>
      </c>
      <c r="L86">
        <v>729</v>
      </c>
      <c r="M86" t="s">
        <v>15</v>
      </c>
      <c r="N86" t="s">
        <v>16</v>
      </c>
      <c r="O86" t="s">
        <v>27</v>
      </c>
      <c r="P86" t="s">
        <v>30</v>
      </c>
      <c r="R86">
        <f t="shared" si="6"/>
        <v>53738.700000000004</v>
      </c>
      <c r="S86">
        <f t="shared" si="7"/>
        <v>19088161</v>
      </c>
    </row>
    <row r="87" spans="1:19" x14ac:dyDescent="0.25">
      <c r="A87">
        <v>9267</v>
      </c>
      <c r="B87" s="13">
        <v>21639</v>
      </c>
      <c r="C87" s="13">
        <v>5078</v>
      </c>
      <c r="D87" s="13">
        <v>30</v>
      </c>
      <c r="E87" s="26">
        <f t="shared" si="5"/>
        <v>-0.10190294362837449</v>
      </c>
      <c r="F87" s="24">
        <f>IF(Kalibratiemetingen!C87&gt;0,Grafiek_kalibratiemetingen!$R$13*Kalibratiemetingen!C87+Grafiek_kalibratiemetingen!$R$14,TRIM(""))</f>
        <v>13.601902943628374</v>
      </c>
      <c r="G87" s="12">
        <v>13.5</v>
      </c>
      <c r="H87" s="12">
        <v>30</v>
      </c>
      <c r="I87" s="2">
        <f>IF(IF(Kalibratiemetingen!C87&gt;0,1,0)+IF(Kalibratiemetingen!G87&gt;0,1,0)=2,1,0)</f>
        <v>1</v>
      </c>
      <c r="J87" t="s">
        <v>23</v>
      </c>
      <c r="K87" t="s">
        <v>14</v>
      </c>
      <c r="L87">
        <v>729</v>
      </c>
      <c r="M87" t="s">
        <v>15</v>
      </c>
      <c r="N87" t="s">
        <v>16</v>
      </c>
      <c r="O87" t="s">
        <v>27</v>
      </c>
      <c r="P87" t="s">
        <v>30</v>
      </c>
      <c r="R87">
        <f t="shared" si="6"/>
        <v>68553</v>
      </c>
      <c r="S87">
        <f t="shared" si="7"/>
        <v>25786084</v>
      </c>
    </row>
    <row r="88" spans="1:19" x14ac:dyDescent="0.25">
      <c r="A88">
        <v>9267</v>
      </c>
      <c r="B88" s="13">
        <v>21674</v>
      </c>
      <c r="C88" s="13">
        <v>5183</v>
      </c>
      <c r="D88" s="13">
        <v>30</v>
      </c>
      <c r="E88" s="26">
        <f t="shared" si="5"/>
        <v>-0.15157875908891505</v>
      </c>
      <c r="F88" s="24">
        <f>IF(Kalibratiemetingen!C88&gt;0,Grafiek_kalibratiemetingen!$R$13*Kalibratiemetingen!C88+Grafiek_kalibratiemetingen!$R$14,TRIM(""))</f>
        <v>13.751578759088915</v>
      </c>
      <c r="G88" s="12">
        <v>13.6</v>
      </c>
      <c r="H88" s="12">
        <v>30.1</v>
      </c>
      <c r="I88" s="2">
        <f>IF(IF(Kalibratiemetingen!C88&gt;0,1,0)+IF(Kalibratiemetingen!G88&gt;0,1,0)=2,1,0)</f>
        <v>1</v>
      </c>
      <c r="J88" t="s">
        <v>23</v>
      </c>
      <c r="K88" t="s">
        <v>14</v>
      </c>
      <c r="L88">
        <v>729</v>
      </c>
      <c r="M88" t="s">
        <v>15</v>
      </c>
      <c r="N88" t="s">
        <v>16</v>
      </c>
      <c r="O88" t="s">
        <v>27</v>
      </c>
      <c r="P88" t="s">
        <v>30</v>
      </c>
      <c r="Q88" t="s">
        <v>31</v>
      </c>
      <c r="R88">
        <f t="shared" si="6"/>
        <v>70488.800000000003</v>
      </c>
      <c r="S88">
        <f t="shared" si="7"/>
        <v>26863489</v>
      </c>
    </row>
    <row r="89" spans="1:19" x14ac:dyDescent="0.25">
      <c r="A89">
        <v>9267</v>
      </c>
      <c r="B89" s="13">
        <v>21666</v>
      </c>
      <c r="C89" s="13">
        <v>5123</v>
      </c>
      <c r="D89" s="13">
        <v>30</v>
      </c>
      <c r="E89" s="26">
        <f t="shared" si="5"/>
        <v>-6.6049721682892581E-2</v>
      </c>
      <c r="F89" s="24">
        <f>IF(Kalibratiemetingen!C89&gt;0,Grafiek_kalibratiemetingen!$R$13*Kalibratiemetingen!C89+Grafiek_kalibratiemetingen!$R$14,TRIM(""))</f>
        <v>13.666049721682892</v>
      </c>
      <c r="G89" s="12">
        <v>13.6</v>
      </c>
      <c r="H89" s="12">
        <v>30.1</v>
      </c>
      <c r="I89" s="2">
        <f>IF(IF(Kalibratiemetingen!C89&gt;0,1,0)+IF(Kalibratiemetingen!G89&gt;0,1,0)=2,1,0)</f>
        <v>1</v>
      </c>
      <c r="J89" t="s">
        <v>23</v>
      </c>
      <c r="K89" t="s">
        <v>14</v>
      </c>
      <c r="L89">
        <v>729</v>
      </c>
      <c r="M89" t="s">
        <v>15</v>
      </c>
      <c r="N89" t="s">
        <v>16</v>
      </c>
      <c r="O89" t="s">
        <v>27</v>
      </c>
      <c r="P89" t="s">
        <v>30</v>
      </c>
      <c r="Q89" t="s">
        <v>32</v>
      </c>
      <c r="R89">
        <f t="shared" si="6"/>
        <v>69672.800000000003</v>
      </c>
      <c r="S89">
        <f t="shared" si="7"/>
        <v>26245129</v>
      </c>
    </row>
    <row r="90" spans="1:19" x14ac:dyDescent="0.25">
      <c r="A90">
        <v>9261</v>
      </c>
      <c r="B90" s="13">
        <v>21671</v>
      </c>
      <c r="C90" s="13">
        <v>4657</v>
      </c>
      <c r="D90" s="13">
        <v>30</v>
      </c>
      <c r="E90" s="26">
        <f t="shared" si="5"/>
        <v>-0.50177419782945165</v>
      </c>
      <c r="F90" s="24">
        <f>IF(Kalibratiemetingen!C90&gt;0,Grafiek_kalibratiemetingen!$R$13*Kalibratiemetingen!C90+Grafiek_kalibratiemetingen!$R$14,TRIM(""))</f>
        <v>13.001774197829452</v>
      </c>
      <c r="G90" s="12">
        <v>12.5</v>
      </c>
      <c r="H90" s="12">
        <v>30.1</v>
      </c>
      <c r="I90" s="2">
        <f>IF(IF(Kalibratiemetingen!C90&gt;0,1,0)+IF(Kalibratiemetingen!G90&gt;0,1,0)=2,1,0)</f>
        <v>1</v>
      </c>
      <c r="J90" t="s">
        <v>23</v>
      </c>
      <c r="K90" t="s">
        <v>14</v>
      </c>
      <c r="L90">
        <v>729</v>
      </c>
      <c r="M90" t="s">
        <v>15</v>
      </c>
      <c r="N90" t="s">
        <v>16</v>
      </c>
      <c r="O90" t="s">
        <v>27</v>
      </c>
      <c r="P90" t="s">
        <v>30</v>
      </c>
      <c r="R90">
        <f t="shared" si="6"/>
        <v>58212.5</v>
      </c>
      <c r="S90">
        <f t="shared" si="7"/>
        <v>21687649</v>
      </c>
    </row>
    <row r="91" spans="1:19" x14ac:dyDescent="0.25">
      <c r="A91">
        <v>9262</v>
      </c>
      <c r="B91" s="13">
        <v>21655</v>
      </c>
      <c r="C91" s="13">
        <v>4885</v>
      </c>
      <c r="D91" s="13">
        <v>30</v>
      </c>
      <c r="E91" s="26">
        <f t="shared" si="5"/>
        <v>-0.72678453997233738</v>
      </c>
      <c r="F91" s="24">
        <f>IF(Kalibratiemetingen!C91&gt;0,Grafiek_kalibratiemetingen!$R$13*Kalibratiemetingen!C91+Grafiek_kalibratiemetingen!$R$14,TRIM(""))</f>
        <v>13.326784539972337</v>
      </c>
      <c r="G91" s="12">
        <v>12.6</v>
      </c>
      <c r="H91" s="12">
        <v>29.9</v>
      </c>
      <c r="I91" s="2">
        <f>IF(IF(Kalibratiemetingen!C91&gt;0,1,0)+IF(Kalibratiemetingen!G91&gt;0,1,0)=2,1,0)</f>
        <v>1</v>
      </c>
      <c r="J91" t="s">
        <v>23</v>
      </c>
      <c r="K91" t="s">
        <v>14</v>
      </c>
      <c r="L91">
        <v>729</v>
      </c>
      <c r="M91" t="s">
        <v>15</v>
      </c>
      <c r="N91" t="s">
        <v>16</v>
      </c>
      <c r="O91" t="s">
        <v>27</v>
      </c>
      <c r="P91" t="s">
        <v>30</v>
      </c>
      <c r="R91">
        <f t="shared" si="6"/>
        <v>61551</v>
      </c>
      <c r="S91">
        <f t="shared" si="7"/>
        <v>23863225</v>
      </c>
    </row>
    <row r="92" spans="1:19" x14ac:dyDescent="0.25">
      <c r="A92">
        <v>9265</v>
      </c>
      <c r="B92" s="13">
        <v>21655</v>
      </c>
      <c r="C92" s="13">
        <v>3995</v>
      </c>
      <c r="D92" s="13">
        <v>30</v>
      </c>
      <c r="E92" s="26">
        <f t="shared" si="5"/>
        <v>-0.55810381844967338</v>
      </c>
      <c r="F92" s="24">
        <f>IF(Kalibratiemetingen!C92&gt;0,Grafiek_kalibratiemetingen!$R$13*Kalibratiemetingen!C92+Grafiek_kalibratiemetingen!$R$14,TRIM(""))</f>
        <v>12.058103818449673</v>
      </c>
      <c r="G92" s="12">
        <v>11.5</v>
      </c>
      <c r="H92" s="12">
        <v>29.9</v>
      </c>
      <c r="I92" s="2">
        <f>IF(IF(Kalibratiemetingen!C92&gt;0,1,0)+IF(Kalibratiemetingen!G92&gt;0,1,0)=2,1,0)</f>
        <v>1</v>
      </c>
      <c r="J92" t="s">
        <v>23</v>
      </c>
      <c r="K92" t="s">
        <v>14</v>
      </c>
      <c r="L92">
        <v>729</v>
      </c>
      <c r="M92" t="s">
        <v>15</v>
      </c>
      <c r="N92" t="s">
        <v>16</v>
      </c>
      <c r="O92" t="s">
        <v>27</v>
      </c>
      <c r="P92" t="s">
        <v>19</v>
      </c>
      <c r="R92">
        <f t="shared" si="6"/>
        <v>45942.5</v>
      </c>
      <c r="S92">
        <f t="shared" si="7"/>
        <v>15960025</v>
      </c>
    </row>
    <row r="93" spans="1:19" x14ac:dyDescent="0.25">
      <c r="A93">
        <v>9266</v>
      </c>
      <c r="B93" s="13">
        <v>21663</v>
      </c>
      <c r="C93" s="13">
        <v>4108</v>
      </c>
      <c r="D93" s="13">
        <v>30</v>
      </c>
      <c r="E93" s="26">
        <f t="shared" si="5"/>
        <v>-0.61918350556434909</v>
      </c>
      <c r="F93" s="24">
        <f>IF(Kalibratiemetingen!C93&gt;0,Grafiek_kalibratiemetingen!$R$13*Kalibratiemetingen!C93+Grafiek_kalibratiemetingen!$R$14,TRIM(""))</f>
        <v>12.219183505564349</v>
      </c>
      <c r="G93" s="12">
        <v>11.6</v>
      </c>
      <c r="H93" s="12">
        <v>30</v>
      </c>
      <c r="I93" s="2">
        <f>IF(IF(Kalibratiemetingen!C93&gt;0,1,0)+IF(Kalibratiemetingen!G93&gt;0,1,0)=2,1,0)</f>
        <v>1</v>
      </c>
      <c r="J93" t="s">
        <v>23</v>
      </c>
      <c r="K93" t="s">
        <v>14</v>
      </c>
      <c r="L93">
        <v>729</v>
      </c>
      <c r="M93" t="s">
        <v>15</v>
      </c>
      <c r="N93" t="s">
        <v>16</v>
      </c>
      <c r="O93" t="s">
        <v>27</v>
      </c>
      <c r="P93" t="s">
        <v>19</v>
      </c>
      <c r="R93">
        <f t="shared" si="6"/>
        <v>47652.799999999996</v>
      </c>
      <c r="S93">
        <f t="shared" si="7"/>
        <v>16875664</v>
      </c>
    </row>
    <row r="94" spans="1:19" x14ac:dyDescent="0.25">
      <c r="A94">
        <v>9327</v>
      </c>
      <c r="B94" s="13">
        <v>21484</v>
      </c>
      <c r="C94" s="13">
        <v>4878</v>
      </c>
      <c r="D94" s="13">
        <v>30</v>
      </c>
      <c r="E94" s="26">
        <f t="shared" si="5"/>
        <v>-1.6806152274966735E-2</v>
      </c>
      <c r="F94" s="24">
        <f>IF(Kalibratiemetingen!C94&gt;0,Grafiek_kalibratiemetingen!$R$13*Kalibratiemetingen!C94+Grafiek_kalibratiemetingen!$R$14,TRIM(""))</f>
        <v>13.316806152274967</v>
      </c>
      <c r="G94" s="12">
        <v>13.3</v>
      </c>
      <c r="H94" s="12">
        <v>30.4</v>
      </c>
      <c r="I94" s="2">
        <f>IF(IF(Kalibratiemetingen!C94&gt;0,1,0)+IF(Kalibratiemetingen!G94&gt;0,1,0)=2,1,0)</f>
        <v>1</v>
      </c>
      <c r="J94" t="s">
        <v>23</v>
      </c>
      <c r="K94" t="s">
        <v>14</v>
      </c>
      <c r="L94">
        <v>729</v>
      </c>
      <c r="M94" t="s">
        <v>15</v>
      </c>
      <c r="N94" t="s">
        <v>16</v>
      </c>
      <c r="O94" t="s">
        <v>27</v>
      </c>
      <c r="P94" t="s">
        <v>19</v>
      </c>
      <c r="R94">
        <f t="shared" si="6"/>
        <v>64877.4</v>
      </c>
      <c r="S94">
        <f t="shared" si="7"/>
        <v>23794884</v>
      </c>
    </row>
    <row r="95" spans="1:19" x14ac:dyDescent="0.25">
      <c r="A95">
        <v>9326</v>
      </c>
      <c r="B95" s="13">
        <v>21602</v>
      </c>
      <c r="C95" s="13">
        <v>4673</v>
      </c>
      <c r="D95" s="13">
        <v>30</v>
      </c>
      <c r="E95" s="26">
        <f t="shared" si="5"/>
        <v>-0.72458194113772478</v>
      </c>
      <c r="F95" s="24">
        <f>IF(Kalibratiemetingen!C95&gt;0,Grafiek_kalibratiemetingen!$R$13*Kalibratiemetingen!C95+Grafiek_kalibratiemetingen!$R$14,TRIM(""))</f>
        <v>13.024581941137725</v>
      </c>
      <c r="G95" s="12">
        <v>12.3</v>
      </c>
      <c r="H95" s="12">
        <v>30.4</v>
      </c>
      <c r="I95" s="2">
        <f>IF(IF(Kalibratiemetingen!C95&gt;0,1,0)+IF(Kalibratiemetingen!G95&gt;0,1,0)=2,1,0)</f>
        <v>1</v>
      </c>
      <c r="J95" t="s">
        <v>23</v>
      </c>
      <c r="K95" t="s">
        <v>14</v>
      </c>
      <c r="L95">
        <v>729</v>
      </c>
      <c r="M95" t="s">
        <v>15</v>
      </c>
      <c r="N95" t="s">
        <v>16</v>
      </c>
      <c r="O95" t="s">
        <v>27</v>
      </c>
      <c r="P95" t="s">
        <v>19</v>
      </c>
      <c r="R95">
        <f t="shared" si="6"/>
        <v>57477.9</v>
      </c>
      <c r="S95">
        <f t="shared" si="7"/>
        <v>21836929</v>
      </c>
    </row>
    <row r="96" spans="1:19" x14ac:dyDescent="0.25">
      <c r="A96">
        <v>9323</v>
      </c>
      <c r="B96" s="13">
        <v>21617</v>
      </c>
      <c r="C96" s="13">
        <v>4147</v>
      </c>
      <c r="D96" s="13">
        <v>30</v>
      </c>
      <c r="E96" s="26">
        <f t="shared" si="5"/>
        <v>-0.67477737987826281</v>
      </c>
      <c r="F96" s="24">
        <f>IF(Kalibratiemetingen!C96&gt;0,Grafiek_kalibratiemetingen!$R$13*Kalibratiemetingen!C96+Grafiek_kalibratiemetingen!$R$14,TRIM(""))</f>
        <v>12.274777379878262</v>
      </c>
      <c r="G96" s="12">
        <v>11.6</v>
      </c>
      <c r="H96" s="12">
        <v>30.4</v>
      </c>
      <c r="I96" s="2">
        <f>IF(IF(Kalibratiemetingen!C96&gt;0,1,0)+IF(Kalibratiemetingen!G96&gt;0,1,0)=2,1,0)</f>
        <v>1</v>
      </c>
      <c r="J96" t="s">
        <v>23</v>
      </c>
      <c r="K96" t="s">
        <v>14</v>
      </c>
      <c r="L96">
        <v>729</v>
      </c>
      <c r="M96" t="s">
        <v>15</v>
      </c>
      <c r="N96" t="s">
        <v>16</v>
      </c>
      <c r="O96" t="s">
        <v>27</v>
      </c>
      <c r="P96" t="s">
        <v>19</v>
      </c>
      <c r="R96">
        <f t="shared" si="6"/>
        <v>48105.2</v>
      </c>
      <c r="S96">
        <f t="shared" si="7"/>
        <v>17197609</v>
      </c>
    </row>
    <row r="97" spans="1:19" x14ac:dyDescent="0.25">
      <c r="A97">
        <v>9355</v>
      </c>
      <c r="B97" s="13">
        <v>21275</v>
      </c>
      <c r="C97" s="13">
        <v>4097</v>
      </c>
      <c r="D97" s="13">
        <v>30</v>
      </c>
      <c r="E97" s="26">
        <f t="shared" si="5"/>
        <v>-0.10350318203991193</v>
      </c>
      <c r="F97" s="24">
        <f>IF(Kalibratiemetingen!C97&gt;0,Grafiek_kalibratiemetingen!$R$13*Kalibratiemetingen!C97+Grafiek_kalibratiemetingen!$R$14,TRIM(""))</f>
        <v>12.203503182039912</v>
      </c>
      <c r="G97" s="12">
        <v>12.1</v>
      </c>
      <c r="H97" s="12">
        <v>30.4</v>
      </c>
      <c r="I97" s="2">
        <f>IF(IF(Kalibratiemetingen!C97&gt;0,1,0)+IF(Kalibratiemetingen!G97&gt;0,1,0)=2,1,0)</f>
        <v>1</v>
      </c>
      <c r="J97" t="s">
        <v>23</v>
      </c>
      <c r="K97" t="s">
        <v>14</v>
      </c>
      <c r="L97">
        <v>729</v>
      </c>
      <c r="M97" t="s">
        <v>15</v>
      </c>
      <c r="N97" t="s">
        <v>16</v>
      </c>
      <c r="O97" t="s">
        <v>27</v>
      </c>
      <c r="P97" t="s">
        <v>19</v>
      </c>
      <c r="R97">
        <f t="shared" si="6"/>
        <v>49573.7</v>
      </c>
      <c r="S97">
        <f t="shared" si="7"/>
        <v>16785409</v>
      </c>
    </row>
    <row r="98" spans="1:19" x14ac:dyDescent="0.25">
      <c r="A98">
        <v>9359</v>
      </c>
      <c r="B98" s="13">
        <v>21379</v>
      </c>
      <c r="C98" s="13">
        <v>5529</v>
      </c>
      <c r="D98" s="13">
        <v>30</v>
      </c>
      <c r="E98" s="26">
        <f t="shared" si="5"/>
        <v>1.3552037918696893</v>
      </c>
      <c r="F98" s="24">
        <f>IF(Kalibratiemetingen!C98&gt;0,Grafiek_kalibratiemetingen!$R$13*Kalibratiemetingen!C98+Grafiek_kalibratiemetingen!$R$14,TRIM(""))</f>
        <v>14.24479620813031</v>
      </c>
      <c r="G98" s="12">
        <v>15.6</v>
      </c>
      <c r="H98" s="12">
        <v>31.4</v>
      </c>
      <c r="I98" s="2">
        <f>IF(IF(Kalibratiemetingen!C98&gt;0,1,0)+IF(Kalibratiemetingen!G98&gt;0,1,0)=2,1,0)</f>
        <v>1</v>
      </c>
      <c r="J98" t="s">
        <v>23</v>
      </c>
      <c r="K98" t="s">
        <v>14</v>
      </c>
      <c r="L98">
        <v>729</v>
      </c>
      <c r="M98" t="s">
        <v>15</v>
      </c>
      <c r="N98" t="s">
        <v>16</v>
      </c>
      <c r="O98" t="s">
        <v>27</v>
      </c>
      <c r="P98" t="s">
        <v>19</v>
      </c>
      <c r="R98">
        <f t="shared" si="6"/>
        <v>86252.4</v>
      </c>
      <c r="S98">
        <f t="shared" si="7"/>
        <v>30569841</v>
      </c>
    </row>
    <row r="99" spans="1:19" x14ac:dyDescent="0.25">
      <c r="A99">
        <v>9359</v>
      </c>
      <c r="B99" s="13">
        <v>21366</v>
      </c>
      <c r="C99" s="13">
        <v>5622</v>
      </c>
      <c r="D99" s="13">
        <v>30</v>
      </c>
      <c r="E99" s="26">
        <f>IF(I99,G99-F99,TRIM(""))</f>
        <v>1.2226337838903536</v>
      </c>
      <c r="F99" s="24">
        <f>IF(Kalibratiemetingen!C99&gt;0,Grafiek_kalibratiemetingen!$R$13*Kalibratiemetingen!C99+Grafiek_kalibratiemetingen!$R$14,TRIM(""))</f>
        <v>14.377366216109646</v>
      </c>
      <c r="G99" s="12">
        <v>15.6</v>
      </c>
      <c r="H99" s="12">
        <v>30.8</v>
      </c>
      <c r="I99" s="2">
        <f>IF(IF(Kalibratiemetingen!C99&gt;0,1,0)+IF(Kalibratiemetingen!G99&gt;0,1,0)=2,1,0)</f>
        <v>1</v>
      </c>
      <c r="J99" t="s">
        <v>23</v>
      </c>
      <c r="K99" t="s">
        <v>14</v>
      </c>
      <c r="L99">
        <v>729</v>
      </c>
      <c r="M99" t="s">
        <v>15</v>
      </c>
      <c r="N99" t="s">
        <v>16</v>
      </c>
      <c r="O99" t="s">
        <v>27</v>
      </c>
      <c r="P99" t="s">
        <v>19</v>
      </c>
      <c r="Q99" t="s">
        <v>116</v>
      </c>
      <c r="R99">
        <f t="shared" si="6"/>
        <v>87703.2</v>
      </c>
      <c r="S99">
        <f t="shared" si="7"/>
        <v>31606884</v>
      </c>
    </row>
    <row r="100" spans="1:19" x14ac:dyDescent="0.25">
      <c r="A100">
        <v>9359</v>
      </c>
      <c r="B100" s="13">
        <v>21406</v>
      </c>
      <c r="C100" s="13">
        <v>5539</v>
      </c>
      <c r="D100" s="13">
        <v>30</v>
      </c>
      <c r="E100" s="26">
        <f>IF(I100,G100-F100,TRIM(""))</f>
        <v>1.3409489523020195</v>
      </c>
      <c r="F100" s="24">
        <f>IF(Kalibratiemetingen!C100&gt;0,Grafiek_kalibratiemetingen!$R$13*Kalibratiemetingen!C100+Grafiek_kalibratiemetingen!$R$14,TRIM(""))</f>
        <v>14.25905104769798</v>
      </c>
      <c r="G100" s="12">
        <v>15.6</v>
      </c>
      <c r="H100" s="12">
        <v>30.6</v>
      </c>
      <c r="I100" s="2">
        <f>IF(IF(Kalibratiemetingen!C100&gt;0,1,0)+IF(Kalibratiemetingen!G100&gt;0,1,0)=2,1,0)</f>
        <v>1</v>
      </c>
      <c r="J100" t="s">
        <v>23</v>
      </c>
      <c r="K100" t="s">
        <v>14</v>
      </c>
      <c r="L100">
        <v>729</v>
      </c>
      <c r="M100" t="s">
        <v>15</v>
      </c>
      <c r="N100" t="s">
        <v>16</v>
      </c>
      <c r="O100" t="s">
        <v>27</v>
      </c>
      <c r="P100" t="s">
        <v>19</v>
      </c>
      <c r="R100">
        <f t="shared" si="6"/>
        <v>86408.4</v>
      </c>
      <c r="S100">
        <f t="shared" si="7"/>
        <v>30680521</v>
      </c>
    </row>
    <row r="101" spans="1:19" x14ac:dyDescent="0.25">
      <c r="A101">
        <v>9359</v>
      </c>
      <c r="B101" s="13">
        <v>21411</v>
      </c>
      <c r="C101" s="13">
        <v>5526</v>
      </c>
      <c r="D101" s="13">
        <v>30</v>
      </c>
      <c r="E101" s="26">
        <f t="shared" si="5"/>
        <v>1.3594802437399895</v>
      </c>
      <c r="F101" s="24">
        <f>IF(Kalibratiemetingen!C101&gt;0,Grafiek_kalibratiemetingen!$R$13*Kalibratiemetingen!C101+Grafiek_kalibratiemetingen!$R$14,TRIM(""))</f>
        <v>14.24051975626001</v>
      </c>
      <c r="G101" s="12">
        <v>15.6</v>
      </c>
      <c r="H101" s="12">
        <v>30.7</v>
      </c>
      <c r="I101" s="2">
        <f>IF(IF(Kalibratiemetingen!C101&gt;0,1,0)+IF(Kalibratiemetingen!G101&gt;0,1,0)=2,1,0)</f>
        <v>1</v>
      </c>
      <c r="J101" t="s">
        <v>23</v>
      </c>
      <c r="K101" t="s">
        <v>14</v>
      </c>
      <c r="L101">
        <v>729</v>
      </c>
      <c r="M101" t="s">
        <v>15</v>
      </c>
      <c r="N101" t="s">
        <v>16</v>
      </c>
      <c r="O101" t="s">
        <v>27</v>
      </c>
      <c r="P101" t="s">
        <v>19</v>
      </c>
      <c r="Q101" t="s">
        <v>117</v>
      </c>
      <c r="R101">
        <f t="shared" si="6"/>
        <v>86205.599999999991</v>
      </c>
      <c r="S101">
        <f t="shared" si="7"/>
        <v>30536676</v>
      </c>
    </row>
    <row r="102" spans="1:19" x14ac:dyDescent="0.25">
      <c r="A102">
        <v>9452</v>
      </c>
      <c r="B102" s="13">
        <v>21144</v>
      </c>
      <c r="C102" s="13">
        <v>4579</v>
      </c>
      <c r="D102" s="13">
        <v>29</v>
      </c>
      <c r="E102" s="26">
        <f t="shared" si="5"/>
        <v>-0.69058644920162493</v>
      </c>
      <c r="F102" s="24">
        <f>IF(Kalibratiemetingen!C102&gt;0,Grafiek_kalibratiemetingen!$R$13*Kalibratiemetingen!C102+Grafiek_kalibratiemetingen!$R$14,TRIM(""))</f>
        <v>12.890586449201624</v>
      </c>
      <c r="G102" s="12">
        <v>12.2</v>
      </c>
      <c r="H102" s="12">
        <v>29.6</v>
      </c>
      <c r="I102" s="2">
        <f>IF(IF(Kalibratiemetingen!C102&gt;0,1,0)+IF(Kalibratiemetingen!G102&gt;0,1,0)=2,1,0)</f>
        <v>1</v>
      </c>
      <c r="J102" t="s">
        <v>23</v>
      </c>
      <c r="K102" t="s">
        <v>14</v>
      </c>
      <c r="L102">
        <v>729</v>
      </c>
      <c r="M102" t="s">
        <v>15</v>
      </c>
      <c r="N102" t="s">
        <v>16</v>
      </c>
      <c r="O102" s="55">
        <v>42570</v>
      </c>
      <c r="P102" t="s">
        <v>128</v>
      </c>
      <c r="R102">
        <f t="shared" si="6"/>
        <v>55863.799999999996</v>
      </c>
      <c r="S102">
        <f t="shared" si="7"/>
        <v>20967241</v>
      </c>
    </row>
    <row r="103" spans="1:19" x14ac:dyDescent="0.25">
      <c r="A103">
        <v>9452</v>
      </c>
      <c r="B103" s="13">
        <v>21261</v>
      </c>
      <c r="C103" s="13">
        <v>3844</v>
      </c>
      <c r="D103" s="13">
        <v>30</v>
      </c>
      <c r="E103" s="26">
        <f t="shared" si="5"/>
        <v>0.35714425902214941</v>
      </c>
      <c r="F103" s="24">
        <f>IF(Kalibratiemetingen!C103&gt;0,Grafiek_kalibratiemetingen!$R$13*Kalibratiemetingen!C103+Grafiek_kalibratiemetingen!$R$14,TRIM(""))</f>
        <v>11.84285574097785</v>
      </c>
      <c r="G103" s="12">
        <v>12.2</v>
      </c>
      <c r="H103" s="12">
        <v>29.6</v>
      </c>
      <c r="I103" s="2">
        <f>IF(IF(Kalibratiemetingen!C103&gt;0,1,0)+IF(Kalibratiemetingen!G103&gt;0,1,0)=2,1,0)</f>
        <v>1</v>
      </c>
      <c r="J103" t="s">
        <v>23</v>
      </c>
      <c r="K103" t="s">
        <v>14</v>
      </c>
      <c r="L103">
        <v>729</v>
      </c>
      <c r="M103" t="s">
        <v>124</v>
      </c>
      <c r="N103" t="s">
        <v>16</v>
      </c>
      <c r="O103" s="55">
        <v>42570</v>
      </c>
      <c r="P103" t="s">
        <v>128</v>
      </c>
      <c r="Q103" t="s">
        <v>125</v>
      </c>
      <c r="R103">
        <f t="shared" si="6"/>
        <v>46896.799999999996</v>
      </c>
      <c r="S103">
        <f t="shared" si="7"/>
        <v>14776336</v>
      </c>
    </row>
    <row r="104" spans="1:19" x14ac:dyDescent="0.25">
      <c r="A104">
        <v>9453</v>
      </c>
      <c r="B104" s="13">
        <v>21293</v>
      </c>
      <c r="C104" s="13">
        <v>3203</v>
      </c>
      <c r="D104" s="13">
        <v>30</v>
      </c>
      <c r="E104" s="26">
        <f t="shared" si="5"/>
        <v>0.17087947530981928</v>
      </c>
      <c r="F104" s="24">
        <f>IF(Kalibratiemetingen!C104&gt;0,Grafiek_kalibratiemetingen!$R$13*Kalibratiemetingen!C104+Grafiek_kalibratiemetingen!$R$14,TRIM(""))</f>
        <v>10.92912052469018</v>
      </c>
      <c r="G104" s="12">
        <v>11.1</v>
      </c>
      <c r="H104" s="12">
        <v>30.1</v>
      </c>
      <c r="I104" s="2">
        <f>IF(IF(Kalibratiemetingen!C104&gt;0,1,0)+IF(Kalibratiemetingen!G104&gt;0,1,0)=2,1,0)</f>
        <v>1</v>
      </c>
      <c r="J104" t="s">
        <v>23</v>
      </c>
      <c r="K104" t="s">
        <v>14</v>
      </c>
      <c r="L104">
        <v>729</v>
      </c>
      <c r="M104" t="s">
        <v>15</v>
      </c>
      <c r="N104" t="s">
        <v>16</v>
      </c>
      <c r="O104" s="55">
        <v>42570</v>
      </c>
      <c r="P104" t="s">
        <v>128</v>
      </c>
      <c r="Q104" t="s">
        <v>126</v>
      </c>
      <c r="R104">
        <f t="shared" si="6"/>
        <v>35553.299999999996</v>
      </c>
      <c r="S104">
        <f t="shared" si="7"/>
        <v>10259209</v>
      </c>
    </row>
    <row r="105" spans="1:19" x14ac:dyDescent="0.25">
      <c r="A105">
        <v>9453</v>
      </c>
      <c r="B105" s="13">
        <v>21363</v>
      </c>
      <c r="C105" s="13">
        <v>2225</v>
      </c>
      <c r="D105" s="13">
        <v>30</v>
      </c>
      <c r="E105" s="26">
        <f t="shared" si="5"/>
        <v>1.5650027850279837</v>
      </c>
      <c r="F105" s="24">
        <f>IF(Kalibratiemetingen!C105&gt;0,Grafiek_kalibratiemetingen!$R$13*Kalibratiemetingen!C105+Grafiek_kalibratiemetingen!$R$14,TRIM(""))</f>
        <v>9.5349972149720159</v>
      </c>
      <c r="G105" s="12">
        <v>11.1</v>
      </c>
      <c r="H105" s="12">
        <v>30.1</v>
      </c>
      <c r="I105" s="2">
        <f>IF(IF(Kalibratiemetingen!C105&gt;0,1,0)+IF(Kalibratiemetingen!G105&gt;0,1,0)=2,1,0)</f>
        <v>1</v>
      </c>
      <c r="J105" t="s">
        <v>23</v>
      </c>
      <c r="K105" t="s">
        <v>14</v>
      </c>
      <c r="L105">
        <v>729</v>
      </c>
      <c r="M105" t="s">
        <v>124</v>
      </c>
      <c r="N105" t="s">
        <v>16</v>
      </c>
      <c r="O105" s="55">
        <v>42570</v>
      </c>
      <c r="P105" t="s">
        <v>128</v>
      </c>
      <c r="R105">
        <f t="shared" si="6"/>
        <v>24697.5</v>
      </c>
      <c r="S105">
        <f t="shared" si="7"/>
        <v>4950625</v>
      </c>
    </row>
    <row r="106" spans="1:19" x14ac:dyDescent="0.25">
      <c r="A106">
        <v>9453</v>
      </c>
      <c r="B106" s="13">
        <v>21350</v>
      </c>
      <c r="C106" s="13">
        <v>2853</v>
      </c>
      <c r="D106" s="13">
        <v>30</v>
      </c>
      <c r="E106" s="26">
        <f t="shared" si="5"/>
        <v>0.66979886017828427</v>
      </c>
      <c r="F106" s="24">
        <f>IF(Kalibratiemetingen!C106&gt;0,Grafiek_kalibratiemetingen!$R$13*Kalibratiemetingen!C106+Grafiek_kalibratiemetingen!$R$14,TRIM(""))</f>
        <v>10.430201139821715</v>
      </c>
      <c r="G106" s="12">
        <v>11.1</v>
      </c>
      <c r="H106" s="12">
        <v>30.1</v>
      </c>
      <c r="I106" s="2">
        <f>IF(IF(Kalibratiemetingen!C106&gt;0,1,0)+IF(Kalibratiemetingen!G106&gt;0,1,0)=2,1,0)</f>
        <v>1</v>
      </c>
      <c r="J106" t="s">
        <v>23</v>
      </c>
      <c r="K106" t="s">
        <v>14</v>
      </c>
      <c r="L106">
        <v>729</v>
      </c>
      <c r="M106" t="s">
        <v>124</v>
      </c>
      <c r="N106" t="s">
        <v>16</v>
      </c>
      <c r="O106" s="55">
        <v>42570</v>
      </c>
      <c r="P106" t="s">
        <v>128</v>
      </c>
      <c r="R106">
        <f t="shared" si="6"/>
        <v>31668.3</v>
      </c>
      <c r="S106">
        <f t="shared" si="7"/>
        <v>8139609</v>
      </c>
    </row>
    <row r="107" spans="1:19" x14ac:dyDescent="0.25">
      <c r="A107">
        <v>9453</v>
      </c>
      <c r="B107" s="13">
        <v>21346</v>
      </c>
      <c r="C107" s="13">
        <v>2915</v>
      </c>
      <c r="D107" s="13">
        <v>30</v>
      </c>
      <c r="E107" s="26">
        <f t="shared" si="5"/>
        <v>0.58141885485872713</v>
      </c>
      <c r="F107" s="24">
        <f>IF(Kalibratiemetingen!C107&gt;0,Grafiek_kalibratiemetingen!$R$13*Kalibratiemetingen!C107+Grafiek_kalibratiemetingen!$R$14,TRIM(""))</f>
        <v>10.518581145141273</v>
      </c>
      <c r="G107" s="12">
        <v>11.1</v>
      </c>
      <c r="H107" s="12">
        <v>30.1</v>
      </c>
      <c r="I107" s="2">
        <f>IF(IF(Kalibratiemetingen!C107&gt;0,1,0)+IF(Kalibratiemetingen!G107&gt;0,1,0)=2,1,0)</f>
        <v>1</v>
      </c>
      <c r="J107" t="s">
        <v>23</v>
      </c>
      <c r="K107" t="s">
        <v>14</v>
      </c>
      <c r="L107">
        <v>729</v>
      </c>
      <c r="M107" t="s">
        <v>124</v>
      </c>
      <c r="N107" t="s">
        <v>16</v>
      </c>
      <c r="O107" s="55">
        <v>42570</v>
      </c>
      <c r="P107" t="s">
        <v>128</v>
      </c>
      <c r="R107">
        <f t="shared" si="6"/>
        <v>32356.5</v>
      </c>
      <c r="S107">
        <f t="shared" si="7"/>
        <v>8497225</v>
      </c>
    </row>
    <row r="108" spans="1:19" x14ac:dyDescent="0.25">
      <c r="A108">
        <v>9453</v>
      </c>
      <c r="B108" s="13">
        <v>21358</v>
      </c>
      <c r="C108" s="13">
        <v>3072</v>
      </c>
      <c r="D108" s="13">
        <v>30</v>
      </c>
      <c r="E108" s="26">
        <f t="shared" si="5"/>
        <v>0.35761787364630315</v>
      </c>
      <c r="F108" s="24">
        <f>IF(Kalibratiemetingen!C108&gt;0,Grafiek_kalibratiemetingen!$R$13*Kalibratiemetingen!C108+Grafiek_kalibratiemetingen!$R$14,TRIM(""))</f>
        <v>10.742382126353696</v>
      </c>
      <c r="G108" s="12">
        <v>11.1</v>
      </c>
      <c r="H108" s="12">
        <v>30.1</v>
      </c>
      <c r="I108" s="2">
        <f>IF(IF(Kalibratiemetingen!C108&gt;0,1,0)+IF(Kalibratiemetingen!G108&gt;0,1,0)=2,1,0)</f>
        <v>1</v>
      </c>
      <c r="J108" t="s">
        <v>23</v>
      </c>
      <c r="K108" t="s">
        <v>14</v>
      </c>
      <c r="L108">
        <v>729</v>
      </c>
      <c r="M108" t="s">
        <v>124</v>
      </c>
      <c r="N108" t="s">
        <v>16</v>
      </c>
      <c r="O108" s="55">
        <v>42570</v>
      </c>
      <c r="P108" t="s">
        <v>128</v>
      </c>
      <c r="R108">
        <f t="shared" si="6"/>
        <v>34099.199999999997</v>
      </c>
      <c r="S108">
        <f t="shared" si="7"/>
        <v>9437184</v>
      </c>
    </row>
    <row r="109" spans="1:19" x14ac:dyDescent="0.25">
      <c r="A109">
        <v>9453</v>
      </c>
      <c r="B109" s="13">
        <v>21344</v>
      </c>
      <c r="C109" s="13">
        <v>3376</v>
      </c>
      <c r="D109" s="13">
        <v>30</v>
      </c>
      <c r="E109" s="26">
        <f t="shared" si="5"/>
        <v>-7.5729249210876759E-2</v>
      </c>
      <c r="F109" s="24">
        <f>IF(Kalibratiemetingen!C109&gt;0,Grafiek_kalibratiemetingen!$R$13*Kalibratiemetingen!C109+Grafiek_kalibratiemetingen!$R$14,TRIM(""))</f>
        <v>11.175729249210876</v>
      </c>
      <c r="G109" s="12">
        <v>11.1</v>
      </c>
      <c r="H109" s="12">
        <v>30.1</v>
      </c>
      <c r="I109" s="2">
        <f>IF(IF(Kalibratiemetingen!C109&gt;0,1,0)+IF(Kalibratiemetingen!G109&gt;0,1,0)=2,1,0)</f>
        <v>1</v>
      </c>
      <c r="J109" t="s">
        <v>23</v>
      </c>
      <c r="K109" t="s">
        <v>14</v>
      </c>
      <c r="L109">
        <v>729</v>
      </c>
      <c r="M109" t="s">
        <v>15</v>
      </c>
      <c r="N109" t="s">
        <v>16</v>
      </c>
      <c r="O109" s="55">
        <v>42570</v>
      </c>
      <c r="P109" t="s">
        <v>128</v>
      </c>
      <c r="R109">
        <f t="shared" si="6"/>
        <v>37473.599999999999</v>
      </c>
      <c r="S109">
        <f t="shared" si="7"/>
        <v>11397376</v>
      </c>
    </row>
    <row r="110" spans="1:19" x14ac:dyDescent="0.25">
      <c r="A110">
        <v>9468</v>
      </c>
      <c r="B110" s="13">
        <v>21390</v>
      </c>
      <c r="C110" s="13">
        <v>4890</v>
      </c>
      <c r="D110" s="13">
        <v>30</v>
      </c>
      <c r="E110" s="26">
        <f t="shared" si="5"/>
        <v>-3.3911959756171228E-2</v>
      </c>
      <c r="F110" s="24">
        <f>IF(Kalibratiemetingen!C110&gt;0,Grafiek_kalibratiemetingen!$R$13*Kalibratiemetingen!C110+Grafiek_kalibratiemetingen!$R$14,TRIM(""))</f>
        <v>13.333911959756172</v>
      </c>
      <c r="G110" s="12">
        <v>13.3</v>
      </c>
      <c r="H110" s="12">
        <v>30.6</v>
      </c>
      <c r="I110" s="2">
        <f>IF(IF(Kalibratiemetingen!C110&gt;0,1,0)+IF(Kalibratiemetingen!G110&gt;0,1,0)=2,1,0)</f>
        <v>1</v>
      </c>
      <c r="J110" t="s">
        <v>23</v>
      </c>
      <c r="K110" t="s">
        <v>14</v>
      </c>
      <c r="L110">
        <v>729</v>
      </c>
      <c r="M110" t="s">
        <v>15</v>
      </c>
      <c r="N110" t="s">
        <v>16</v>
      </c>
      <c r="O110" s="55">
        <v>42570</v>
      </c>
      <c r="P110" t="s">
        <v>128</v>
      </c>
      <c r="R110">
        <f t="shared" si="6"/>
        <v>65037</v>
      </c>
      <c r="S110">
        <f t="shared" si="7"/>
        <v>23912100</v>
      </c>
    </row>
    <row r="111" spans="1:19" x14ac:dyDescent="0.25">
      <c r="A111">
        <v>9465</v>
      </c>
      <c r="B111" s="13">
        <v>21378</v>
      </c>
      <c r="C111" s="13">
        <v>5706</v>
      </c>
      <c r="D111" s="13">
        <v>30</v>
      </c>
      <c r="E111" s="26">
        <f t="shared" si="5"/>
        <v>1.4028931315219264</v>
      </c>
      <c r="F111" s="24">
        <f>IF(Kalibratiemetingen!C111&gt;0,Grafiek_kalibratiemetingen!$R$13*Kalibratiemetingen!C111+Grafiek_kalibratiemetingen!$R$14,TRIM(""))</f>
        <v>14.497106868478074</v>
      </c>
      <c r="G111" s="12">
        <v>15.9</v>
      </c>
      <c r="H111" s="12">
        <v>30.3</v>
      </c>
      <c r="I111" s="2">
        <f>IF(IF(Kalibratiemetingen!C111&gt;0,1,0)+IF(Kalibratiemetingen!G111&gt;0,1,0)=2,1,0)</f>
        <v>1</v>
      </c>
      <c r="J111" t="s">
        <v>23</v>
      </c>
      <c r="K111" t="s">
        <v>14</v>
      </c>
      <c r="L111">
        <v>729</v>
      </c>
      <c r="M111" t="s">
        <v>15</v>
      </c>
      <c r="N111" t="s">
        <v>16</v>
      </c>
      <c r="O111" s="55">
        <v>42570</v>
      </c>
      <c r="P111" t="s">
        <v>128</v>
      </c>
      <c r="R111">
        <f t="shared" si="6"/>
        <v>90725.400000000009</v>
      </c>
      <c r="S111">
        <f t="shared" si="7"/>
        <v>32558436</v>
      </c>
    </row>
    <row r="112" spans="1:19" x14ac:dyDescent="0.25">
      <c r="A112">
        <v>9465</v>
      </c>
      <c r="B112" s="13">
        <v>21414</v>
      </c>
      <c r="C112" s="13">
        <v>5666</v>
      </c>
      <c r="D112" s="13">
        <v>31</v>
      </c>
      <c r="E112" s="26">
        <f t="shared" si="5"/>
        <v>1.359912489792606</v>
      </c>
      <c r="F112" s="24">
        <f>IF(Kalibratiemetingen!C112&gt;0,Grafiek_kalibratiemetingen!$R$13*Kalibratiemetingen!C112+Grafiek_kalibratiemetingen!$R$14,TRIM(""))</f>
        <v>14.440087510207395</v>
      </c>
      <c r="G112" s="12">
        <v>15.8</v>
      </c>
      <c r="H112" s="12">
        <v>30.6</v>
      </c>
      <c r="I112" s="2">
        <f>IF(IF(Kalibratiemetingen!C112&gt;0,1,0)+IF(Kalibratiemetingen!G112&gt;0,1,0)=2,1,0)</f>
        <v>1</v>
      </c>
      <c r="J112" t="s">
        <v>23</v>
      </c>
      <c r="K112" t="s">
        <v>14</v>
      </c>
      <c r="L112">
        <v>729</v>
      </c>
      <c r="M112" t="s">
        <v>15</v>
      </c>
      <c r="N112" t="s">
        <v>16</v>
      </c>
      <c r="O112" s="55">
        <v>42570</v>
      </c>
      <c r="P112" t="s">
        <v>128</v>
      </c>
      <c r="R112">
        <f t="shared" si="6"/>
        <v>89522.8</v>
      </c>
      <c r="S112">
        <f t="shared" si="7"/>
        <v>32103556</v>
      </c>
    </row>
    <row r="113" spans="1:19" x14ac:dyDescent="0.25">
      <c r="A113">
        <v>9465</v>
      </c>
      <c r="B113" s="13">
        <v>21449</v>
      </c>
      <c r="C113" s="13">
        <v>4763</v>
      </c>
      <c r="D113" s="13">
        <v>31</v>
      </c>
      <c r="E113" s="26">
        <f t="shared" si="5"/>
        <v>2.6471245027532433</v>
      </c>
      <c r="F113" s="24">
        <f>IF(Kalibratiemetingen!C113&gt;0,Grafiek_kalibratiemetingen!$R$13*Kalibratiemetingen!C113+Grafiek_kalibratiemetingen!$R$14,TRIM(""))</f>
        <v>13.152875497246757</v>
      </c>
      <c r="G113" s="12">
        <v>15.8</v>
      </c>
      <c r="H113" s="12">
        <v>30.6</v>
      </c>
      <c r="I113" s="2">
        <f>IF(IF(Kalibratiemetingen!C113&gt;0,1,0)+IF(Kalibratiemetingen!G113&gt;0,1,0)=2,1,0)</f>
        <v>1</v>
      </c>
      <c r="J113" t="s">
        <v>23</v>
      </c>
      <c r="K113" t="s">
        <v>14</v>
      </c>
      <c r="L113">
        <v>729</v>
      </c>
      <c r="M113" t="s">
        <v>124</v>
      </c>
      <c r="N113" t="s">
        <v>16</v>
      </c>
      <c r="O113" s="55">
        <v>42570</v>
      </c>
      <c r="P113" t="s">
        <v>128</v>
      </c>
      <c r="R113">
        <f t="shared" si="6"/>
        <v>75255.400000000009</v>
      </c>
      <c r="S113">
        <f t="shared" si="7"/>
        <v>22686169</v>
      </c>
    </row>
    <row r="114" spans="1:19" x14ac:dyDescent="0.25">
      <c r="A114">
        <v>9465</v>
      </c>
      <c r="B114" s="13">
        <v>21456</v>
      </c>
      <c r="C114" s="13">
        <v>4626</v>
      </c>
      <c r="D114" s="13">
        <v>31</v>
      </c>
      <c r="E114" s="26">
        <f t="shared" si="5"/>
        <v>2.8424158048303259</v>
      </c>
      <c r="F114" s="24">
        <f>IF(Kalibratiemetingen!C114&gt;0,Grafiek_kalibratiemetingen!$R$13*Kalibratiemetingen!C114+Grafiek_kalibratiemetingen!$R$14,TRIM(""))</f>
        <v>12.957584195169675</v>
      </c>
      <c r="G114" s="12">
        <v>15.8</v>
      </c>
      <c r="H114" s="12">
        <v>30.6</v>
      </c>
      <c r="I114" s="2">
        <f>IF(IF(Kalibratiemetingen!C114&gt;0,1,0)+IF(Kalibratiemetingen!G114&gt;0,1,0)=2,1,0)</f>
        <v>1</v>
      </c>
      <c r="J114" t="s">
        <v>23</v>
      </c>
      <c r="K114" t="s">
        <v>14</v>
      </c>
      <c r="L114">
        <v>729</v>
      </c>
      <c r="M114" t="s">
        <v>124</v>
      </c>
      <c r="N114" t="s">
        <v>16</v>
      </c>
      <c r="O114" s="55">
        <v>42570</v>
      </c>
      <c r="P114" t="s">
        <v>128</v>
      </c>
      <c r="R114">
        <f t="shared" si="6"/>
        <v>73090.8</v>
      </c>
      <c r="S114">
        <f t="shared" si="7"/>
        <v>21399876</v>
      </c>
    </row>
    <row r="115" spans="1:19" x14ac:dyDescent="0.25">
      <c r="A115">
        <v>9465</v>
      </c>
      <c r="B115" s="13">
        <v>21455</v>
      </c>
      <c r="C115" s="13">
        <v>4891</v>
      </c>
      <c r="D115" s="13">
        <v>31</v>
      </c>
      <c r="E115" s="26">
        <f t="shared" si="5"/>
        <v>2.4646625562870614</v>
      </c>
      <c r="F115" s="24">
        <f>IF(Kalibratiemetingen!C115&gt;0,Grafiek_kalibratiemetingen!$R$13*Kalibratiemetingen!C115+Grafiek_kalibratiemetingen!$R$14,TRIM(""))</f>
        <v>13.335337443712939</v>
      </c>
      <c r="G115" s="12">
        <v>15.8</v>
      </c>
      <c r="H115" s="12">
        <v>30.6</v>
      </c>
      <c r="I115" s="2">
        <f>IF(IF(Kalibratiemetingen!C115&gt;0,1,0)+IF(Kalibratiemetingen!G115&gt;0,1,0)=2,1,0)</f>
        <v>1</v>
      </c>
      <c r="J115" t="s">
        <v>23</v>
      </c>
      <c r="K115" t="s">
        <v>14</v>
      </c>
      <c r="L115">
        <v>729</v>
      </c>
      <c r="M115" t="s">
        <v>124</v>
      </c>
      <c r="N115" t="s">
        <v>16</v>
      </c>
      <c r="O115" s="55">
        <v>42570</v>
      </c>
      <c r="P115" t="s">
        <v>128</v>
      </c>
      <c r="R115">
        <f t="shared" si="6"/>
        <v>77277.8</v>
      </c>
      <c r="S115">
        <f t="shared" si="7"/>
        <v>23921881</v>
      </c>
    </row>
    <row r="116" spans="1:19" x14ac:dyDescent="0.25">
      <c r="A116">
        <v>9465</v>
      </c>
      <c r="B116" s="13">
        <v>21473</v>
      </c>
      <c r="C116" s="13">
        <v>4849</v>
      </c>
      <c r="D116" s="13">
        <v>31</v>
      </c>
      <c r="E116" s="26">
        <f t="shared" si="5"/>
        <v>2.5245328824712772</v>
      </c>
      <c r="F116" s="24">
        <f>IF(Kalibratiemetingen!C116&gt;0,Grafiek_kalibratiemetingen!$R$13*Kalibratiemetingen!C116+Grafiek_kalibratiemetingen!$R$14,TRIM(""))</f>
        <v>13.275467117528724</v>
      </c>
      <c r="G116" s="12">
        <v>15.8</v>
      </c>
      <c r="H116" s="12">
        <v>30.6</v>
      </c>
      <c r="I116" s="2">
        <f>IF(IF(Kalibratiemetingen!C116&gt;0,1,0)+IF(Kalibratiemetingen!G116&gt;0,1,0)=2,1,0)</f>
        <v>1</v>
      </c>
      <c r="J116" t="s">
        <v>23</v>
      </c>
      <c r="K116" t="s">
        <v>14</v>
      </c>
      <c r="L116">
        <v>729</v>
      </c>
      <c r="M116" t="s">
        <v>124</v>
      </c>
      <c r="N116" t="s">
        <v>16</v>
      </c>
      <c r="O116" s="55">
        <v>42570</v>
      </c>
      <c r="P116" t="s">
        <v>128</v>
      </c>
      <c r="R116">
        <f t="shared" si="6"/>
        <v>76614.2</v>
      </c>
      <c r="S116">
        <f t="shared" si="7"/>
        <v>23512801</v>
      </c>
    </row>
    <row r="117" spans="1:19" s="56" customFormat="1" x14ac:dyDescent="0.25">
      <c r="A117" s="56">
        <v>9465</v>
      </c>
      <c r="B117" s="57">
        <v>21410</v>
      </c>
      <c r="C117" s="57">
        <v>5505</v>
      </c>
      <c r="D117" s="57">
        <v>31</v>
      </c>
      <c r="E117" s="58">
        <f t="shared" si="5"/>
        <v>1.5894154068320994</v>
      </c>
      <c r="F117" s="59">
        <f>IF(Kalibratiemetingen!C117&gt;0,Grafiek_kalibratiemetingen!$R$13*Kalibratiemetingen!C117+Grafiek_kalibratiemetingen!$R$14,TRIM(""))</f>
        <v>14.210584593167901</v>
      </c>
      <c r="G117" s="60">
        <v>15.8</v>
      </c>
      <c r="H117" s="60">
        <v>30.6</v>
      </c>
      <c r="I117" s="61">
        <f>IF(IF(Kalibratiemetingen!C117&gt;0,1,0)+IF(Kalibratiemetingen!G117&gt;0,1,0)=2,1,0)</f>
        <v>1</v>
      </c>
      <c r="J117" s="56" t="s">
        <v>23</v>
      </c>
      <c r="K117" s="56" t="s">
        <v>14</v>
      </c>
      <c r="L117" s="56">
        <v>729</v>
      </c>
      <c r="M117" s="56" t="s">
        <v>15</v>
      </c>
      <c r="N117" s="56" t="s">
        <v>16</v>
      </c>
      <c r="O117" s="62">
        <v>42570</v>
      </c>
      <c r="P117" s="56" t="s">
        <v>128</v>
      </c>
      <c r="Q117" s="56" t="s">
        <v>127</v>
      </c>
      <c r="R117" s="56">
        <f t="shared" si="6"/>
        <v>86979</v>
      </c>
      <c r="S117" s="56">
        <f t="shared" si="7"/>
        <v>30305025</v>
      </c>
    </row>
    <row r="118" spans="1:19" x14ac:dyDescent="0.25">
      <c r="F118" s="24" t="str">
        <f>IF(Kalibratiemetingen!C118&gt;0,Grafiek_kalibratiemetingen!$R$13*Kalibratiemetingen!C118+Grafiek_kalibratiemetingen!$R$14,TRIM(""))</f>
        <v/>
      </c>
      <c r="I118" s="2">
        <f>IF(IF(Kalibratiemetingen!C118&gt;0,1,0)+IF(Kalibratiemetingen!G118&gt;0,1,0)=2,1,0)</f>
        <v>0</v>
      </c>
      <c r="S118">
        <f t="shared" si="7"/>
        <v>0</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7"/>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7"/>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7"/>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7"/>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7"/>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7"/>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7"/>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7"/>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7"/>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7"/>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7"/>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7"/>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7"/>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7"/>
        <v>0</v>
      </c>
    </row>
    <row r="133" spans="6:19" x14ac:dyDescent="0.25">
      <c r="F133" s="24" t="str">
        <f>IF(Kalibratiemetingen!C133&gt;0,Grafiek_kalibratiemetingen!$R$13*Kalibratiemetingen!C133+Grafiek_kalibratiemetingen!$R$14,TRIM(""))</f>
        <v/>
      </c>
      <c r="I133" s="2">
        <f>IF(IF(Kalibratiemetingen!C133&gt;0,1,0)+IF(Kalibratiemetingen!G133&gt;0,1,0)=2,1,0)</f>
        <v>0</v>
      </c>
      <c r="S133">
        <f t="shared" ref="S133:S134" si="8">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 t="shared" si="8"/>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42" priority="12">
      <formula>LEN(TRIM(G4))&gt;0</formula>
    </cfRule>
  </conditionalFormatting>
  <conditionalFormatting sqref="B4:D1048576">
    <cfRule type="notContainsBlanks" dxfId="41" priority="10">
      <formula>LEN(TRIM(B4))&gt;0</formula>
    </cfRule>
  </conditionalFormatting>
  <conditionalFormatting sqref="F4:F1048576">
    <cfRule type="notContainsBlanks" dxfId="40" priority="4">
      <formula>LEN(TRIM(F4))&gt;0</formula>
    </cfRule>
  </conditionalFormatting>
  <conditionalFormatting sqref="B4:I1048576">
    <cfRule type="containsBlanks" dxfId="39" priority="1">
      <formula>LEN(TRIM(B4))=0</formula>
    </cfRule>
  </conditionalFormatting>
  <conditionalFormatting sqref="E4:E1048576">
    <cfRule type="notContainsBlanks" dxfId="38" priority="3">
      <formula>LEN(TRIM(E4))&gt;0</formula>
    </cfRule>
  </conditionalFormatting>
  <conditionalFormatting sqref="I4:I1048576">
    <cfRule type="cellIs" dxfId="37"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O15" sqref="O15"/>
    </sheetView>
  </sheetViews>
  <sheetFormatPr defaultRowHeight="15" x14ac:dyDescent="0.25"/>
  <cols>
    <col min="1" max="1" width="26.42578125" customWidth="1"/>
    <col min="2" max="2" width="10" bestFit="1"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92</v>
      </c>
      <c r="R1">
        <f>COUNTIF(V3:V50000,"=1")</f>
        <v>109</v>
      </c>
    </row>
    <row r="2" spans="17:29" x14ac:dyDescent="0.25">
      <c r="Q2" t="s">
        <v>90</v>
      </c>
      <c r="R2" s="18">
        <f>-SUM(W3:W50000)</f>
        <v>-6690606.5</v>
      </c>
      <c r="T2" t="s">
        <v>95</v>
      </c>
      <c r="U2" t="s">
        <v>91</v>
      </c>
      <c r="V2" t="s">
        <v>93</v>
      </c>
      <c r="W2" t="s">
        <v>94</v>
      </c>
      <c r="X2" t="s">
        <v>101</v>
      </c>
      <c r="Z2" s="17" t="s">
        <v>105</v>
      </c>
      <c r="AA2" s="17" t="s">
        <v>106</v>
      </c>
      <c r="AB2" s="17" t="s">
        <v>107</v>
      </c>
      <c r="AC2">
        <f>MAX(AA3:AA50000)</f>
        <v>2.4932182440782462</v>
      </c>
    </row>
    <row r="3" spans="17:29" x14ac:dyDescent="0.25">
      <c r="Q3" t="s">
        <v>97</v>
      </c>
      <c r="R3">
        <f>AVERAGEIF(V3:V50000,"=1",T3:T50000)</f>
        <v>12.979816513761454</v>
      </c>
      <c r="T3">
        <f>Kalibratiemetingen!G19</f>
        <v>9.8000000000000007</v>
      </c>
      <c r="U3">
        <f>Kalibratiemetingen!C19</f>
        <v>1680</v>
      </c>
      <c r="V3">
        <f t="shared" ref="V3:V66" si="0">IF(IF(T3&gt;0,1,0)+IF(U3&gt;0,1,0)=2,1,0)</f>
        <v>1</v>
      </c>
      <c r="W3">
        <f>T3*U3</f>
        <v>16464</v>
      </c>
      <c r="X3">
        <f>U3*U3</f>
        <v>2822400</v>
      </c>
      <c r="Z3">
        <f>IF(V3,$R$13*U3+$R$14)</f>
        <v>8.7581084585339806</v>
      </c>
      <c r="AA3">
        <f>ABS(T3-Z3)</f>
        <v>1.0418915414660201</v>
      </c>
      <c r="AB3" s="17" t="s">
        <v>108</v>
      </c>
      <c r="AC3">
        <f>MIN(AA3:AA50000)</f>
        <v>9.8074782900550161E-3</v>
      </c>
    </row>
    <row r="4" spans="17:29" x14ac:dyDescent="0.25">
      <c r="Q4" t="s">
        <v>98</v>
      </c>
      <c r="R4">
        <f>AVERAGEIF(V3:V50000,"=1",U3:U50000)</f>
        <v>4641.5963302752298</v>
      </c>
      <c r="T4">
        <f>Kalibratiemetingen!G85</f>
        <v>10.6</v>
      </c>
      <c r="U4">
        <f>Kalibratiemetingen!C85</f>
        <v>2721</v>
      </c>
      <c r="V4">
        <f t="shared" si="0"/>
        <v>1</v>
      </c>
      <c r="W4">
        <f t="shared" ref="W4:W67" si="1">T4*U4</f>
        <v>28842.6</v>
      </c>
      <c r="X4">
        <f t="shared" ref="X4:X67" si="2">U4*U4</f>
        <v>7403841</v>
      </c>
      <c r="Z4">
        <f t="shared" ref="Z4:Z67" si="3">IF(V4,$R$13*U4+$R$14)</f>
        <v>10.242037257528466</v>
      </c>
      <c r="AA4">
        <f t="shared" ref="AA4:AA67" si="4">ABS(T4-Z4)</f>
        <v>0.3579627424715337</v>
      </c>
      <c r="AB4" s="17" t="s">
        <v>109</v>
      </c>
      <c r="AC4">
        <f>AVERAGEIF(V3:V50000,"=1",AA3:AA50000)</f>
        <v>0.51561512786493124</v>
      </c>
    </row>
    <row r="5" spans="17:29" x14ac:dyDescent="0.25">
      <c r="Q5" t="s">
        <v>96</v>
      </c>
      <c r="R5">
        <f>SUMIF(V3:V50000,"=1",U3:U50000)/R1</f>
        <v>4641.5963302752298</v>
      </c>
      <c r="T5">
        <f>Kalibratiemetingen!G26</f>
        <v>10.8</v>
      </c>
      <c r="U5">
        <f>Kalibratiemetingen!C26</f>
        <v>3339</v>
      </c>
      <c r="V5">
        <f t="shared" si="0"/>
        <v>1</v>
      </c>
      <c r="W5">
        <f t="shared" si="1"/>
        <v>36061.200000000004</v>
      </c>
      <c r="X5">
        <f t="shared" si="2"/>
        <v>11148921</v>
      </c>
      <c r="Z5">
        <f t="shared" si="3"/>
        <v>11.122986342810496</v>
      </c>
      <c r="AA5">
        <f t="shared" si="4"/>
        <v>0.32298634281049488</v>
      </c>
      <c r="AB5" s="17" t="s">
        <v>112</v>
      </c>
      <c r="AC5">
        <f>_xlfn.STDEV.P(AA3:AA50000)</f>
        <v>0.39359352980538653</v>
      </c>
    </row>
    <row r="6" spans="17:29" x14ac:dyDescent="0.25">
      <c r="Q6" t="s">
        <v>99</v>
      </c>
      <c r="R6">
        <f>SUMIF(V3:V50000,"=1",U3:U50000)</f>
        <v>505934</v>
      </c>
      <c r="T6">
        <f>Kalibratiemetingen!G23</f>
        <v>10.8</v>
      </c>
      <c r="U6">
        <f>Kalibratiemetingen!C23</f>
        <v>3097</v>
      </c>
      <c r="V6">
        <f t="shared" si="0"/>
        <v>1</v>
      </c>
      <c r="W6">
        <f t="shared" si="1"/>
        <v>33447.600000000006</v>
      </c>
      <c r="X6">
        <f t="shared" si="2"/>
        <v>9591409</v>
      </c>
      <c r="Z6">
        <f t="shared" si="3"/>
        <v>10.778019225272873</v>
      </c>
      <c r="AA6">
        <f t="shared" si="4"/>
        <v>2.1980774727127894E-2</v>
      </c>
      <c r="AB6" s="17" t="s">
        <v>113</v>
      </c>
      <c r="AC6">
        <f>_xlfn.STDEV.S(AA3:AA50000)</f>
        <v>0.39592941695844286</v>
      </c>
    </row>
    <row r="7" spans="17:29" x14ac:dyDescent="0.25">
      <c r="Q7" t="s">
        <v>100</v>
      </c>
      <c r="R7">
        <f>SUMIF(V3:V50000,"=1",T3:T50000)</f>
        <v>1414.7999999999986</v>
      </c>
      <c r="T7">
        <f>Kalibratiemetingen!G27</f>
        <v>10.8</v>
      </c>
      <c r="U7">
        <f>Kalibratiemetingen!C27</f>
        <v>3076</v>
      </c>
      <c r="V7">
        <f t="shared" si="0"/>
        <v>1</v>
      </c>
      <c r="W7">
        <f t="shared" si="1"/>
        <v>33220.800000000003</v>
      </c>
      <c r="X7">
        <f t="shared" si="2"/>
        <v>9461776</v>
      </c>
      <c r="Z7">
        <f t="shared" si="3"/>
        <v>10.748084062180766</v>
      </c>
      <c r="AA7">
        <f t="shared" si="4"/>
        <v>5.191593781923487E-2</v>
      </c>
    </row>
    <row r="8" spans="17:29" x14ac:dyDescent="0.25">
      <c r="Q8" t="s">
        <v>102</v>
      </c>
      <c r="R8">
        <f>SUMIF(V3:V50000,"=1",X3:X500000)</f>
        <v>2435102116</v>
      </c>
      <c r="T8">
        <f>Kalibratiemetingen!G25</f>
        <v>10.8</v>
      </c>
      <c r="U8">
        <f>Kalibratiemetingen!C25</f>
        <v>2723</v>
      </c>
      <c r="V8">
        <f t="shared" si="0"/>
        <v>1</v>
      </c>
      <c r="W8">
        <f t="shared" si="1"/>
        <v>29408.400000000001</v>
      </c>
      <c r="X8">
        <f t="shared" si="2"/>
        <v>7414729</v>
      </c>
      <c r="Z8">
        <f t="shared" si="3"/>
        <v>10.244888225442001</v>
      </c>
      <c r="AA8">
        <f t="shared" si="4"/>
        <v>0.55511177455800009</v>
      </c>
    </row>
    <row r="9" spans="17:29" x14ac:dyDescent="0.25">
      <c r="T9">
        <f>Kalibratiemetingen!G71</f>
        <v>10.9</v>
      </c>
      <c r="U9">
        <f>Kalibratiemetingen!C71</f>
        <v>3469</v>
      </c>
      <c r="V9">
        <f t="shared" si="0"/>
        <v>1</v>
      </c>
      <c r="W9">
        <f t="shared" si="1"/>
        <v>37812.1</v>
      </c>
      <c r="X9">
        <f t="shared" si="2"/>
        <v>12033961</v>
      </c>
      <c r="Z9">
        <f t="shared" si="3"/>
        <v>11.30829925719021</v>
      </c>
      <c r="AA9">
        <f t="shared" si="4"/>
        <v>0.40829925719020999</v>
      </c>
    </row>
    <row r="10" spans="17:29" x14ac:dyDescent="0.25">
      <c r="Q10" t="s">
        <v>103</v>
      </c>
      <c r="R10">
        <f>R2+R3*R6</f>
        <v>-123676.01192661282</v>
      </c>
      <c r="T10">
        <f>Kalibratiemetingen!G20</f>
        <v>11</v>
      </c>
      <c r="U10">
        <f>Kalibratiemetingen!C20</f>
        <v>3546</v>
      </c>
      <c r="V10">
        <f t="shared" si="0"/>
        <v>1</v>
      </c>
      <c r="W10">
        <f t="shared" si="1"/>
        <v>39006</v>
      </c>
      <c r="X10">
        <f t="shared" si="2"/>
        <v>12574116</v>
      </c>
      <c r="Z10">
        <f t="shared" si="3"/>
        <v>11.418061521861272</v>
      </c>
      <c r="AA10">
        <f t="shared" si="4"/>
        <v>0.41806152186127221</v>
      </c>
    </row>
    <row r="11" spans="17:29" x14ac:dyDescent="0.25">
      <c r="Q11" t="s">
        <v>104</v>
      </c>
      <c r="R11">
        <f>-R8+(R6*R6)/R1</f>
        <v>-86760718.238532066</v>
      </c>
      <c r="T11">
        <f>Kalibratiemetingen!G81</f>
        <v>11</v>
      </c>
      <c r="U11">
        <f>Kalibratiemetingen!C81</f>
        <v>3045</v>
      </c>
      <c r="V11">
        <f t="shared" si="0"/>
        <v>1</v>
      </c>
      <c r="W11">
        <f t="shared" si="1"/>
        <v>33495</v>
      </c>
      <c r="X11">
        <f t="shared" si="2"/>
        <v>9272025</v>
      </c>
      <c r="Z11">
        <f t="shared" si="3"/>
        <v>10.703894059520987</v>
      </c>
      <c r="AA11">
        <f t="shared" si="4"/>
        <v>0.29610594047901273</v>
      </c>
    </row>
    <row r="12" spans="17:29" x14ac:dyDescent="0.25">
      <c r="T12">
        <f>Kalibratiemetingen!G84</f>
        <v>11.1</v>
      </c>
      <c r="U12">
        <f>Kalibratiemetingen!C84</f>
        <v>3347</v>
      </c>
      <c r="V12">
        <f t="shared" si="0"/>
        <v>1</v>
      </c>
      <c r="W12">
        <f t="shared" si="1"/>
        <v>37151.699999999997</v>
      </c>
      <c r="X12">
        <f t="shared" si="2"/>
        <v>11202409</v>
      </c>
      <c r="Z12">
        <f t="shared" si="3"/>
        <v>11.134390214464633</v>
      </c>
      <c r="AA12">
        <f t="shared" si="4"/>
        <v>3.4390214464632862E-2</v>
      </c>
    </row>
    <row r="13" spans="17:29" x14ac:dyDescent="0.25">
      <c r="Q13" t="s">
        <v>88</v>
      </c>
      <c r="R13">
        <f>R10/R11</f>
        <v>1.4254839567670382E-3</v>
      </c>
      <c r="T13">
        <f>Kalibratiemetingen!G17</f>
        <v>11.2</v>
      </c>
      <c r="U13">
        <f>Kalibratiemetingen!C17</f>
        <v>3713</v>
      </c>
      <c r="V13">
        <f t="shared" si="0"/>
        <v>1</v>
      </c>
      <c r="W13">
        <f t="shared" si="1"/>
        <v>41585.599999999999</v>
      </c>
      <c r="X13">
        <f t="shared" si="2"/>
        <v>13786369</v>
      </c>
      <c r="Z13">
        <f t="shared" si="3"/>
        <v>11.65611734264137</v>
      </c>
      <c r="AA13">
        <f t="shared" si="4"/>
        <v>0.45611734264137027</v>
      </c>
    </row>
    <row r="14" spans="17:29" x14ac:dyDescent="0.25">
      <c r="Q14" t="s">
        <v>89</v>
      </c>
      <c r="R14">
        <f>R3-R13*R4</f>
        <v>6.3632954111653559</v>
      </c>
      <c r="T14">
        <f>Kalibratiemetingen!G16</f>
        <v>11.2</v>
      </c>
      <c r="U14">
        <f>Kalibratiemetingen!C16</f>
        <v>3614</v>
      </c>
      <c r="V14">
        <f t="shared" si="0"/>
        <v>1</v>
      </c>
      <c r="W14">
        <f t="shared" si="1"/>
        <v>40476.799999999996</v>
      </c>
      <c r="X14">
        <f t="shared" si="2"/>
        <v>13060996</v>
      </c>
      <c r="Z14">
        <f t="shared" si="3"/>
        <v>11.514994430921432</v>
      </c>
      <c r="AA14">
        <f t="shared" si="4"/>
        <v>0.31499443092143231</v>
      </c>
    </row>
    <row r="15" spans="17:29" x14ac:dyDescent="0.25">
      <c r="T15">
        <f>Kalibratiemetingen!G38</f>
        <v>11.4</v>
      </c>
      <c r="U15">
        <f>Kalibratiemetingen!C38</f>
        <v>3899</v>
      </c>
      <c r="V15">
        <f t="shared" si="0"/>
        <v>1</v>
      </c>
      <c r="W15">
        <f t="shared" si="1"/>
        <v>44448.6</v>
      </c>
      <c r="X15">
        <f t="shared" si="2"/>
        <v>15202201</v>
      </c>
      <c r="Z15">
        <f t="shared" si="3"/>
        <v>11.921257358600037</v>
      </c>
      <c r="AA15">
        <f t="shared" si="4"/>
        <v>0.52125735860003708</v>
      </c>
    </row>
    <row r="16" spans="17:29" x14ac:dyDescent="0.25">
      <c r="T16">
        <f>Kalibratiemetingen!G73</f>
        <v>11.4</v>
      </c>
      <c r="U16">
        <f>Kalibratiemetingen!C73</f>
        <v>3842</v>
      </c>
      <c r="V16">
        <f t="shared" si="0"/>
        <v>1</v>
      </c>
      <c r="W16">
        <f t="shared" si="1"/>
        <v>43798.8</v>
      </c>
      <c r="X16">
        <f t="shared" si="2"/>
        <v>14760964</v>
      </c>
      <c r="Z16">
        <f t="shared" si="3"/>
        <v>11.840004773064317</v>
      </c>
      <c r="AA16">
        <f t="shared" si="4"/>
        <v>0.44000477306431662</v>
      </c>
    </row>
    <row r="17" spans="20:27" x14ac:dyDescent="0.25">
      <c r="T17">
        <f>Kalibratiemetingen!G92</f>
        <v>11.5</v>
      </c>
      <c r="U17">
        <f>Kalibratiemetingen!C92</f>
        <v>3995</v>
      </c>
      <c r="V17">
        <f t="shared" si="0"/>
        <v>1</v>
      </c>
      <c r="W17">
        <f t="shared" si="1"/>
        <v>45942.5</v>
      </c>
      <c r="X17">
        <f t="shared" si="2"/>
        <v>15960025</v>
      </c>
      <c r="Z17">
        <f t="shared" si="3"/>
        <v>12.058103818449673</v>
      </c>
      <c r="AA17">
        <f t="shared" si="4"/>
        <v>0.55810381844967338</v>
      </c>
    </row>
    <row r="18" spans="20:27" x14ac:dyDescent="0.25">
      <c r="T18">
        <f>Kalibratiemetingen!G93</f>
        <v>11.6</v>
      </c>
      <c r="U18">
        <f>Kalibratiemetingen!C93</f>
        <v>4108</v>
      </c>
      <c r="V18">
        <f t="shared" si="0"/>
        <v>1</v>
      </c>
      <c r="W18">
        <f t="shared" si="1"/>
        <v>47652.799999999996</v>
      </c>
      <c r="X18">
        <f t="shared" si="2"/>
        <v>16875664</v>
      </c>
      <c r="Z18">
        <f t="shared" si="3"/>
        <v>12.219183505564349</v>
      </c>
      <c r="AA18">
        <f t="shared" si="4"/>
        <v>0.61918350556434909</v>
      </c>
    </row>
    <row r="19" spans="20:27" x14ac:dyDescent="0.25">
      <c r="T19">
        <f>Kalibratiemetingen!G40</f>
        <v>11.6</v>
      </c>
      <c r="U19">
        <f>Kalibratiemetingen!C40</f>
        <v>4076</v>
      </c>
      <c r="V19">
        <f t="shared" si="0"/>
        <v>1</v>
      </c>
      <c r="W19">
        <f t="shared" si="1"/>
        <v>47281.599999999999</v>
      </c>
      <c r="X19">
        <f t="shared" si="2"/>
        <v>16613776</v>
      </c>
      <c r="Z19">
        <f t="shared" si="3"/>
        <v>12.173568018947805</v>
      </c>
      <c r="AA19">
        <f t="shared" si="4"/>
        <v>0.57356801894780496</v>
      </c>
    </row>
    <row r="20" spans="20:27" x14ac:dyDescent="0.25">
      <c r="T20">
        <f>Kalibratiemetingen!G48</f>
        <v>11.6</v>
      </c>
      <c r="U20">
        <f>Kalibratiemetingen!C48</f>
        <v>3902</v>
      </c>
      <c r="V20">
        <f t="shared" si="0"/>
        <v>1</v>
      </c>
      <c r="W20">
        <f t="shared" si="1"/>
        <v>45263.199999999997</v>
      </c>
      <c r="X20">
        <f t="shared" si="2"/>
        <v>15225604</v>
      </c>
      <c r="Z20">
        <f t="shared" si="3"/>
        <v>11.925533810470338</v>
      </c>
      <c r="AA20">
        <f t="shared" si="4"/>
        <v>0.32553381047033803</v>
      </c>
    </row>
    <row r="21" spans="20:27" x14ac:dyDescent="0.25">
      <c r="T21">
        <f>Kalibratiemetingen!G66</f>
        <v>11.7</v>
      </c>
      <c r="U21">
        <f>Kalibratiemetingen!C66</f>
        <v>4255</v>
      </c>
      <c r="V21">
        <f t="shared" si="0"/>
        <v>1</v>
      </c>
      <c r="W21">
        <f t="shared" si="1"/>
        <v>49783.5</v>
      </c>
      <c r="X21">
        <f t="shared" si="2"/>
        <v>18105025</v>
      </c>
      <c r="Z21">
        <f t="shared" si="3"/>
        <v>12.428729647209103</v>
      </c>
      <c r="AA21">
        <f t="shared" si="4"/>
        <v>0.7287296472091036</v>
      </c>
    </row>
    <row r="22" spans="20:27" x14ac:dyDescent="0.25">
      <c r="T22">
        <f>Kalibratiemetingen!G22</f>
        <v>11.8</v>
      </c>
      <c r="U22">
        <f>Kalibratiemetingen!C22</f>
        <v>4329</v>
      </c>
      <c r="V22">
        <f t="shared" si="0"/>
        <v>1</v>
      </c>
      <c r="W22">
        <f t="shared" si="1"/>
        <v>51082.200000000004</v>
      </c>
      <c r="X22">
        <f t="shared" si="2"/>
        <v>18740241</v>
      </c>
      <c r="Z22">
        <f t="shared" si="3"/>
        <v>12.534215460009865</v>
      </c>
      <c r="AA22">
        <f t="shared" si="4"/>
        <v>0.73421546000986382</v>
      </c>
    </row>
    <row r="23" spans="20:27" x14ac:dyDescent="0.25">
      <c r="T23">
        <f>Kalibratiemetingen!G82</f>
        <v>11.8</v>
      </c>
      <c r="U23">
        <f>Kalibratiemetingen!C82</f>
        <v>4323</v>
      </c>
      <c r="V23">
        <f t="shared" si="0"/>
        <v>1</v>
      </c>
      <c r="W23">
        <f t="shared" si="1"/>
        <v>51011.4</v>
      </c>
      <c r="X23">
        <f t="shared" si="2"/>
        <v>18688329</v>
      </c>
      <c r="Z23">
        <f t="shared" si="3"/>
        <v>12.525662556269262</v>
      </c>
      <c r="AA23">
        <f t="shared" si="4"/>
        <v>0.72566255626926157</v>
      </c>
    </row>
    <row r="24" spans="20:27" x14ac:dyDescent="0.25">
      <c r="T24">
        <f>Kalibratiemetingen!G33</f>
        <v>11.8</v>
      </c>
      <c r="U24">
        <f>Kalibratiemetingen!C33</f>
        <v>4007</v>
      </c>
      <c r="V24">
        <f t="shared" si="0"/>
        <v>1</v>
      </c>
      <c r="W24">
        <f t="shared" si="1"/>
        <v>47282.600000000006</v>
      </c>
      <c r="X24">
        <f t="shared" si="2"/>
        <v>16056049</v>
      </c>
      <c r="Z24">
        <f t="shared" si="3"/>
        <v>12.075209625930878</v>
      </c>
      <c r="AA24">
        <f t="shared" si="4"/>
        <v>0.27520962593087717</v>
      </c>
    </row>
    <row r="25" spans="20:27" x14ac:dyDescent="0.25">
      <c r="T25">
        <f>Kalibratiemetingen!G70</f>
        <v>11.9</v>
      </c>
      <c r="U25">
        <f>Kalibratiemetingen!C70</f>
        <v>4643</v>
      </c>
      <c r="V25">
        <f t="shared" si="0"/>
        <v>1</v>
      </c>
      <c r="W25">
        <f t="shared" si="1"/>
        <v>55251.700000000004</v>
      </c>
      <c r="X25">
        <f t="shared" si="2"/>
        <v>21557449</v>
      </c>
      <c r="Z25">
        <f t="shared" si="3"/>
        <v>12.981817422434714</v>
      </c>
      <c r="AA25">
        <f t="shared" si="4"/>
        <v>1.0818174224347139</v>
      </c>
    </row>
    <row r="26" spans="20:27" x14ac:dyDescent="0.25">
      <c r="T26">
        <f>Kalibratiemetingen!G57</f>
        <v>12</v>
      </c>
      <c r="U26">
        <f>Kalibratiemetingen!C57</f>
        <v>4691</v>
      </c>
      <c r="V26">
        <f t="shared" si="0"/>
        <v>1</v>
      </c>
      <c r="W26">
        <f t="shared" si="1"/>
        <v>56292</v>
      </c>
      <c r="X26">
        <f t="shared" si="2"/>
        <v>22005481</v>
      </c>
      <c r="Z26">
        <f t="shared" si="3"/>
        <v>13.050240652359532</v>
      </c>
      <c r="AA26">
        <f t="shared" si="4"/>
        <v>1.0502406523595322</v>
      </c>
    </row>
    <row r="27" spans="20:27" x14ac:dyDescent="0.25">
      <c r="T27">
        <f>Kalibratiemetingen!G47</f>
        <v>12</v>
      </c>
      <c r="U27">
        <f>Kalibratiemetingen!C47</f>
        <v>4106</v>
      </c>
      <c r="V27">
        <f t="shared" si="0"/>
        <v>1</v>
      </c>
      <c r="W27">
        <f t="shared" si="1"/>
        <v>49272</v>
      </c>
      <c r="X27">
        <f t="shared" si="2"/>
        <v>16859236</v>
      </c>
      <c r="Z27">
        <f t="shared" si="3"/>
        <v>12.216332537650814</v>
      </c>
      <c r="AA27">
        <f t="shared" si="4"/>
        <v>0.21633253765081406</v>
      </c>
    </row>
    <row r="28" spans="20:27" x14ac:dyDescent="0.25">
      <c r="T28">
        <f>Kalibratiemetingen!G11</f>
        <v>12</v>
      </c>
      <c r="U28">
        <f>Kalibratiemetingen!C11</f>
        <v>3935</v>
      </c>
      <c r="V28">
        <f t="shared" si="0"/>
        <v>1</v>
      </c>
      <c r="W28">
        <f t="shared" si="1"/>
        <v>47220</v>
      </c>
      <c r="X28">
        <f t="shared" si="2"/>
        <v>15484225</v>
      </c>
      <c r="Z28">
        <f t="shared" si="3"/>
        <v>11.972574781043651</v>
      </c>
      <c r="AA28">
        <f t="shared" si="4"/>
        <v>2.7425218956349084E-2</v>
      </c>
    </row>
    <row r="29" spans="20:27" x14ac:dyDescent="0.25">
      <c r="T29">
        <f>Kalibratiemetingen!G7</f>
        <v>12</v>
      </c>
      <c r="U29">
        <f>Kalibratiemetingen!C7</f>
        <v>3728</v>
      </c>
      <c r="V29">
        <f t="shared" si="0"/>
        <v>1</v>
      </c>
      <c r="W29">
        <f t="shared" si="1"/>
        <v>44736</v>
      </c>
      <c r="X29">
        <f t="shared" si="2"/>
        <v>13897984</v>
      </c>
      <c r="Z29">
        <f t="shared" si="3"/>
        <v>11.677499601992874</v>
      </c>
      <c r="AA29">
        <f t="shared" si="4"/>
        <v>0.32250039800712571</v>
      </c>
    </row>
    <row r="30" spans="20:27" x14ac:dyDescent="0.25">
      <c r="T30">
        <f>Kalibratiemetingen!G14</f>
        <v>12.1</v>
      </c>
      <c r="U30">
        <f>Kalibratiemetingen!C14</f>
        <v>4834</v>
      </c>
      <c r="V30">
        <f t="shared" si="0"/>
        <v>1</v>
      </c>
      <c r="W30">
        <f t="shared" si="1"/>
        <v>58491.4</v>
      </c>
      <c r="X30">
        <f t="shared" si="2"/>
        <v>23367556</v>
      </c>
      <c r="Z30">
        <f t="shared" si="3"/>
        <v>13.254084858177219</v>
      </c>
      <c r="AA30">
        <f t="shared" si="4"/>
        <v>1.1540848581772192</v>
      </c>
    </row>
    <row r="31" spans="20:27" x14ac:dyDescent="0.25">
      <c r="T31">
        <f>Kalibratiemetingen!G63</f>
        <v>12.3</v>
      </c>
      <c r="U31">
        <f>Kalibratiemetingen!C63</f>
        <v>4731</v>
      </c>
      <c r="V31">
        <f t="shared" si="0"/>
        <v>1</v>
      </c>
      <c r="W31">
        <f t="shared" si="1"/>
        <v>58191.3</v>
      </c>
      <c r="X31">
        <f t="shared" si="2"/>
        <v>22382361</v>
      </c>
      <c r="Z31">
        <f t="shared" si="3"/>
        <v>13.107260010630213</v>
      </c>
      <c r="AA31">
        <f t="shared" si="4"/>
        <v>0.80726001063021258</v>
      </c>
    </row>
    <row r="32" spans="20:27" x14ac:dyDescent="0.25">
      <c r="T32">
        <f>Kalibratiemetingen!G78</f>
        <v>12.3</v>
      </c>
      <c r="U32">
        <f>Kalibratiemetingen!C78</f>
        <v>4628</v>
      </c>
      <c r="V32">
        <f t="shared" si="0"/>
        <v>1</v>
      </c>
      <c r="W32">
        <f t="shared" si="1"/>
        <v>56924.4</v>
      </c>
      <c r="X32">
        <f t="shared" si="2"/>
        <v>21418384</v>
      </c>
      <c r="Z32">
        <f t="shared" si="3"/>
        <v>12.960435163083208</v>
      </c>
      <c r="AA32">
        <f t="shared" si="4"/>
        <v>0.66043516308320704</v>
      </c>
    </row>
    <row r="33" spans="20:27" x14ac:dyDescent="0.25">
      <c r="T33">
        <f>Kalibratiemetingen!G86</f>
        <v>12.3</v>
      </c>
      <c r="U33">
        <f>Kalibratiemetingen!C86</f>
        <v>4369</v>
      </c>
      <c r="V33">
        <f t="shared" si="0"/>
        <v>1</v>
      </c>
      <c r="W33">
        <f t="shared" si="1"/>
        <v>53738.700000000004</v>
      </c>
      <c r="X33">
        <f t="shared" si="2"/>
        <v>19088161</v>
      </c>
      <c r="Z33">
        <f t="shared" si="3"/>
        <v>12.591234818280546</v>
      </c>
      <c r="AA33">
        <f t="shared" si="4"/>
        <v>0.29123481828054487</v>
      </c>
    </row>
    <row r="34" spans="20:27" x14ac:dyDescent="0.25">
      <c r="T34">
        <f>Kalibratiemetingen!G52</f>
        <v>12.5</v>
      </c>
      <c r="U34">
        <f>Kalibratiemetingen!C52</f>
        <v>4960</v>
      </c>
      <c r="V34">
        <f t="shared" si="0"/>
        <v>1</v>
      </c>
      <c r="W34">
        <f t="shared" si="1"/>
        <v>62000</v>
      </c>
      <c r="X34">
        <f t="shared" si="2"/>
        <v>24601600</v>
      </c>
      <c r="Z34">
        <f t="shared" si="3"/>
        <v>13.433695836729864</v>
      </c>
      <c r="AA34">
        <f t="shared" si="4"/>
        <v>0.93369583672986423</v>
      </c>
    </row>
    <row r="35" spans="20:27" x14ac:dyDescent="0.25">
      <c r="T35">
        <f>Kalibratiemetingen!G90</f>
        <v>12.5</v>
      </c>
      <c r="U35">
        <f>Kalibratiemetingen!C90</f>
        <v>4657</v>
      </c>
      <c r="V35">
        <f t="shared" si="0"/>
        <v>1</v>
      </c>
      <c r="W35">
        <f t="shared" si="1"/>
        <v>58212.5</v>
      </c>
      <c r="X35">
        <f t="shared" si="2"/>
        <v>21687649</v>
      </c>
      <c r="Z35">
        <f t="shared" si="3"/>
        <v>13.001774197829452</v>
      </c>
      <c r="AA35">
        <f t="shared" si="4"/>
        <v>0.50177419782945165</v>
      </c>
    </row>
    <row r="36" spans="20:27" x14ac:dyDescent="0.25">
      <c r="T36">
        <f>Kalibratiemetingen!G46</f>
        <v>12.5</v>
      </c>
      <c r="U36">
        <f>Kalibratiemetingen!C46</f>
        <v>4590</v>
      </c>
      <c r="V36">
        <f t="shared" si="0"/>
        <v>1</v>
      </c>
      <c r="W36">
        <f t="shared" si="1"/>
        <v>57375</v>
      </c>
      <c r="X36">
        <f t="shared" si="2"/>
        <v>21068100</v>
      </c>
      <c r="Z36">
        <f t="shared" si="3"/>
        <v>12.906266772726061</v>
      </c>
      <c r="AA36">
        <f t="shared" si="4"/>
        <v>0.40626677272606138</v>
      </c>
    </row>
    <row r="37" spans="20:27" x14ac:dyDescent="0.25">
      <c r="T37">
        <f>Kalibratiemetingen!G91</f>
        <v>12.6</v>
      </c>
      <c r="U37">
        <f>Kalibratiemetingen!C91</f>
        <v>4885</v>
      </c>
      <c r="V37">
        <f t="shared" si="0"/>
        <v>1</v>
      </c>
      <c r="W37">
        <f t="shared" si="1"/>
        <v>61551</v>
      </c>
      <c r="X37">
        <f t="shared" si="2"/>
        <v>23863225</v>
      </c>
      <c r="Z37">
        <f t="shared" si="3"/>
        <v>13.326784539972337</v>
      </c>
      <c r="AA37">
        <f t="shared" si="4"/>
        <v>0.72678453997233738</v>
      </c>
    </row>
    <row r="38" spans="20:27" x14ac:dyDescent="0.25">
      <c r="T38">
        <f>Kalibratiemetingen!G32</f>
        <v>12.6</v>
      </c>
      <c r="U38">
        <f>Kalibratiemetingen!C32</f>
        <v>4857</v>
      </c>
      <c r="V38">
        <f t="shared" si="0"/>
        <v>1</v>
      </c>
      <c r="W38">
        <f t="shared" si="1"/>
        <v>61198.2</v>
      </c>
      <c r="X38">
        <f t="shared" si="2"/>
        <v>23590449</v>
      </c>
      <c r="Z38">
        <f t="shared" si="3"/>
        <v>13.28687098918286</v>
      </c>
      <c r="AA38">
        <f t="shared" si="4"/>
        <v>0.68687098918286082</v>
      </c>
    </row>
    <row r="39" spans="20:27" x14ac:dyDescent="0.25">
      <c r="T39">
        <f>Kalibratiemetingen!G44</f>
        <v>12.6</v>
      </c>
      <c r="U39">
        <f>Kalibratiemetingen!C44</f>
        <v>4788</v>
      </c>
      <c r="V39">
        <f t="shared" si="0"/>
        <v>1</v>
      </c>
      <c r="W39">
        <f t="shared" si="1"/>
        <v>60328.799999999996</v>
      </c>
      <c r="X39">
        <f t="shared" si="2"/>
        <v>22924944</v>
      </c>
      <c r="Z39">
        <f t="shared" si="3"/>
        <v>13.188512596165936</v>
      </c>
      <c r="AA39">
        <f t="shared" si="4"/>
        <v>0.58851259616593588</v>
      </c>
    </row>
    <row r="40" spans="20:27" x14ac:dyDescent="0.25">
      <c r="T40">
        <f>Kalibratiemetingen!G76</f>
        <v>12.7</v>
      </c>
      <c r="U40">
        <f>Kalibratiemetingen!C76</f>
        <v>4795</v>
      </c>
      <c r="V40">
        <f t="shared" si="0"/>
        <v>1</v>
      </c>
      <c r="W40">
        <f t="shared" si="1"/>
        <v>60896.5</v>
      </c>
      <c r="X40">
        <f t="shared" si="2"/>
        <v>22992025</v>
      </c>
      <c r="Z40">
        <f t="shared" si="3"/>
        <v>13.198490983863305</v>
      </c>
      <c r="AA40">
        <f t="shared" si="4"/>
        <v>0.49849098386330581</v>
      </c>
    </row>
    <row r="41" spans="20:27" x14ac:dyDescent="0.25">
      <c r="T41">
        <f>Kalibratiemetingen!G42</f>
        <v>12.7</v>
      </c>
      <c r="U41">
        <f>Kalibratiemetingen!C42</f>
        <v>4731</v>
      </c>
      <c r="V41">
        <f t="shared" si="0"/>
        <v>1</v>
      </c>
      <c r="W41">
        <f t="shared" si="1"/>
        <v>60083.7</v>
      </c>
      <c r="X41">
        <f t="shared" si="2"/>
        <v>22382361</v>
      </c>
      <c r="Z41">
        <f t="shared" si="3"/>
        <v>13.107260010630213</v>
      </c>
      <c r="AA41">
        <f t="shared" si="4"/>
        <v>0.407260010630214</v>
      </c>
    </row>
    <row r="42" spans="20:27" x14ac:dyDescent="0.25">
      <c r="T42">
        <f>Kalibratiemetingen!G60</f>
        <v>12.8</v>
      </c>
      <c r="U42">
        <f>Kalibratiemetingen!C60</f>
        <v>5089</v>
      </c>
      <c r="V42">
        <f t="shared" si="0"/>
        <v>1</v>
      </c>
      <c r="W42">
        <f t="shared" si="1"/>
        <v>65139.200000000004</v>
      </c>
      <c r="X42">
        <f t="shared" si="2"/>
        <v>25897921</v>
      </c>
      <c r="Z42">
        <f t="shared" si="3"/>
        <v>13.617583267152813</v>
      </c>
      <c r="AA42">
        <f t="shared" si="4"/>
        <v>0.81758326715281271</v>
      </c>
    </row>
    <row r="43" spans="20:27" x14ac:dyDescent="0.25">
      <c r="T43">
        <f>Kalibratiemetingen!G37</f>
        <v>12.8</v>
      </c>
      <c r="U43">
        <f>Kalibratiemetingen!C37</f>
        <v>4876</v>
      </c>
      <c r="V43">
        <f t="shared" si="0"/>
        <v>1</v>
      </c>
      <c r="W43">
        <f t="shared" si="1"/>
        <v>62412.800000000003</v>
      </c>
      <c r="X43">
        <f t="shared" si="2"/>
        <v>23775376</v>
      </c>
      <c r="Z43">
        <f t="shared" si="3"/>
        <v>13.313955184361433</v>
      </c>
      <c r="AA43">
        <f t="shared" si="4"/>
        <v>0.51395518436143206</v>
      </c>
    </row>
    <row r="44" spans="20:27" x14ac:dyDescent="0.25">
      <c r="T44">
        <f>Kalibratiemetingen!G65</f>
        <v>12.9</v>
      </c>
      <c r="U44">
        <f>Kalibratiemetingen!C65</f>
        <v>5180</v>
      </c>
      <c r="V44">
        <f t="shared" si="0"/>
        <v>1</v>
      </c>
      <c r="W44">
        <f t="shared" si="1"/>
        <v>66822</v>
      </c>
      <c r="X44">
        <f t="shared" si="2"/>
        <v>26832400</v>
      </c>
      <c r="Z44">
        <f t="shared" si="3"/>
        <v>13.747302307218614</v>
      </c>
      <c r="AA44">
        <f t="shared" si="4"/>
        <v>0.8473023072186141</v>
      </c>
    </row>
    <row r="45" spans="20:27" x14ac:dyDescent="0.25">
      <c r="T45">
        <f>Kalibratiemetingen!G51</f>
        <v>12.9</v>
      </c>
      <c r="U45">
        <f>Kalibratiemetingen!C51</f>
        <v>5110</v>
      </c>
      <c r="V45">
        <f t="shared" si="0"/>
        <v>1</v>
      </c>
      <c r="W45">
        <f t="shared" si="1"/>
        <v>65919</v>
      </c>
      <c r="X45">
        <f t="shared" si="2"/>
        <v>26112100</v>
      </c>
      <c r="Z45">
        <f t="shared" si="3"/>
        <v>13.647518430244922</v>
      </c>
      <c r="AA45">
        <f t="shared" si="4"/>
        <v>0.74751843024492182</v>
      </c>
    </row>
    <row r="46" spans="20:27" x14ac:dyDescent="0.25">
      <c r="T46">
        <f>Kalibratiemetingen!G83</f>
        <v>12.9</v>
      </c>
      <c r="U46">
        <f>Kalibratiemetingen!C83</f>
        <v>4994</v>
      </c>
      <c r="V46">
        <f t="shared" si="0"/>
        <v>1</v>
      </c>
      <c r="W46">
        <f t="shared" si="1"/>
        <v>64422.6</v>
      </c>
      <c r="X46">
        <f t="shared" si="2"/>
        <v>24940036</v>
      </c>
      <c r="Z46">
        <f t="shared" si="3"/>
        <v>13.482162291259945</v>
      </c>
      <c r="AA46">
        <f t="shared" si="4"/>
        <v>0.58216229125994445</v>
      </c>
    </row>
    <row r="47" spans="20:27" x14ac:dyDescent="0.25">
      <c r="T47">
        <f>Kalibratiemetingen!G50</f>
        <v>12.9</v>
      </c>
      <c r="U47">
        <f>Kalibratiemetingen!C50</f>
        <v>4844</v>
      </c>
      <c r="V47">
        <f t="shared" si="0"/>
        <v>1</v>
      </c>
      <c r="W47">
        <f t="shared" si="1"/>
        <v>62487.6</v>
      </c>
      <c r="X47">
        <f t="shared" si="2"/>
        <v>23464336</v>
      </c>
      <c r="Z47">
        <f t="shared" si="3"/>
        <v>13.268339697744889</v>
      </c>
      <c r="AA47">
        <f t="shared" si="4"/>
        <v>0.36833969774488828</v>
      </c>
    </row>
    <row r="48" spans="20:27" x14ac:dyDescent="0.25">
      <c r="T48">
        <f>Kalibratiemetingen!G64</f>
        <v>13</v>
      </c>
      <c r="U48">
        <f>Kalibratiemetingen!C64</f>
        <v>5212</v>
      </c>
      <c r="V48">
        <f t="shared" si="0"/>
        <v>1</v>
      </c>
      <c r="W48">
        <f t="shared" si="1"/>
        <v>67756</v>
      </c>
      <c r="X48">
        <f t="shared" si="2"/>
        <v>27164944</v>
      </c>
      <c r="Z48">
        <f t="shared" si="3"/>
        <v>13.792917793835159</v>
      </c>
      <c r="AA48">
        <f t="shared" si="4"/>
        <v>0.79291779383515859</v>
      </c>
    </row>
    <row r="49" spans="20:27" x14ac:dyDescent="0.25">
      <c r="T49">
        <f>Kalibratiemetingen!G62</f>
        <v>13</v>
      </c>
      <c r="U49">
        <f>Kalibratiemetingen!C62</f>
        <v>5037</v>
      </c>
      <c r="V49">
        <f t="shared" si="0"/>
        <v>1</v>
      </c>
      <c r="W49">
        <f t="shared" si="1"/>
        <v>65481</v>
      </c>
      <c r="X49">
        <f t="shared" si="2"/>
        <v>25371369</v>
      </c>
      <c r="Z49">
        <f t="shared" si="3"/>
        <v>13.543458101400926</v>
      </c>
      <c r="AA49">
        <f t="shared" si="4"/>
        <v>0.5434581014009261</v>
      </c>
    </row>
    <row r="50" spans="20:27" x14ac:dyDescent="0.25">
      <c r="T50">
        <f>Kalibratiemetingen!G35</f>
        <v>13.1</v>
      </c>
      <c r="U50">
        <f>Kalibratiemetingen!C35</f>
        <v>5386</v>
      </c>
      <c r="V50">
        <f t="shared" si="0"/>
        <v>1</v>
      </c>
      <c r="W50">
        <f t="shared" si="1"/>
        <v>70556.599999999991</v>
      </c>
      <c r="X50">
        <f t="shared" si="2"/>
        <v>29008996</v>
      </c>
      <c r="Z50">
        <f t="shared" si="3"/>
        <v>14.040952002312624</v>
      </c>
      <c r="AA50">
        <f t="shared" si="4"/>
        <v>0.9409520023126241</v>
      </c>
    </row>
    <row r="51" spans="20:27" x14ac:dyDescent="0.25">
      <c r="T51">
        <f>Kalibratiemetingen!G34</f>
        <v>13.1</v>
      </c>
      <c r="U51">
        <f>Kalibratiemetingen!C34</f>
        <v>5068</v>
      </c>
      <c r="V51">
        <f t="shared" si="0"/>
        <v>1</v>
      </c>
      <c r="W51">
        <f t="shared" si="1"/>
        <v>66390.8</v>
      </c>
      <c r="X51">
        <f t="shared" si="2"/>
        <v>25684624</v>
      </c>
      <c r="Z51">
        <f t="shared" si="3"/>
        <v>13.587648104060705</v>
      </c>
      <c r="AA51">
        <f t="shared" si="4"/>
        <v>0.48764810406070502</v>
      </c>
    </row>
    <row r="52" spans="20:27" x14ac:dyDescent="0.25">
      <c r="T52">
        <f>Kalibratiemetingen!G30</f>
        <v>13.1</v>
      </c>
      <c r="U52">
        <f>Kalibratiemetingen!C30</f>
        <v>4905</v>
      </c>
      <c r="V52">
        <f t="shared" si="0"/>
        <v>1</v>
      </c>
      <c r="W52">
        <f t="shared" si="1"/>
        <v>64255.5</v>
      </c>
      <c r="X52">
        <f t="shared" si="2"/>
        <v>24059025</v>
      </c>
      <c r="Z52">
        <f t="shared" si="3"/>
        <v>13.355294219107678</v>
      </c>
      <c r="AA52">
        <f t="shared" si="4"/>
        <v>0.2552942191076788</v>
      </c>
    </row>
    <row r="53" spans="20:27" x14ac:dyDescent="0.25">
      <c r="T53">
        <f>Kalibratiemetingen!G59</f>
        <v>13.2</v>
      </c>
      <c r="U53">
        <f>Kalibratiemetingen!C59</f>
        <v>5260</v>
      </c>
      <c r="V53">
        <f t="shared" si="0"/>
        <v>1</v>
      </c>
      <c r="W53">
        <f t="shared" si="1"/>
        <v>69432</v>
      </c>
      <c r="X53">
        <f t="shared" si="2"/>
        <v>27667600</v>
      </c>
      <c r="Z53">
        <f t="shared" si="3"/>
        <v>13.861341023759977</v>
      </c>
      <c r="AA53">
        <f t="shared" si="4"/>
        <v>0.66134102375997728</v>
      </c>
    </row>
    <row r="54" spans="20:27" x14ac:dyDescent="0.25">
      <c r="T54">
        <f>Kalibratiemetingen!G55</f>
        <v>13.2</v>
      </c>
      <c r="U54">
        <f>Kalibratiemetingen!C55</f>
        <v>5216</v>
      </c>
      <c r="V54">
        <f t="shared" si="0"/>
        <v>1</v>
      </c>
      <c r="W54">
        <f t="shared" si="1"/>
        <v>68851.199999999997</v>
      </c>
      <c r="X54">
        <f t="shared" si="2"/>
        <v>27206656</v>
      </c>
      <c r="Z54">
        <f t="shared" si="3"/>
        <v>13.798619729662228</v>
      </c>
      <c r="AA54">
        <f t="shared" si="4"/>
        <v>0.59861972966222865</v>
      </c>
    </row>
    <row r="55" spans="20:27" x14ac:dyDescent="0.25">
      <c r="T55">
        <f>Kalibratiemetingen!G74</f>
        <v>13.2</v>
      </c>
      <c r="U55">
        <f>Kalibratiemetingen!C74</f>
        <v>5114</v>
      </c>
      <c r="V55">
        <f t="shared" si="0"/>
        <v>1</v>
      </c>
      <c r="W55">
        <f t="shared" si="1"/>
        <v>67504.800000000003</v>
      </c>
      <c r="X55">
        <f t="shared" si="2"/>
        <v>26152996</v>
      </c>
      <c r="Z55">
        <f t="shared" si="3"/>
        <v>13.653220366071988</v>
      </c>
      <c r="AA55">
        <f t="shared" si="4"/>
        <v>0.45322036607198868</v>
      </c>
    </row>
    <row r="56" spans="20:27" x14ac:dyDescent="0.25">
      <c r="T56">
        <f>Kalibratiemetingen!G61</f>
        <v>13.2</v>
      </c>
      <c r="U56">
        <f>Kalibratiemetingen!C61</f>
        <v>4814</v>
      </c>
      <c r="V56">
        <f t="shared" si="0"/>
        <v>1</v>
      </c>
      <c r="W56">
        <f t="shared" si="1"/>
        <v>63544.799999999996</v>
      </c>
      <c r="X56">
        <f t="shared" si="2"/>
        <v>23174596</v>
      </c>
      <c r="Z56">
        <f t="shared" si="3"/>
        <v>13.225575179041877</v>
      </c>
      <c r="AA56">
        <f t="shared" si="4"/>
        <v>2.5575179041878116E-2</v>
      </c>
    </row>
    <row r="57" spans="20:27" x14ac:dyDescent="0.25">
      <c r="T57">
        <f>Kalibratiemetingen!G58</f>
        <v>13.3</v>
      </c>
      <c r="U57">
        <f>Kalibratiemetingen!C58</f>
        <v>5522</v>
      </c>
      <c r="V57">
        <f t="shared" si="0"/>
        <v>1</v>
      </c>
      <c r="W57">
        <f t="shared" si="1"/>
        <v>73442.600000000006</v>
      </c>
      <c r="X57">
        <f t="shared" si="2"/>
        <v>30492484</v>
      </c>
      <c r="Z57">
        <f t="shared" si="3"/>
        <v>14.234817820432941</v>
      </c>
      <c r="AA57">
        <f t="shared" si="4"/>
        <v>0.93481782043294004</v>
      </c>
    </row>
    <row r="58" spans="20:27" x14ac:dyDescent="0.25">
      <c r="T58">
        <f>Kalibratiemetingen!G56</f>
        <v>13.3</v>
      </c>
      <c r="U58">
        <f>Kalibratiemetingen!C56</f>
        <v>5427</v>
      </c>
      <c r="V58">
        <f t="shared" si="0"/>
        <v>1</v>
      </c>
      <c r="W58">
        <f t="shared" si="1"/>
        <v>72179.100000000006</v>
      </c>
      <c r="X58">
        <f t="shared" si="2"/>
        <v>29452329</v>
      </c>
      <c r="Z58">
        <f t="shared" si="3"/>
        <v>14.099396844540072</v>
      </c>
      <c r="AA58">
        <f t="shared" si="4"/>
        <v>0.79939684454007143</v>
      </c>
    </row>
    <row r="59" spans="20:27" x14ac:dyDescent="0.25">
      <c r="T59">
        <f>Kalibratiemetingen!G72</f>
        <v>13.3</v>
      </c>
      <c r="U59">
        <f>Kalibratiemetingen!C72</f>
        <v>5365</v>
      </c>
      <c r="V59">
        <f t="shared" si="0"/>
        <v>1</v>
      </c>
      <c r="W59">
        <f t="shared" si="1"/>
        <v>71354.5</v>
      </c>
      <c r="X59">
        <f t="shared" si="2"/>
        <v>28783225</v>
      </c>
      <c r="Z59">
        <f t="shared" si="3"/>
        <v>14.011016839220517</v>
      </c>
      <c r="AA59">
        <f t="shared" si="4"/>
        <v>0.71101683922051606</v>
      </c>
    </row>
    <row r="60" spans="20:27" x14ac:dyDescent="0.25">
      <c r="T60">
        <f>Kalibratiemetingen!G24</f>
        <v>13.4</v>
      </c>
      <c r="U60">
        <f>Kalibratiemetingen!C24</f>
        <v>5232</v>
      </c>
      <c r="V60">
        <f t="shared" si="0"/>
        <v>1</v>
      </c>
      <c r="W60">
        <f t="shared" si="1"/>
        <v>70108.800000000003</v>
      </c>
      <c r="X60">
        <f t="shared" si="2"/>
        <v>27373824</v>
      </c>
      <c r="Z60">
        <f t="shared" si="3"/>
        <v>13.8214274729705</v>
      </c>
      <c r="AA60">
        <f t="shared" si="4"/>
        <v>0.42142747297049965</v>
      </c>
    </row>
    <row r="61" spans="20:27" x14ac:dyDescent="0.25">
      <c r="T61">
        <f>Kalibratiemetingen!G67</f>
        <v>13.5</v>
      </c>
      <c r="U61">
        <f>Kalibratiemetingen!C67</f>
        <v>5477</v>
      </c>
      <c r="V61">
        <f t="shared" si="0"/>
        <v>1</v>
      </c>
      <c r="W61">
        <f t="shared" si="1"/>
        <v>73939.5</v>
      </c>
      <c r="X61">
        <f t="shared" si="2"/>
        <v>29997529</v>
      </c>
      <c r="Z61">
        <f t="shared" si="3"/>
        <v>14.170671042378423</v>
      </c>
      <c r="AA61">
        <f t="shared" si="4"/>
        <v>0.67067104237842301</v>
      </c>
    </row>
    <row r="62" spans="20:27" x14ac:dyDescent="0.25">
      <c r="T62">
        <f>Kalibratiemetingen!G68</f>
        <v>13.5</v>
      </c>
      <c r="U62">
        <f>Kalibratiemetingen!C68</f>
        <v>5282</v>
      </c>
      <c r="V62">
        <f t="shared" si="0"/>
        <v>1</v>
      </c>
      <c r="W62">
        <f t="shared" si="1"/>
        <v>71307</v>
      </c>
      <c r="X62">
        <f t="shared" si="2"/>
        <v>27899524</v>
      </c>
      <c r="Z62">
        <f t="shared" si="3"/>
        <v>13.892701670808851</v>
      </c>
      <c r="AA62">
        <f t="shared" si="4"/>
        <v>0.39270167080885088</v>
      </c>
    </row>
    <row r="63" spans="20:27" x14ac:dyDescent="0.25">
      <c r="T63">
        <f>Kalibratiemetingen!G79</f>
        <v>13.5</v>
      </c>
      <c r="U63">
        <f>Kalibratiemetingen!C79</f>
        <v>5260</v>
      </c>
      <c r="V63">
        <f t="shared" si="0"/>
        <v>1</v>
      </c>
      <c r="W63">
        <f t="shared" si="1"/>
        <v>71010</v>
      </c>
      <c r="X63">
        <f t="shared" si="2"/>
        <v>27667600</v>
      </c>
      <c r="Z63">
        <f t="shared" si="3"/>
        <v>13.861341023759977</v>
      </c>
      <c r="AA63">
        <f t="shared" si="4"/>
        <v>0.36134102375997657</v>
      </c>
    </row>
    <row r="64" spans="20:27" x14ac:dyDescent="0.25">
      <c r="T64">
        <f>Kalibratiemetingen!G87</f>
        <v>13.5</v>
      </c>
      <c r="U64">
        <f>Kalibratiemetingen!C87</f>
        <v>5078</v>
      </c>
      <c r="V64">
        <f t="shared" si="0"/>
        <v>1</v>
      </c>
      <c r="W64">
        <f t="shared" si="1"/>
        <v>68553</v>
      </c>
      <c r="X64">
        <f t="shared" si="2"/>
        <v>25786084</v>
      </c>
      <c r="Z64">
        <f t="shared" si="3"/>
        <v>13.601902943628374</v>
      </c>
      <c r="AA64">
        <f t="shared" si="4"/>
        <v>0.10190294362837449</v>
      </c>
    </row>
    <row r="65" spans="20:27" x14ac:dyDescent="0.25">
      <c r="T65">
        <f>Kalibratiemetingen!G88</f>
        <v>13.6</v>
      </c>
      <c r="U65">
        <f>Kalibratiemetingen!C88</f>
        <v>5183</v>
      </c>
      <c r="V65">
        <f t="shared" si="0"/>
        <v>1</v>
      </c>
      <c r="W65">
        <f t="shared" si="1"/>
        <v>70488.800000000003</v>
      </c>
      <c r="X65">
        <f t="shared" si="2"/>
        <v>26863489</v>
      </c>
      <c r="Z65">
        <f t="shared" si="3"/>
        <v>13.751578759088915</v>
      </c>
      <c r="AA65">
        <f t="shared" si="4"/>
        <v>0.15157875908891505</v>
      </c>
    </row>
    <row r="66" spans="20:27" x14ac:dyDescent="0.25">
      <c r="T66">
        <f>Kalibratiemetingen!G89</f>
        <v>13.6</v>
      </c>
      <c r="U66">
        <f>Kalibratiemetingen!C89</f>
        <v>5123</v>
      </c>
      <c r="V66">
        <f t="shared" si="0"/>
        <v>1</v>
      </c>
      <c r="W66">
        <f t="shared" si="1"/>
        <v>69672.800000000003</v>
      </c>
      <c r="X66">
        <f t="shared" si="2"/>
        <v>26245129</v>
      </c>
      <c r="Z66">
        <f t="shared" si="3"/>
        <v>13.666049721682892</v>
      </c>
      <c r="AA66">
        <f t="shared" si="4"/>
        <v>6.6049721682892581E-2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13.469332935649042</v>
      </c>
      <c r="AA67">
        <f t="shared" si="4"/>
        <v>0.13066706435095732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14.030973614615254</v>
      </c>
      <c r="AA68">
        <f t="shared" ref="AA68:AA87" si="9">ABS(T68-Z68)</f>
        <v>0.33097361461525487</v>
      </c>
    </row>
    <row r="69" spans="20:27" x14ac:dyDescent="0.25">
      <c r="T69">
        <f>Kalibratiemetingen!G29</f>
        <v>13.7</v>
      </c>
      <c r="U69">
        <f>Kalibratiemetingen!C29</f>
        <v>5222</v>
      </c>
      <c r="V69">
        <f t="shared" si="5"/>
        <v>1</v>
      </c>
      <c r="W69">
        <f t="shared" si="6"/>
        <v>71541.399999999994</v>
      </c>
      <c r="X69">
        <f t="shared" si="7"/>
        <v>27269284</v>
      </c>
      <c r="Z69">
        <f t="shared" si="8"/>
        <v>13.807172633402828</v>
      </c>
      <c r="AA69">
        <f t="shared" si="9"/>
        <v>0.10717263340282912</v>
      </c>
    </row>
    <row r="70" spans="20:27" x14ac:dyDescent="0.25">
      <c r="T70">
        <f>Kalibratiemetingen!G6</f>
        <v>13.7</v>
      </c>
      <c r="U70">
        <f>Kalibratiemetingen!C6</f>
        <v>4577</v>
      </c>
      <c r="V70">
        <f t="shared" si="5"/>
        <v>1</v>
      </c>
      <c r="W70">
        <f t="shared" si="6"/>
        <v>62704.899999999994</v>
      </c>
      <c r="X70">
        <f t="shared" si="7"/>
        <v>20948929</v>
      </c>
      <c r="Z70">
        <f t="shared" si="8"/>
        <v>12.88773548128809</v>
      </c>
      <c r="AA70">
        <f t="shared" si="9"/>
        <v>0.81226451871190974</v>
      </c>
    </row>
    <row r="71" spans="20:27" x14ac:dyDescent="0.25">
      <c r="T71">
        <f>Kalibratiemetingen!G21</f>
        <v>13.8</v>
      </c>
      <c r="U71">
        <f>Kalibratiemetingen!C21</f>
        <v>5720</v>
      </c>
      <c r="V71">
        <f t="shared" si="5"/>
        <v>1</v>
      </c>
      <c r="W71">
        <f t="shared" si="6"/>
        <v>78936</v>
      </c>
      <c r="X71">
        <f t="shared" si="7"/>
        <v>32718400</v>
      </c>
      <c r="Z71">
        <f t="shared" si="8"/>
        <v>14.517063643872813</v>
      </c>
      <c r="AA71">
        <f t="shared" si="9"/>
        <v>0.71706364387281241</v>
      </c>
    </row>
    <row r="72" spans="20:27" x14ac:dyDescent="0.25">
      <c r="T72">
        <f>Kalibratiemetingen!G36</f>
        <v>13.9</v>
      </c>
      <c r="U72">
        <f>Kalibratiemetingen!C36</f>
        <v>5589</v>
      </c>
      <c r="V72">
        <f t="shared" si="5"/>
        <v>1</v>
      </c>
      <c r="W72">
        <f t="shared" si="6"/>
        <v>77687.100000000006</v>
      </c>
      <c r="X72">
        <f t="shared" si="7"/>
        <v>31236921</v>
      </c>
      <c r="Z72">
        <f t="shared" si="8"/>
        <v>14.330325245536333</v>
      </c>
      <c r="AA72">
        <f t="shared" si="9"/>
        <v>0.43032524553633245</v>
      </c>
    </row>
    <row r="73" spans="20:27" x14ac:dyDescent="0.25">
      <c r="T73">
        <f>Kalibratiemetingen!G75</f>
        <v>13.9</v>
      </c>
      <c r="U73">
        <f>Kalibratiemetingen!C75</f>
        <v>5420</v>
      </c>
      <c r="V73">
        <f t="shared" si="5"/>
        <v>1</v>
      </c>
      <c r="W73">
        <f t="shared" si="6"/>
        <v>75338</v>
      </c>
      <c r="X73">
        <f t="shared" si="7"/>
        <v>29376400</v>
      </c>
      <c r="Z73">
        <f t="shared" si="8"/>
        <v>14.089418456842703</v>
      </c>
      <c r="AA73">
        <f t="shared" si="9"/>
        <v>0.1894184568427022</v>
      </c>
    </row>
    <row r="74" spans="20:27" x14ac:dyDescent="0.25">
      <c r="T74">
        <f>Kalibratiemetingen!G54</f>
        <v>13.9</v>
      </c>
      <c r="U74">
        <f>Kalibratiemetingen!C54</f>
        <v>5348</v>
      </c>
      <c r="V74">
        <f t="shared" si="5"/>
        <v>1</v>
      </c>
      <c r="W74">
        <f t="shared" si="6"/>
        <v>74337.2</v>
      </c>
      <c r="X74">
        <f t="shared" si="7"/>
        <v>28601104</v>
      </c>
      <c r="Z74">
        <f t="shared" si="8"/>
        <v>13.986783611955476</v>
      </c>
      <c r="AA74">
        <f t="shared" si="9"/>
        <v>8.6783611955475237E-2</v>
      </c>
    </row>
    <row r="75" spans="20:27" x14ac:dyDescent="0.25">
      <c r="T75">
        <f>Kalibratiemetingen!G39</f>
        <v>13.9</v>
      </c>
      <c r="U75">
        <f>Kalibratiemetingen!C39</f>
        <v>5294</v>
      </c>
      <c r="V75">
        <f t="shared" si="5"/>
        <v>1</v>
      </c>
      <c r="W75">
        <f t="shared" si="6"/>
        <v>73586.600000000006</v>
      </c>
      <c r="X75">
        <f t="shared" si="7"/>
        <v>28026436</v>
      </c>
      <c r="Z75">
        <f t="shared" si="8"/>
        <v>13.909807478290055</v>
      </c>
      <c r="AA75">
        <f t="shared" si="9"/>
        <v>9.8074782900550161E-3</v>
      </c>
    </row>
    <row r="76" spans="20:27" x14ac:dyDescent="0.25">
      <c r="T76">
        <f>Kalibratiemetingen!G10</f>
        <v>13.9</v>
      </c>
      <c r="U76">
        <f>Kalibratiemetingen!C10</f>
        <v>5081</v>
      </c>
      <c r="V76">
        <f t="shared" si="5"/>
        <v>1</v>
      </c>
      <c r="W76">
        <f t="shared" si="6"/>
        <v>70625.900000000009</v>
      </c>
      <c r="X76">
        <f t="shared" si="7"/>
        <v>25816561</v>
      </c>
      <c r="Z76">
        <f t="shared" si="8"/>
        <v>13.606179395498676</v>
      </c>
      <c r="AA76">
        <f t="shared" si="9"/>
        <v>0.29382060450132386</v>
      </c>
    </row>
    <row r="77" spans="20:27" x14ac:dyDescent="0.25">
      <c r="T77">
        <f>Kalibratiemetingen!G53</f>
        <v>14</v>
      </c>
      <c r="U77">
        <f>Kalibratiemetingen!C53</f>
        <v>5283</v>
      </c>
      <c r="V77">
        <f t="shared" si="5"/>
        <v>1</v>
      </c>
      <c r="W77">
        <f t="shared" si="6"/>
        <v>73962</v>
      </c>
      <c r="X77">
        <f t="shared" si="7"/>
        <v>27910089</v>
      </c>
      <c r="Z77">
        <f t="shared" si="8"/>
        <v>13.894127154765618</v>
      </c>
      <c r="AA77">
        <f t="shared" si="9"/>
        <v>0.10587284523438178</v>
      </c>
    </row>
    <row r="78" spans="20:27" x14ac:dyDescent="0.25">
      <c r="T78">
        <f>Kalibratiemetingen!G28</f>
        <v>14.1</v>
      </c>
      <c r="U78">
        <f>Kalibratiemetingen!C28</f>
        <v>5479</v>
      </c>
      <c r="V78">
        <f t="shared" si="5"/>
        <v>1</v>
      </c>
      <c r="W78">
        <f t="shared" si="6"/>
        <v>77253.899999999994</v>
      </c>
      <c r="X78">
        <f t="shared" si="7"/>
        <v>30019441</v>
      </c>
      <c r="Z78">
        <f t="shared" si="8"/>
        <v>14.173522010291958</v>
      </c>
      <c r="AA78">
        <f t="shared" si="9"/>
        <v>7.352201029195804E-2</v>
      </c>
    </row>
    <row r="79" spans="20:27" x14ac:dyDescent="0.25">
      <c r="T79">
        <f>Kalibratiemetingen!G69</f>
        <v>14.4</v>
      </c>
      <c r="U79">
        <f>Kalibratiemetingen!C69</f>
        <v>5525</v>
      </c>
      <c r="V79">
        <f t="shared" si="5"/>
        <v>1</v>
      </c>
      <c r="W79">
        <f t="shared" si="6"/>
        <v>79560</v>
      </c>
      <c r="X79">
        <f t="shared" si="7"/>
        <v>30525625</v>
      </c>
      <c r="Z79">
        <f t="shared" si="8"/>
        <v>14.239094272303241</v>
      </c>
      <c r="AA79">
        <f t="shared" si="9"/>
        <v>0.16090572769675937</v>
      </c>
    </row>
    <row r="80" spans="20:27" x14ac:dyDescent="0.25">
      <c r="T80">
        <f>Kalibratiemetingen!G49</f>
        <v>14.5</v>
      </c>
      <c r="U80">
        <f>Kalibratiemetingen!C49</f>
        <v>5646</v>
      </c>
      <c r="V80">
        <f t="shared" si="5"/>
        <v>1</v>
      </c>
      <c r="W80">
        <f t="shared" si="6"/>
        <v>81867</v>
      </c>
      <c r="X80">
        <f t="shared" si="7"/>
        <v>31877316</v>
      </c>
      <c r="Z80">
        <f t="shared" si="8"/>
        <v>14.411577831072055</v>
      </c>
      <c r="AA80">
        <f t="shared" si="9"/>
        <v>8.8422168927944966E-2</v>
      </c>
    </row>
    <row r="81" spans="20:27" x14ac:dyDescent="0.25">
      <c r="T81">
        <f>Kalibratiemetingen!G18</f>
        <v>14.5</v>
      </c>
      <c r="U81">
        <f>Kalibratiemetingen!C18</f>
        <v>4436</v>
      </c>
      <c r="V81">
        <f t="shared" si="5"/>
        <v>1</v>
      </c>
      <c r="W81">
        <f t="shared" si="6"/>
        <v>64322</v>
      </c>
      <c r="X81">
        <f t="shared" si="7"/>
        <v>19678096</v>
      </c>
      <c r="Z81">
        <f t="shared" si="8"/>
        <v>12.686742243383938</v>
      </c>
      <c r="AA81">
        <f t="shared" si="9"/>
        <v>1.8132577566160624</v>
      </c>
    </row>
    <row r="82" spans="20:27" x14ac:dyDescent="0.25">
      <c r="T82">
        <f>Kalibratiemetingen!G5</f>
        <v>14.6</v>
      </c>
      <c r="U82">
        <f>Kalibratiemetingen!C5</f>
        <v>5635</v>
      </c>
      <c r="V82">
        <f t="shared" si="5"/>
        <v>1</v>
      </c>
      <c r="W82">
        <f t="shared" si="6"/>
        <v>82271</v>
      </c>
      <c r="X82">
        <f t="shared" si="7"/>
        <v>31753225</v>
      </c>
      <c r="Z82">
        <f t="shared" si="8"/>
        <v>14.395897507547616</v>
      </c>
      <c r="AA82">
        <f t="shared" si="9"/>
        <v>0.20410249245238354</v>
      </c>
    </row>
    <row r="83" spans="20:27" x14ac:dyDescent="0.25">
      <c r="T83">
        <f>Kalibratiemetingen!G8</f>
        <v>14.6</v>
      </c>
      <c r="U83">
        <f>Kalibratiemetingen!C8</f>
        <v>5617</v>
      </c>
      <c r="V83">
        <f t="shared" si="5"/>
        <v>1</v>
      </c>
      <c r="W83">
        <f t="shared" si="6"/>
        <v>82008.2</v>
      </c>
      <c r="X83">
        <f t="shared" si="7"/>
        <v>31550689</v>
      </c>
      <c r="Z83">
        <f t="shared" si="8"/>
        <v>14.370238796325808</v>
      </c>
      <c r="AA83">
        <f t="shared" si="9"/>
        <v>0.22976120367419206</v>
      </c>
    </row>
    <row r="84" spans="20:27" x14ac:dyDescent="0.25">
      <c r="T84">
        <f>Kalibratiemetingen!G12</f>
        <v>14.8</v>
      </c>
      <c r="U84">
        <f>Kalibratiemetingen!C12</f>
        <v>5546</v>
      </c>
      <c r="V84">
        <f t="shared" si="5"/>
        <v>1</v>
      </c>
      <c r="W84">
        <f t="shared" si="6"/>
        <v>82080.800000000003</v>
      </c>
      <c r="X84">
        <f t="shared" si="7"/>
        <v>30758116</v>
      </c>
      <c r="Z84">
        <f t="shared" si="8"/>
        <v>14.26902943539535</v>
      </c>
      <c r="AA84">
        <f t="shared" si="9"/>
        <v>0.53097056460465097</v>
      </c>
    </row>
    <row r="85" spans="20:27" x14ac:dyDescent="0.25">
      <c r="T85">
        <f>Kalibratiemetingen!G15</f>
        <v>15.1</v>
      </c>
      <c r="U85">
        <f>Kalibratiemetingen!C15</f>
        <v>5908</v>
      </c>
      <c r="V85">
        <f t="shared" si="5"/>
        <v>1</v>
      </c>
      <c r="W85">
        <f t="shared" si="6"/>
        <v>89210.8</v>
      </c>
      <c r="X85">
        <f t="shared" si="7"/>
        <v>34904464</v>
      </c>
      <c r="Z85">
        <f t="shared" si="8"/>
        <v>14.785054627745016</v>
      </c>
      <c r="AA85">
        <f t="shared" si="9"/>
        <v>0.31494537225498398</v>
      </c>
    </row>
    <row r="86" spans="20:27" x14ac:dyDescent="0.25">
      <c r="T86">
        <f>Kalibratiemetingen!G9</f>
        <v>16.100000000000001</v>
      </c>
      <c r="U86">
        <f>Kalibratiemetingen!C9</f>
        <v>5908</v>
      </c>
      <c r="V86">
        <f t="shared" si="5"/>
        <v>1</v>
      </c>
      <c r="W86">
        <f t="shared" si="6"/>
        <v>95118.8</v>
      </c>
      <c r="X86">
        <f t="shared" si="7"/>
        <v>34904464</v>
      </c>
      <c r="Z86">
        <f t="shared" si="8"/>
        <v>14.785054627745016</v>
      </c>
      <c r="AA86">
        <f t="shared" si="9"/>
        <v>1.3149453722549858</v>
      </c>
    </row>
    <row r="87" spans="20:27" x14ac:dyDescent="0.25">
      <c r="T87">
        <f>Kalibratiemetingen!G4</f>
        <v>17.8</v>
      </c>
      <c r="U87">
        <f>Kalibratiemetingen!C4</f>
        <v>6274</v>
      </c>
      <c r="V87">
        <f t="shared" si="5"/>
        <v>1</v>
      </c>
      <c r="W87">
        <f t="shared" si="6"/>
        <v>111677.20000000001</v>
      </c>
      <c r="X87">
        <f t="shared" si="7"/>
        <v>39363076</v>
      </c>
      <c r="Z87">
        <f t="shared" si="8"/>
        <v>15.306781755921754</v>
      </c>
      <c r="AA87">
        <f t="shared" si="9"/>
        <v>2.4932182440782462</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13.316806152274967</v>
      </c>
    </row>
    <row r="93" spans="20:27" x14ac:dyDescent="0.25">
      <c r="T93">
        <f>Kalibratiemetingen!G95</f>
        <v>12.3</v>
      </c>
      <c r="U93">
        <f>Kalibratiemetingen!C95</f>
        <v>4673</v>
      </c>
      <c r="V93">
        <f t="shared" si="5"/>
        <v>1</v>
      </c>
      <c r="W93">
        <f t="shared" si="6"/>
        <v>57477.9</v>
      </c>
      <c r="X93">
        <f t="shared" si="7"/>
        <v>21836929</v>
      </c>
      <c r="Z93">
        <f t="shared" si="8"/>
        <v>13.024581941137725</v>
      </c>
    </row>
    <row r="94" spans="20:27" x14ac:dyDescent="0.25">
      <c r="T94">
        <f>Kalibratiemetingen!G96</f>
        <v>11.6</v>
      </c>
      <c r="U94">
        <f>Kalibratiemetingen!C96</f>
        <v>4147</v>
      </c>
      <c r="V94">
        <f t="shared" si="5"/>
        <v>1</v>
      </c>
      <c r="W94">
        <f t="shared" si="6"/>
        <v>48105.2</v>
      </c>
      <c r="X94">
        <f t="shared" si="7"/>
        <v>17197609</v>
      </c>
      <c r="Z94">
        <f t="shared" si="8"/>
        <v>12.274777379878262</v>
      </c>
    </row>
    <row r="95" spans="20:27" x14ac:dyDescent="0.25">
      <c r="T95">
        <f>Kalibratiemetingen!G97</f>
        <v>12.1</v>
      </c>
      <c r="U95">
        <f>Kalibratiemetingen!C97</f>
        <v>4097</v>
      </c>
      <c r="V95">
        <f t="shared" si="5"/>
        <v>1</v>
      </c>
      <c r="W95">
        <f t="shared" si="6"/>
        <v>49573.7</v>
      </c>
      <c r="X95">
        <f t="shared" si="7"/>
        <v>16785409</v>
      </c>
      <c r="Z95">
        <f t="shared" si="8"/>
        <v>12.203503182039912</v>
      </c>
    </row>
    <row r="96" spans="20:27" x14ac:dyDescent="0.25">
      <c r="T96">
        <f>Kalibratiemetingen!G98</f>
        <v>15.6</v>
      </c>
      <c r="U96">
        <f>Kalibratiemetingen!C98</f>
        <v>5529</v>
      </c>
      <c r="V96">
        <f t="shared" si="5"/>
        <v>1</v>
      </c>
      <c r="W96">
        <f t="shared" si="6"/>
        <v>86252.4</v>
      </c>
      <c r="X96">
        <f t="shared" si="7"/>
        <v>30569841</v>
      </c>
      <c r="Z96">
        <f t="shared" si="8"/>
        <v>14.24479620813031</v>
      </c>
    </row>
    <row r="97" spans="20:26" x14ac:dyDescent="0.25">
      <c r="T97">
        <f>Kalibratiemetingen!G99</f>
        <v>15.6</v>
      </c>
      <c r="U97">
        <f>Kalibratiemetingen!C99</f>
        <v>5622</v>
      </c>
      <c r="V97">
        <f t="shared" si="5"/>
        <v>1</v>
      </c>
      <c r="W97">
        <f t="shared" si="6"/>
        <v>87703.2</v>
      </c>
      <c r="X97">
        <f t="shared" si="7"/>
        <v>31606884</v>
      </c>
      <c r="Z97">
        <f t="shared" si="8"/>
        <v>14.377366216109646</v>
      </c>
    </row>
    <row r="98" spans="20:26" x14ac:dyDescent="0.25">
      <c r="T98">
        <f>Kalibratiemetingen!G100</f>
        <v>15.6</v>
      </c>
      <c r="U98">
        <f>Kalibratiemetingen!C100</f>
        <v>5539</v>
      </c>
      <c r="V98">
        <f t="shared" si="5"/>
        <v>1</v>
      </c>
      <c r="W98">
        <f t="shared" si="6"/>
        <v>86408.4</v>
      </c>
      <c r="X98">
        <f t="shared" si="7"/>
        <v>30680521</v>
      </c>
      <c r="Z98">
        <f t="shared" si="8"/>
        <v>14.25905104769798</v>
      </c>
    </row>
    <row r="99" spans="20:26" x14ac:dyDescent="0.25">
      <c r="T99">
        <f>Kalibratiemetingen!G101</f>
        <v>15.6</v>
      </c>
      <c r="U99">
        <f>Kalibratiemetingen!C101</f>
        <v>5526</v>
      </c>
      <c r="V99">
        <f t="shared" si="5"/>
        <v>1</v>
      </c>
      <c r="W99">
        <f t="shared" si="6"/>
        <v>86205.599999999991</v>
      </c>
      <c r="X99">
        <f t="shared" si="7"/>
        <v>30536676</v>
      </c>
      <c r="Z99">
        <f t="shared" si="8"/>
        <v>14.24051975626001</v>
      </c>
    </row>
    <row r="100" spans="20:26" x14ac:dyDescent="0.25">
      <c r="T100">
        <f>Kalibratiemetingen!G102</f>
        <v>12.2</v>
      </c>
      <c r="U100">
        <f>Kalibratiemetingen!C102</f>
        <v>4579</v>
      </c>
      <c r="V100">
        <f t="shared" si="5"/>
        <v>1</v>
      </c>
      <c r="W100">
        <f t="shared" si="6"/>
        <v>55863.799999999996</v>
      </c>
      <c r="X100">
        <f t="shared" si="7"/>
        <v>20967241</v>
      </c>
      <c r="Z100">
        <f t="shared" si="8"/>
        <v>12.890586449201624</v>
      </c>
    </row>
    <row r="101" spans="20:26" x14ac:dyDescent="0.25">
      <c r="T101">
        <f>Kalibratiemetingen!G103</f>
        <v>12.2</v>
      </c>
      <c r="U101">
        <f>Kalibratiemetingen!C103</f>
        <v>3844</v>
      </c>
      <c r="V101">
        <f t="shared" si="5"/>
        <v>1</v>
      </c>
      <c r="W101">
        <f t="shared" si="6"/>
        <v>46896.799999999996</v>
      </c>
      <c r="X101">
        <f t="shared" si="7"/>
        <v>14776336</v>
      </c>
      <c r="Z101">
        <f t="shared" si="8"/>
        <v>11.84285574097785</v>
      </c>
    </row>
    <row r="102" spans="20:26" x14ac:dyDescent="0.25">
      <c r="T102">
        <f>Kalibratiemetingen!G104</f>
        <v>11.1</v>
      </c>
      <c r="U102">
        <f>Kalibratiemetingen!C104</f>
        <v>3203</v>
      </c>
      <c r="V102">
        <f t="shared" si="5"/>
        <v>1</v>
      </c>
      <c r="W102">
        <f t="shared" si="6"/>
        <v>35553.299999999996</v>
      </c>
      <c r="X102">
        <f t="shared" si="7"/>
        <v>10259209</v>
      </c>
      <c r="Z102">
        <f t="shared" si="8"/>
        <v>10.92912052469018</v>
      </c>
    </row>
    <row r="103" spans="20:26" x14ac:dyDescent="0.25">
      <c r="T103">
        <f>Kalibratiemetingen!G105</f>
        <v>11.1</v>
      </c>
      <c r="U103">
        <f>Kalibratiemetingen!C105</f>
        <v>2225</v>
      </c>
      <c r="V103">
        <f t="shared" si="5"/>
        <v>1</v>
      </c>
      <c r="W103">
        <f t="shared" si="6"/>
        <v>24697.5</v>
      </c>
      <c r="X103">
        <f t="shared" si="7"/>
        <v>4950625</v>
      </c>
      <c r="Z103">
        <f t="shared" si="8"/>
        <v>9.5349972149720159</v>
      </c>
    </row>
    <row r="104" spans="20:26" x14ac:dyDescent="0.25">
      <c r="T104">
        <f>Kalibratiemetingen!G106</f>
        <v>11.1</v>
      </c>
      <c r="U104">
        <f>Kalibratiemetingen!C106</f>
        <v>2853</v>
      </c>
      <c r="V104">
        <f t="shared" si="5"/>
        <v>1</v>
      </c>
      <c r="W104">
        <f t="shared" si="6"/>
        <v>31668.3</v>
      </c>
      <c r="X104">
        <f t="shared" si="7"/>
        <v>8139609</v>
      </c>
      <c r="Z104">
        <f t="shared" si="8"/>
        <v>10.430201139821715</v>
      </c>
    </row>
    <row r="105" spans="20:26" x14ac:dyDescent="0.25">
      <c r="T105">
        <f>Kalibratiemetingen!G107</f>
        <v>11.1</v>
      </c>
      <c r="U105">
        <f>Kalibratiemetingen!C107</f>
        <v>2915</v>
      </c>
      <c r="V105">
        <f t="shared" si="5"/>
        <v>1</v>
      </c>
      <c r="W105">
        <f t="shared" si="6"/>
        <v>32356.5</v>
      </c>
      <c r="X105">
        <f t="shared" si="7"/>
        <v>8497225</v>
      </c>
      <c r="Z105">
        <f t="shared" si="8"/>
        <v>10.518581145141273</v>
      </c>
    </row>
    <row r="106" spans="20:26" x14ac:dyDescent="0.25">
      <c r="T106">
        <f>Kalibratiemetingen!G108</f>
        <v>11.1</v>
      </c>
      <c r="U106">
        <f>Kalibratiemetingen!C108</f>
        <v>3072</v>
      </c>
      <c r="V106">
        <f t="shared" si="5"/>
        <v>1</v>
      </c>
      <c r="W106">
        <f t="shared" si="6"/>
        <v>34099.199999999997</v>
      </c>
      <c r="X106">
        <f t="shared" si="7"/>
        <v>9437184</v>
      </c>
      <c r="Z106">
        <f t="shared" si="8"/>
        <v>10.742382126353696</v>
      </c>
    </row>
    <row r="107" spans="20:26" x14ac:dyDescent="0.25">
      <c r="T107">
        <f>Kalibratiemetingen!G109</f>
        <v>11.1</v>
      </c>
      <c r="U107">
        <f>Kalibratiemetingen!C109</f>
        <v>3376</v>
      </c>
      <c r="V107">
        <f t="shared" si="5"/>
        <v>1</v>
      </c>
      <c r="W107">
        <f t="shared" si="6"/>
        <v>37473.599999999999</v>
      </c>
      <c r="X107">
        <f t="shared" si="7"/>
        <v>11397376</v>
      </c>
      <c r="Z107">
        <f t="shared" si="8"/>
        <v>11.175729249210876</v>
      </c>
    </row>
    <row r="108" spans="20:26" x14ac:dyDescent="0.25">
      <c r="T108">
        <f>Kalibratiemetingen!G110</f>
        <v>13.3</v>
      </c>
      <c r="U108">
        <f>Kalibratiemetingen!C110</f>
        <v>4890</v>
      </c>
      <c r="V108">
        <f t="shared" si="5"/>
        <v>1</v>
      </c>
      <c r="W108">
        <f t="shared" si="6"/>
        <v>65037</v>
      </c>
      <c r="X108">
        <f t="shared" si="7"/>
        <v>23912100</v>
      </c>
      <c r="Z108">
        <f t="shared" si="8"/>
        <v>13.333911959756172</v>
      </c>
    </row>
    <row r="109" spans="20:26" x14ac:dyDescent="0.25">
      <c r="T109">
        <f>Kalibratiemetingen!G111</f>
        <v>15.9</v>
      </c>
      <c r="U109">
        <f>Kalibratiemetingen!C111</f>
        <v>5706</v>
      </c>
      <c r="V109">
        <f t="shared" si="5"/>
        <v>1</v>
      </c>
      <c r="W109">
        <f t="shared" si="6"/>
        <v>90725.400000000009</v>
      </c>
      <c r="X109">
        <f t="shared" si="7"/>
        <v>32558436</v>
      </c>
      <c r="Z109">
        <f t="shared" si="8"/>
        <v>14.497106868478074</v>
      </c>
    </row>
    <row r="110" spans="20:26" x14ac:dyDescent="0.25">
      <c r="T110">
        <f>Kalibratiemetingen!G112</f>
        <v>15.8</v>
      </c>
      <c r="U110">
        <f>Kalibratiemetingen!C112</f>
        <v>5666</v>
      </c>
      <c r="V110">
        <f t="shared" si="5"/>
        <v>1</v>
      </c>
      <c r="W110">
        <f t="shared" si="6"/>
        <v>89522.8</v>
      </c>
      <c r="X110">
        <f t="shared" si="7"/>
        <v>32103556</v>
      </c>
      <c r="Z110">
        <f t="shared" si="8"/>
        <v>14.440087510207395</v>
      </c>
    </row>
    <row r="111" spans="20:26" x14ac:dyDescent="0.25">
      <c r="T111">
        <f>Kalibratiemetingen!G113</f>
        <v>15.8</v>
      </c>
      <c r="U111">
        <f>Kalibratiemetingen!C113</f>
        <v>4763</v>
      </c>
      <c r="V111">
        <f t="shared" si="5"/>
        <v>1</v>
      </c>
      <c r="W111">
        <f t="shared" si="6"/>
        <v>75255.400000000009</v>
      </c>
      <c r="X111">
        <f t="shared" si="7"/>
        <v>22686169</v>
      </c>
      <c r="Z111">
        <f t="shared" si="8"/>
        <v>13.152875497246757</v>
      </c>
    </row>
    <row r="112" spans="20:26" x14ac:dyDescent="0.25">
      <c r="T112">
        <f>Kalibratiemetingen!G114</f>
        <v>15.8</v>
      </c>
      <c r="U112">
        <f>Kalibratiemetingen!C114</f>
        <v>4626</v>
      </c>
      <c r="V112">
        <f t="shared" si="5"/>
        <v>1</v>
      </c>
      <c r="W112">
        <f t="shared" si="6"/>
        <v>73090.8</v>
      </c>
      <c r="X112">
        <f t="shared" si="7"/>
        <v>21399876</v>
      </c>
      <c r="Z112">
        <f t="shared" si="8"/>
        <v>12.957584195169675</v>
      </c>
    </row>
    <row r="113" spans="20:26" x14ac:dyDescent="0.25">
      <c r="T113">
        <f>Kalibratiemetingen!G115</f>
        <v>15.8</v>
      </c>
      <c r="U113">
        <f>Kalibratiemetingen!C115</f>
        <v>4891</v>
      </c>
      <c r="V113">
        <f t="shared" si="5"/>
        <v>1</v>
      </c>
      <c r="W113">
        <f t="shared" si="6"/>
        <v>77277.8</v>
      </c>
      <c r="X113">
        <f t="shared" si="7"/>
        <v>23921881</v>
      </c>
      <c r="Z113">
        <f t="shared" si="8"/>
        <v>13.335337443712939</v>
      </c>
    </row>
    <row r="114" spans="20:26" x14ac:dyDescent="0.25">
      <c r="T114">
        <f>Kalibratiemetingen!G116</f>
        <v>15.8</v>
      </c>
      <c r="U114">
        <f>Kalibratiemetingen!C116</f>
        <v>4849</v>
      </c>
      <c r="V114">
        <f t="shared" si="5"/>
        <v>1</v>
      </c>
      <c r="W114">
        <f t="shared" si="6"/>
        <v>76614.2</v>
      </c>
      <c r="X114">
        <f t="shared" si="7"/>
        <v>23512801</v>
      </c>
      <c r="Z114">
        <f t="shared" si="8"/>
        <v>13.275467117528724</v>
      </c>
    </row>
    <row r="115" spans="20:26" x14ac:dyDescent="0.25">
      <c r="T115">
        <f>Kalibratiemetingen!G117</f>
        <v>15.8</v>
      </c>
      <c r="U115">
        <f>Kalibratiemetingen!C117</f>
        <v>5505</v>
      </c>
      <c r="V115">
        <f t="shared" si="5"/>
        <v>1</v>
      </c>
      <c r="W115">
        <f t="shared" si="6"/>
        <v>86979</v>
      </c>
      <c r="X115">
        <f t="shared" si="7"/>
        <v>30305025</v>
      </c>
      <c r="Z115">
        <f t="shared" si="8"/>
        <v>14.210584593167901</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35" priority="1" operator="equal">
      <formula>0</formula>
    </cfRule>
    <cfRule type="cellIs" dxfId="34"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C20" sqref="C20"/>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J8" sqref="J8"/>
    </sheetView>
  </sheetViews>
  <sheetFormatPr defaultRowHeight="15" x14ac:dyDescent="0.25"/>
  <cols>
    <col min="1" max="1" width="16.85546875"/>
    <col min="2" max="2" width="13.85546875"/>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66" t="s">
        <v>61</v>
      </c>
      <c r="C1" s="66"/>
      <c r="D1" s="66"/>
      <c r="E1" s="66"/>
      <c r="F1" s="66"/>
      <c r="G1" s="66"/>
      <c r="H1" s="66"/>
      <c r="I1" s="66"/>
      <c r="J1" s="66"/>
      <c r="K1" s="66"/>
      <c r="L1" s="66"/>
      <c r="M1" s="66"/>
    </row>
    <row r="3" spans="1:14" x14ac:dyDescent="0.25">
      <c r="A3" s="8" t="s">
        <v>62</v>
      </c>
      <c r="B3" s="8" t="s">
        <v>63</v>
      </c>
      <c r="C3" s="8" t="s">
        <v>64</v>
      </c>
      <c r="D3" s="8" t="s">
        <v>65</v>
      </c>
      <c r="E3" s="8" t="s">
        <v>66</v>
      </c>
      <c r="F3" s="8" t="s">
        <v>67</v>
      </c>
      <c r="G3" s="8" t="s">
        <v>68</v>
      </c>
      <c r="H3" s="8" t="s">
        <v>69</v>
      </c>
      <c r="I3" s="8" t="s">
        <v>70</v>
      </c>
      <c r="J3" s="8" t="s">
        <v>71</v>
      </c>
      <c r="K3" s="8" t="s">
        <v>72</v>
      </c>
      <c r="L3" s="8" t="s">
        <v>73</v>
      </c>
      <c r="M3" s="8" t="s">
        <v>74</v>
      </c>
      <c r="N3" s="8" t="s">
        <v>75</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76</v>
      </c>
      <c r="M4" t="s">
        <v>77</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76</v>
      </c>
      <c r="M5" t="s">
        <v>77</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76</v>
      </c>
      <c r="M6" t="s">
        <v>77</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T17" sqref="T17"/>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67" t="s">
        <v>78</v>
      </c>
      <c r="C1" s="67"/>
      <c r="D1" s="67"/>
      <c r="E1" s="67"/>
      <c r="F1" s="67"/>
      <c r="G1" s="67"/>
      <c r="H1" s="67"/>
    </row>
    <row r="4" spans="1:19" x14ac:dyDescent="0.25">
      <c r="G4" s="8" t="s">
        <v>79</v>
      </c>
      <c r="H4" t="s">
        <v>80</v>
      </c>
    </row>
    <row r="5" spans="1:19" x14ac:dyDescent="0.25">
      <c r="A5" s="8" t="s">
        <v>81</v>
      </c>
      <c r="B5">
        <v>21089</v>
      </c>
      <c r="C5">
        <v>21093</v>
      </c>
      <c r="D5">
        <v>21116</v>
      </c>
      <c r="E5">
        <v>21096</v>
      </c>
      <c r="F5">
        <v>21108</v>
      </c>
      <c r="G5">
        <f>AVERAGE(B5:F5)</f>
        <v>21100.400000000001</v>
      </c>
      <c r="H5">
        <f>((G5/G$9)-1)*100</f>
        <v>0.23657282927804779</v>
      </c>
    </row>
    <row r="6" spans="1:19" x14ac:dyDescent="0.25">
      <c r="A6" s="8" t="s">
        <v>82</v>
      </c>
      <c r="B6">
        <v>22307</v>
      </c>
      <c r="C6">
        <v>21562</v>
      </c>
      <c r="D6">
        <v>21585</v>
      </c>
      <c r="E6">
        <v>21660</v>
      </c>
      <c r="F6">
        <v>21917</v>
      </c>
      <c r="G6">
        <f>AVERAGE(B6:F6)</f>
        <v>21806.2</v>
      </c>
      <c r="H6">
        <f>((G6/G$9)-1)*100</f>
        <v>3.5894463815758337</v>
      </c>
    </row>
    <row r="7" spans="1:19" x14ac:dyDescent="0.25">
      <c r="A7" s="8" t="s">
        <v>83</v>
      </c>
      <c r="B7">
        <v>21307</v>
      </c>
      <c r="C7">
        <v>21299</v>
      </c>
      <c r="D7">
        <v>21191</v>
      </c>
      <c r="E7">
        <v>21150</v>
      </c>
      <c r="F7">
        <v>21200</v>
      </c>
      <c r="G7">
        <f>AVERAGE(B7:F7)</f>
        <v>21229.4</v>
      </c>
      <c r="H7">
        <f>((G7/G$9)-1)*100</f>
        <v>0.84938196535966348</v>
      </c>
    </row>
    <row r="8" spans="1:19" x14ac:dyDescent="0.25">
      <c r="A8" s="8" t="s">
        <v>84</v>
      </c>
      <c r="B8">
        <v>21084</v>
      </c>
      <c r="C8">
        <v>21081</v>
      </c>
      <c r="D8">
        <v>21094</v>
      </c>
      <c r="E8">
        <v>21093</v>
      </c>
      <c r="F8">
        <v>21084</v>
      </c>
      <c r="G8">
        <f>AVERAGE(B8:F8)</f>
        <v>21087.200000000001</v>
      </c>
      <c r="H8">
        <f>((G8/G$9)-1)*100</f>
        <v>0.17386677814410501</v>
      </c>
    </row>
    <row r="9" spans="1:19" x14ac:dyDescent="0.25">
      <c r="A9" s="8" t="s">
        <v>85</v>
      </c>
      <c r="B9">
        <v>21034</v>
      </c>
      <c r="C9">
        <v>21062</v>
      </c>
      <c r="D9">
        <v>21043</v>
      </c>
      <c r="E9">
        <v>21052</v>
      </c>
      <c r="F9">
        <v>21062</v>
      </c>
      <c r="G9" s="15">
        <f>AVERAGE(B9:F9)</f>
        <v>21050.6</v>
      </c>
      <c r="H9">
        <f>((G9/G$9)-1)*100</f>
        <v>0</v>
      </c>
    </row>
    <row r="11" spans="1:19" x14ac:dyDescent="0.25">
      <c r="O11" t="s">
        <v>121</v>
      </c>
    </row>
    <row r="13" spans="1:19" x14ac:dyDescent="0.25">
      <c r="O13" t="s">
        <v>119</v>
      </c>
      <c r="P13">
        <v>21167</v>
      </c>
      <c r="Q13">
        <v>59</v>
      </c>
      <c r="R13">
        <v>296</v>
      </c>
      <c r="S13" t="s">
        <v>120</v>
      </c>
    </row>
    <row r="14" spans="1:19" x14ac:dyDescent="0.25">
      <c r="O14" t="s">
        <v>123</v>
      </c>
      <c r="P14">
        <v>21219</v>
      </c>
      <c r="Q14">
        <v>8</v>
      </c>
      <c r="S14" t="s">
        <v>122</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tabSelected="1" topLeftCell="A24" zoomScaleNormal="100" workbookViewId="0">
      <selection activeCell="A58" sqref="A58"/>
    </sheetView>
  </sheetViews>
  <sheetFormatPr defaultRowHeight="15" x14ac:dyDescent="0.25"/>
  <cols>
    <col min="1" max="1" width="13.42578125" bestFit="1" customWidth="1"/>
    <col min="4" max="4" width="8.28515625" customWidth="1"/>
    <col min="5" max="6" width="8.85546875" customWidth="1"/>
    <col min="7" max="7" width="12.28515625" bestFit="1" customWidth="1"/>
    <col min="10" max="10" width="6" customWidth="1"/>
    <col min="11" max="11" width="11.28515625" bestFit="1"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51</v>
      </c>
      <c r="B1">
        <f>COUNT(B$4:B$64994)</f>
        <v>0</v>
      </c>
      <c r="C1">
        <f>COUNT(C$4:C$64994)</f>
        <v>18</v>
      </c>
      <c r="D1">
        <f>COUNT(D$4:D$64994)</f>
        <v>54</v>
      </c>
      <c r="E1">
        <f>COUNT(E$4:E$64994)</f>
        <v>54</v>
      </c>
      <c r="H1">
        <f>COUNT(H$4:H$64994)</f>
        <v>54</v>
      </c>
      <c r="I1">
        <f>COUNT(I$4:I$64994)</f>
        <v>30</v>
      </c>
      <c r="K1">
        <f t="shared" ref="K1:Q1" si="0">COUNT(K$4:K$65000)</f>
        <v>0</v>
      </c>
      <c r="L1">
        <f t="shared" si="0"/>
        <v>51</v>
      </c>
      <c r="M1">
        <f>COUNT(M$4:M$65000)</f>
        <v>0</v>
      </c>
      <c r="N1">
        <f t="shared" si="0"/>
        <v>0</v>
      </c>
      <c r="O1">
        <f t="shared" si="0"/>
        <v>51</v>
      </c>
      <c r="P1">
        <f t="shared" si="0"/>
        <v>0</v>
      </c>
      <c r="Q1">
        <f t="shared" si="0"/>
        <v>0</v>
      </c>
    </row>
    <row r="2" spans="1:25" ht="32.25" customHeight="1" x14ac:dyDescent="0.25">
      <c r="F2" s="64" t="s">
        <v>114</v>
      </c>
      <c r="G2" s="64"/>
      <c r="H2" s="64"/>
      <c r="I2" s="64"/>
      <c r="J2" s="64"/>
      <c r="N2" s="65" t="s">
        <v>115</v>
      </c>
      <c r="O2" s="65"/>
      <c r="P2" s="65"/>
    </row>
    <row r="3" spans="1:25" ht="45" customHeight="1" x14ac:dyDescent="0.25">
      <c r="A3" s="20" t="s">
        <v>0</v>
      </c>
      <c r="B3" s="23" t="s">
        <v>3</v>
      </c>
      <c r="C3" s="19" t="s">
        <v>4</v>
      </c>
      <c r="D3" s="19" t="s">
        <v>5</v>
      </c>
      <c r="E3" s="19" t="s">
        <v>6</v>
      </c>
      <c r="F3" s="25" t="s">
        <v>110</v>
      </c>
      <c r="G3" s="22" t="s">
        <v>86</v>
      </c>
      <c r="H3" s="21" t="s">
        <v>1</v>
      </c>
      <c r="I3" s="21" t="s">
        <v>2</v>
      </c>
      <c r="J3" s="21" t="s">
        <v>111</v>
      </c>
      <c r="K3" s="23" t="s">
        <v>7</v>
      </c>
      <c r="L3" s="23" t="s">
        <v>8</v>
      </c>
      <c r="M3" s="23" t="s">
        <v>9</v>
      </c>
      <c r="N3" s="23" t="s">
        <v>10</v>
      </c>
      <c r="O3" s="23" t="s">
        <v>11</v>
      </c>
      <c r="P3" s="23" t="s">
        <v>12</v>
      </c>
      <c r="Q3" s="23" t="s">
        <v>13</v>
      </c>
      <c r="R3" s="43" t="s">
        <v>94</v>
      </c>
      <c r="S3" s="44" t="s">
        <v>101</v>
      </c>
      <c r="X3" s="17" t="s">
        <v>92</v>
      </c>
      <c r="Y3">
        <f>COUNTIF(J4:J49994,"=1")</f>
        <v>54</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90</v>
      </c>
      <c r="Y4" s="18">
        <f>-SUM(R4:R50000)</f>
        <v>-3225891.9000000004</v>
      </c>
    </row>
    <row r="5" spans="1:25" x14ac:dyDescent="0.25">
      <c r="A5" s="28">
        <v>259</v>
      </c>
      <c r="B5" s="28" t="s">
        <v>41</v>
      </c>
      <c r="C5" s="38"/>
      <c r="D5" s="38">
        <v>5413</v>
      </c>
      <c r="E5" s="38">
        <v>30</v>
      </c>
      <c r="F5" s="39">
        <f t="shared" ref="F5:F5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18" si="2">H5*D5</f>
        <v>74699.400000000009</v>
      </c>
      <c r="S5">
        <f t="shared" ref="S5:S18" si="3">D5*D5</f>
        <v>29300569</v>
      </c>
      <c r="X5" s="17" t="s">
        <v>97</v>
      </c>
      <c r="Y5">
        <f>AVERAGEIF(J4:J49994,"=1",H4:H49994)</f>
        <v>12.144444444444446</v>
      </c>
    </row>
    <row r="6" spans="1:25" x14ac:dyDescent="0.25">
      <c r="A6" s="28">
        <v>259</v>
      </c>
      <c r="B6" s="28" t="s">
        <v>22</v>
      </c>
      <c r="C6" s="38">
        <v>21129</v>
      </c>
      <c r="D6" s="38">
        <v>5193</v>
      </c>
      <c r="E6" s="38">
        <v>30</v>
      </c>
      <c r="F6" s="39">
        <f t="shared" si="1"/>
        <v>3.4166401343416197E-2</v>
      </c>
      <c r="G6" s="24">
        <f>D6*Grafiek_kalibratiemetingen!$R$13+Grafiek_kalibratiemetingen!$R$14</f>
        <v>13.765833598656585</v>
      </c>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98</v>
      </c>
      <c r="Y6">
        <f>AVERAGEIF(J4:J49994,"=1",D4:D49994)</f>
        <v>4886.9444444444443</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96</v>
      </c>
      <c r="Y7">
        <f>SUMIF(J4:J49994,"=1",D4:D49994)/Y3</f>
        <v>4886.9444444444443</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99</v>
      </c>
      <c r="Y8">
        <f>SUMIF(J4:J49994,"=1",D4:D49994)</f>
        <v>263895</v>
      </c>
    </row>
    <row r="9" spans="1:25" x14ac:dyDescent="0.25">
      <c r="A9" s="28">
        <v>258</v>
      </c>
      <c r="B9" s="28" t="s">
        <v>22</v>
      </c>
      <c r="C9" s="38">
        <v>21216</v>
      </c>
      <c r="D9" s="38">
        <v>5364</v>
      </c>
      <c r="E9" s="38">
        <v>30</v>
      </c>
      <c r="F9" s="39">
        <f t="shared" si="1"/>
        <v>-0.20959135526374695</v>
      </c>
      <c r="G9" s="24">
        <f>D9*Grafiek_kalibratiemetingen!$R$13+Grafiek_kalibratiemetingen!$R$14</f>
        <v>14.009591355263748</v>
      </c>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100</v>
      </c>
      <c r="Y9">
        <f>SUMIF(J4:J49994,"=1",H4:H49994)</f>
        <v>655.80000000000007</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128</v>
      </c>
      <c r="Q10" s="28"/>
      <c r="R10">
        <f t="shared" si="2"/>
        <v>29386.400000000001</v>
      </c>
      <c r="S10">
        <f t="shared" si="3"/>
        <v>7268416</v>
      </c>
      <c r="X10" s="17" t="s">
        <v>102</v>
      </c>
      <c r="Y10">
        <f>SUMIF(J4:J49994,"=1",S4:S50000)</f>
        <v>1315808449</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128</v>
      </c>
      <c r="Q11" s="28"/>
      <c r="R11">
        <f t="shared" si="2"/>
        <v>31468.3</v>
      </c>
      <c r="S11">
        <f t="shared" si="3"/>
        <v>8334769</v>
      </c>
    </row>
    <row r="12" spans="1:25" x14ac:dyDescent="0.25">
      <c r="A12" s="28">
        <v>256</v>
      </c>
      <c r="B12" s="28" t="s">
        <v>22</v>
      </c>
      <c r="C12" s="38">
        <v>21256</v>
      </c>
      <c r="D12" s="38">
        <v>2853</v>
      </c>
      <c r="E12" s="38">
        <v>27</v>
      </c>
      <c r="F12" s="39">
        <f t="shared" si="1"/>
        <v>0.46979886017828498</v>
      </c>
      <c r="G12" s="24">
        <f>D12*Grafiek_kalibratiemetingen!$R$13+Grafiek_kalibratiemetingen!$R$14</f>
        <v>10.430201139821715</v>
      </c>
      <c r="H12" s="41">
        <v>10.9</v>
      </c>
      <c r="I12" s="41">
        <v>27.5</v>
      </c>
      <c r="J12" s="41">
        <f>IF(IF(DrieMeters!D12&gt;0,1,0)+IF(DrieMeters!H12&gt;0,1,0)=2,1,0)</f>
        <v>1</v>
      </c>
      <c r="K12" s="28" t="s">
        <v>14</v>
      </c>
      <c r="L12" s="28">
        <v>729</v>
      </c>
      <c r="M12" t="s">
        <v>15</v>
      </c>
      <c r="N12" s="28" t="s">
        <v>16</v>
      </c>
      <c r="O12" s="42">
        <v>42570</v>
      </c>
      <c r="P12" s="28" t="s">
        <v>128</v>
      </c>
      <c r="Q12" s="28"/>
      <c r="R12">
        <f t="shared" si="2"/>
        <v>31097.7</v>
      </c>
      <c r="S12">
        <f t="shared" si="3"/>
        <v>8139609</v>
      </c>
      <c r="X12" t="s">
        <v>103</v>
      </c>
      <c r="Y12">
        <f>Y4+Y5*Y8</f>
        <v>-21033.733333333395</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128</v>
      </c>
      <c r="Q13" s="28"/>
      <c r="R13">
        <f t="shared" si="2"/>
        <v>53074</v>
      </c>
      <c r="S13">
        <f t="shared" si="3"/>
        <v>19891600</v>
      </c>
      <c r="X13" t="s">
        <v>104</v>
      </c>
      <c r="Y13">
        <f>-Y10+(Y8*Y8)/Y3</f>
        <v>-26168244.833333254</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128</v>
      </c>
      <c r="Q14" s="28"/>
      <c r="R14">
        <f t="shared" si="2"/>
        <v>51289</v>
      </c>
      <c r="S14">
        <f t="shared" si="3"/>
        <v>18576100</v>
      </c>
    </row>
    <row r="15" spans="1:25" x14ac:dyDescent="0.25">
      <c r="A15" s="29">
        <v>255</v>
      </c>
      <c r="B15" s="28" t="s">
        <v>22</v>
      </c>
      <c r="C15" s="30">
        <v>21274</v>
      </c>
      <c r="D15" s="30">
        <v>4202</v>
      </c>
      <c r="E15" s="30">
        <v>29</v>
      </c>
      <c r="F15" s="39">
        <f t="shared" si="1"/>
        <v>-0.45317899750044965</v>
      </c>
      <c r="G15" s="24">
        <f>D15*Grafiek_kalibratiemetingen!$R$13+Grafiek_kalibratiemetingen!$R$14</f>
        <v>12.35317899750045</v>
      </c>
      <c r="H15" s="31">
        <v>11.9</v>
      </c>
      <c r="I15" s="31">
        <v>27.5</v>
      </c>
      <c r="J15" s="41">
        <f>IF(IF(DrieMeters!D15&gt;0,1,0)+IF(DrieMeters!H15&gt;0,1,0)=2,1,0)</f>
        <v>1</v>
      </c>
      <c r="K15" s="28" t="s">
        <v>14</v>
      </c>
      <c r="L15" s="28">
        <v>729</v>
      </c>
      <c r="M15" t="s">
        <v>15</v>
      </c>
      <c r="N15" s="28" t="s">
        <v>16</v>
      </c>
      <c r="O15" s="42">
        <v>42570</v>
      </c>
      <c r="P15" s="28" t="s">
        <v>128</v>
      </c>
      <c r="Q15" s="29"/>
      <c r="R15">
        <f t="shared" si="2"/>
        <v>50003.8</v>
      </c>
      <c r="S15">
        <f t="shared" si="3"/>
        <v>17656804</v>
      </c>
      <c r="X15" t="s">
        <v>88</v>
      </c>
      <c r="Y15">
        <f>Y12/Y13</f>
        <v>8.0378846450337819E-4</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128</v>
      </c>
      <c r="Q16" s="29"/>
      <c r="R16">
        <f t="shared" si="2"/>
        <v>75491.399999999994</v>
      </c>
      <c r="S16">
        <f t="shared" si="3"/>
        <v>28665316</v>
      </c>
      <c r="X16" t="s">
        <v>89</v>
      </c>
      <c r="Y16">
        <f>Y5-Y15*Y6</f>
        <v>8.2163748733311301</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128</v>
      </c>
      <c r="Q17" s="29"/>
      <c r="R17">
        <f t="shared" si="2"/>
        <v>75942.599999999991</v>
      </c>
      <c r="S17">
        <f t="shared" si="3"/>
        <v>29008996</v>
      </c>
    </row>
    <row r="18" spans="1:19" x14ac:dyDescent="0.25">
      <c r="A18" s="29">
        <v>257</v>
      </c>
      <c r="B18" s="28" t="s">
        <v>22</v>
      </c>
      <c r="C18" s="30">
        <v>21185</v>
      </c>
      <c r="D18" s="30">
        <v>5094</v>
      </c>
      <c r="E18" s="30">
        <v>29</v>
      </c>
      <c r="F18" s="39">
        <f t="shared" si="1"/>
        <v>0.47528931306335132</v>
      </c>
      <c r="G18" s="24">
        <f>D18*Grafiek_kalibratiemetingen!$R$13+Grafiek_kalibratiemetingen!$R$14</f>
        <v>13.624710686936648</v>
      </c>
      <c r="H18" s="31">
        <v>14.1</v>
      </c>
      <c r="I18" s="31">
        <v>27.4</v>
      </c>
      <c r="J18" s="41">
        <f>IF(IF(DrieMeters!D18&gt;0,1,0)+IF(DrieMeters!H18&gt;0,1,0)=2,1,0)</f>
        <v>1</v>
      </c>
      <c r="K18" s="28" t="s">
        <v>14</v>
      </c>
      <c r="L18" s="28">
        <v>729</v>
      </c>
      <c r="M18" t="s">
        <v>15</v>
      </c>
      <c r="N18" s="28" t="s">
        <v>16</v>
      </c>
      <c r="O18" s="42">
        <v>42570</v>
      </c>
      <c r="P18" s="28" t="s">
        <v>128</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128</v>
      </c>
      <c r="Q19" s="29"/>
      <c r="R19">
        <f t="shared" ref="R19:R36" si="4">H19*D19</f>
        <v>51000.299999999996</v>
      </c>
      <c r="S19">
        <f t="shared" ref="S19:S34"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128</v>
      </c>
      <c r="Q20" s="29"/>
      <c r="R20">
        <f t="shared" si="4"/>
        <v>50450.399999999994</v>
      </c>
      <c r="S20">
        <f t="shared" si="5"/>
        <v>18593344</v>
      </c>
    </row>
    <row r="21" spans="1:19" x14ac:dyDescent="0.25">
      <c r="A21" s="29">
        <v>253</v>
      </c>
      <c r="B21" s="28" t="s">
        <v>22</v>
      </c>
      <c r="C21" s="30">
        <v>21268</v>
      </c>
      <c r="D21" s="30">
        <v>4049</v>
      </c>
      <c r="E21" s="30">
        <v>29</v>
      </c>
      <c r="F21" s="39">
        <f t="shared" si="1"/>
        <v>-0.43507995211509431</v>
      </c>
      <c r="G21" s="24">
        <f>D21*Grafiek_kalibratiemetingen!$R$13+Grafiek_kalibratiemetingen!$R$14</f>
        <v>12.135079952115094</v>
      </c>
      <c r="H21" s="31">
        <v>11.7</v>
      </c>
      <c r="I21" s="31">
        <v>27.7</v>
      </c>
      <c r="J21" s="41">
        <f>IF(IF(DrieMeters!D21&gt;0,1,0)+IF(DrieMeters!H21&gt;0,1,0)=2,1,0)</f>
        <v>1</v>
      </c>
      <c r="K21" s="28" t="s">
        <v>14</v>
      </c>
      <c r="L21" s="28">
        <v>729</v>
      </c>
      <c r="M21" t="s">
        <v>15</v>
      </c>
      <c r="N21" s="28" t="s">
        <v>16</v>
      </c>
      <c r="O21" s="42">
        <v>42570</v>
      </c>
      <c r="P21" s="28" t="s">
        <v>128</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128</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128</v>
      </c>
      <c r="Q23" s="29"/>
      <c r="R23">
        <f t="shared" si="4"/>
        <v>54072</v>
      </c>
      <c r="S23">
        <f t="shared" si="5"/>
        <v>20304036</v>
      </c>
    </row>
    <row r="24" spans="1:19" x14ac:dyDescent="0.25">
      <c r="A24" s="29">
        <v>9309</v>
      </c>
      <c r="B24" s="28" t="s">
        <v>22</v>
      </c>
      <c r="C24" s="30">
        <v>21317</v>
      </c>
      <c r="D24" s="30">
        <v>4299</v>
      </c>
      <c r="E24" s="30">
        <v>29</v>
      </c>
      <c r="F24" s="39">
        <f t="shared" si="1"/>
        <v>-0.4914509413068533</v>
      </c>
      <c r="G24" s="24">
        <f>D24*Grafiek_kalibratiemetingen!$R$13+Grafiek_kalibratiemetingen!$R$14</f>
        <v>12.491450941306853</v>
      </c>
      <c r="H24" s="31">
        <v>12</v>
      </c>
      <c r="I24" s="31">
        <v>28</v>
      </c>
      <c r="J24" s="41">
        <f>IF(IF(DrieMeters!D24&gt;0,1,0)+IF(DrieMeters!H24&gt;0,1,0)=2,1,0)</f>
        <v>1</v>
      </c>
      <c r="K24" s="28" t="s">
        <v>14</v>
      </c>
      <c r="L24" s="28">
        <v>729</v>
      </c>
      <c r="M24" t="s">
        <v>15</v>
      </c>
      <c r="N24" s="28" t="s">
        <v>16</v>
      </c>
      <c r="O24" s="42">
        <v>42570</v>
      </c>
      <c r="P24" s="28" t="s">
        <v>128</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128</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128</v>
      </c>
      <c r="Q26" s="29"/>
      <c r="R26">
        <f t="shared" si="4"/>
        <v>57656.5</v>
      </c>
      <c r="S26">
        <f t="shared" si="5"/>
        <v>22705225</v>
      </c>
    </row>
    <row r="27" spans="1:19" x14ac:dyDescent="0.25">
      <c r="A27" s="29">
        <v>9303</v>
      </c>
      <c r="B27" s="28" t="s">
        <v>22</v>
      </c>
      <c r="C27" s="30">
        <v>21362</v>
      </c>
      <c r="D27" s="30">
        <v>4490</v>
      </c>
      <c r="E27" s="30">
        <v>30</v>
      </c>
      <c r="F27" s="39">
        <f t="shared" si="1"/>
        <v>-0.66371837704935821</v>
      </c>
      <c r="G27" s="24">
        <f>D27*Grafiek_kalibratiemetingen!$R$13+Grafiek_kalibratiemetingen!$R$14</f>
        <v>12.763718377049358</v>
      </c>
      <c r="H27" s="31">
        <v>12.1</v>
      </c>
      <c r="I27" s="31">
        <v>27.7</v>
      </c>
      <c r="J27" s="41">
        <f>IF(IF(DrieMeters!D27&gt;0,1,0)+IF(DrieMeters!H27&gt;0,1,0)=2,1,0)</f>
        <v>1</v>
      </c>
      <c r="K27" s="28" t="s">
        <v>14</v>
      </c>
      <c r="L27" s="28">
        <v>729</v>
      </c>
      <c r="M27" t="s">
        <v>15</v>
      </c>
      <c r="N27" s="28" t="s">
        <v>16</v>
      </c>
      <c r="O27" s="42">
        <v>42570</v>
      </c>
      <c r="P27" s="28" t="s">
        <v>128</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128</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128</v>
      </c>
      <c r="Q29" s="29"/>
      <c r="R29">
        <f t="shared" si="4"/>
        <v>72664.800000000003</v>
      </c>
      <c r="S29">
        <f t="shared" si="5"/>
        <v>28547649</v>
      </c>
    </row>
    <row r="30" spans="1:19" x14ac:dyDescent="0.25">
      <c r="A30" s="29">
        <v>9304</v>
      </c>
      <c r="B30" s="28" t="s">
        <v>22</v>
      </c>
      <c r="C30" s="30">
        <v>21355</v>
      </c>
      <c r="D30" s="30">
        <v>5124</v>
      </c>
      <c r="E30" s="30">
        <v>30</v>
      </c>
      <c r="F30" s="39">
        <f t="shared" si="1"/>
        <v>-6.7475205639659919E-2</v>
      </c>
      <c r="G30" s="24">
        <f>D30*Grafiek_kalibratiemetingen!$R$13+Grafiek_kalibratiemetingen!$R$14</f>
        <v>13.66747520563966</v>
      </c>
      <c r="H30" s="31">
        <v>13.6</v>
      </c>
      <c r="I30" s="31">
        <v>27.7</v>
      </c>
      <c r="J30" s="41">
        <f>IF(IF(DrieMeters!D30&gt;0,1,0)+IF(DrieMeters!H30&gt;0,1,0)=2,1,0)</f>
        <v>1</v>
      </c>
      <c r="K30" s="28" t="s">
        <v>14</v>
      </c>
      <c r="L30" s="28">
        <v>729</v>
      </c>
      <c r="M30" t="s">
        <v>15</v>
      </c>
      <c r="N30" s="28" t="s">
        <v>16</v>
      </c>
      <c r="O30" s="42">
        <v>42570</v>
      </c>
      <c r="P30" s="28" t="s">
        <v>128</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128</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128</v>
      </c>
      <c r="Q32" s="29"/>
      <c r="R32">
        <f t="shared" si="4"/>
        <v>64181</v>
      </c>
      <c r="S32">
        <f t="shared" si="5"/>
        <v>24373969</v>
      </c>
    </row>
    <row r="33" spans="1:21" x14ac:dyDescent="0.25">
      <c r="A33" s="29">
        <v>9301</v>
      </c>
      <c r="B33" s="28" t="s">
        <v>22</v>
      </c>
      <c r="C33" s="13">
        <v>21116</v>
      </c>
      <c r="D33" s="13">
        <v>4648</v>
      </c>
      <c r="E33" s="13">
        <v>30</v>
      </c>
      <c r="F33" s="39">
        <f t="shared" si="1"/>
        <v>1.1055157781450831E-2</v>
      </c>
      <c r="G33" s="24">
        <f>D33*Grafiek_kalibratiemetingen!$R$13+Grafiek_kalibratiemetingen!$R$14</f>
        <v>12.988944842218549</v>
      </c>
      <c r="H33" s="12">
        <v>13</v>
      </c>
      <c r="I33" s="12">
        <v>27.6</v>
      </c>
      <c r="J33" s="2">
        <f>IF(IF(DrieMeters!D33&gt;0,1,0)+IF(DrieMeters!H33&gt;0,1,0)=2,1,0)</f>
        <v>1</v>
      </c>
      <c r="K33" s="28" t="s">
        <v>14</v>
      </c>
      <c r="L33" s="28">
        <v>729</v>
      </c>
      <c r="M33" t="s">
        <v>15</v>
      </c>
      <c r="N33" s="28" t="s">
        <v>16</v>
      </c>
      <c r="O33" s="42">
        <v>42570</v>
      </c>
      <c r="P33" s="28" t="s">
        <v>128</v>
      </c>
      <c r="Q33" s="29"/>
      <c r="R33">
        <f t="shared" ref="R33:R51" si="6">H33*D33</f>
        <v>60424</v>
      </c>
      <c r="S33">
        <f t="shared" ref="S33:S43" si="7">D33*D33</f>
        <v>21603904</v>
      </c>
    </row>
    <row r="34" spans="1:21" x14ac:dyDescent="0.25">
      <c r="A34" s="29">
        <v>266</v>
      </c>
      <c r="B34" s="28" t="s">
        <v>49</v>
      </c>
      <c r="C34" s="13"/>
      <c r="D34" s="13">
        <v>5565</v>
      </c>
      <c r="E34" s="13">
        <v>29</v>
      </c>
      <c r="F34" s="39">
        <f t="shared" si="1"/>
        <v>-3.8000000000000007</v>
      </c>
      <c r="G34" s="24">
        <v>13.9</v>
      </c>
      <c r="H34" s="12">
        <v>10.1</v>
      </c>
      <c r="I34" s="12"/>
      <c r="J34" s="2">
        <f>IF(IF(DrieMeters!D34&gt;0,1,0)+IF(DrieMeters!H34&gt;0,1,0)=2,1,0)</f>
        <v>1</v>
      </c>
      <c r="K34" s="29" t="s">
        <v>138</v>
      </c>
      <c r="L34" s="29">
        <v>780</v>
      </c>
      <c r="M34" s="29" t="s">
        <v>15</v>
      </c>
      <c r="N34" s="29" t="s">
        <v>16</v>
      </c>
      <c r="O34" s="32">
        <v>42570</v>
      </c>
      <c r="P34" s="29" t="s">
        <v>17</v>
      </c>
      <c r="Q34" s="29" t="s">
        <v>140</v>
      </c>
      <c r="R34">
        <f t="shared" si="6"/>
        <v>56206.5</v>
      </c>
      <c r="S34">
        <f t="shared" si="7"/>
        <v>30969225</v>
      </c>
    </row>
    <row r="35" spans="1:21" x14ac:dyDescent="0.25">
      <c r="A35" s="29">
        <v>266</v>
      </c>
      <c r="B35" s="28" t="s">
        <v>41</v>
      </c>
      <c r="C35" s="13"/>
      <c r="D35" s="13">
        <v>5499</v>
      </c>
      <c r="E35" s="13">
        <v>30</v>
      </c>
      <c r="F35" s="39">
        <f t="shared" si="1"/>
        <v>-3.4000000000000004</v>
      </c>
      <c r="G35" s="24">
        <v>13.5</v>
      </c>
      <c r="H35" s="12">
        <v>10.1</v>
      </c>
      <c r="I35" s="12"/>
      <c r="J35" s="2">
        <f>IF(IF(DrieMeters!D35&gt;0,1,0)+IF(DrieMeters!H35&gt;0,1,0)=2,1,0)</f>
        <v>1</v>
      </c>
      <c r="K35" s="29" t="s">
        <v>138</v>
      </c>
      <c r="L35" s="29">
        <v>780</v>
      </c>
      <c r="M35" s="29" t="s">
        <v>15</v>
      </c>
      <c r="N35" s="29" t="s">
        <v>16</v>
      </c>
      <c r="O35" s="32">
        <v>42570</v>
      </c>
      <c r="P35" s="29" t="s">
        <v>17</v>
      </c>
      <c r="Q35" s="29" t="s">
        <v>140</v>
      </c>
      <c r="R35">
        <f t="shared" si="6"/>
        <v>55539.9</v>
      </c>
      <c r="S35">
        <f t="shared" si="7"/>
        <v>30239001</v>
      </c>
    </row>
    <row r="36" spans="1:21" x14ac:dyDescent="0.25">
      <c r="A36" s="29">
        <v>266</v>
      </c>
      <c r="B36" s="28" t="s">
        <v>22</v>
      </c>
      <c r="C36" s="13">
        <v>20587</v>
      </c>
      <c r="D36" s="13">
        <v>4770</v>
      </c>
      <c r="E36" s="13">
        <v>30</v>
      </c>
      <c r="F36" s="39">
        <f t="shared" si="1"/>
        <v>-3.0628538849441274</v>
      </c>
      <c r="G36" s="24">
        <f>D36*Grafiek_kalibratiemetingen!$R$13+Grafiek_kalibratiemetingen!$R$14</f>
        <v>13.162853884944127</v>
      </c>
      <c r="H36" s="12">
        <v>10.1</v>
      </c>
      <c r="I36" s="12"/>
      <c r="J36" s="2">
        <f>IF(IF(DrieMeters!D36&gt;0,1,0)+IF(DrieMeters!H36&gt;0,1,0)=2,1,0)</f>
        <v>1</v>
      </c>
      <c r="K36" s="29" t="s">
        <v>138</v>
      </c>
      <c r="L36" s="29">
        <v>780</v>
      </c>
      <c r="M36" s="29" t="s">
        <v>15</v>
      </c>
      <c r="N36" s="29" t="s">
        <v>16</v>
      </c>
      <c r="O36" s="32">
        <v>42570</v>
      </c>
      <c r="P36" s="29" t="s">
        <v>17</v>
      </c>
      <c r="Q36" s="29" t="s">
        <v>140</v>
      </c>
      <c r="R36">
        <f t="shared" si="6"/>
        <v>48177</v>
      </c>
      <c r="S36">
        <f t="shared" si="7"/>
        <v>22752900</v>
      </c>
    </row>
    <row r="37" spans="1:21" x14ac:dyDescent="0.25">
      <c r="A37" s="29">
        <v>267</v>
      </c>
      <c r="B37" s="28" t="s">
        <v>49</v>
      </c>
      <c r="C37" s="13"/>
      <c r="D37" s="13">
        <v>4529</v>
      </c>
      <c r="E37" s="13">
        <v>30</v>
      </c>
      <c r="F37" s="39">
        <f t="shared" si="1"/>
        <v>-1.6000000000000014</v>
      </c>
      <c r="G37" s="24">
        <v>11.8</v>
      </c>
      <c r="H37" s="13">
        <v>10.199999999999999</v>
      </c>
      <c r="J37" s="2">
        <f>IF(IF(DrieMeters!D37&gt;0,1,0)+IF(DrieMeters!H37&gt;0,1,0)=2,1,0)</f>
        <v>1</v>
      </c>
      <c r="K37" s="29" t="s">
        <v>138</v>
      </c>
      <c r="L37" s="29">
        <v>780</v>
      </c>
      <c r="M37" s="29" t="s">
        <v>15</v>
      </c>
      <c r="N37" s="29" t="s">
        <v>16</v>
      </c>
      <c r="O37" s="32">
        <v>42570</v>
      </c>
      <c r="P37" s="29" t="s">
        <v>17</v>
      </c>
      <c r="Q37" s="29" t="s">
        <v>140</v>
      </c>
      <c r="R37">
        <f t="shared" si="6"/>
        <v>46195.799999999996</v>
      </c>
      <c r="S37">
        <f t="shared" si="7"/>
        <v>20511841</v>
      </c>
    </row>
    <row r="38" spans="1:21" x14ac:dyDescent="0.25">
      <c r="A38" s="29">
        <v>267</v>
      </c>
      <c r="B38" s="28" t="s">
        <v>41</v>
      </c>
      <c r="C38" s="13"/>
      <c r="D38" s="13">
        <v>4437</v>
      </c>
      <c r="E38" s="13">
        <v>30</v>
      </c>
      <c r="F38" s="39">
        <f t="shared" si="1"/>
        <v>-1.2000000000000011</v>
      </c>
      <c r="G38" s="24">
        <v>11.4</v>
      </c>
      <c r="H38" s="12">
        <v>10.199999999999999</v>
      </c>
      <c r="I38" s="12"/>
      <c r="J38" s="2">
        <f>IF(IF(DrieMeters!D38&gt;0,1,0)+IF(DrieMeters!H38&gt;0,1,0)=2,1,0)</f>
        <v>1</v>
      </c>
      <c r="K38" s="29" t="s">
        <v>138</v>
      </c>
      <c r="L38" s="29">
        <v>780</v>
      </c>
      <c r="M38" s="29" t="s">
        <v>15</v>
      </c>
      <c r="N38" s="29" t="s">
        <v>16</v>
      </c>
      <c r="O38" s="32">
        <v>42570</v>
      </c>
      <c r="P38" s="29" t="s">
        <v>17</v>
      </c>
      <c r="Q38" s="29" t="s">
        <v>140</v>
      </c>
      <c r="R38">
        <f t="shared" si="6"/>
        <v>45257.399999999994</v>
      </c>
      <c r="S38">
        <f t="shared" si="7"/>
        <v>19686969</v>
      </c>
    </row>
    <row r="39" spans="1:21" x14ac:dyDescent="0.25">
      <c r="A39" s="29">
        <v>267</v>
      </c>
      <c r="B39" s="28" t="s">
        <v>22</v>
      </c>
      <c r="C39" s="13">
        <v>20538</v>
      </c>
      <c r="D39" s="13">
        <v>3888</v>
      </c>
      <c r="E39" s="13">
        <v>30</v>
      </c>
      <c r="F39" s="39">
        <f t="shared" si="1"/>
        <v>-1.705577035075601</v>
      </c>
      <c r="G39" s="24">
        <f>D39*Grafiek_kalibratiemetingen!$R$13+Grafiek_kalibratiemetingen!$R$14</f>
        <v>11.9055770350756</v>
      </c>
      <c r="H39" s="12">
        <v>10.199999999999999</v>
      </c>
      <c r="I39" s="12"/>
      <c r="J39" s="2">
        <f>IF(IF(DrieMeters!D39&gt;0,1,0)+IF(DrieMeters!H39&gt;0,1,0)=2,1,0)</f>
        <v>1</v>
      </c>
      <c r="K39" s="29" t="s">
        <v>138</v>
      </c>
      <c r="L39" s="29">
        <v>780</v>
      </c>
      <c r="M39" s="29" t="s">
        <v>15</v>
      </c>
      <c r="N39" s="29" t="s">
        <v>16</v>
      </c>
      <c r="O39" s="32">
        <v>42570</v>
      </c>
      <c r="P39" s="29" t="s">
        <v>17</v>
      </c>
      <c r="Q39" s="29" t="s">
        <v>140</v>
      </c>
      <c r="R39">
        <f t="shared" si="6"/>
        <v>39657.599999999999</v>
      </c>
      <c r="S39">
        <f t="shared" si="7"/>
        <v>15116544</v>
      </c>
    </row>
    <row r="40" spans="1:21" x14ac:dyDescent="0.25">
      <c r="A40" t="s">
        <v>139</v>
      </c>
      <c r="B40" s="28" t="s">
        <v>49</v>
      </c>
      <c r="C40" s="13"/>
      <c r="D40" s="13">
        <v>5499</v>
      </c>
      <c r="E40" s="13">
        <v>32</v>
      </c>
      <c r="F40" s="39">
        <f t="shared" si="1"/>
        <v>-1.8000000000000007</v>
      </c>
      <c r="G40" s="24">
        <v>13.8</v>
      </c>
      <c r="H40" s="12">
        <v>12</v>
      </c>
      <c r="I40" s="12"/>
      <c r="J40" s="2">
        <f>IF(IF(DrieMeters!D40&gt;0,1,0)+IF(DrieMeters!H40&gt;0,1,0)=2,1,0)</f>
        <v>1</v>
      </c>
      <c r="K40" s="29" t="s">
        <v>138</v>
      </c>
      <c r="L40" s="29">
        <v>780</v>
      </c>
      <c r="M40" s="29" t="s">
        <v>15</v>
      </c>
      <c r="N40" s="29" t="s">
        <v>16</v>
      </c>
      <c r="O40" s="32">
        <v>42570</v>
      </c>
      <c r="P40" s="29" t="s">
        <v>17</v>
      </c>
      <c r="Q40" s="29" t="s">
        <v>140</v>
      </c>
      <c r="R40">
        <f t="shared" si="6"/>
        <v>65988</v>
      </c>
      <c r="S40">
        <f t="shared" si="7"/>
        <v>30239001</v>
      </c>
    </row>
    <row r="41" spans="1:21" x14ac:dyDescent="0.25">
      <c r="A41" t="s">
        <v>139</v>
      </c>
      <c r="B41" s="28" t="s">
        <v>41</v>
      </c>
      <c r="C41" s="13"/>
      <c r="D41" s="13">
        <v>5674</v>
      </c>
      <c r="E41" s="13">
        <v>31</v>
      </c>
      <c r="F41" s="39">
        <f t="shared" si="1"/>
        <v>-1.9000000000000004</v>
      </c>
      <c r="G41" s="24">
        <v>13.9</v>
      </c>
      <c r="H41" s="12">
        <v>12</v>
      </c>
      <c r="I41" s="12"/>
      <c r="J41" s="2">
        <f>IF(IF(DrieMeters!D41&gt;0,1,0)+IF(DrieMeters!H41&gt;0,1,0)=2,1,0)</f>
        <v>1</v>
      </c>
      <c r="K41" s="29" t="s">
        <v>138</v>
      </c>
      <c r="L41" s="29">
        <v>780</v>
      </c>
      <c r="M41" s="29" t="s">
        <v>15</v>
      </c>
      <c r="N41" s="29" t="s">
        <v>16</v>
      </c>
      <c r="O41" s="32">
        <v>42570</v>
      </c>
      <c r="P41" s="29" t="s">
        <v>17</v>
      </c>
      <c r="Q41" s="29" t="s">
        <v>140</v>
      </c>
      <c r="R41">
        <f t="shared" si="6"/>
        <v>68088</v>
      </c>
      <c r="S41">
        <f t="shared" si="7"/>
        <v>32194276</v>
      </c>
      <c r="U41" t="s">
        <v>142</v>
      </c>
    </row>
    <row r="42" spans="1:21" x14ac:dyDescent="0.25">
      <c r="A42" t="s">
        <v>139</v>
      </c>
      <c r="B42" s="28" t="s">
        <v>22</v>
      </c>
      <c r="C42" s="13">
        <v>20890</v>
      </c>
      <c r="D42" s="13">
        <v>5164</v>
      </c>
      <c r="E42" s="13">
        <v>31</v>
      </c>
      <c r="F42" s="39">
        <f t="shared" si="1"/>
        <v>-1.7244945639103406</v>
      </c>
      <c r="G42" s="24">
        <f>D42*Grafiek_kalibratiemetingen!$R$13+Grafiek_kalibratiemetingen!$R$14</f>
        <v>13.724494563910341</v>
      </c>
      <c r="H42" s="12">
        <v>12</v>
      </c>
      <c r="I42" s="12"/>
      <c r="J42" s="2">
        <f>IF(IF(DrieMeters!D42&gt;0,1,0)+IF(DrieMeters!H42&gt;0,1,0)=2,1,0)</f>
        <v>1</v>
      </c>
      <c r="K42" s="29" t="s">
        <v>138</v>
      </c>
      <c r="L42" s="29">
        <v>780</v>
      </c>
      <c r="M42" s="29" t="s">
        <v>15</v>
      </c>
      <c r="N42" s="29" t="s">
        <v>16</v>
      </c>
      <c r="O42" s="32">
        <v>42570</v>
      </c>
      <c r="P42" s="29" t="s">
        <v>17</v>
      </c>
      <c r="Q42" s="29" t="s">
        <v>140</v>
      </c>
      <c r="R42">
        <f t="shared" ref="R42:R57" si="8">H42*D42</f>
        <v>61968</v>
      </c>
      <c r="S42">
        <f t="shared" ref="S42:S57" si="9">D42*D42</f>
        <v>26666896</v>
      </c>
    </row>
    <row r="43" spans="1:21" x14ac:dyDescent="0.25">
      <c r="A43">
        <v>262</v>
      </c>
      <c r="B43" s="28" t="s">
        <v>49</v>
      </c>
      <c r="C43" s="13"/>
      <c r="D43" s="13">
        <v>4782</v>
      </c>
      <c r="E43" s="13">
        <v>32</v>
      </c>
      <c r="F43" s="39">
        <f t="shared" si="1"/>
        <v>-1.3000000000000007</v>
      </c>
      <c r="G43" s="24">
        <v>12.3</v>
      </c>
      <c r="H43" s="12">
        <v>11</v>
      </c>
      <c r="I43" s="12"/>
      <c r="J43" s="2">
        <f>IF(IF(DrieMeters!D43&gt;0,1,0)+IF(DrieMeters!H43&gt;0,1,0)=2,1,0)</f>
        <v>1</v>
      </c>
      <c r="K43" s="29" t="s">
        <v>138</v>
      </c>
      <c r="L43" s="29">
        <v>780</v>
      </c>
      <c r="M43" s="29" t="s">
        <v>15</v>
      </c>
      <c r="N43" s="29" t="s">
        <v>16</v>
      </c>
      <c r="O43" s="32">
        <v>42570</v>
      </c>
      <c r="P43" s="29" t="s">
        <v>17</v>
      </c>
      <c r="Q43" s="29" t="s">
        <v>141</v>
      </c>
      <c r="R43">
        <f t="shared" si="8"/>
        <v>52602</v>
      </c>
      <c r="S43">
        <f t="shared" si="9"/>
        <v>22867524</v>
      </c>
    </row>
    <row r="44" spans="1:21" x14ac:dyDescent="0.25">
      <c r="A44">
        <v>262</v>
      </c>
      <c r="B44" s="28" t="s">
        <v>41</v>
      </c>
      <c r="C44" s="13"/>
      <c r="D44" s="13">
        <v>4852</v>
      </c>
      <c r="E44" s="13">
        <v>31</v>
      </c>
      <c r="F44" s="39">
        <f t="shared" si="1"/>
        <v>-1.1999999999999993</v>
      </c>
      <c r="G44" s="24">
        <v>12.2</v>
      </c>
      <c r="H44" s="12">
        <v>11</v>
      </c>
      <c r="I44" s="12"/>
      <c r="J44" s="2">
        <f>IF(IF(DrieMeters!D44&gt;0,1,0)+IF(DrieMeters!H44&gt;0,1,0)=2,1,0)</f>
        <v>1</v>
      </c>
      <c r="K44" s="29" t="s">
        <v>138</v>
      </c>
      <c r="L44" s="29">
        <v>780</v>
      </c>
      <c r="M44" s="29" t="s">
        <v>15</v>
      </c>
      <c r="N44" s="29" t="s">
        <v>16</v>
      </c>
      <c r="O44" s="32">
        <v>42570</v>
      </c>
      <c r="P44" s="29" t="s">
        <v>17</v>
      </c>
      <c r="Q44" s="29" t="s">
        <v>141</v>
      </c>
      <c r="R44">
        <f t="shared" si="8"/>
        <v>53372</v>
      </c>
      <c r="S44">
        <f t="shared" si="9"/>
        <v>23541904</v>
      </c>
    </row>
    <row r="45" spans="1:21" x14ac:dyDescent="0.25">
      <c r="A45">
        <v>262</v>
      </c>
      <c r="B45" s="28" t="s">
        <v>22</v>
      </c>
      <c r="C45" s="13">
        <v>21022</v>
      </c>
      <c r="D45" s="13">
        <v>4134</v>
      </c>
      <c r="E45" s="13">
        <v>31</v>
      </c>
      <c r="F45" s="39">
        <f t="shared" si="1"/>
        <v>-1.2562460884402924</v>
      </c>
      <c r="G45" s="24">
        <f>D45*Grafiek_kalibratiemetingen!$R$13+Grafiek_kalibratiemetingen!$R$14</f>
        <v>12.256246088440292</v>
      </c>
      <c r="H45" s="12">
        <v>11</v>
      </c>
      <c r="I45" s="12"/>
      <c r="J45" s="2">
        <f>IF(IF(DrieMeters!D45&gt;0,1,0)+IF(DrieMeters!H45&gt;0,1,0)=2,1,0)</f>
        <v>1</v>
      </c>
      <c r="K45" s="29" t="s">
        <v>138</v>
      </c>
      <c r="L45" s="29">
        <v>780</v>
      </c>
      <c r="M45" s="29" t="s">
        <v>15</v>
      </c>
      <c r="N45" s="29" t="s">
        <v>16</v>
      </c>
      <c r="O45" s="32">
        <v>42570</v>
      </c>
      <c r="P45" s="29" t="s">
        <v>17</v>
      </c>
      <c r="Q45" s="29" t="s">
        <v>141</v>
      </c>
      <c r="R45">
        <f t="shared" si="8"/>
        <v>45474</v>
      </c>
      <c r="S45">
        <f t="shared" si="9"/>
        <v>17089956</v>
      </c>
    </row>
    <row r="46" spans="1:21" x14ac:dyDescent="0.25">
      <c r="A46">
        <v>261</v>
      </c>
      <c r="B46" s="28" t="s">
        <v>49</v>
      </c>
      <c r="C46" s="13"/>
      <c r="D46" s="13">
        <v>5398</v>
      </c>
      <c r="E46" s="13">
        <v>32</v>
      </c>
      <c r="F46" s="39">
        <f t="shared" si="1"/>
        <v>-1.2999999999999989</v>
      </c>
      <c r="G46" s="24">
        <v>13.6</v>
      </c>
      <c r="H46" s="12">
        <v>12.3</v>
      </c>
      <c r="I46" s="12"/>
      <c r="J46" s="2">
        <f>IF(IF(DrieMeters!D46&gt;0,1,0)+IF(DrieMeters!H46&gt;0,1,0)=2,1,0)</f>
        <v>1</v>
      </c>
      <c r="K46" s="29" t="s">
        <v>138</v>
      </c>
      <c r="L46" s="29">
        <v>780</v>
      </c>
      <c r="M46" s="29" t="s">
        <v>15</v>
      </c>
      <c r="N46" s="29" t="s">
        <v>16</v>
      </c>
      <c r="O46" s="32">
        <v>42570</v>
      </c>
      <c r="P46" s="29" t="s">
        <v>17</v>
      </c>
      <c r="Q46" s="29" t="s">
        <v>141</v>
      </c>
      <c r="R46">
        <f t="shared" si="8"/>
        <v>66395.400000000009</v>
      </c>
      <c r="S46">
        <f t="shared" si="9"/>
        <v>29138404</v>
      </c>
    </row>
    <row r="47" spans="1:21" x14ac:dyDescent="0.25">
      <c r="A47">
        <v>261</v>
      </c>
      <c r="B47" s="28" t="s">
        <v>41</v>
      </c>
      <c r="C47" s="13"/>
      <c r="D47" s="13">
        <v>5394</v>
      </c>
      <c r="E47" s="13">
        <v>33</v>
      </c>
      <c r="F47" s="39">
        <f t="shared" si="1"/>
        <v>-1</v>
      </c>
      <c r="G47" s="24">
        <v>13.3</v>
      </c>
      <c r="H47" s="12">
        <v>12.3</v>
      </c>
      <c r="I47" s="12"/>
      <c r="J47" s="2">
        <f>IF(IF(DrieMeters!D47&gt;0,1,0)+IF(DrieMeters!H47&gt;0,1,0)=2,1,0)</f>
        <v>1</v>
      </c>
      <c r="K47" s="29" t="s">
        <v>138</v>
      </c>
      <c r="L47" s="29">
        <v>780</v>
      </c>
      <c r="M47" s="29" t="s">
        <v>15</v>
      </c>
      <c r="N47" s="29" t="s">
        <v>16</v>
      </c>
      <c r="O47" s="32">
        <v>42570</v>
      </c>
      <c r="P47" s="29" t="s">
        <v>17</v>
      </c>
      <c r="Q47" s="29" t="s">
        <v>141</v>
      </c>
      <c r="R47">
        <f t="shared" si="8"/>
        <v>66346.2</v>
      </c>
      <c r="S47">
        <f t="shared" si="9"/>
        <v>29095236</v>
      </c>
    </row>
    <row r="48" spans="1:21" x14ac:dyDescent="0.25">
      <c r="A48">
        <v>261</v>
      </c>
      <c r="B48" s="28" t="s">
        <v>22</v>
      </c>
      <c r="C48" s="13">
        <v>20277</v>
      </c>
      <c r="D48" s="13">
        <v>5135</v>
      </c>
      <c r="E48" s="13">
        <v>32</v>
      </c>
      <c r="F48" s="39">
        <f t="shared" si="1"/>
        <v>-1.383155529164096</v>
      </c>
      <c r="G48" s="24">
        <f>D48*Grafiek_kalibratiemetingen!$R$13+Grafiek_kalibratiemetingen!$R$14</f>
        <v>13.683155529164097</v>
      </c>
      <c r="H48" s="12">
        <v>12.3</v>
      </c>
      <c r="I48" s="12"/>
      <c r="J48" s="2">
        <f>IF(IF(DrieMeters!D48&gt;0,1,0)+IF(DrieMeters!H48&gt;0,1,0)=2,1,0)</f>
        <v>1</v>
      </c>
      <c r="K48" s="29" t="s">
        <v>138</v>
      </c>
      <c r="L48" s="29">
        <v>780</v>
      </c>
      <c r="M48" s="29" t="s">
        <v>15</v>
      </c>
      <c r="N48" s="29" t="s">
        <v>16</v>
      </c>
      <c r="O48" s="32">
        <v>42570</v>
      </c>
      <c r="P48" s="29" t="s">
        <v>17</v>
      </c>
      <c r="Q48" s="29" t="s">
        <v>141</v>
      </c>
      <c r="R48">
        <f t="shared" si="8"/>
        <v>63160.500000000007</v>
      </c>
      <c r="S48">
        <f t="shared" si="9"/>
        <v>26368225</v>
      </c>
    </row>
    <row r="49" spans="1:19" x14ac:dyDescent="0.25">
      <c r="A49">
        <v>266</v>
      </c>
      <c r="B49" s="28" t="s">
        <v>49</v>
      </c>
      <c r="C49" s="13"/>
      <c r="D49" s="13">
        <v>5417</v>
      </c>
      <c r="E49" s="13">
        <v>33</v>
      </c>
      <c r="F49" s="39">
        <f t="shared" si="1"/>
        <v>-1.5</v>
      </c>
      <c r="G49" s="24">
        <v>13.6</v>
      </c>
      <c r="H49" s="12">
        <v>12.1</v>
      </c>
      <c r="I49" s="12"/>
      <c r="J49" s="2">
        <f>IF(IF(DrieMeters!D49&gt;0,1,0)+IF(DrieMeters!H49&gt;0,1,0)=2,1,0)</f>
        <v>1</v>
      </c>
      <c r="K49" s="29" t="s">
        <v>138</v>
      </c>
      <c r="L49" s="29">
        <v>780</v>
      </c>
      <c r="M49" s="29" t="s">
        <v>15</v>
      </c>
      <c r="N49" s="29" t="s">
        <v>16</v>
      </c>
      <c r="O49" s="32">
        <v>42570</v>
      </c>
      <c r="P49" s="29" t="s">
        <v>17</v>
      </c>
      <c r="Q49" s="29" t="s">
        <v>141</v>
      </c>
      <c r="R49">
        <f t="shared" si="8"/>
        <v>65545.7</v>
      </c>
      <c r="S49">
        <f t="shared" si="9"/>
        <v>29343889</v>
      </c>
    </row>
    <row r="50" spans="1:19" x14ac:dyDescent="0.25">
      <c r="A50">
        <v>266</v>
      </c>
      <c r="B50" s="28" t="s">
        <v>41</v>
      </c>
      <c r="C50" s="13"/>
      <c r="D50" s="13">
        <v>5460</v>
      </c>
      <c r="E50" s="13">
        <v>33</v>
      </c>
      <c r="F50" s="39">
        <f t="shared" si="1"/>
        <v>-1.3000000000000007</v>
      </c>
      <c r="G50" s="24">
        <v>13.4</v>
      </c>
      <c r="H50" s="12">
        <v>12.1</v>
      </c>
      <c r="I50" s="12"/>
      <c r="J50" s="2">
        <f>IF(IF(DrieMeters!D50&gt;0,1,0)+IF(DrieMeters!H50&gt;0,1,0)=2,1,0)</f>
        <v>1</v>
      </c>
      <c r="K50" s="29" t="s">
        <v>138</v>
      </c>
      <c r="L50" s="29">
        <v>780</v>
      </c>
      <c r="M50" s="29" t="s">
        <v>15</v>
      </c>
      <c r="N50" s="29" t="s">
        <v>16</v>
      </c>
      <c r="O50" s="32">
        <v>42570</v>
      </c>
      <c r="P50" s="29" t="s">
        <v>17</v>
      </c>
      <c r="Q50" s="29" t="s">
        <v>141</v>
      </c>
      <c r="R50">
        <f t="shared" si="8"/>
        <v>66066</v>
      </c>
      <c r="S50">
        <f t="shared" si="9"/>
        <v>29811600</v>
      </c>
    </row>
    <row r="51" spans="1:19" x14ac:dyDescent="0.25">
      <c r="A51">
        <v>266</v>
      </c>
      <c r="B51" s="28" t="s">
        <v>22</v>
      </c>
      <c r="C51" s="13">
        <v>20290</v>
      </c>
      <c r="D51" s="13">
        <v>5152</v>
      </c>
      <c r="E51" s="13">
        <v>32</v>
      </c>
      <c r="F51" s="39">
        <f t="shared" si="1"/>
        <v>-1.6073887564291365</v>
      </c>
      <c r="G51" s="24">
        <f>D51*Grafiek_kalibratiemetingen!$R$13+Grafiek_kalibratiemetingen!$R$14</f>
        <v>13.707388756429136</v>
      </c>
      <c r="H51" s="12">
        <v>12.1</v>
      </c>
      <c r="I51" s="12"/>
      <c r="J51" s="2">
        <f>IF(IF(DrieMeters!D51&gt;0,1,0)+IF(DrieMeters!H51&gt;0,1,0)=2,1,0)</f>
        <v>1</v>
      </c>
      <c r="K51" s="29" t="s">
        <v>138</v>
      </c>
      <c r="L51" s="29">
        <v>780</v>
      </c>
      <c r="M51" s="29" t="s">
        <v>15</v>
      </c>
      <c r="N51" s="29" t="s">
        <v>16</v>
      </c>
      <c r="O51" s="32">
        <v>42570</v>
      </c>
      <c r="P51" s="29" t="s">
        <v>17</v>
      </c>
      <c r="Q51" s="29" t="s">
        <v>141</v>
      </c>
      <c r="R51">
        <f t="shared" si="8"/>
        <v>62339.199999999997</v>
      </c>
      <c r="S51">
        <f t="shared" si="9"/>
        <v>26543104</v>
      </c>
    </row>
    <row r="52" spans="1:19" x14ac:dyDescent="0.25">
      <c r="A52">
        <v>269</v>
      </c>
      <c r="B52" s="28" t="s">
        <v>49</v>
      </c>
      <c r="C52" s="13"/>
      <c r="D52" s="13">
        <v>5469</v>
      </c>
      <c r="E52" s="13">
        <v>33</v>
      </c>
      <c r="F52" s="39">
        <f t="shared" si="1"/>
        <v>-1.6999999999999993</v>
      </c>
      <c r="G52" s="24">
        <v>13.7</v>
      </c>
      <c r="H52" s="12">
        <v>12</v>
      </c>
      <c r="I52" s="12"/>
      <c r="J52" s="2">
        <f>IF(IF(DrieMeters!D52&gt;0,1,0)+IF(DrieMeters!H52&gt;0,1,0)=2,1,0)</f>
        <v>1</v>
      </c>
      <c r="K52" s="29" t="s">
        <v>138</v>
      </c>
      <c r="L52" s="29">
        <v>780</v>
      </c>
      <c r="M52" s="29" t="s">
        <v>15</v>
      </c>
      <c r="N52" s="29" t="s">
        <v>16</v>
      </c>
      <c r="O52" s="32">
        <v>42570</v>
      </c>
      <c r="P52" s="29" t="s">
        <v>17</v>
      </c>
      <c r="Q52" s="29" t="s">
        <v>141</v>
      </c>
      <c r="R52">
        <f t="shared" si="8"/>
        <v>65628</v>
      </c>
      <c r="S52">
        <f t="shared" si="9"/>
        <v>29909961</v>
      </c>
    </row>
    <row r="53" spans="1:19" x14ac:dyDescent="0.25">
      <c r="A53">
        <v>269</v>
      </c>
      <c r="B53" s="28" t="s">
        <v>41</v>
      </c>
      <c r="C53" s="13"/>
      <c r="D53" s="13">
        <v>5483</v>
      </c>
      <c r="E53" s="13">
        <v>33</v>
      </c>
      <c r="F53" s="39">
        <f t="shared" si="1"/>
        <v>-1.5</v>
      </c>
      <c r="G53" s="24">
        <v>13.5</v>
      </c>
      <c r="H53" s="12">
        <v>12</v>
      </c>
      <c r="I53" s="12"/>
      <c r="J53" s="2">
        <f>IF(IF(DrieMeters!D53&gt;0,1,0)+IF(DrieMeters!H53&gt;0,1,0)=2,1,0)</f>
        <v>1</v>
      </c>
      <c r="K53" s="29" t="s">
        <v>138</v>
      </c>
      <c r="L53" s="29">
        <v>780</v>
      </c>
      <c r="M53" s="29" t="s">
        <v>15</v>
      </c>
      <c r="N53" s="29" t="s">
        <v>16</v>
      </c>
      <c r="O53" s="32">
        <v>42570</v>
      </c>
      <c r="P53" s="29" t="s">
        <v>17</v>
      </c>
      <c r="Q53" s="29" t="s">
        <v>141</v>
      </c>
      <c r="R53">
        <f t="shared" si="8"/>
        <v>65796</v>
      </c>
      <c r="S53">
        <f t="shared" si="9"/>
        <v>30063289</v>
      </c>
    </row>
    <row r="54" spans="1:19" x14ac:dyDescent="0.25">
      <c r="A54">
        <v>269</v>
      </c>
      <c r="B54" s="28" t="s">
        <v>22</v>
      </c>
      <c r="C54" s="13">
        <v>20302</v>
      </c>
      <c r="D54" s="13">
        <v>5362</v>
      </c>
      <c r="E54" s="13">
        <v>32</v>
      </c>
      <c r="F54" s="26">
        <f t="shared" ref="F34:F62" si="10">IF(J54,H54-G54,TRIM(""))</f>
        <v>-2.0067403873502148</v>
      </c>
      <c r="G54" s="24">
        <f>D54*Grafiek_kalibratiemetingen!$R$13+Grafiek_kalibratiemetingen!$R$14</f>
        <v>14.006740387350215</v>
      </c>
      <c r="H54" s="12">
        <v>12</v>
      </c>
      <c r="I54" s="12"/>
      <c r="J54" s="2">
        <f>IF(IF(DrieMeters!D54&gt;0,1,0)+IF(DrieMeters!H54&gt;0,1,0)=2,1,0)</f>
        <v>1</v>
      </c>
      <c r="K54" s="29" t="s">
        <v>138</v>
      </c>
      <c r="L54" s="29">
        <v>780</v>
      </c>
      <c r="M54" s="29" t="s">
        <v>15</v>
      </c>
      <c r="N54" s="29" t="s">
        <v>16</v>
      </c>
      <c r="O54" s="32">
        <v>42570</v>
      </c>
      <c r="P54" s="29" t="s">
        <v>17</v>
      </c>
      <c r="Q54" s="29" t="s">
        <v>141</v>
      </c>
      <c r="R54">
        <f t="shared" si="8"/>
        <v>64344</v>
      </c>
      <c r="S54">
        <f t="shared" si="9"/>
        <v>28751044</v>
      </c>
    </row>
    <row r="55" spans="1:19" x14ac:dyDescent="0.25">
      <c r="A55">
        <v>270</v>
      </c>
      <c r="B55" s="28" t="s">
        <v>49</v>
      </c>
      <c r="C55" s="13"/>
      <c r="D55" s="13">
        <v>5389</v>
      </c>
      <c r="E55" s="13">
        <v>33</v>
      </c>
      <c r="F55" s="26">
        <f t="shared" si="10"/>
        <v>-1.5</v>
      </c>
      <c r="G55" s="24">
        <v>13.5</v>
      </c>
      <c r="H55" s="12">
        <v>12</v>
      </c>
      <c r="I55" s="12"/>
      <c r="J55" s="2">
        <f>IF(IF(DrieMeters!D55&gt;0,1,0)+IF(DrieMeters!H55&gt;0,1,0)=2,1,0)</f>
        <v>1</v>
      </c>
      <c r="O55" s="7"/>
      <c r="R55">
        <f t="shared" si="8"/>
        <v>64668</v>
      </c>
      <c r="S55">
        <f t="shared" si="9"/>
        <v>29041321</v>
      </c>
    </row>
    <row r="56" spans="1:19" x14ac:dyDescent="0.25">
      <c r="A56">
        <v>270</v>
      </c>
      <c r="B56" s="28" t="s">
        <v>41</v>
      </c>
      <c r="C56" s="13"/>
      <c r="D56" s="13">
        <v>5377</v>
      </c>
      <c r="E56" s="13">
        <v>33</v>
      </c>
      <c r="F56" s="26">
        <f t="shared" si="10"/>
        <v>-1.3000000000000007</v>
      </c>
      <c r="G56" s="24">
        <v>13.3</v>
      </c>
      <c r="H56" s="12">
        <v>12</v>
      </c>
      <c r="I56" s="12"/>
      <c r="J56" s="2">
        <f>IF(IF(DrieMeters!D56&gt;0,1,0)+IF(DrieMeters!H56&gt;0,1,0)=2,1,0)</f>
        <v>1</v>
      </c>
      <c r="O56" s="7"/>
      <c r="R56">
        <f t="shared" si="8"/>
        <v>64524</v>
      </c>
      <c r="S56">
        <f t="shared" si="9"/>
        <v>28912129</v>
      </c>
    </row>
    <row r="57" spans="1:19" x14ac:dyDescent="0.25">
      <c r="A57">
        <v>270</v>
      </c>
      <c r="B57" s="28" t="s">
        <v>22</v>
      </c>
      <c r="C57" s="13">
        <v>20271</v>
      </c>
      <c r="D57" s="13">
        <v>5029</v>
      </c>
      <c r="E57" s="13">
        <v>32</v>
      </c>
      <c r="F57" s="26">
        <f t="shared" si="10"/>
        <v>-1.532054229746791</v>
      </c>
      <c r="G57" s="24">
        <f>D57*Grafiek_kalibratiemetingen!$R$13+Grafiek_kalibratiemetingen!$R$14</f>
        <v>13.532054229746791</v>
      </c>
      <c r="H57" s="12">
        <v>12</v>
      </c>
      <c r="I57" s="12"/>
      <c r="J57" s="2">
        <f>IF(IF(DrieMeters!D57&gt;0,1,0)+IF(DrieMeters!H57&gt;0,1,0)=2,1,0)</f>
        <v>1</v>
      </c>
      <c r="O57" s="7"/>
      <c r="R57">
        <f t="shared" si="8"/>
        <v>60348</v>
      </c>
      <c r="S57">
        <f t="shared" si="9"/>
        <v>25290841</v>
      </c>
    </row>
    <row r="58" spans="1:19" x14ac:dyDescent="0.25">
      <c r="B58" s="28" t="s">
        <v>49</v>
      </c>
      <c r="C58" s="13"/>
      <c r="D58" s="13"/>
      <c r="E58" s="13"/>
      <c r="F58" s="26" t="str">
        <f t="shared" si="10"/>
        <v/>
      </c>
      <c r="G58" s="24"/>
      <c r="H58" s="12"/>
      <c r="I58" s="12"/>
      <c r="J58" s="2">
        <f>IF(IF(DrieMeters!D58&gt;0,1,0)+IF(DrieMeters!H58&gt;0,1,0)=2,1,0)</f>
        <v>0</v>
      </c>
      <c r="O58" s="7"/>
    </row>
    <row r="59" spans="1:19" x14ac:dyDescent="0.25">
      <c r="B59" s="28" t="s">
        <v>41</v>
      </c>
      <c r="C59" s="13"/>
      <c r="D59" s="13"/>
      <c r="E59" s="13"/>
      <c r="F59" s="26" t="str">
        <f t="shared" si="10"/>
        <v/>
      </c>
      <c r="G59" s="24"/>
      <c r="H59" s="12"/>
      <c r="I59" s="12"/>
      <c r="J59" s="2">
        <f>IF(IF(DrieMeters!D59&gt;0,1,0)+IF(DrieMeters!H59&gt;0,1,0)=2,1,0)</f>
        <v>0</v>
      </c>
      <c r="O59" s="7"/>
    </row>
    <row r="60" spans="1:19" x14ac:dyDescent="0.25">
      <c r="B60" s="28" t="s">
        <v>22</v>
      </c>
      <c r="C60" s="13"/>
      <c r="D60" s="13"/>
      <c r="E60" s="13"/>
      <c r="F60" s="26" t="str">
        <f t="shared" si="10"/>
        <v/>
      </c>
      <c r="G60" s="24">
        <f>D60*Grafiek_kalibratiemetingen!$R$13+Grafiek_kalibratiemetingen!$R$14</f>
        <v>6.3632954111653559</v>
      </c>
      <c r="H60" s="12"/>
      <c r="I60" s="12"/>
      <c r="J60" s="2">
        <f>IF(IF(DrieMeters!D60&gt;0,1,0)+IF(DrieMeters!H60&gt;0,1,0)=2,1,0)</f>
        <v>0</v>
      </c>
      <c r="O60" s="7"/>
    </row>
    <row r="61" spans="1:19" x14ac:dyDescent="0.25">
      <c r="B61" s="28" t="s">
        <v>49</v>
      </c>
      <c r="C61" s="13"/>
      <c r="D61" s="13"/>
      <c r="E61" s="13"/>
      <c r="F61" s="26" t="str">
        <f t="shared" si="10"/>
        <v/>
      </c>
      <c r="G61" s="24"/>
      <c r="H61" s="12"/>
      <c r="I61" s="12"/>
      <c r="J61" s="2">
        <f>IF(IF(DrieMeters!D61&gt;0,1,0)+IF(DrieMeters!H61&gt;0,1,0)=2,1,0)</f>
        <v>0</v>
      </c>
      <c r="O61" s="7"/>
    </row>
    <row r="62" spans="1:19" x14ac:dyDescent="0.25">
      <c r="B62" s="28" t="s">
        <v>41</v>
      </c>
      <c r="C62" s="13"/>
      <c r="D62" s="13"/>
      <c r="E62" s="13"/>
      <c r="F62" s="26" t="str">
        <f t="shared" si="10"/>
        <v/>
      </c>
      <c r="G62" s="24" t="str">
        <f>IF(DrieMeters!D62&gt;0,Grafiek_kalibratiemetingen!$R$13*DrieMeters!D62+Grafiek_kalibratiemetingen!$R$14,TRIM(""))</f>
        <v/>
      </c>
      <c r="H62" s="12"/>
      <c r="I62" s="12"/>
      <c r="J62" s="2">
        <f>IF(IF(DrieMeters!D62&gt;0,1,0)+IF(DrieMeters!H62&gt;0,1,0)=2,1,0)</f>
        <v>0</v>
      </c>
      <c r="O62" s="7"/>
    </row>
    <row r="63" spans="1:19" x14ac:dyDescent="0.25">
      <c r="B63" s="28" t="s">
        <v>22</v>
      </c>
      <c r="C63" s="13"/>
      <c r="D63" s="13"/>
      <c r="E63" s="13"/>
      <c r="F63" s="26" t="str">
        <f t="shared" ref="F63:F97" si="11">IF(J63,H63-G63,TRIM(""))</f>
        <v/>
      </c>
      <c r="G63" s="24">
        <f>D63*Grafiek_kalibratiemetingen!$R$13+Grafiek_kalibratiemetingen!$R$14</f>
        <v>6.3632954111653559</v>
      </c>
      <c r="H63" s="12"/>
      <c r="I63" s="12"/>
      <c r="J63" s="2">
        <f>IF(IF(DrieMeters!D63&gt;0,1,0)+IF(DrieMeters!H63&gt;0,1,0)=2,1,0)</f>
        <v>0</v>
      </c>
      <c r="O63" s="14"/>
    </row>
    <row r="64" spans="1:19" x14ac:dyDescent="0.25">
      <c r="C64" s="13"/>
      <c r="D64" s="13"/>
      <c r="E64" s="13"/>
      <c r="F64" s="26" t="str">
        <f t="shared" si="11"/>
        <v/>
      </c>
      <c r="G64" s="24" t="str">
        <f>IF(DrieMeters!D64&gt;0,Grafiek_kalibratiemetingen!$R$13*DrieMeters!D64+Grafiek_kalibratiemetingen!$R$14,TRIM(""))</f>
        <v/>
      </c>
      <c r="H64" s="12"/>
      <c r="I64" s="12"/>
      <c r="J64" s="2">
        <f>IF(IF(DrieMeters!D64&gt;0,1,0)+IF(DrieMeters!H64&gt;0,1,0)=2,1,0)</f>
        <v>0</v>
      </c>
      <c r="O64" s="14"/>
    </row>
    <row r="65" spans="3:15" x14ac:dyDescent="0.25">
      <c r="C65" s="13"/>
      <c r="D65" s="13"/>
      <c r="E65" s="13"/>
      <c r="F65" s="26" t="str">
        <f t="shared" si="11"/>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11"/>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11"/>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11"/>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11"/>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11"/>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11"/>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11"/>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11"/>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11"/>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11"/>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11"/>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11"/>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11"/>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11"/>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11"/>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11"/>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11"/>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11"/>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11"/>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11"/>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11"/>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11"/>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11"/>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11"/>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11"/>
        <v/>
      </c>
      <c r="G90" s="24" t="str">
        <f>IF(DrieMeters!D90&gt;0,Grafiek_kalibratiemetingen!$R$13*DrieMeters!D90+Grafiek_kalibratiemetingen!$R$14,TRIM(""))</f>
        <v/>
      </c>
      <c r="H90" s="12"/>
      <c r="I90" s="12"/>
      <c r="J90" s="2">
        <f>IF(IF(DrieMeters!D90&gt;0,1,0)+IF(DrieMeters!H90&gt;0,1,0)=2,1,0)</f>
        <v>0</v>
      </c>
    </row>
    <row r="91" spans="3:10" x14ac:dyDescent="0.25">
      <c r="F91" s="26" t="str">
        <f t="shared" si="11"/>
        <v/>
      </c>
      <c r="G91" s="24" t="str">
        <f>IF(DrieMeters!D91&gt;0,Grafiek_kalibratiemetingen!$R$13*DrieMeters!D91+Grafiek_kalibratiemetingen!$R$14,TRIM(""))</f>
        <v/>
      </c>
      <c r="J91" s="2">
        <f>IF(IF(DrieMeters!D91&gt;0,1,0)+IF(DrieMeters!H91&gt;0,1,0)=2,1,0)</f>
        <v>0</v>
      </c>
    </row>
    <row r="92" spans="3:10" x14ac:dyDescent="0.25">
      <c r="F92" s="26" t="str">
        <f t="shared" si="11"/>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11"/>
        <v/>
      </c>
      <c r="G95" s="24" t="str">
        <f>IF(DrieMeters!D95&gt;0,Grafiek_kalibratiemetingen!$R$13*DrieMeters!D95+Grafiek_kalibratiemetingen!$R$14,TRIM(""))</f>
        <v/>
      </c>
      <c r="J95" s="2">
        <f>IF(IF(DrieMeters!D95&gt;0,1,0)+IF(DrieMeters!H95&gt;0,1,0)=2,1,0)</f>
        <v>0</v>
      </c>
    </row>
    <row r="96" spans="3:10" x14ac:dyDescent="0.25">
      <c r="F96" s="26" t="str">
        <f t="shared" si="11"/>
        <v/>
      </c>
      <c r="G96" s="24" t="str">
        <f>IF(DrieMeters!D96&gt;0,Grafiek_kalibratiemetingen!$R$13*DrieMeters!D96+Grafiek_kalibratiemetingen!$R$14,TRIM(""))</f>
        <v/>
      </c>
      <c r="J96" s="2">
        <f>IF(IF(DrieMeters!D96&gt;0,1,0)+IF(DrieMeters!H96&gt;0,1,0)=2,1,0)</f>
        <v>0</v>
      </c>
    </row>
    <row r="97" spans="6:10" x14ac:dyDescent="0.25">
      <c r="F97" s="26" t="str">
        <f t="shared" si="11"/>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33" priority="7">
      <formula>LEN(TRIM(H4))&gt;0</formula>
    </cfRule>
  </conditionalFormatting>
  <conditionalFormatting sqref="C4:E1048576">
    <cfRule type="notContainsBlanks" dxfId="32" priority="6">
      <formula>LEN(TRIM(C4))&gt;0</formula>
    </cfRule>
  </conditionalFormatting>
  <conditionalFormatting sqref="G4:G1048576">
    <cfRule type="notContainsBlanks" dxfId="31" priority="4">
      <formula>LEN(TRIM(G4))&gt;0</formula>
    </cfRule>
  </conditionalFormatting>
  <conditionalFormatting sqref="C4:J1048576">
    <cfRule type="containsBlanks" dxfId="30" priority="1">
      <formula>LEN(TRIM(C4))=0</formula>
    </cfRule>
  </conditionalFormatting>
  <conditionalFormatting sqref="F4:F1048576">
    <cfRule type="notContainsBlanks" dxfId="29" priority="3">
      <formula>LEN(TRIM(F4))&gt;0</formula>
    </cfRule>
  </conditionalFormatting>
  <conditionalFormatting sqref="J4:J1048576">
    <cfRule type="cellIs" dxfId="28"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9" sqref="C9"/>
    </sheetView>
  </sheetViews>
  <sheetFormatPr defaultRowHeight="15" x14ac:dyDescent="0.25"/>
  <cols>
    <col min="1" max="1" width="15.140625" bestFit="1" customWidth="1"/>
    <col min="2" max="2" width="10.7109375" bestFit="1" customWidth="1"/>
    <col min="3" max="3" width="22.5703125" bestFit="1" customWidth="1"/>
    <col min="5" max="5" width="16.85546875" customWidth="1"/>
    <col min="8" max="8" width="9.42578125" bestFit="1" customWidth="1"/>
    <col min="9" max="9" width="10.28515625" bestFit="1" customWidth="1"/>
  </cols>
  <sheetData>
    <row r="1" spans="1:9" x14ac:dyDescent="0.25">
      <c r="C1" s="68" t="s">
        <v>131</v>
      </c>
      <c r="D1" s="68"/>
      <c r="E1" s="68" t="s">
        <v>130</v>
      </c>
      <c r="F1" s="68"/>
    </row>
    <row r="2" spans="1:9" x14ac:dyDescent="0.25">
      <c r="A2" s="17" t="s">
        <v>134</v>
      </c>
      <c r="B2" s="17" t="s">
        <v>135</v>
      </c>
      <c r="C2" s="63" t="s">
        <v>132</v>
      </c>
      <c r="D2" s="63" t="s">
        <v>133</v>
      </c>
      <c r="E2" s="63" t="s">
        <v>132</v>
      </c>
      <c r="F2" s="63" t="s">
        <v>133</v>
      </c>
      <c r="H2" s="63" t="s">
        <v>137</v>
      </c>
      <c r="I2" s="63" t="s">
        <v>136</v>
      </c>
    </row>
    <row r="3" spans="1:9" x14ac:dyDescent="0.25">
      <c r="A3">
        <v>256</v>
      </c>
      <c r="B3" s="55">
        <v>42570</v>
      </c>
      <c r="C3">
        <v>10.9</v>
      </c>
      <c r="D3">
        <v>27.5</v>
      </c>
      <c r="E3">
        <v>11</v>
      </c>
      <c r="F3">
        <v>28</v>
      </c>
      <c r="H3">
        <f>E3-C3</f>
        <v>9.9999999999999645E-2</v>
      </c>
      <c r="I3">
        <f>F3-D3</f>
        <v>0.5</v>
      </c>
    </row>
    <row r="4" spans="1:9" x14ac:dyDescent="0.25">
      <c r="A4">
        <v>255</v>
      </c>
      <c r="B4" s="55">
        <v>42570</v>
      </c>
      <c r="C4">
        <v>11.9</v>
      </c>
      <c r="D4">
        <v>27.5</v>
      </c>
      <c r="E4">
        <v>12</v>
      </c>
      <c r="F4">
        <v>27.9</v>
      </c>
      <c r="H4">
        <f t="shared" ref="H4:H10" si="0">E4-C4</f>
        <v>9.9999999999999645E-2</v>
      </c>
      <c r="I4">
        <f t="shared" ref="I4:I10" si="1">F4-D4</f>
        <v>0.39999999999999858</v>
      </c>
    </row>
    <row r="5" spans="1:9" x14ac:dyDescent="0.25">
      <c r="A5">
        <v>257</v>
      </c>
      <c r="B5" s="55">
        <v>42570</v>
      </c>
      <c r="C5">
        <v>14.1</v>
      </c>
      <c r="D5">
        <v>27.4</v>
      </c>
      <c r="E5">
        <v>14.5</v>
      </c>
      <c r="F5">
        <v>27.9</v>
      </c>
      <c r="H5">
        <f t="shared" si="0"/>
        <v>0.40000000000000036</v>
      </c>
      <c r="I5">
        <f t="shared" si="1"/>
        <v>0.5</v>
      </c>
    </row>
    <row r="6" spans="1:9" x14ac:dyDescent="0.25">
      <c r="A6">
        <v>253</v>
      </c>
      <c r="B6" s="55">
        <v>42570</v>
      </c>
      <c r="C6">
        <v>11.7</v>
      </c>
      <c r="D6">
        <v>27.7</v>
      </c>
      <c r="E6">
        <v>11.7</v>
      </c>
      <c r="F6">
        <v>28</v>
      </c>
      <c r="H6">
        <f t="shared" si="0"/>
        <v>0</v>
      </c>
      <c r="I6">
        <f t="shared" si="1"/>
        <v>0.30000000000000071</v>
      </c>
    </row>
    <row r="7" spans="1:9" x14ac:dyDescent="0.25">
      <c r="A7">
        <v>9309</v>
      </c>
      <c r="C7">
        <v>12</v>
      </c>
      <c r="D7">
        <v>28</v>
      </c>
      <c r="E7">
        <v>11.9</v>
      </c>
      <c r="F7">
        <v>28.5</v>
      </c>
      <c r="H7">
        <f t="shared" si="0"/>
        <v>-9.9999999999999645E-2</v>
      </c>
      <c r="I7">
        <f t="shared" si="1"/>
        <v>0.5</v>
      </c>
    </row>
    <row r="8" spans="1:9" x14ac:dyDescent="0.25">
      <c r="A8">
        <v>9301</v>
      </c>
      <c r="C8">
        <v>13</v>
      </c>
      <c r="D8">
        <v>27.6</v>
      </c>
      <c r="E8">
        <v>12.9</v>
      </c>
      <c r="F8">
        <v>28.4</v>
      </c>
      <c r="H8">
        <f t="shared" si="0"/>
        <v>-9.9999999999999645E-2</v>
      </c>
      <c r="I8">
        <f t="shared" si="1"/>
        <v>0.79999999999999716</v>
      </c>
    </row>
    <row r="9" spans="1:9" x14ac:dyDescent="0.25">
      <c r="A9">
        <v>9304</v>
      </c>
      <c r="C9">
        <v>13.6</v>
      </c>
      <c r="D9">
        <v>27.7</v>
      </c>
      <c r="E9">
        <v>13.4</v>
      </c>
      <c r="F9">
        <v>28.2</v>
      </c>
      <c r="H9">
        <f t="shared" si="0"/>
        <v>-0.19999999999999929</v>
      </c>
      <c r="I9">
        <f t="shared" si="1"/>
        <v>0.5</v>
      </c>
    </row>
    <row r="10" spans="1:9" x14ac:dyDescent="0.25">
      <c r="A10">
        <v>9303</v>
      </c>
      <c r="C10">
        <v>12.1</v>
      </c>
      <c r="D10">
        <v>27.7</v>
      </c>
      <c r="E10">
        <v>12.1</v>
      </c>
      <c r="F10">
        <v>28.3</v>
      </c>
      <c r="H10">
        <f t="shared" si="0"/>
        <v>0</v>
      </c>
      <c r="I10">
        <f t="shared" si="1"/>
        <v>0.60000000000000142</v>
      </c>
    </row>
  </sheetData>
  <mergeCells count="2">
    <mergeCell ref="C1:D1"/>
    <mergeCell ref="E1:F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 t="shared" ref="A1:D1" si="0">COUNT(A$4:A$65000)</f>
        <v>11</v>
      </c>
      <c r="B1">
        <f t="shared" si="0"/>
        <v>11</v>
      </c>
      <c r="C1">
        <f t="shared" si="0"/>
        <v>11</v>
      </c>
      <c r="D1">
        <f t="shared" si="0"/>
        <v>11</v>
      </c>
      <c r="G1">
        <f>COUNT(G$4:G$65000)</f>
        <v>11</v>
      </c>
      <c r="H1">
        <f>COUNT(H$4:H$65000)</f>
        <v>11</v>
      </c>
      <c r="J1">
        <f t="shared" ref="J1:Q1" si="1">COUNT(J$4:J$65000)</f>
        <v>0</v>
      </c>
      <c r="K1">
        <f t="shared" si="1"/>
        <v>0</v>
      </c>
      <c r="L1">
        <f t="shared" si="1"/>
        <v>11</v>
      </c>
      <c r="M1">
        <f>COUNT(M$4:M$65000)</f>
        <v>0</v>
      </c>
      <c r="N1">
        <f t="shared" si="1"/>
        <v>0</v>
      </c>
      <c r="O1">
        <f t="shared" si="1"/>
        <v>11</v>
      </c>
      <c r="P1">
        <f t="shared" si="1"/>
        <v>0</v>
      </c>
      <c r="Q1">
        <f t="shared" si="1"/>
        <v>0</v>
      </c>
    </row>
    <row r="2" spans="1:25" ht="32.25" customHeight="1" x14ac:dyDescent="0.25">
      <c r="E2" s="64" t="s">
        <v>114</v>
      </c>
      <c r="F2" s="64"/>
      <c r="G2" s="64"/>
      <c r="H2" s="64"/>
      <c r="I2" s="64"/>
      <c r="N2" s="65" t="s">
        <v>115</v>
      </c>
      <c r="O2" s="65"/>
      <c r="P2" s="65"/>
    </row>
    <row r="3" spans="1:25" ht="45" x14ac:dyDescent="0.25">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3" t="s">
        <v>94</v>
      </c>
      <c r="S3" s="44" t="s">
        <v>101</v>
      </c>
      <c r="X3" s="17" t="s">
        <v>92</v>
      </c>
      <c r="Y3">
        <f>COUNTIF(I4:I50000,"=1")</f>
        <v>11</v>
      </c>
    </row>
    <row r="4" spans="1:25" ht="15" hidden="1" customHeight="1" x14ac:dyDescent="0.25">
      <c r="A4" s="28">
        <v>9355</v>
      </c>
      <c r="B4" s="38">
        <v>25668</v>
      </c>
      <c r="C4" s="38">
        <v>12160</v>
      </c>
      <c r="D4" s="38">
        <v>30</v>
      </c>
      <c r="E4" s="39">
        <f>IF(I4,G4-F4,TRIM(""))</f>
        <v>-11.597180325452543</v>
      </c>
      <c r="F4" s="40">
        <f>IF(Augostometer!C4&gt;0,Grafiek_kalibratiemetingen!$R$13*Augostometer!C4+Grafiek_kalibratiemetingen!$R$14,TRIM(""))</f>
        <v>23.697180325452543</v>
      </c>
      <c r="G4" s="41">
        <v>12.1</v>
      </c>
      <c r="H4" s="41">
        <v>30.4</v>
      </c>
      <c r="I4" s="41">
        <f>IF(IF(Augostometer!C4&gt;0,1,0)+IF(Augostometer!G4&gt;0,1,0)=2,1,0)</f>
        <v>1</v>
      </c>
      <c r="J4" s="28" t="s">
        <v>129</v>
      </c>
      <c r="K4" s="28" t="s">
        <v>14</v>
      </c>
      <c r="L4" s="28">
        <v>729</v>
      </c>
      <c r="M4" s="28" t="s">
        <v>15</v>
      </c>
      <c r="N4" s="28" t="s">
        <v>16</v>
      </c>
      <c r="O4" s="42">
        <v>42566</v>
      </c>
      <c r="P4" s="28" t="s">
        <v>19</v>
      </c>
      <c r="Q4" s="28"/>
      <c r="R4">
        <f>G4*C4</f>
        <v>147136</v>
      </c>
      <c r="S4">
        <f>C4*C4</f>
        <v>147865600</v>
      </c>
      <c r="X4" s="17" t="s">
        <v>90</v>
      </c>
      <c r="Y4" s="18">
        <f>-SUM(R4:R50000)</f>
        <v>-946168.5</v>
      </c>
    </row>
    <row r="5" spans="1:25" x14ac:dyDescent="0.25">
      <c r="A5" s="28">
        <v>9359</v>
      </c>
      <c r="B5" s="38">
        <v>25744</v>
      </c>
      <c r="C5" s="38">
        <v>7956</v>
      </c>
      <c r="D5" s="38">
        <v>30</v>
      </c>
      <c r="E5" s="39">
        <f t="shared" ref="E5:E68" si="2">IF(I5,G5-F5,TRIM(""))</f>
        <v>-2.1044457712039115</v>
      </c>
      <c r="F5" s="40">
        <f>IF(Augostometer!C5&gt;0,Grafiek_kalibratiemetingen!$R$13*Augostometer!C5+Grafiek_kalibratiemetingen!$R$14,TRIM(""))</f>
        <v>17.704445771203911</v>
      </c>
      <c r="G5" s="41">
        <v>15.6</v>
      </c>
      <c r="H5" s="41">
        <v>31.4</v>
      </c>
      <c r="I5" s="41">
        <f>IF(IF(Augostometer!C5&gt;0,1,0)+IF(Augostometer!G5&gt;0,1,0)=2,1,0)</f>
        <v>1</v>
      </c>
      <c r="J5" s="28" t="s">
        <v>129</v>
      </c>
      <c r="K5" s="28" t="s">
        <v>14</v>
      </c>
      <c r="L5" s="28">
        <v>729</v>
      </c>
      <c r="M5" t="s">
        <v>15</v>
      </c>
      <c r="N5" s="28" t="s">
        <v>16</v>
      </c>
      <c r="O5" s="42">
        <v>42566</v>
      </c>
      <c r="P5" s="28" t="s">
        <v>19</v>
      </c>
      <c r="Q5" s="28"/>
      <c r="R5">
        <f>G5*C5</f>
        <v>124113.59999999999</v>
      </c>
      <c r="S5">
        <f>C5*C5</f>
        <v>63297936</v>
      </c>
      <c r="X5" s="17" t="s">
        <v>97</v>
      </c>
      <c r="Y5">
        <f>AVERAGEIF(I4:I50000,"=1",G4:G50000)</f>
        <v>13.481818181818181</v>
      </c>
    </row>
    <row r="6" spans="1:25" x14ac:dyDescent="0.25">
      <c r="A6" s="28">
        <v>9453</v>
      </c>
      <c r="B6" s="38">
        <v>20492</v>
      </c>
      <c r="C6" s="38">
        <v>3801</v>
      </c>
      <c r="D6" s="38">
        <v>30</v>
      </c>
      <c r="E6" s="39">
        <f t="shared" si="2"/>
        <v>-0.68155993083686717</v>
      </c>
      <c r="F6" s="40">
        <f>IF(Augostometer!C6&gt;0,Grafiek_kalibratiemetingen!$R$13*Augostometer!C6+Grafiek_kalibratiemetingen!$R$14,TRIM(""))</f>
        <v>11.781559930836867</v>
      </c>
      <c r="G6" s="41">
        <v>11.1</v>
      </c>
      <c r="H6" s="41">
        <v>30.1</v>
      </c>
      <c r="I6" s="41">
        <f>IF(IF(Augostometer!C6&gt;0,1,0)+IF(Augostometer!G6&gt;0,1,0)=2,1,0)</f>
        <v>1</v>
      </c>
      <c r="J6" s="28" t="s">
        <v>129</v>
      </c>
      <c r="K6" s="28" t="s">
        <v>14</v>
      </c>
      <c r="L6" s="28">
        <v>729</v>
      </c>
      <c r="M6" t="s">
        <v>15</v>
      </c>
      <c r="N6" s="28" t="s">
        <v>16</v>
      </c>
      <c r="O6" s="42">
        <v>42570</v>
      </c>
      <c r="P6" s="28" t="s">
        <v>128</v>
      </c>
      <c r="Q6" s="28"/>
      <c r="R6">
        <f t="shared" ref="R6:R17" si="3">G6*C6</f>
        <v>42191.1</v>
      </c>
      <c r="S6">
        <f t="shared" ref="S6:S17" si="4">C6*C6</f>
        <v>14447601</v>
      </c>
      <c r="X6" s="17" t="s">
        <v>98</v>
      </c>
      <c r="Y6">
        <f>AVERAGEIF(I4:I50000,"=1",C4:C50000)</f>
        <v>6296.363636363636</v>
      </c>
    </row>
    <row r="7" spans="1:25" x14ac:dyDescent="0.25">
      <c r="A7" s="28">
        <v>9468</v>
      </c>
      <c r="B7" s="38">
        <v>20581</v>
      </c>
      <c r="C7" s="38">
        <v>5873</v>
      </c>
      <c r="D7" s="38">
        <v>30</v>
      </c>
      <c r="E7" s="39">
        <f t="shared" si="2"/>
        <v>-1.4351626892581706</v>
      </c>
      <c r="F7" s="40">
        <f>IF(Augostometer!C7&gt;0,Grafiek_kalibratiemetingen!$R$13*Augostometer!C7+Grafiek_kalibratiemetingen!$R$14,TRIM(""))</f>
        <v>14.735162689258171</v>
      </c>
      <c r="G7" s="41">
        <v>13.3</v>
      </c>
      <c r="H7" s="41">
        <v>30.6</v>
      </c>
      <c r="I7" s="41">
        <f>IF(IF(Augostometer!C7&gt;0,1,0)+IF(Augostometer!G7&gt;0,1,0)=2,1,0)</f>
        <v>1</v>
      </c>
      <c r="J7" s="28" t="s">
        <v>129</v>
      </c>
      <c r="K7" s="28" t="s">
        <v>14</v>
      </c>
      <c r="L7" s="28">
        <v>729</v>
      </c>
      <c r="M7" t="s">
        <v>15</v>
      </c>
      <c r="N7" s="28" t="s">
        <v>16</v>
      </c>
      <c r="O7" s="42">
        <v>42570</v>
      </c>
      <c r="P7" s="28" t="s">
        <v>128</v>
      </c>
      <c r="Q7" s="28"/>
      <c r="R7">
        <f t="shared" si="3"/>
        <v>78110.900000000009</v>
      </c>
      <c r="S7">
        <f t="shared" si="4"/>
        <v>34492129</v>
      </c>
      <c r="X7" t="s">
        <v>96</v>
      </c>
      <c r="Y7">
        <f>SUMIF(I4:I50000,"=1",C4:C50000)/Y3</f>
        <v>6296.363636363636</v>
      </c>
    </row>
    <row r="8" spans="1:25" x14ac:dyDescent="0.25">
      <c r="A8" s="28">
        <v>9465</v>
      </c>
      <c r="B8" s="38">
        <v>20653</v>
      </c>
      <c r="C8" s="38">
        <v>6606</v>
      </c>
      <c r="D8" s="38">
        <v>31</v>
      </c>
      <c r="E8" s="39">
        <f t="shared" si="2"/>
        <v>0.11995757043158939</v>
      </c>
      <c r="F8" s="40">
        <f>IF(Augostometer!C8&gt;0,Grafiek_kalibratiemetingen!$R$13*Augostometer!C8+Grafiek_kalibratiemetingen!$R$14,TRIM(""))</f>
        <v>15.780042429568411</v>
      </c>
      <c r="G8" s="41">
        <v>15.9</v>
      </c>
      <c r="H8" s="41">
        <v>30.3</v>
      </c>
      <c r="I8" s="41">
        <f>IF(IF(Augostometer!C8&gt;0,1,0)+IF(Augostometer!G8&gt;0,1,0)=2,1,0)</f>
        <v>1</v>
      </c>
      <c r="J8" s="28" t="s">
        <v>129</v>
      </c>
      <c r="K8" s="28" t="s">
        <v>14</v>
      </c>
      <c r="L8" s="28">
        <v>729</v>
      </c>
      <c r="M8" t="s">
        <v>15</v>
      </c>
      <c r="N8" s="28" t="s">
        <v>16</v>
      </c>
      <c r="O8" s="42">
        <v>42570</v>
      </c>
      <c r="P8" s="28" t="s">
        <v>128</v>
      </c>
      <c r="Q8" s="28"/>
      <c r="R8">
        <f t="shared" si="3"/>
        <v>105035.40000000001</v>
      </c>
      <c r="S8">
        <f t="shared" si="4"/>
        <v>43639236</v>
      </c>
      <c r="X8" s="17" t="s">
        <v>99</v>
      </c>
      <c r="Y8">
        <f>SUMIF(I4:I50000,"=1",C4:C50000)</f>
        <v>69260</v>
      </c>
    </row>
    <row r="9" spans="1:25" x14ac:dyDescent="0.25">
      <c r="A9" s="28">
        <v>9465</v>
      </c>
      <c r="B9" s="38">
        <v>20598</v>
      </c>
      <c r="C9" s="38">
        <v>6595</v>
      </c>
      <c r="D9" s="38">
        <v>31</v>
      </c>
      <c r="E9" s="39">
        <f t="shared" si="2"/>
        <v>3.5637893956028677E-2</v>
      </c>
      <c r="F9" s="40">
        <f>IF(Augostometer!C9&gt;0,Grafiek_kalibratiemetingen!$R$13*Augostometer!C9+Grafiek_kalibratiemetingen!$R$14,TRIM(""))</f>
        <v>15.764362106043972</v>
      </c>
      <c r="G9" s="41">
        <v>15.8</v>
      </c>
      <c r="H9" s="41">
        <v>30.6</v>
      </c>
      <c r="I9" s="41">
        <f>IF(IF(Augostometer!C9&gt;0,1,0)+IF(Augostometer!G9&gt;0,1,0)=2,1,0)</f>
        <v>1</v>
      </c>
      <c r="J9" s="28" t="s">
        <v>129</v>
      </c>
      <c r="K9" s="28" t="s">
        <v>14</v>
      </c>
      <c r="L9" s="28">
        <v>729</v>
      </c>
      <c r="M9" t="s">
        <v>15</v>
      </c>
      <c r="N9" s="28" t="s">
        <v>16</v>
      </c>
      <c r="O9" s="42">
        <v>42570</v>
      </c>
      <c r="P9" s="28" t="s">
        <v>128</v>
      </c>
      <c r="Q9" s="28"/>
      <c r="R9">
        <f t="shared" si="3"/>
        <v>104201</v>
      </c>
      <c r="S9">
        <f t="shared" si="4"/>
        <v>43494025</v>
      </c>
      <c r="X9" s="17" t="s">
        <v>100</v>
      </c>
      <c r="Y9">
        <f>SUMIF(I4:I50000,"=1",G4:G50000)</f>
        <v>148.29999999999998</v>
      </c>
    </row>
    <row r="10" spans="1:25" x14ac:dyDescent="0.25">
      <c r="A10" s="28">
        <v>259</v>
      </c>
      <c r="B10" s="38">
        <v>20130</v>
      </c>
      <c r="C10" s="38">
        <v>5957</v>
      </c>
      <c r="D10" s="38">
        <v>30</v>
      </c>
      <c r="E10" s="39">
        <f t="shared" si="2"/>
        <v>-1.054903341626602</v>
      </c>
      <c r="F10" s="40">
        <f>IF(Augostometer!C10&gt;0,Grafiek_kalibratiemetingen!$R$13*Augostometer!C10+Grafiek_kalibratiemetingen!$R$14,TRIM(""))</f>
        <v>14.854903341626603</v>
      </c>
      <c r="G10" s="41">
        <v>13.8</v>
      </c>
      <c r="H10" s="41">
        <v>29.2</v>
      </c>
      <c r="I10" s="41">
        <f>IF(IF(Augostometer!C10&gt;0,1,0)+IF(Augostometer!G10&gt;0,1,0)=2,1,0)</f>
        <v>1</v>
      </c>
      <c r="J10" s="28" t="s">
        <v>129</v>
      </c>
      <c r="K10" s="28" t="s">
        <v>14</v>
      </c>
      <c r="L10" s="28">
        <v>729</v>
      </c>
      <c r="M10" t="s">
        <v>15</v>
      </c>
      <c r="N10" s="28" t="s">
        <v>16</v>
      </c>
      <c r="O10" s="42">
        <v>42570</v>
      </c>
      <c r="P10" s="28" t="s">
        <v>128</v>
      </c>
      <c r="Q10" s="28"/>
      <c r="R10">
        <f t="shared" si="3"/>
        <v>82206.600000000006</v>
      </c>
      <c r="S10">
        <f t="shared" si="4"/>
        <v>35485849</v>
      </c>
      <c r="X10" s="17" t="s">
        <v>102</v>
      </c>
      <c r="Y10">
        <f>SUMIF(I4:I50000,"=1",S4:S50000)</f>
        <v>490862190</v>
      </c>
    </row>
    <row r="11" spans="1:25" x14ac:dyDescent="0.25">
      <c r="A11" s="28">
        <v>258</v>
      </c>
      <c r="B11" s="38">
        <v>20214</v>
      </c>
      <c r="C11" s="38">
        <v>6115</v>
      </c>
      <c r="D11" s="38">
        <v>30</v>
      </c>
      <c r="E11" s="39">
        <f t="shared" si="2"/>
        <v>-1.2801298067957951</v>
      </c>
      <c r="F11" s="40">
        <f>IF(Augostometer!C11&gt;0,Grafiek_kalibratiemetingen!$R$13*Augostometer!C11+Grafiek_kalibratiemetingen!$R$14,TRIM(""))</f>
        <v>15.080129806795796</v>
      </c>
      <c r="G11" s="41">
        <v>13.8</v>
      </c>
      <c r="H11" s="41">
        <v>29.2</v>
      </c>
      <c r="I11" s="41">
        <f>IF(IF(Augostometer!C11&gt;0,1,0)+IF(Augostometer!G11&gt;0,1,0)=2,1,0)</f>
        <v>1</v>
      </c>
      <c r="J11" s="28" t="s">
        <v>129</v>
      </c>
      <c r="K11" s="28" t="s">
        <v>14</v>
      </c>
      <c r="L11" s="28">
        <v>729</v>
      </c>
      <c r="M11" t="s">
        <v>15</v>
      </c>
      <c r="N11" s="28" t="s">
        <v>16</v>
      </c>
      <c r="O11" s="42">
        <v>42570</v>
      </c>
      <c r="P11" s="28" t="s">
        <v>128</v>
      </c>
      <c r="Q11" s="28"/>
      <c r="R11">
        <f t="shared" si="3"/>
        <v>84387</v>
      </c>
      <c r="S11">
        <f t="shared" si="4"/>
        <v>37393225</v>
      </c>
    </row>
    <row r="12" spans="1:25" x14ac:dyDescent="0.25">
      <c r="A12" s="28">
        <v>256</v>
      </c>
      <c r="B12" s="30">
        <v>20537</v>
      </c>
      <c r="C12" s="30">
        <v>3331</v>
      </c>
      <c r="D12" s="30">
        <v>29</v>
      </c>
      <c r="E12" s="39">
        <f t="shared" si="2"/>
        <v>-0.21158247115636009</v>
      </c>
      <c r="F12" s="40">
        <f>IF(Augostometer!C12&gt;0,Grafiek_kalibratiemetingen!$R$13*Augostometer!C12+Grafiek_kalibratiemetingen!$R$14,TRIM(""))</f>
        <v>11.11158247115636</v>
      </c>
      <c r="G12" s="31">
        <v>10.9</v>
      </c>
      <c r="H12" s="31">
        <v>27.5</v>
      </c>
      <c r="I12" s="41">
        <f>IF(IF(Augostometer!C12&gt;0,1,0)+IF(Augostometer!G12&gt;0,1,0)=2,1,0)</f>
        <v>1</v>
      </c>
      <c r="J12" s="28" t="s">
        <v>129</v>
      </c>
      <c r="K12" s="28" t="s">
        <v>14</v>
      </c>
      <c r="L12" s="28">
        <v>729</v>
      </c>
      <c r="M12" t="s">
        <v>15</v>
      </c>
      <c r="N12" s="28" t="s">
        <v>16</v>
      </c>
      <c r="O12" s="42">
        <v>42570</v>
      </c>
      <c r="P12" s="28" t="s">
        <v>128</v>
      </c>
      <c r="Q12" s="28"/>
      <c r="R12">
        <f t="shared" si="3"/>
        <v>36307.9</v>
      </c>
      <c r="S12">
        <f t="shared" si="4"/>
        <v>11095561</v>
      </c>
      <c r="X12" t="s">
        <v>103</v>
      </c>
      <c r="Y12">
        <f>Y4+Y5*Y8</f>
        <v>-12417.772727272823</v>
      </c>
    </row>
    <row r="13" spans="1:25" x14ac:dyDescent="0.25">
      <c r="A13" s="28">
        <v>255</v>
      </c>
      <c r="B13" s="30">
        <v>20572</v>
      </c>
      <c r="C13" s="30">
        <v>4878</v>
      </c>
      <c r="D13" s="30">
        <v>30</v>
      </c>
      <c r="E13" s="39">
        <f t="shared" si="2"/>
        <v>-1.4168061522749671</v>
      </c>
      <c r="F13" s="40">
        <f>IF(Augostometer!C13&gt;0,Grafiek_kalibratiemetingen!$R$13*Augostometer!C13+Grafiek_kalibratiemetingen!$R$14,TRIM(""))</f>
        <v>13.316806152274967</v>
      </c>
      <c r="G13" s="31">
        <v>11.9</v>
      </c>
      <c r="H13" s="31">
        <v>27.5</v>
      </c>
      <c r="I13" s="41">
        <f>IF(IF(Augostometer!C13&gt;0,1,0)+IF(Augostometer!G13&gt;0,1,0)=2,1,0)</f>
        <v>1</v>
      </c>
      <c r="J13" s="28" t="s">
        <v>129</v>
      </c>
      <c r="K13" s="28" t="s">
        <v>14</v>
      </c>
      <c r="L13" s="28">
        <v>729</v>
      </c>
      <c r="M13" t="s">
        <v>15</v>
      </c>
      <c r="N13" s="28" t="s">
        <v>16</v>
      </c>
      <c r="O13" s="42">
        <v>42570</v>
      </c>
      <c r="P13" s="28" t="s">
        <v>128</v>
      </c>
      <c r="Q13" s="28"/>
      <c r="R13">
        <f t="shared" si="3"/>
        <v>58048.200000000004</v>
      </c>
      <c r="S13">
        <f t="shared" si="4"/>
        <v>23794884</v>
      </c>
      <c r="X13" t="s">
        <v>104</v>
      </c>
      <c r="Y13">
        <f>-Y10+(Y8*Y8)/Y3</f>
        <v>-54776044.545454562</v>
      </c>
    </row>
    <row r="14" spans="1:25" x14ac:dyDescent="0.25">
      <c r="A14" s="28">
        <v>257</v>
      </c>
      <c r="B14" s="30">
        <v>20616</v>
      </c>
      <c r="C14" s="30">
        <v>5988</v>
      </c>
      <c r="D14" s="30">
        <v>30</v>
      </c>
      <c r="E14" s="39">
        <f t="shared" si="2"/>
        <v>-0.79909334428638168</v>
      </c>
      <c r="F14" s="40">
        <f>IF(Augostometer!C14&gt;0,Grafiek_kalibratiemetingen!$R$13*Augostometer!C14+Grafiek_kalibratiemetingen!$R$14,TRIM(""))</f>
        <v>14.899093344286381</v>
      </c>
      <c r="G14" s="31">
        <v>14.1</v>
      </c>
      <c r="H14" s="31">
        <v>27.4</v>
      </c>
      <c r="I14" s="41">
        <f>IF(IF(Augostometer!C14&gt;0,1,0)+IF(Augostometer!G14&gt;0,1,0)=2,1,0)</f>
        <v>1</v>
      </c>
      <c r="J14" s="28" t="s">
        <v>129</v>
      </c>
      <c r="K14" s="28" t="s">
        <v>14</v>
      </c>
      <c r="L14" s="28">
        <v>729</v>
      </c>
      <c r="M14" t="s">
        <v>15</v>
      </c>
      <c r="N14" s="28" t="s">
        <v>16</v>
      </c>
      <c r="O14" s="42">
        <v>42570</v>
      </c>
      <c r="P14" s="28" t="s">
        <v>128</v>
      </c>
      <c r="Q14" s="28"/>
      <c r="R14">
        <f t="shared" si="3"/>
        <v>84430.8</v>
      </c>
      <c r="S14">
        <f t="shared" si="4"/>
        <v>35856144</v>
      </c>
    </row>
    <row r="15" spans="1:25" x14ac:dyDescent="0.25">
      <c r="A15" s="29"/>
      <c r="B15" s="30"/>
      <c r="C15" s="30"/>
      <c r="D15" s="30"/>
      <c r="E15" s="39" t="str">
        <f t="shared" si="2"/>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3"/>
        <v>0</v>
      </c>
      <c r="S15">
        <f t="shared" si="4"/>
        <v>0</v>
      </c>
      <c r="X15" t="s">
        <v>88</v>
      </c>
      <c r="Y15">
        <f>Y12/Y13</f>
        <v>2.2670079284326997E-4</v>
      </c>
    </row>
    <row r="16" spans="1:25" x14ac:dyDescent="0.25">
      <c r="A16" s="29"/>
      <c r="B16" s="30"/>
      <c r="C16" s="30"/>
      <c r="D16" s="30"/>
      <c r="E16" s="39" t="str">
        <f t="shared" si="2"/>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3"/>
        <v>0</v>
      </c>
      <c r="S16">
        <f t="shared" si="4"/>
        <v>0</v>
      </c>
      <c r="X16" t="s">
        <v>89</v>
      </c>
      <c r="Y16">
        <f>Y5-Y15*Y6</f>
        <v>12.054427553425009</v>
      </c>
    </row>
    <row r="17" spans="1:19" x14ac:dyDescent="0.25">
      <c r="A17" s="29"/>
      <c r="B17" s="30"/>
      <c r="C17" s="30"/>
      <c r="D17" s="30"/>
      <c r="E17" s="39" t="str">
        <f t="shared" si="2"/>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3"/>
        <v>0</v>
      </c>
      <c r="S17">
        <f t="shared" si="4"/>
        <v>0</v>
      </c>
    </row>
    <row r="18" spans="1:19" x14ac:dyDescent="0.25">
      <c r="A18" s="33"/>
      <c r="B18" s="34"/>
      <c r="C18" s="34"/>
      <c r="D18" s="34"/>
      <c r="E18" s="39" t="str">
        <f t="shared" si="2"/>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2"/>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2"/>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2"/>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2"/>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2"/>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2"/>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2"/>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2"/>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2"/>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2"/>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2"/>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2"/>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2"/>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2"/>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2"/>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2"/>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2"/>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2"/>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2"/>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2"/>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2"/>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2"/>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2"/>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2"/>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2"/>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2"/>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2"/>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2"/>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2"/>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2"/>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2"/>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2"/>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2"/>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2"/>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2"/>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2"/>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2"/>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2"/>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2"/>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2"/>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2"/>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2"/>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2"/>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2"/>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2"/>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2"/>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2"/>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2"/>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2"/>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2"/>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5">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5"/>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5"/>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5"/>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5"/>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5"/>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5"/>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5"/>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5"/>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5"/>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5"/>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5"/>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5"/>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5"/>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5"/>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5"/>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5"/>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5"/>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5"/>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5"/>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5"/>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5"/>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5"/>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5"/>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5"/>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5"/>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5"/>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5"/>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5"/>
        <v/>
      </c>
      <c r="F97" s="24" t="str">
        <f>IF(Augostometer!C97&gt;0,Grafiek_kalibratiemetingen!$R$13*Augostometer!C97+Grafiek_kalibratiemetingen!$R$14,TRIM(""))</f>
        <v/>
      </c>
      <c r="I97" s="2">
        <f>IF(IF(Augostometer!C97&gt;0,1,0)+IF(Augostometer!G97&gt;0,1,0)=2,1,0)</f>
        <v>0</v>
      </c>
    </row>
    <row r="98" spans="5:9" x14ac:dyDescent="0.25">
      <c r="E98" s="26" t="str">
        <f t="shared" si="5"/>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5"/>
        <v/>
      </c>
      <c r="F101" s="24" t="str">
        <f>IF(Augostometer!C101&gt;0,Grafiek_kalibratiemetingen!$R$13*Augostometer!C101+Grafiek_kalibratiemetingen!$R$14,TRIM(""))</f>
        <v/>
      </c>
      <c r="I101" s="2">
        <f>IF(IF(Augostometer!C101&gt;0,1,0)+IF(Augostometer!G101&gt;0,1,0)=2,1,0)</f>
        <v>0</v>
      </c>
    </row>
    <row r="102" spans="5:9" x14ac:dyDescent="0.25">
      <c r="E102" s="26" t="str">
        <f t="shared" si="5"/>
        <v/>
      </c>
      <c r="F102" s="24" t="str">
        <f>IF(Augostometer!C102&gt;0,Grafiek_kalibratiemetingen!$R$13*Augostometer!C102+Grafiek_kalibratiemetingen!$R$14,TRIM(""))</f>
        <v/>
      </c>
      <c r="I102" s="2">
        <f>IF(IF(Augostometer!C102&gt;0,1,0)+IF(Augostometer!G102&gt;0,1,0)=2,1,0)</f>
        <v>0</v>
      </c>
    </row>
    <row r="103" spans="5:9" x14ac:dyDescent="0.25">
      <c r="E103" s="26" t="str">
        <f t="shared" si="5"/>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26" priority="27">
      <formula>LEN(TRIM(G4))&gt;0</formula>
    </cfRule>
  </conditionalFormatting>
  <conditionalFormatting sqref="B4:D9 B15:D1048576">
    <cfRule type="notContainsBlanks" dxfId="25" priority="26">
      <formula>LEN(TRIM(B4))&gt;0</formula>
    </cfRule>
  </conditionalFormatting>
  <conditionalFormatting sqref="F4:F1048576">
    <cfRule type="notContainsBlanks" dxfId="24" priority="24">
      <formula>LEN(TRIM(F4))&gt;0</formula>
    </cfRule>
  </conditionalFormatting>
  <conditionalFormatting sqref="B4:I9 B15:I1048576 E10:F14 I10:I14">
    <cfRule type="containsBlanks" dxfId="23" priority="21">
      <formula>LEN(TRIM(B4))=0</formula>
    </cfRule>
  </conditionalFormatting>
  <conditionalFormatting sqref="E4:E1048576">
    <cfRule type="notContainsBlanks" dxfId="22" priority="23">
      <formula>LEN(TRIM(E4))&gt;0</formula>
    </cfRule>
  </conditionalFormatting>
  <conditionalFormatting sqref="I4:I1048576">
    <cfRule type="cellIs" dxfId="21" priority="25" operator="equal">
      <formula>0</formula>
    </cfRule>
  </conditionalFormatting>
  <conditionalFormatting sqref="G14:H14">
    <cfRule type="containsBlanks" dxfId="20" priority="1">
      <formula>LEN(TRIM(G14))=0</formula>
    </cfRule>
  </conditionalFormatting>
  <conditionalFormatting sqref="B10:D10">
    <cfRule type="notContainsBlanks" dxfId="19" priority="20">
      <formula>LEN(TRIM(B10))&gt;0</formula>
    </cfRule>
  </conditionalFormatting>
  <conditionalFormatting sqref="B10:D10">
    <cfRule type="containsBlanks" dxfId="18" priority="19">
      <formula>LEN(TRIM(B10))=0</formula>
    </cfRule>
  </conditionalFormatting>
  <conditionalFormatting sqref="B11:D11">
    <cfRule type="notContainsBlanks" dxfId="17" priority="18">
      <formula>LEN(TRIM(B11))&gt;0</formula>
    </cfRule>
  </conditionalFormatting>
  <conditionalFormatting sqref="B11:D11">
    <cfRule type="containsBlanks" dxfId="16" priority="17">
      <formula>LEN(TRIM(B11))=0</formula>
    </cfRule>
  </conditionalFormatting>
  <conditionalFormatting sqref="B12:D12">
    <cfRule type="notContainsBlanks" dxfId="15" priority="16">
      <formula>LEN(TRIM(B12))&gt;0</formula>
    </cfRule>
  </conditionalFormatting>
  <conditionalFormatting sqref="B12:D12">
    <cfRule type="containsBlanks" dxfId="14" priority="15">
      <formula>LEN(TRIM(B12))=0</formula>
    </cfRule>
  </conditionalFormatting>
  <conditionalFormatting sqref="B13:D13">
    <cfRule type="notContainsBlanks" dxfId="13" priority="14">
      <formula>LEN(TRIM(B13))&gt;0</formula>
    </cfRule>
  </conditionalFormatting>
  <conditionalFormatting sqref="B13:D13">
    <cfRule type="containsBlanks" dxfId="12" priority="13">
      <formula>LEN(TRIM(B13))=0</formula>
    </cfRule>
  </conditionalFormatting>
  <conditionalFormatting sqref="B14:D14">
    <cfRule type="notContainsBlanks" dxfId="11" priority="12">
      <formula>LEN(TRIM(B14))&gt;0</formula>
    </cfRule>
  </conditionalFormatting>
  <conditionalFormatting sqref="B14:D14">
    <cfRule type="containsBlanks" dxfId="10" priority="11">
      <formula>LEN(TRIM(B14))=0</formula>
    </cfRule>
  </conditionalFormatting>
  <conditionalFormatting sqref="G10:H10">
    <cfRule type="notContainsBlanks" dxfId="9" priority="10">
      <formula>LEN(TRIM(G10))&gt;0</formula>
    </cfRule>
  </conditionalFormatting>
  <conditionalFormatting sqref="G10:H10">
    <cfRule type="containsBlanks" dxfId="8" priority="9">
      <formula>LEN(TRIM(G10))=0</formula>
    </cfRule>
  </conditionalFormatting>
  <conditionalFormatting sqref="G11:H11">
    <cfRule type="notContainsBlanks" dxfId="7" priority="8">
      <formula>LEN(TRIM(G11))&gt;0</formula>
    </cfRule>
  </conditionalFormatting>
  <conditionalFormatting sqref="G11:H11">
    <cfRule type="containsBlanks" dxfId="6" priority="7">
      <formula>LEN(TRIM(G11))=0</formula>
    </cfRule>
  </conditionalFormatting>
  <conditionalFormatting sqref="G12:H12">
    <cfRule type="notContainsBlanks" dxfId="5" priority="6">
      <formula>LEN(TRIM(G12))&gt;0</formula>
    </cfRule>
  </conditionalFormatting>
  <conditionalFormatting sqref="G12:H12">
    <cfRule type="containsBlanks" dxfId="4" priority="5">
      <formula>LEN(TRIM(G12))=0</formula>
    </cfRule>
  </conditionalFormatting>
  <conditionalFormatting sqref="G13:H13">
    <cfRule type="notContainsBlanks" dxfId="3" priority="4">
      <formula>LEN(TRIM(G13))&gt;0</formula>
    </cfRule>
  </conditionalFormatting>
  <conditionalFormatting sqref="G13:H13">
    <cfRule type="containsBlanks" dxfId="2" priority="3">
      <formula>LEN(TRIM(G13))=0</formula>
    </cfRule>
  </conditionalFormatting>
  <conditionalFormatting sqref="G14:H14">
    <cfRule type="notContainsBlanks" dxfId="1"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Kalibratiemetingen</vt:lpstr>
      <vt:lpstr>Grafiek_kalibratiemetingen</vt:lpstr>
      <vt:lpstr>LegePeriodicos</vt:lpstr>
      <vt:lpstr>Impedantiemeter</vt:lpstr>
      <vt:lpstr>PeriodeTest</vt:lpstr>
      <vt:lpstr>DrieMeters</vt:lpstr>
      <vt:lpstr>Gehakas</vt:lpstr>
      <vt:lpstr>Augostometer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2016-07-19T22:50:55Z</dcterms:modified>
  <dc:language>en-US</dc:language>
</cp:coreProperties>
</file>