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1" activeTab="1"/>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OudeMeter" sheetId="19" r:id="rId10"/>
    <sheet name="PergaBooster" sheetId="20" r:id="rId11"/>
    <sheet name="LeegHoogtes" sheetId="21" r:id="rId12"/>
    <sheet name="Augostometer" sheetId="9" r:id="rId13"/>
    <sheet name="GroteHoogte" sheetId="18" r:id="rId14"/>
  </sheets>
  <definedNames>
    <definedName name="_xlnm._FilterDatabase" localSheetId="1" hidden="1">Grafiek_kalibratiemetingen!$T$2:$U$236</definedName>
  </definedNames>
  <calcPr calcId="171027"/>
</workbook>
</file>

<file path=xl/calcChain.xml><?xml version="1.0" encoding="utf-8"?>
<calcChain xmlns="http://schemas.openxmlformats.org/spreadsheetml/2006/main">
  <c r="G192" i="18" l="1"/>
  <c r="J213" i="18"/>
  <c r="F213" i="18" s="1"/>
  <c r="G213" i="18"/>
  <c r="J212" i="18"/>
  <c r="F212" i="18" s="1"/>
  <c r="J211" i="18"/>
  <c r="F211" i="18" s="1"/>
  <c r="J210" i="18"/>
  <c r="F210" i="18" s="1"/>
  <c r="G210" i="18"/>
  <c r="J209" i="18"/>
  <c r="F209" i="18" s="1"/>
  <c r="J208" i="18"/>
  <c r="F208" i="18" s="1"/>
  <c r="J207" i="18"/>
  <c r="F207" i="18" s="1"/>
  <c r="G207" i="18"/>
  <c r="J206" i="18"/>
  <c r="F206" i="18" s="1"/>
  <c r="J205" i="18"/>
  <c r="F205" i="18" s="1"/>
  <c r="J204" i="18"/>
  <c r="G204" i="18"/>
  <c r="J203" i="18"/>
  <c r="F203" i="18" s="1"/>
  <c r="J202" i="18"/>
  <c r="F202" i="18" s="1"/>
  <c r="J201" i="18"/>
  <c r="F201" i="18" s="1"/>
  <c r="G201" i="18"/>
  <c r="J200" i="18"/>
  <c r="F200" i="18" s="1"/>
  <c r="J199" i="18"/>
  <c r="F199" i="18" s="1"/>
  <c r="J198" i="18"/>
  <c r="F198" i="18" s="1"/>
  <c r="G198" i="18"/>
  <c r="J197" i="18"/>
  <c r="F197" i="18" s="1"/>
  <c r="J196" i="18"/>
  <c r="F196" i="18" s="1"/>
  <c r="J195" i="18"/>
  <c r="F195" i="18" s="1"/>
  <c r="G195" i="18"/>
  <c r="J194" i="18"/>
  <c r="F194" i="18" s="1"/>
  <c r="J193" i="18"/>
  <c r="F193" i="18" s="1"/>
  <c r="J192" i="18"/>
  <c r="F192" i="18" s="1"/>
  <c r="J191" i="18"/>
  <c r="F191" i="18" s="1"/>
  <c r="J190" i="18"/>
  <c r="F190" i="18" s="1"/>
  <c r="J189" i="18"/>
  <c r="G189" i="18"/>
  <c r="J188" i="18"/>
  <c r="F188" i="18" s="1"/>
  <c r="J187" i="18"/>
  <c r="F187" i="18" s="1"/>
  <c r="F204" i="18" l="1"/>
  <c r="F189" i="18"/>
  <c r="G167" i="18"/>
  <c r="I167" i="18"/>
  <c r="I166" i="18"/>
  <c r="F166" i="18" s="1"/>
  <c r="I165" i="18"/>
  <c r="F165" i="18" s="1"/>
  <c r="G173" i="18"/>
  <c r="I185" i="18"/>
  <c r="F185" i="18" s="1"/>
  <c r="G185" i="18"/>
  <c r="I184" i="18"/>
  <c r="F184" i="18" s="1"/>
  <c r="I183" i="18"/>
  <c r="F183" i="18" s="1"/>
  <c r="I182" i="18"/>
  <c r="G182" i="18"/>
  <c r="I181" i="18"/>
  <c r="F181" i="18" s="1"/>
  <c r="I180" i="18"/>
  <c r="F180" i="18" s="1"/>
  <c r="I179" i="18"/>
  <c r="G179" i="18"/>
  <c r="I178" i="18"/>
  <c r="F178" i="18" s="1"/>
  <c r="I177" i="18"/>
  <c r="F177" i="18" s="1"/>
  <c r="I176" i="18"/>
  <c r="G176" i="18"/>
  <c r="I175" i="18"/>
  <c r="F175" i="18" s="1"/>
  <c r="I174" i="18"/>
  <c r="F174" i="18" s="1"/>
  <c r="I173" i="18"/>
  <c r="I172" i="18"/>
  <c r="F172" i="18" s="1"/>
  <c r="I171" i="18"/>
  <c r="F171" i="18" s="1"/>
  <c r="I170" i="18"/>
  <c r="F170" i="18" s="1"/>
  <c r="G170" i="18"/>
  <c r="I169" i="18"/>
  <c r="F169" i="18" s="1"/>
  <c r="I168" i="18"/>
  <c r="F168" i="18" s="1"/>
  <c r="I164" i="18"/>
  <c r="G164" i="18"/>
  <c r="I163" i="18"/>
  <c r="F163" i="18" s="1"/>
  <c r="I162" i="18"/>
  <c r="F162" i="18" s="1"/>
  <c r="I161" i="18"/>
  <c r="G161" i="18"/>
  <c r="I160" i="18"/>
  <c r="F160" i="18" s="1"/>
  <c r="I159" i="18"/>
  <c r="F159" i="18" s="1"/>
  <c r="F164" i="18" l="1"/>
  <c r="F176" i="18"/>
  <c r="F182" i="18"/>
  <c r="F179" i="18"/>
  <c r="F167" i="18"/>
  <c r="F173" i="18"/>
  <c r="F161" i="18"/>
  <c r="G154" i="18"/>
  <c r="I122" i="18"/>
  <c r="I157" i="18"/>
  <c r="G157" i="18"/>
  <c r="I156" i="18"/>
  <c r="F156" i="18" s="1"/>
  <c r="I155" i="18"/>
  <c r="F155" i="18" s="1"/>
  <c r="I154" i="18"/>
  <c r="I153" i="18"/>
  <c r="F153" i="18" s="1"/>
  <c r="I152" i="18"/>
  <c r="F152" i="18" s="1"/>
  <c r="I151" i="18"/>
  <c r="G151" i="18"/>
  <c r="I150" i="18"/>
  <c r="F150" i="18" s="1"/>
  <c r="I149" i="18"/>
  <c r="F149" i="18" s="1"/>
  <c r="I148" i="18"/>
  <c r="G148" i="18"/>
  <c r="I147" i="18"/>
  <c r="F147" i="18" s="1"/>
  <c r="I146" i="18"/>
  <c r="F146" i="18" s="1"/>
  <c r="I145" i="18"/>
  <c r="F145" i="18" s="1"/>
  <c r="G145" i="18"/>
  <c r="I144" i="18"/>
  <c r="F144" i="18" s="1"/>
  <c r="I143" i="18"/>
  <c r="F143" i="18" s="1"/>
  <c r="I142" i="18"/>
  <c r="G142" i="18"/>
  <c r="I141" i="18"/>
  <c r="F141" i="18" s="1"/>
  <c r="I140" i="18"/>
  <c r="F140" i="18" s="1"/>
  <c r="I139" i="18"/>
  <c r="F139" i="18" s="1"/>
  <c r="G139" i="18"/>
  <c r="I138" i="18"/>
  <c r="F138" i="18" s="1"/>
  <c r="I137" i="18"/>
  <c r="F137" i="18" s="1"/>
  <c r="I136" i="18"/>
  <c r="G136" i="18"/>
  <c r="I135" i="18"/>
  <c r="F135" i="18" s="1"/>
  <c r="I134" i="18"/>
  <c r="F134" i="18" s="1"/>
  <c r="I133" i="18"/>
  <c r="F133" i="18" s="1"/>
  <c r="G133" i="18"/>
  <c r="I132" i="18"/>
  <c r="F132" i="18" s="1"/>
  <c r="I131" i="18"/>
  <c r="F131" i="18" s="1"/>
  <c r="F136" i="18" l="1"/>
  <c r="F142" i="18"/>
  <c r="F151" i="18"/>
  <c r="F148" i="18"/>
  <c r="F154" i="18"/>
  <c r="F157" i="18"/>
  <c r="G101" i="18"/>
  <c r="G98" i="18"/>
  <c r="I94" i="18"/>
  <c r="F94" i="18" s="1"/>
  <c r="I95" i="18"/>
  <c r="I96" i="18"/>
  <c r="I97" i="18"/>
  <c r="F97" i="18" s="1"/>
  <c r="I98" i="18"/>
  <c r="I99" i="18"/>
  <c r="F99" i="18" s="1"/>
  <c r="I100" i="18"/>
  <c r="F100" i="18" s="1"/>
  <c r="I101" i="18"/>
  <c r="I102" i="18"/>
  <c r="F102" i="18" s="1"/>
  <c r="I103" i="18"/>
  <c r="F103" i="18" s="1"/>
  <c r="I104" i="18"/>
  <c r="I105" i="18"/>
  <c r="F105" i="18" s="1"/>
  <c r="I106" i="18"/>
  <c r="F106" i="18" s="1"/>
  <c r="I107" i="18"/>
  <c r="I108" i="18"/>
  <c r="I109" i="18"/>
  <c r="F109" i="18" s="1"/>
  <c r="I110" i="18"/>
  <c r="I111" i="18"/>
  <c r="F111" i="18" s="1"/>
  <c r="I93" i="18"/>
  <c r="F93" i="18" s="1"/>
  <c r="F98" i="18" l="1"/>
  <c r="G67" i="18"/>
  <c r="G70" i="18"/>
  <c r="G73" i="18"/>
  <c r="G76" i="18"/>
  <c r="G79" i="18"/>
  <c r="G82" i="18"/>
  <c r="G85" i="18"/>
  <c r="G88" i="18"/>
  <c r="I65" i="18"/>
  <c r="F65" i="18" s="1"/>
  <c r="I66" i="18"/>
  <c r="F66" i="18" s="1"/>
  <c r="I67" i="18"/>
  <c r="I68" i="18"/>
  <c r="F68" i="18" s="1"/>
  <c r="I69" i="18"/>
  <c r="F69" i="18" s="1"/>
  <c r="I70" i="18"/>
  <c r="F70" i="18" s="1"/>
  <c r="I71" i="18"/>
  <c r="F71" i="18" s="1"/>
  <c r="I72" i="18"/>
  <c r="F72" i="18" s="1"/>
  <c r="I73" i="18"/>
  <c r="F73" i="18" s="1"/>
  <c r="I74" i="18"/>
  <c r="F74" i="18" s="1"/>
  <c r="I75" i="18"/>
  <c r="F75" i="18" s="1"/>
  <c r="I76" i="18"/>
  <c r="F76" i="18" s="1"/>
  <c r="I77" i="18"/>
  <c r="F77" i="18" s="1"/>
  <c r="I78" i="18"/>
  <c r="F78" i="18" s="1"/>
  <c r="I79" i="18"/>
  <c r="F79" i="18" s="1"/>
  <c r="I80" i="18"/>
  <c r="I81" i="18"/>
  <c r="F81" i="18" s="1"/>
  <c r="I82" i="18"/>
  <c r="I83" i="18"/>
  <c r="F83" i="18" s="1"/>
  <c r="I84" i="18"/>
  <c r="F84" i="18" s="1"/>
  <c r="I85" i="18"/>
  <c r="I86" i="18"/>
  <c r="F86" i="18" s="1"/>
  <c r="I87" i="18"/>
  <c r="F87" i="18" s="1"/>
  <c r="I88" i="18"/>
  <c r="I89" i="18"/>
  <c r="I90" i="18"/>
  <c r="F85" i="18" l="1"/>
  <c r="F67" i="18"/>
  <c r="F82" i="18"/>
  <c r="F88" i="18"/>
  <c r="R118" i="1"/>
  <c r="F89" i="18"/>
  <c r="F90" i="18"/>
  <c r="I91" i="18"/>
  <c r="Q72" i="18"/>
  <c r="Q71" i="18"/>
  <c r="Q70" i="18"/>
  <c r="Q69" i="18"/>
  <c r="Q68" i="18"/>
  <c r="Q67" i="18"/>
  <c r="Q66" i="18"/>
  <c r="Q65" i="18"/>
  <c r="Q64" i="18"/>
  <c r="H9" i="19" l="1"/>
  <c r="H10" i="19"/>
  <c r="H11" i="19"/>
  <c r="H12" i="19"/>
  <c r="H13" i="19"/>
  <c r="H14" i="19"/>
  <c r="H15" i="19"/>
  <c r="H16" i="19"/>
  <c r="H8" i="19" l="1"/>
  <c r="H5" i="19"/>
  <c r="H6" i="19"/>
  <c r="H7" i="19"/>
  <c r="H4" i="19"/>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129" i="18"/>
  <c r="G129" i="18"/>
  <c r="I128" i="18"/>
  <c r="G128" i="18"/>
  <c r="I127" i="18"/>
  <c r="G127" i="18"/>
  <c r="I126" i="18"/>
  <c r="G126" i="18"/>
  <c r="I125" i="18"/>
  <c r="G125" i="18"/>
  <c r="I124" i="18"/>
  <c r="G124" i="18"/>
  <c r="I123" i="18"/>
  <c r="G123" i="18"/>
  <c r="G122" i="18"/>
  <c r="I121" i="18"/>
  <c r="G121" i="18"/>
  <c r="I120" i="18"/>
  <c r="G120" i="18"/>
  <c r="I119" i="18"/>
  <c r="F119" i="18" s="1"/>
  <c r="G119" i="18"/>
  <c r="I118" i="18"/>
  <c r="F118" i="18" s="1"/>
  <c r="I117" i="18"/>
  <c r="I116" i="18"/>
  <c r="G116" i="18"/>
  <c r="I115" i="18"/>
  <c r="F115" i="18" s="1"/>
  <c r="I114" i="18"/>
  <c r="F114" i="18" s="1"/>
  <c r="I113" i="18"/>
  <c r="F113" i="18" s="1"/>
  <c r="G113" i="18"/>
  <c r="I112" i="18"/>
  <c r="F112" i="18" s="1"/>
  <c r="G110" i="18"/>
  <c r="F110" i="18" s="1"/>
  <c r="F108" i="18"/>
  <c r="G107" i="18"/>
  <c r="F107" i="18" s="1"/>
  <c r="G104" i="18"/>
  <c r="F104" i="18" s="1"/>
  <c r="F96" i="18"/>
  <c r="G95" i="18"/>
  <c r="F95" i="18" s="1"/>
  <c r="F80"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F117" i="18" l="1"/>
  <c r="F116" i="18"/>
  <c r="X9" i="18"/>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R14" i="6" l="1"/>
  <c r="F94" i="1" s="1"/>
  <c r="E94" i="1" s="1"/>
  <c r="Z116" i="6" l="1"/>
  <c r="F118" i="1"/>
  <c r="E118" i="1" s="1"/>
  <c r="G91" i="18"/>
  <c r="F91" i="18" s="1"/>
  <c r="Z113" i="6"/>
  <c r="G36" i="18"/>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 r="F101" i="18"/>
</calcChain>
</file>

<file path=xl/sharedStrings.xml><?xml version="1.0" encoding="utf-8"?>
<sst xmlns="http://schemas.openxmlformats.org/spreadsheetml/2006/main" count="2468" uniqueCount="268">
  <si>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</si>
  <si>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</si>
  <si>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</si>
  <si>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</si>
  <si>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</si>
  <si>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</si>
  <si>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</si>
  <si>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</si>
  <si>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</si>
  <si>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</si>
  <si>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</si>
  <si>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</si>
  <si>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</si>
  <si>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</si>
  <si>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</si>
  <si>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</si>
  <si>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</si>
  <si>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</si>
  <si>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</si>
  <si>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</si>
  <si>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</si>
  <si>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</si>
  <si>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</si>
  <si>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</si>
  <si>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</si>
  <si>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</si>
  <si>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</si>
  <si>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</si>
  <si>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</si>
  <si>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</si>
  <si>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</si>
  <si>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</si>
  <si>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</si>
  <si>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</si>
  <si>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</si>
  <si>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</si>
  <si>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</si>
  <si>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</si>
  <si>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</si>
  <si>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</si>
  <si>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</si>
  <si>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</si>
  <si>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</si>
  <si>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</si>
  <si>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</si>
  <si>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</si>
  <si>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</si>
  <si>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</si>
  <si>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</si>
  <si>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</si>
  <si>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</si>
  <si>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</si>
  <si>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</si>
  <si>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</si>
  <si>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</si>
  <si>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</si>
  <si>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</si>
  <si>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</si>
  <si>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</si>
  <si>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</si>
  <si>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</si>
  <si>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</si>
  <si>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</si>
  <si>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</si>
  <si>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</si>
  <si>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</si>
  <si>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</si>
  <si>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</si>
  <si>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</si>
  <si>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</si>
  <si>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</si>
  <si>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</si>
  <si>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</si>
  <si>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</si>
  <si>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</si>
  <si>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</si>
  <si>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</si>
  <si>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</si>
  <si>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</si>
  <si>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</si>
  <si>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</si>
  <si>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</si>
  <si>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</si>
  <si>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</si>
  <si>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</si>
  <si>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</si>
  <si>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</si>
  <si>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</si>
  <si>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</si>
  <si>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</si>
  <si>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</si>
  <si>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</si>
  <si>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</si>
  <si>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</si>
  <si>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</si>
  <si>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</si>
  <si>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</si>
  <si>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</si>
  <si>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</si>
  <si>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</si>
  <si>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</si>
  <si>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</si>
  <si>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</si>
  <si>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</si>
  <si>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</si>
  <si>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</si>
  <si>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</si>
  <si>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</si>
  <si>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</si>
  <si>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</si>
  <si>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</si>
  <si>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</si>
  <si>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</si>
  <si>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</si>
  <si>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</si>
  <si>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</si>
  <si>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</si>
  <si>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</si>
  <si>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</si>
  <si>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</si>
  <si>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</si>
  <si>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</si>
  <si>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</si>
  <si>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</si>
  <si>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</si>
  <si>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</si>
  <si>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</si>
  <si>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</si>
  <si>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</si>
  <si>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</si>
  <si>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</si>
  <si>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</si>
  <si>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</si>
  <si>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</si>
  <si>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</si>
  <si>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</si>
  <si>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</si>
  <si>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</si>
  <si>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</si>
  <si>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</si>
  <si>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</si>
  <si>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</si>
  <si>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</si>
  <si>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</si>
  <si>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</si>
  <si>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</si>
  <si>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</si>
  <si>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</si>
  <si>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</si>
  <si>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</si>
  <si>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</si>
  <si>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</si>
  <si>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</si>
  <si>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</si>
  <si>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</si>
  <si>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</si>
  <si>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</si>
  <si>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</si>
  <si>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</si>
  <si>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</si>
  <si>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</si>
  <si>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</si>
  <si>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</si>
  <si>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</si>
  <si>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</si>
  <si>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</si>
  <si>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</si>
  <si>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</si>
  <si>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</si>
  <si>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</si>
  <si>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</si>
  <si>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</si>
  <si>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</si>
  <si>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</si>
  <si>
    <t>Oude meter</t>
  </si>
  <si>
    <t>Sample nr</t>
  </si>
  <si>
    <t>Oude meter cycli</t>
  </si>
  <si>
    <t>Oude meter temp</t>
  </si>
  <si>
    <t xml:space="preserve">Gehaka </t>
  </si>
  <si>
    <t>Gehaka temp</t>
  </si>
  <si>
    <t>warm, recht uit de zon</t>
  </si>
  <si>
    <t>PergaBooster</t>
  </si>
  <si>
    <t>Cycli</t>
  </si>
  <si>
    <t>Pergamino</t>
  </si>
  <si>
    <t>Gehaka</t>
  </si>
  <si>
    <t>Temp nog niet gekalibreerd</t>
  </si>
  <si>
    <t>Oro</t>
  </si>
  <si>
    <t>Gebruikte humsen</t>
  </si>
  <si>
    <t>temp gekalibreerd, na afkoelen</t>
  </si>
  <si>
    <t>oude JT</t>
  </si>
  <si>
    <t>Humsen leeg/hum</t>
  </si>
  <si>
    <t>superwarm</t>
  </si>
  <si>
    <t>humsen leeg/hum</t>
  </si>
  <si>
    <t>Na gebruik van pilador is de café oro zeer warm.</t>
  </si>
  <si>
    <t>na afkoelen</t>
  </si>
  <si>
    <t>achtereenvolgende metingen, lijkt zich te stabiliseren</t>
  </si>
  <si>
    <t>warm van pilador</t>
  </si>
  <si>
    <t>warm uit zon</t>
  </si>
  <si>
    <t>kalibratiewaarden</t>
  </si>
  <si>
    <t>warm na pilador, eigenlijk te hoog om correct te kunnen meten</t>
  </si>
  <si>
    <t>Oude meter gevonden met calibratiecoefficienten! Geeft wel battery voltage 0,0V. Heb gemarkeerd met JT.</t>
  </si>
  <si>
    <t>nagemeten, gaf opnieuw 14,3 en 18,2. Vreemd</t>
  </si>
  <si>
    <t>supernat en recht uit pilador</t>
  </si>
  <si>
    <t>na afkoelen niet meer meetbaar, humedad muy alta</t>
  </si>
  <si>
    <t>In de superwarme bus</t>
  </si>
  <si>
    <t>In iets frissere bus onderweg</t>
  </si>
  <si>
    <t>In nog frissere bus onderweg</t>
  </si>
  <si>
    <t>Cajamarca hostel ochtend koud</t>
  </si>
  <si>
    <t>cv fris in hostel cajamarca</t>
  </si>
  <si>
    <t>cumbemayo</t>
  </si>
  <si>
    <t>cumbemayo vrij warm 3600m</t>
  </si>
  <si>
    <t>koud in slaapkamer en in vochtige zak gezeten</t>
  </si>
  <si>
    <t>Jaén warme bureau met ventilator (batterij mss verplaatst)</t>
  </si>
  <si>
    <t>Gebruikte meter: 3,0-4</t>
  </si>
  <si>
    <t>Jaén opnieuw met ventilator dag erna</t>
  </si>
  <si>
    <t>29,3 temp</t>
  </si>
  <si>
    <t>batterij verplaatst, vergelijk enkel binnen dit blok</t>
  </si>
  <si>
    <t>Gehaka augosto</t>
  </si>
  <si>
    <t>s avonds</t>
  </si>
  <si>
    <t>Gehaka kapot</t>
  </si>
  <si>
    <t>zonnig middag</t>
  </si>
  <si>
    <t>temperatuur van gehaka: 24,1°C (sample temp)</t>
  </si>
  <si>
    <t>Chirinos hospedaje</t>
  </si>
  <si>
    <t>gehaka zegt 23,8°</t>
  </si>
  <si>
    <t>gehaka zegt 23,9°</t>
  </si>
  <si>
    <t>gehaka zegt 23,7°</t>
  </si>
  <si>
    <t>gehaka zegt 23,6°</t>
  </si>
  <si>
    <t>gehaka zegt 23,1°</t>
  </si>
  <si>
    <t>chirinos buiten</t>
  </si>
  <si>
    <t>bewolkt middag</t>
  </si>
  <si>
    <t>74,5F</t>
  </si>
  <si>
    <t xml:space="preserve">500 soles kalkibratie </t>
  </si>
  <si>
    <t>precios cambian quasi cada mes</t>
  </si>
  <si>
    <t>zonnig ochtend</t>
  </si>
  <si>
    <t>prosperidad de chirinos</t>
  </si>
  <si>
    <t>Gehaka zegt 21,1°C</t>
  </si>
  <si>
    <t>Gehaka zegt 21,3°C</t>
  </si>
  <si>
    <t>Gehaka zegt 21,6°C</t>
  </si>
  <si>
    <t>deze gemeten na de tweede, daarna weer normale volgorde</t>
  </si>
  <si>
    <t>Gehaka zegt 21,7</t>
  </si>
  <si>
    <t>Gehaka zegt 21,8</t>
  </si>
  <si>
    <t>Gehaka zegt 22</t>
  </si>
  <si>
    <t>Gehaka zegt 22,2</t>
  </si>
  <si>
    <t>Gehaka zegt 22,3</t>
  </si>
  <si>
    <t>Gehaka zegt 21,2°C</t>
  </si>
  <si>
    <t>Gehaka zegt 21,4°C</t>
  </si>
  <si>
    <t>Gehaka zegt 21,5°C</t>
  </si>
  <si>
    <t>Gehaka zegt 21,7°C</t>
  </si>
  <si>
    <t>Gehaka zegt 22°C</t>
  </si>
  <si>
    <t>Gehaka zegt 22,3°C</t>
  </si>
  <si>
    <t>Start meting: 8u18</t>
  </si>
  <si>
    <t>Einde meting: 9u00</t>
  </si>
  <si>
    <t>Vervlogen tijd: 42 minuten</t>
  </si>
  <si>
    <t>Gehaka Augosto</t>
  </si>
  <si>
    <t>Gehaka zegt 32,4°C</t>
  </si>
  <si>
    <t>Gehaka augosto zegt 32,1°C</t>
  </si>
  <si>
    <t xml:space="preserve">Gehaka kapot zei eerst muy baja, geen idee waarom. Temp 32,3°C. Twee keer opnieuw gemeten en bijna exact hetzelfde 13,44 en 13,42. </t>
  </si>
  <si>
    <t>Gehaka augosto zegt 31,8°C</t>
  </si>
  <si>
    <t>Weegschalen wijken ook 1g af en heb opnieuw gemeten met andere weegschaal, verandert niks aan resultaten gehaka</t>
  </si>
  <si>
    <t>Invloed ijzeren bureau ook eens gemeten, nauwelijks afwijking (max 0,1%)</t>
  </si>
  <si>
    <t>Gehaka zegt 32,0°C</t>
  </si>
  <si>
    <t>Gehaka augosto zegt 31,6°C</t>
  </si>
  <si>
    <t>Gehaka zegt 31,8°C</t>
  </si>
  <si>
    <t>Gehaka augosto zegt 31,4°C</t>
  </si>
  <si>
    <t>Gehaka augosto zegt 31,5°C</t>
  </si>
  <si>
    <t>Gehaka zegt 32,1°C</t>
  </si>
  <si>
    <t>Gehaka zegt 31,9°C</t>
  </si>
  <si>
    <t>Gehaka kapot temperatuur vergeten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</si>
</sst>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100">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0" xfId="0" applyAlignment="1"/>
    <xf numFmtId="0" fontId="5" fillId="0" borderId="6" xfId="0" applyFont="1" applyFill="1" applyBorder="1"/>
    <xf numFmtId="0" fontId="5" fillId="0" borderId="0" xfId="1" applyFont="1" applyFill="1" applyBorder="1" applyAlignment="1" applyProtection="1"/>
    <xf numFmtId="0" fontId="0" fillId="0" borderId="0" xfId="0" quotePrefix="1" applyFill="1" applyBorder="1"/>
    <xf numFmtId="14" fontId="5" fillId="0" borderId="0" xfId="0" applyNumberFormat="1" applyFont="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3" fillId="0" borderId="0" xfId="0" applyFont="1" applyAlignment="1">
      <alignment horizontal="center"/>
    </xf>
  </cellXfs>
  <cellStyles count="2">
    <cellStyle name="Normal" xfId="0" builtinId="0"/>
    <cellStyle name="TableStyleLight1" xfId="1"/>
  </cellStyles>
  <dxfs count="100">
    <dxf>
      <font>
        <b/>
        <i val="0"/>
      </font>
      <numFmt numFmtId="2" formatCode="0.00"/>
      <fill>
        <patternFill>
          <bgColor theme="5" tint="0.39994506668294322"/>
        </patternFill>
      </fill>
    </dxf>
    <dxf>
      <font>
        <b/>
        <i val="0"/>
      </font>
      <numFmt numFmtId="2" formatCode="0.00"/>
      <fill>
        <patternFill>
          <bgColor theme="5" tint="0.39994506668294322"/>
        </patternFill>
      </fill>
    </dxf>
    <dxf>
      <font>
        <b/>
        <i val="0"/>
      </font>
      <numFmt numFmtId="2" formatCode="0.00"/>
      <fill>
        <patternFill>
          <bgColor theme="5" tint="0.39994506668294322"/>
        </patternFill>
      </fill>
    </dxf>
    <dxf>
      <font>
        <b/>
        <i val="0"/>
      </font>
      <numFmt numFmtId="2" formatCode="0.00"/>
      <fill>
        <patternFill>
          <bgColor theme="5" tint="0.39994506668294322"/>
        </patternFill>
      </fill>
    </dxf>
    <dxf>
      <fill>
        <patternFill>
          <bgColor theme="5"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59996337778862885"/>
        </patternFill>
      </fill>
    </dxf>
    <dxf>
      <font>
        <b val="0"/>
        <i val="0"/>
      </font>
      <fill>
        <patternFill patternType="none">
          <bgColor auto="1"/>
        </patternFill>
      </fill>
    </dxf>
    <dxf>
      <fill>
        <patternFill patternType="none">
          <bgColor auto="1"/>
        </patternFill>
      </fill>
    </dxf>
    <dxf>
      <fill>
        <patternFill>
          <bgColor theme="9" tint="0.59996337778862885"/>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59996337778862885"/>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pt idx="114">
                        <c:v>11.7</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pt idx="114">
                        <c:v>3933</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pt idx="104">
                  <c:v>11.7</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pt idx="104">
                  <c:v>3933</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96" zoomScaleNormal="100" workbookViewId="0">
      <selection activeCell="H118" sqref="H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112</v>
      </c>
      <c r="B1">
        <f>COUNT(B$4:B$65000)</f>
        <v>114</v>
      </c>
      <c r="C1">
        <f>COUNT(C$4:C$65000)</f>
        <v>114</v>
      </c>
      <c r="D1">
        <f>COUNT(D$4:D$65000)</f>
        <v>114</v>
      </c>
      <c r="G1">
        <f>COUNT(G$4:G$65000)</f>
        <v>111</v>
      </c>
      <c r="H1">
        <f>COUNT(H$4:H$65000)</f>
        <v>99</v>
      </c>
      <c r="J1">
        <f t="shared" ref="J1:Q1" si="0">COUNT(J$4:J$65000)</f>
        <v>0</v>
      </c>
      <c r="K1">
        <f t="shared" si="0"/>
        <v>0</v>
      </c>
      <c r="L1">
        <f t="shared" si="0"/>
        <v>115</v>
      </c>
      <c r="M1">
        <f t="shared" si="0"/>
        <v>0</v>
      </c>
      <c r="N1">
        <f t="shared" si="0"/>
        <v>0</v>
      </c>
      <c r="O1">
        <f t="shared" si="0"/>
        <v>89</v>
      </c>
      <c r="P1">
        <f t="shared" si="0"/>
        <v>0</v>
      </c>
      <c r="Q1">
        <f t="shared" si="0"/>
        <v>0</v>
      </c>
    </row>
    <row r="2" spans="1:21" ht="32.25" customHeight="1" x14ac:dyDescent="0.25">
      <c r="E2" s="94" t="s">
        <v>111</v>
      </c>
      <c r="F2" s="94"/>
      <c r="G2" s="94"/>
      <c r="H2" s="94"/>
      <c r="I2" s="94"/>
      <c r="N2" s="95" t="s">
        <v>112</v>
      </c>
      <c r="O2" s="95"/>
      <c r="P2" s="95"/>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2.4921132822015544</v>
      </c>
      <c r="F4" s="24">
        <f>IF(Kalibratiemetingen!C4&gt;0,Grafiek_kalibratiemetingen!$R$13*Kalibratiemetingen!C4+Grafiek_kalibratiemetingen!$R$14,TRIM(""))</f>
        <v>15.307886717798446</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110</v>
      </c>
    </row>
    <row r="5" spans="1:21" x14ac:dyDescent="0.25">
      <c r="A5" s="1">
        <v>8705</v>
      </c>
      <c r="B5" s="3">
        <v>21696</v>
      </c>
      <c r="C5" s="3">
        <v>5635</v>
      </c>
      <c r="D5" s="3">
        <v>31</v>
      </c>
      <c r="E5" s="26">
        <f t="shared" ref="E5:E68" si="1">IF(I5,G5-F5,TRIM(""))</f>
        <v>0.20438443425456931</v>
      </c>
      <c r="F5" s="24">
        <f>IF(Kalibratiemetingen!C5&gt;0,Grafiek_kalibratiemetingen!$R$13*Kalibratiemetingen!C5+Grafiek_kalibratiemetingen!$R$14,TRIM(""))</f>
        <v>14.39561556574543</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-6736622.6000000015</v>
      </c>
    </row>
    <row r="6" spans="1:21" x14ac:dyDescent="0.25">
      <c r="A6" s="1">
        <v>8667</v>
      </c>
      <c r="B6" s="3">
        <v>21709</v>
      </c>
      <c r="C6" s="3">
        <v>4577</v>
      </c>
      <c r="D6" s="3">
        <v>31</v>
      </c>
      <c r="E6" s="26">
        <f t="shared" si="1"/>
        <v>0.81484277364751634</v>
      </c>
      <c r="F6" s="24">
        <f>IF(Kalibratiemetingen!C6&gt;0,Grafiek_kalibratiemetingen!$R$13*Kalibratiemetingen!C6+Grafiek_kalibratiemetingen!$R$14,TRIM(""))</f>
        <v>12.885157226352483</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12.968181818181804</v>
      </c>
    </row>
    <row r="7" spans="1:21" x14ac:dyDescent="0.25">
      <c r="A7" s="1">
        <v>8708</v>
      </c>
      <c r="B7" s="3">
        <v>21719</v>
      </c>
      <c r="C7" s="3">
        <v>3728</v>
      </c>
      <c r="D7" s="3">
        <v>31</v>
      </c>
      <c r="E7" s="26">
        <f t="shared" si="1"/>
        <v>0.3269213465630294</v>
      </c>
      <c r="F7" s="24">
        <f>IF(Kalibratiemetingen!C7&gt;0,Grafiek_kalibratiemetingen!$R$13*Kalibratiemetingen!C7+Grafiek_kalibratiemetingen!$R$14,TRIM(""))</f>
        <v>11.673078653436971</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4635.1545454545458</v>
      </c>
    </row>
    <row r="8" spans="1:21" x14ac:dyDescent="0.25">
      <c r="A8" s="1">
        <v>8717</v>
      </c>
      <c r="B8" s="3">
        <v>21686</v>
      </c>
      <c r="C8" s="3">
        <v>5617</v>
      </c>
      <c r="D8" s="3">
        <v>33</v>
      </c>
      <c r="E8" s="26">
        <f t="shared" si="1"/>
        <v>0.23008221318564104</v>
      </c>
      <c r="F8" s="24">
        <f>IF(Kalibratiemetingen!C8&gt;0,Grafiek_kalibratiemetingen!$R$13*Kalibratiemetingen!C8+Grafiek_kalibratiemetingen!$R$14,TRIM(""))</f>
        <v>14.369917786814359</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4635.1545454545458</v>
      </c>
    </row>
    <row r="9" spans="1:21" x14ac:dyDescent="0.25">
      <c r="A9" s="1"/>
      <c r="B9" s="3">
        <v>21647</v>
      </c>
      <c r="C9" s="3">
        <v>5908</v>
      </c>
      <c r="D9" s="3">
        <v>33</v>
      </c>
      <c r="E9" s="26">
        <f t="shared" si="1"/>
        <v>1.314634787133329</v>
      </c>
      <c r="F9" s="24">
        <f>IF(Kalibratiemetingen!C9&gt;0,Grafiek_kalibratiemetingen!$R$13*Kalibratiemetingen!C9+Grafiek_kalibratiemetingen!$R$14,TRIM(""))</f>
        <v>14.785365212866672</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509867</v>
      </c>
    </row>
    <row r="10" spans="1:21" x14ac:dyDescent="0.25">
      <c r="A10" s="1"/>
      <c r="B10" s="3">
        <v>21646</v>
      </c>
      <c r="C10" s="3">
        <v>5081</v>
      </c>
      <c r="D10" s="3">
        <v>32</v>
      </c>
      <c r="E10" s="26">
        <f t="shared" si="1"/>
        <v>0.29530496357753222</v>
      </c>
      <c r="F10" s="24">
        <f>IF(Kalibratiemetingen!C10&gt;0,Grafiek_kalibratiemetingen!$R$13*Kalibratiemetingen!C10+Grafiek_kalibratiemetingen!$R$14,TRIM(""))</f>
        <v>13.604695036422468</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1426.4999999999984</v>
      </c>
    </row>
    <row r="11" spans="1:21" x14ac:dyDescent="0.25">
      <c r="A11" s="1">
        <v>8723</v>
      </c>
      <c r="B11" s="3">
        <v>21682</v>
      </c>
      <c r="C11" s="3">
        <v>3935</v>
      </c>
      <c r="D11" s="3">
        <v>33</v>
      </c>
      <c r="E11" s="26">
        <f t="shared" si="1"/>
        <v>3.1396888855713456E-2</v>
      </c>
      <c r="F11" s="24">
        <f>IF(Kalibratiemetingen!C11&gt;0,Grafiek_kalibratiemetingen!$R$13*Kalibratiemetingen!C11+Grafiek_kalibratiemetingen!$R$14,TRIM(""))</f>
        <v>11.968603111144287</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2450570605</v>
      </c>
    </row>
    <row r="12" spans="1:21" x14ac:dyDescent="0.25">
      <c r="A12" s="1">
        <v>8649</v>
      </c>
      <c r="B12" s="3">
        <v>21538</v>
      </c>
      <c r="C12" s="3">
        <v>5546</v>
      </c>
      <c r="D12" s="3">
        <v>31</v>
      </c>
      <c r="E12" s="26">
        <f t="shared" si="1"/>
        <v>0.53144567452486768</v>
      </c>
      <c r="F12" s="24">
        <f>IF(Kalibratiemetingen!C12&gt;0,Grafiek_kalibratiemetingen!$R$13*Kalibratiemetingen!C12+Grafiek_kalibratiemetingen!$R$14,TRIM(""))</f>
        <v>14.268554325475133</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-0.3301360431701994</v>
      </c>
      <c r="F13" s="24">
        <f>IF(Kalibratiemetingen!C13&gt;0,Grafiek_kalibratiemetingen!$R$13*Kalibratiemetingen!C13+Grafiek_kalibratiemetingen!$R$14,TRIM(""))</f>
        <v>14.030136043170199</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-124574.64090909902</v>
      </c>
    </row>
    <row r="14" spans="1:21" x14ac:dyDescent="0.25">
      <c r="A14" s="1">
        <v>123</v>
      </c>
      <c r="B14" s="3">
        <v>21572</v>
      </c>
      <c r="C14" s="3">
        <v>4834</v>
      </c>
      <c r="D14" s="3">
        <v>31</v>
      </c>
      <c r="E14" s="26">
        <f t="shared" si="1"/>
        <v>-1.1520644033127727</v>
      </c>
      <c r="F14" s="24">
        <f>IF(Kalibratiemetingen!C14&gt;0,Grafiek_kalibratiemetingen!$R$13*Kalibratiemetingen!C14+Grafiek_kalibratiemetingen!$R$14,TRIM(""))</f>
        <v>13.252064403312772</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-87258262.372727394</v>
      </c>
    </row>
    <row r="15" spans="1:21" x14ac:dyDescent="0.25">
      <c r="A15">
        <v>121</v>
      </c>
      <c r="B15" s="6">
        <v>21521</v>
      </c>
      <c r="C15" s="6">
        <v>5908</v>
      </c>
      <c r="D15" s="6">
        <v>31</v>
      </c>
      <c r="E15" s="26">
        <f t="shared" si="1"/>
        <v>0.31463478713332726</v>
      </c>
      <c r="F15" s="24">
        <f>IF(Kalibratiemetingen!C15&gt;0,Grafiek_kalibratiemetingen!$R$13*Kalibratiemetingen!C15+Grafiek_kalibratiemetingen!$R$14,TRIM(""))</f>
        <v>14.785365212866672</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-0.31032605354018905</v>
      </c>
      <c r="F16" s="24">
        <f>IF(Kalibratiemetingen!C16&gt;0,Grafiek_kalibratiemetingen!$R$13*Kalibratiemetingen!C16+Grafiek_kalibratiemetingen!$R$14,TRIM(""))</f>
        <v>11.510326053540188</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1.4276543850595274E-3</v>
      </c>
    </row>
    <row r="17" spans="1:21" ht="15.75" thickBot="1" x14ac:dyDescent="0.3">
      <c r="A17">
        <v>175</v>
      </c>
      <c r="B17" s="6">
        <v>22353</v>
      </c>
      <c r="C17" s="6">
        <v>3713</v>
      </c>
      <c r="D17" s="6">
        <v>26</v>
      </c>
      <c r="E17" s="26">
        <f t="shared" si="1"/>
        <v>-0.45166383766107998</v>
      </c>
      <c r="F17" s="24">
        <f>IF(Kalibratiemetingen!C17&gt;0,Grafiek_kalibratiemetingen!$R$13*Kalibratiemetingen!C17+Grafiek_kalibratiemetingen!$R$14,TRIM(""))</f>
        <v>11.651663837661079</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6.3507831059350215</v>
      </c>
    </row>
    <row r="18" spans="1:21" x14ac:dyDescent="0.25">
      <c r="A18" s="8">
        <v>212</v>
      </c>
      <c r="B18" s="10">
        <v>22372</v>
      </c>
      <c r="C18" s="10">
        <v>4436</v>
      </c>
      <c r="D18" s="10">
        <v>26</v>
      </c>
      <c r="E18" s="26">
        <f t="shared" si="1"/>
        <v>1.8161420419409069</v>
      </c>
      <c r="F18" s="24">
        <f>IF(Kalibratiemetingen!C18&gt;0,Grafiek_kalibratiemetingen!$R$13*Kalibratiemetingen!C18+Grafiek_kalibratiemetingen!$R$14,TRIM(""))</f>
        <v>12.683857958059093</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1.0507575271648761</v>
      </c>
      <c r="F19" s="24">
        <f>IF(Kalibratiemetingen!C19&gt;0,Grafiek_kalibratiemetingen!$R$13*Kalibratiemetingen!C19+Grafiek_kalibratiemetingen!$R$14,TRIM(""))</f>
        <v>8.7492424728351246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-0.41324555535614316</v>
      </c>
      <c r="F20" s="24">
        <f>IF(Kalibratiemetingen!C20&gt;0,Grafiek_kalibratiemetingen!$R$13*Kalibratiemetingen!C20+Grafiek_kalibratiemetingen!$R$14,TRIM(""))</f>
        <v>11.413245555356143</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-0.71696618847548521</v>
      </c>
      <c r="F21" s="24">
        <f>IF(Kalibratiemetingen!C21&gt;0,Grafiek_kalibratiemetingen!$R$13*Kalibratiemetingen!C21+Grafiek_kalibratiemetingen!$R$14,TRIM(""))</f>
        <v>14.516966188475486</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-0.73109893885772692</v>
      </c>
      <c r="F22" s="24">
        <f>IF(Kalibratiemetingen!C22&gt;0,Grafiek_kalibratiemetingen!$R$13*Kalibratiemetingen!C22+Grafiek_kalibratiemetingen!$R$14,TRIM(""))</f>
        <v>12.531098938857728</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2.7771263535571578E-2</v>
      </c>
      <c r="F23" s="24">
        <f>IF(Kalibratiemetingen!C23&gt;0,Grafiek_kalibratiemetingen!$R$13*Kalibratiemetingen!C23+Grafiek_kalibratiemetingen!$R$14,TRIM(""))</f>
        <v>10.772228736464429</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-0.42027084856645125</v>
      </c>
      <c r="F24" s="24">
        <f>IF(Kalibratiemetingen!C24&gt;0,Grafiek_kalibratiemetingen!$R$13*Kalibratiemetingen!C24+Grafiek_kalibratiemetingen!$R$14,TRIM(""))</f>
        <v>13.820270848566452</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0.56171400354782186</v>
      </c>
      <c r="F25" s="24">
        <f>IF(Kalibratiemetingen!C25&gt;0,Grafiek_kalibratiemetingen!$R$13*Kalibratiemetingen!C25+Grafiek_kalibratiemetingen!$R$14,TRIM(""))</f>
        <v>10.238285996452179</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-0.3177210976488265</v>
      </c>
      <c r="F26" s="24">
        <f>IF(Kalibratiemetingen!C26&gt;0,Grafiek_kalibratiemetingen!$R$13*Kalibratiemetingen!C26+Grafiek_kalibratiemetingen!$R$14,TRIM(""))</f>
        <v>11.117721097648827</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5.7752005621820146E-2</v>
      </c>
      <c r="F27" s="24">
        <f>IF(Kalibratiemetingen!C27&gt;0,Grafiek_kalibratiemetingen!$R$13*Kalibratiemetingen!C27+Grafiek_kalibratiemetingen!$R$14,TRIM(""))</f>
        <v>10.742247994378181</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-7.2901481676147739E-2</v>
      </c>
      <c r="F28" s="24">
        <f>IF(Kalibratiemetingen!C28&gt;0,Grafiek_kalibratiemetingen!$R$13*Kalibratiemetingen!C28+Grafiek_kalibratiemetingen!$R$14,TRIM(""))</f>
        <v>14.172901481676147</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-0.10599430471585691</v>
      </c>
      <c r="F29" s="24">
        <f>IF(Kalibratiemetingen!C29&gt;0,Grafiek_kalibratiemetingen!$R$13*Kalibratiemetingen!C29+Grafiek_kalibratiemetingen!$R$14,TRIM(""))</f>
        <v>13.805994304715856</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-0.25342786465199829</v>
      </c>
      <c r="F30" s="24">
        <f>IF(Kalibratiemetingen!C30&gt;0,Grafiek_kalibratiemetingen!$R$13*Kalibratiemetingen!C30+Grafiek_kalibratiemetingen!$R$14,TRIM(""))</f>
        <v>13.353427864651998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-0.68490045416914214</v>
      </c>
      <c r="F32" s="24">
        <f>IF(Kalibratiemetingen!C32&gt;0,Grafiek_kalibratiemetingen!$R$13*Kalibratiemetingen!C32+Grafiek_kalibratiemetingen!$R$14,TRIM(""))</f>
        <v>13.284900454169142</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-0.27139422686856918</v>
      </c>
      <c r="F33" s="24">
        <f>IF(Kalibratiemetingen!C33&gt;0,Grafiek_kalibratiemetingen!$R$13*Kalibratiemetingen!C33+Grafiek_kalibratiemetingen!$R$14,TRIM(""))</f>
        <v>12.07139422686857</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-0.48613552941669447</v>
      </c>
      <c r="F34" s="24">
        <f>IF(Kalibratiemetingen!C34&gt;0,Grafiek_kalibratiemetingen!$R$13*Kalibratiemetingen!C34+Grafiek_kalibratiemetingen!$R$14,TRIM(""))</f>
        <v>13.586135529416694</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-0.94012962386561405</v>
      </c>
      <c r="F35" s="24">
        <f>IF(Kalibratiemetingen!C35&gt;0,Grafiek_kalibratiemetingen!$R$13*Kalibratiemetingen!C35+Grafiek_kalibratiemetingen!$R$14,TRIM(""))</f>
        <v>14.040129623865614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-0.42994346403269112</v>
      </c>
      <c r="F36" s="24">
        <f>IF(Kalibratiemetingen!C36&gt;0,Grafiek_kalibratiemetingen!$R$13*Kalibratiemetingen!C36+Grafiek_kalibratiemetingen!$R$14,TRIM(""))</f>
        <v>14.329943464032691</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-0.51202588748527234</v>
      </c>
      <c r="F37" s="24">
        <f>IF(Kalibratiemetingen!C37&gt;0,Grafiek_kalibratiemetingen!$R$13*Kalibratiemetingen!C37+Grafiek_kalibratiemetingen!$R$14,TRIM(""))</f>
        <v>13.312025887485273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-0.51720755328214452</v>
      </c>
      <c r="F38" s="24">
        <f>IF(Kalibratiemetingen!C38&gt;0,Grafiek_kalibratiemetingen!$R$13*Kalibratiemetingen!C38+Grafiek_kalibratiemetingen!$R$14,TRIM(""))</f>
        <v>11.917207553282145</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-8.7854204401391911E-3</v>
      </c>
      <c r="F39" s="24">
        <f>IF(Kalibratiemetingen!C39&gt;0,Grafiek_kalibratiemetingen!$R$13*Kalibratiemetingen!C39+Grafiek_kalibratiemetingen!$R$14,TRIM(""))</f>
        <v>13.90878542044014</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-0.56990237943767674</v>
      </c>
      <c r="F40" s="24">
        <f>IF(Kalibratiemetingen!C40&gt;0,Grafiek_kalibratiemetingen!$R$13*Kalibratiemetingen!C40+Grafiek_kalibratiemetingen!$R$14,TRIM(""))</f>
        <v>12.169902379437676</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13.499048611928066</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-0.40501600165164575</v>
      </c>
      <c r="F42" s="24">
        <f>IF(Kalibratiemetingen!C42&gt;0,Grafiek_kalibratiemetingen!$R$13*Kalibratiemetingen!C42+Grafiek_kalibratiemetingen!$R$14,TRIM(""))</f>
        <v>13.105016001651645</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13.503331575083244</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-0.58639230160003741</v>
      </c>
      <c r="F44" s="24">
        <f>IF(Kalibratiemetingen!C44&gt;0,Grafiek_kalibratiemetingen!$R$13*Kalibratiemetingen!C44+Grafiek_kalibratiemetingen!$R$14,TRIM(""))</f>
        <v>13.186392301600037</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0.13235978454324204</v>
      </c>
      <c r="F45" s="24">
        <f>IF(Kalibratiemetingen!C45&gt;0,Grafiek_kalibratiemetingen!$R$13*Kalibratiemetingen!C45+Grafiek_kalibratiemetingen!$R$14,TRIM(""))</f>
        <v>13.467640215456758</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-0.4037167333582552</v>
      </c>
      <c r="F46" s="24">
        <f>IF(Kalibratiemetingen!C46&gt;0,Grafiek_kalibratiemetingen!$R$13*Kalibratiemetingen!C46+Grafiek_kalibratiemetingen!$R$14,TRIM(""))</f>
        <v>12.903716733358255</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-0.21273201098945904</v>
      </c>
      <c r="F47" s="24">
        <f>IF(Kalibratiemetingen!C47&gt;0,Grafiek_kalibratiemetingen!$R$13*Kalibratiemetingen!C47+Grafiek_kalibratiemetingen!$R$14,TRIM(""))</f>
        <v>12.212732010989459</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-0.32149051643732385</v>
      </c>
      <c r="F48" s="24">
        <f>IF(Kalibratiemetingen!C48&gt;0,Grafiek_kalibratiemetingen!$R$13*Kalibratiemetingen!C48+Grafiek_kalibratiemetingen!$R$14,TRIM(""))</f>
        <v>11.921490516437323</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8.8680236018916503E-2</v>
      </c>
      <c r="F49" s="24">
        <f>IF(Kalibratiemetingen!C49&gt;0,Grafiek_kalibratiemetingen!$R$13*Kalibratiemetingen!C49+Grafiek_kalibratiemetingen!$R$14,TRIM(""))</f>
        <v>14.411319763981083</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-0.3663409471633674</v>
      </c>
      <c r="F50" s="24">
        <f>IF(Kalibratiemetingen!C50&gt;0,Grafiek_kalibratiemetingen!$R$13*Kalibratiemetingen!C50+Grafiek_kalibratiemetingen!$R$14,TRIM(""))</f>
        <v>13.266340947163368</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-0.74609701358919445</v>
      </c>
      <c r="F51" s="24">
        <f>IF(Kalibratiemetingen!C51&gt;0,Grafiek_kalibratiemetingen!$R$13*Kalibratiemetingen!C51+Grafiek_kalibratiemetingen!$R$14,TRIM(""))</f>
        <v>13.646097013589195</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-0.9319488558302691</v>
      </c>
      <c r="F52" s="24">
        <f>IF(Kalibratiemetingen!C52&gt;0,Grafiek_kalibratiemetingen!$R$13*Kalibratiemetingen!C52+Grafiek_kalibratiemetingen!$R$14,TRIM(""))</f>
        <v>13.431948855830269</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0.10691877779551362</v>
      </c>
      <c r="F53" s="24">
        <f>IF(Kalibratiemetingen!C53&gt;0,Grafiek_kalibratiemetingen!$R$13*Kalibratiemetingen!C53+Grafiek_kalibratiemetingen!$R$14,TRIM(""))</f>
        <v>13.893081222204486</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-8.5878757233354364E-2</v>
      </c>
      <c r="F54" s="24">
        <f>IF(Kalibratiemetingen!C54&gt;0,Grafiek_kalibratiemetingen!$R$13*Kalibratiemetingen!C54+Grafiek_kalibratiemetingen!$R$14,TRIM(""))</f>
        <v>13.985878757233355</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-0.59742837840549967</v>
      </c>
      <c r="F55" s="24">
        <f>IF(Kalibratiemetingen!C55&gt;0,Grafiek_kalibratiemetingen!$R$13*Kalibratiemetingen!C55+Grafiek_kalibratiemetingen!$R$14,TRIM(""))</f>
        <v>13.797428378405499</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-0.79866345365305236</v>
      </c>
      <c r="F56" s="24">
        <f>IF(Kalibratiemetingen!C56&gt;0,Grafiek_kalibratiemetingen!$R$13*Kalibratiemetingen!C56+Grafiek_kalibratiemetingen!$R$14,TRIM(""))</f>
        <v>14.098663453653053</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-1.0479098262492652</v>
      </c>
      <c r="F57" s="24">
        <f>IF(Kalibratiemetingen!C57&gt;0,Grafiek_kalibratiemetingen!$R$13*Kalibratiemetingen!C57+Grafiek_kalibratiemetingen!$R$14,TRIM(""))</f>
        <v>13.047909826249265</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-0.93429062023370513</v>
      </c>
      <c r="F58" s="24">
        <f>IF(Kalibratiemetingen!C58&gt;0,Grafiek_kalibratiemetingen!$R$13*Kalibratiemetingen!C58+Grafiek_kalibratiemetingen!$R$14,TRIM(""))</f>
        <v>14.234290620233706</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-0.66024517134811944</v>
      </c>
      <c r="F59" s="24">
        <f>IF(Kalibratiemetingen!C59&gt;0,Grafiek_kalibratiemetingen!$R$13*Kalibratiemetingen!C59+Grafiek_kalibratiemetingen!$R$14,TRIM(""))</f>
        <v>13.860245171348119</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-0.81611627150294375</v>
      </c>
      <c r="F60" s="24">
        <f>IF(Kalibratiemetingen!C60&gt;0,Grafiek_kalibratiemetingen!$R$13*Kalibratiemetingen!C60+Grafiek_kalibratiemetingen!$R$14,TRIM(""))</f>
        <v>13.616116271502944</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-2.3511315611584038E-2</v>
      </c>
      <c r="F61" s="24">
        <f>IF(Kalibratiemetingen!C61&gt;0,Grafiek_kalibratiemetingen!$R$13*Kalibratiemetingen!C61+Grafiek_kalibratiemetingen!$R$14,TRIM(""))</f>
        <v>13.223511315611583</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-0.54187824347985014</v>
      </c>
      <c r="F62" s="24">
        <f>IF(Kalibratiemetingen!C62&gt;0,Grafiek_kalibratiemetingen!$R$13*Kalibratiemetingen!C62+Grafiek_kalibratiemetingen!$R$14,TRIM(""))</f>
        <v>13.54187824347985</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-0.80501600165164433</v>
      </c>
      <c r="F63" s="24">
        <f>IF(Kalibratiemetingen!C63&gt;0,Grafiek_kalibratiemetingen!$R$13*Kalibratiemetingen!C63+Grafiek_kalibratiemetingen!$R$14,TRIM(""))</f>
        <v>13.105016001651645</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-0.79171776086526258</v>
      </c>
      <c r="F64" s="24">
        <f>IF(Kalibratiemetingen!C64&gt;0,Grafiek_kalibratiemetingen!$R$13*Kalibratiemetingen!C64+Grafiek_kalibratiemetingen!$R$14,TRIM(""))</f>
        <v>13.791717760865263</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-0.84603282054335871</v>
      </c>
      <c r="F65" s="24">
        <f>IF(Kalibratiemetingen!C65&gt;0,Grafiek_kalibratiemetingen!$R$13*Kalibratiemetingen!C65+Grafiek_kalibratiemetingen!$R$14,TRIM(""))</f>
        <v>13.746032820543359</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-0.72545251436332592</v>
      </c>
      <c r="F66" s="24">
        <f>IF(Kalibratiemetingen!C66&gt;0,Grafiek_kalibratiemetingen!$R$13*Kalibratiemetingen!C66+Grafiek_kalibratiemetingen!$R$14,TRIM(""))</f>
        <v>12.425452514363325</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-0.6700461729060283</v>
      </c>
      <c r="F67" s="24">
        <f>IF(Kalibratiemetingen!C67&gt;0,Grafiek_kalibratiemetingen!$R$13*Kalibratiemetingen!C67+Grafiek_kalibratiemetingen!$R$14,TRIM(""))</f>
        <v>14.170046172906028</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-0.39165356781942684</v>
      </c>
      <c r="F68" s="24">
        <f>IF(Kalibratiemetingen!C68&gt;0,Grafiek_kalibratiemetingen!$R$13*Kalibratiemetingen!C68+Grafiek_kalibratiemetingen!$R$14,TRIM(""))</f>
        <v>13.891653567819427</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8" si="4">IF(I69,G69-F69,TRIM(""))</f>
        <v>0.1614264166111159</v>
      </c>
      <c r="F69" s="24">
        <f>IF(Kalibratiemetingen!C69&gt;0,Grafiek_kalibratiemetingen!$R$13*Kalibratiemetingen!C69+Grafiek_kalibratiemetingen!$R$14,TRIM(""))</f>
        <v>14.238573583388884</v>
      </c>
      <c r="G69" s="12">
        <v>14.4</v>
      </c>
      <c r="H69" s="12">
        <v>30.1</v>
      </c>
      <c r="I69" s="2">
        <f>IF(IF(Kalibratiemetingen!C69&gt;0,1,0)+IF(Kalibratiemetingen!G69&gt;0,1,0)=2,1,0)</f>
        <v>1</v>
      </c>
      <c r="J69" t="s">
        <v>23</v>
      </c>
      <c r="K69" t="s">
        <v>14</v>
      </c>
      <c r="L69">
        <v>729</v>
      </c>
      <c r="M69" t="s">
        <v>15</v>
      </c>
      <c r="N69" t="s">
        <v>16</v>
      </c>
      <c r="O69" s="14">
        <v>42564</v>
      </c>
      <c r="P69" t="s">
        <v>19</v>
      </c>
      <c r="R69">
        <f t="shared" ref="R69:R118" si="5">G69*C69</f>
        <v>79560</v>
      </c>
      <c r="S69">
        <f t="shared" ref="S69:S132" si="6">C69*C69</f>
        <v>30525625</v>
      </c>
    </row>
    <row r="70" spans="1:19" x14ac:dyDescent="0.25">
      <c r="A70">
        <v>9214</v>
      </c>
      <c r="B70" s="13">
        <v>21779</v>
      </c>
      <c r="C70" s="13">
        <v>4643</v>
      </c>
      <c r="D70" s="13">
        <v>31</v>
      </c>
      <c r="E70" s="26">
        <f t="shared" si="4"/>
        <v>-1.0793824157664087</v>
      </c>
      <c r="F70" s="24">
        <f>IF(Kalibratiemetingen!C70&gt;0,Grafiek_kalibratiemetingen!$R$13*Kalibratiemetingen!C70+Grafiek_kalibratiemetingen!$R$14,TRIM(""))</f>
        <v>12.979382415766409</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-0.40331616770656176</v>
      </c>
      <c r="F71" s="24">
        <f>IF(Kalibratiemetingen!C71&gt;0,Grafiek_kalibratiemetingen!$R$13*Kalibratiemetingen!C71+Grafiek_kalibratiemetingen!$R$14,TRIM(""))</f>
        <v>11.303316167706562</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-0.71014888177936442</v>
      </c>
      <c r="F72" s="24">
        <f>IF(Kalibratiemetingen!C72&gt;0,Grafiek_kalibratiemetingen!$R$13*Kalibratiemetingen!C72+Grafiek_kalibratiemetingen!$R$14,TRIM(""))</f>
        <v>14.010148881779365</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-0.43583125333375428</v>
      </c>
      <c r="F73" s="24">
        <f>IF(Kalibratiemetingen!C73&gt;0,Grafiek_kalibratiemetingen!$R$13*Kalibratiemetingen!C73+Grafiek_kalibratiemetingen!$R$14,TRIM(""))</f>
        <v>11.835831253333755</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-0.45180763112943367</v>
      </c>
      <c r="F74" s="24">
        <f>IF(Kalibratiemetingen!C74&gt;0,Grafiek_kalibratiemetingen!$R$13*Kalibratiemetingen!C74+Grafiek_kalibratiemetingen!$R$14,TRIM(""))</f>
        <v>13.651807631129433</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-0.18866987295763771</v>
      </c>
      <c r="F75" s="24">
        <f>IF(Kalibratiemetingen!C75&gt;0,Grafiek_kalibratiemetingen!$R$13*Kalibratiemetingen!C75+Grafiek_kalibratiemetingen!$R$14,TRIM(""))</f>
        <v>14.088669872957638</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-0.49638588229545277</v>
      </c>
      <c r="F76" s="24">
        <f>IF(Kalibratiemetingen!C76&gt;0,Grafiek_kalibratiemetingen!$R$13*Kalibratiemetingen!C76+Grafiek_kalibratiemetingen!$R$14,TRIM(""))</f>
        <v>13.196385882295452</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13.236360205077119</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-0.65796759999051702</v>
      </c>
      <c r="F78" s="24">
        <f>IF(Kalibratiemetingen!C78&gt;0,Grafiek_kalibratiemetingen!$R$13*Kalibratiemetingen!C78+Grafiek_kalibratiemetingen!$R$14,TRIM(""))</f>
        <v>12.957967599990518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-0.36024517134811873</v>
      </c>
      <c r="F79" s="24">
        <f>IF(Kalibratiemetingen!C79&gt;0,Grafiek_kalibratiemetingen!$R$13*Kalibratiemetingen!C79+Grafiek_kalibratiemetingen!$R$14,TRIM(""))</f>
        <v>13.860245171348119</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13.266340947163368</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0.30200929155866518</v>
      </c>
      <c r="F81" s="24">
        <f>IF(Kalibratiemetingen!C81&gt;0,Grafiek_kalibratiemetingen!$R$13*Kalibratiemetingen!C81+Grafiek_kalibratiemetingen!$R$14,TRIM(""))</f>
        <v>10.697990708441335</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-0.72253301254736968</v>
      </c>
      <c r="F82" s="24">
        <f>IF(Kalibratiemetingen!C82&gt;0,Grafiek_kalibratiemetingen!$R$13*Kalibratiemetingen!C82+Grafiek_kalibratiemetingen!$R$14,TRIM(""))</f>
        <v>12.52253301254737</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-0.58048910492229133</v>
      </c>
      <c r="F83" s="24">
        <f>IF(Kalibratiemetingen!C83&gt;0,Grafiek_kalibratiemetingen!$R$13*Kalibratiemetingen!C83+Grafiek_kalibratiemetingen!$R$14,TRIM(""))</f>
        <v>13.480489104922292</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-2.9142332729303888E-2</v>
      </c>
      <c r="F84" s="24">
        <f>IF(Kalibratiemetingen!C84&gt;0,Grafiek_kalibratiemetingen!$R$13*Kalibratiemetingen!C84+Grafiek_kalibratiemetingen!$R$14,TRIM(""))</f>
        <v>11.129142332729304</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0.36456931231793988</v>
      </c>
      <c r="F85" s="24">
        <f>IF(Kalibratiemetingen!C85&gt;0,Grafiek_kalibratiemetingen!$R$13*Kalibratiemetingen!C85+Grafiek_kalibratiemetingen!$R$14,TRIM(""))</f>
        <v>10.23543068768206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-0.28820511426010675</v>
      </c>
      <c r="F86" s="24">
        <f>IF(Kalibratiemetingen!C86&gt;0,Grafiek_kalibratiemetingen!$R$13*Kalibratiemetingen!C86+Grafiek_kalibratiemetingen!$R$14,TRIM(""))</f>
        <v>12.588205114260107</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-0.10041207326728951</v>
      </c>
      <c r="F87" s="24">
        <f>IF(Kalibratiemetingen!C87&gt;0,Grafiek_kalibratiemetingen!$R$13*Kalibratiemetingen!C87+Grafiek_kalibratiemetingen!$R$14,TRIM(""))</f>
        <v>13.60041207326729</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-0.15031578369853626</v>
      </c>
      <c r="F88" s="24">
        <f>IF(Kalibratiemetingen!C88&gt;0,Grafiek_kalibratiemetingen!$R$13*Kalibratiemetingen!C88+Grafiek_kalibratiemetingen!$R$14,TRIM(""))</f>
        <v>13.750315783698536</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-6.4656520594967404E-2</v>
      </c>
      <c r="F89" s="24">
        <f>IF(Kalibratiemetingen!C89&gt;0,Grafiek_kalibratiemetingen!$R$13*Kalibratiemetingen!C89+Grafiek_kalibratiemetingen!$R$14,TRIM(""))</f>
        <v>13.664656520594967</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-0.49936957715724262</v>
      </c>
      <c r="F90" s="24">
        <f>IF(Kalibratiemetingen!C90&gt;0,Grafiek_kalibratiemetingen!$R$13*Kalibratiemetingen!C90+Grafiek_kalibratiemetingen!$R$14,TRIM(""))</f>
        <v>12.999369577157243</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-0.72487477695080749</v>
      </c>
      <c r="F91" s="24">
        <f>IF(Kalibratiemetingen!C91&gt;0,Grafiek_kalibratiemetingen!$R$13*Kalibratiemetingen!C91+Grafiek_kalibratiemetingen!$R$14,TRIM(""))</f>
        <v>13.324874776950807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-0.5542623742478554</v>
      </c>
      <c r="F92" s="24">
        <f>IF(Kalibratiemetingen!C92&gt;0,Grafiek_kalibratiemetingen!$R$13*Kalibratiemetingen!C92+Grafiek_kalibratiemetingen!$R$14,TRIM(""))</f>
        <v>12.054262374247855</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-0.61558731975957848</v>
      </c>
      <c r="F93" s="24">
        <f>IF(Kalibratiemetingen!C93&gt;0,Grafiek_kalibratiemetingen!$R$13*Kalibratiemetingen!C93+Grafiek_kalibratiemetingen!$R$14,TRIM(""))</f>
        <v>12.215587319759578</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-1.4881196255389639E-2</v>
      </c>
      <c r="F94" s="24">
        <f>IF(Kalibratiemetingen!C94&gt;0,Grafiek_kalibratiemetingen!$R$13*Kalibratiemetingen!C94+Grafiek_kalibratiemetingen!$R$14,TRIM(""))</f>
        <v>13.31488119625539</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-0.72221204731819455</v>
      </c>
      <c r="F95" s="24">
        <f>IF(Kalibratiemetingen!C95&gt;0,Grafiek_kalibratiemetingen!$R$13*Kalibratiemetingen!C95+Grafiek_kalibratiemetingen!$R$14,TRIM(""))</f>
        <v>13.022212047318195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-0.67126584077689877</v>
      </c>
      <c r="F96" s="24">
        <f>IF(Kalibratiemetingen!C96&gt;0,Grafiek_kalibratiemetingen!$R$13*Kalibratiemetingen!C96+Grafiek_kalibratiemetingen!$R$14,TRIM(""))</f>
        <v>12.271265840776898</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-9.9883121523925311E-2</v>
      </c>
      <c r="F97" s="24">
        <f>IF(Kalibratiemetingen!C97&gt;0,Grafiek_kalibratiemetingen!$R$13*Kalibratiemetingen!C97+Grafiek_kalibratiemetingen!$R$14,TRIM(""))</f>
        <v>12.199883121523925</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1.355715799070877</v>
      </c>
      <c r="F98" s="24">
        <f>IF(Kalibratiemetingen!C98&gt;0,Grafiek_kalibratiemetingen!$R$13*Kalibratiemetingen!C98+Grafiek_kalibratiemetingen!$R$14,TRIM(""))</f>
        <v>14.244284200929123</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1.2229439412603451</v>
      </c>
      <c r="F99" s="24">
        <f>IF(Kalibratiemetingen!C99&gt;0,Grafiek_kalibratiemetingen!$R$13*Kalibratiemetingen!C99+Grafiek_kalibratiemetingen!$R$14,TRIM(""))</f>
        <v>14.377056058739655</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1.3414392552202816</v>
      </c>
      <c r="F100" s="24">
        <f>IF(Kalibratiemetingen!C100&gt;0,Grafiek_kalibratiemetingen!$R$13*Kalibratiemetingen!C100+Grafiek_kalibratiemetingen!$R$14,TRIM(""))</f>
        <v>14.258560744779718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1.3599987622260556</v>
      </c>
      <c r="F101" s="24">
        <f>IF(Kalibratiemetingen!C101&gt;0,Grafiek_kalibratiemetingen!$R$13*Kalibratiemetingen!C101+Grafiek_kalibratiemetingen!$R$14,TRIM(""))</f>
        <v>14.240001237773944</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-0.68801253512260274</v>
      </c>
      <c r="F102" s="24">
        <f>IF(Kalibratiemetingen!C102&gt;0,Grafiek_kalibratiemetingen!$R$13*Kalibratiemetingen!C102+Grafiek_kalibratiemetingen!$R$14,TRIM(""))</f>
        <v>12.888012535122602</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0.36131343789612558</v>
      </c>
      <c r="F103" s="24">
        <f>IF(Kalibratiemetingen!C103&gt;0,Grafiek_kalibratiemetingen!$R$13*Kalibratiemetingen!C103+Grafiek_kalibratiemetingen!$R$14,TRIM(""))</f>
        <v>11.838686562103874</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0.17643989871926458</v>
      </c>
      <c r="F104" s="24">
        <f>IF(Kalibratiemetingen!C104&gt;0,Grafiek_kalibratiemetingen!$R$13*Kalibratiemetingen!C104+Grafiek_kalibratiemetingen!$R$14,TRIM(""))</f>
        <v>10.923560101280735</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1.5726858873074505</v>
      </c>
      <c r="F105" s="24">
        <f>IF(Kalibratiemetingen!C105&gt;0,Grafiek_kalibratiemetingen!$R$13*Kalibratiemetingen!C105+Grafiek_kalibratiemetingen!$R$14,TRIM(""))</f>
        <v>9.5273141126925491</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0.67611893349008589</v>
      </c>
      <c r="F106" s="24">
        <f>IF(Kalibratiemetingen!C106&gt;0,Grafiek_kalibratiemetingen!$R$13*Kalibratiemetingen!C106+Grafiek_kalibratiemetingen!$R$14,TRIM(""))</f>
        <v>10.423881066509914</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0.58760436161639795</v>
      </c>
      <c r="F107" s="24">
        <f>IF(Kalibratiemetingen!C107&gt;0,Grafiek_kalibratiemetingen!$R$13*Kalibratiemetingen!C107+Grafiek_kalibratiemetingen!$R$14,TRIM(""))</f>
        <v>10.512395638383602</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0.36346262316205724</v>
      </c>
      <c r="F108" s="24">
        <f>IF(Kalibratiemetingen!C108&gt;0,Grafiek_kalibratiemetingen!$R$13*Kalibratiemetingen!C108+Grafiek_kalibratiemetingen!$R$14,TRIM(""))</f>
        <v>10.736537376837942</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-7.0544309896028778E-2</v>
      </c>
      <c r="F109" s="24">
        <f>IF(Kalibratiemetingen!C109&gt;0,Grafiek_kalibratiemetingen!$R$13*Kalibratiemetingen!C109+Grafiek_kalibratiemetingen!$R$14,TRIM(""))</f>
        <v>11.170544309896028</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-3.2013048876104122E-2</v>
      </c>
      <c r="F110" s="24">
        <f>IF(Kalibratiemetingen!C110&gt;0,Grafiek_kalibratiemetingen!$R$13*Kalibratiemetingen!C110+Grafiek_kalibratiemetingen!$R$14,TRIM(""))</f>
        <v>13.332013048876105</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1.403020972915348</v>
      </c>
      <c r="F111" s="24">
        <f>IF(Kalibratiemetingen!C111&gt;0,Grafiek_kalibratiemetingen!$R$13*Kalibratiemetingen!C111+Grafiek_kalibratiemetingen!$R$14,TRIM(""))</f>
        <v>14.496979027084652</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1.3601271483177264</v>
      </c>
      <c r="F112" s="24">
        <f>IF(Kalibratiemetingen!C112&gt;0,Grafiek_kalibratiemetingen!$R$13*Kalibratiemetingen!C112+Grafiek_kalibratiemetingen!$R$14,TRIM(""))</f>
        <v>14.439872851682274</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2.6492990580264522</v>
      </c>
      <c r="F113" s="24">
        <f>IF(Kalibratiemetingen!C113&gt;0,Grafiek_kalibratiemetingen!$R$13*Kalibratiemetingen!C113+Grafiek_kalibratiemetingen!$R$14,TRIM(""))</f>
        <v>13.150700941973549</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2.8448877087796021</v>
      </c>
      <c r="F114" s="24">
        <f>IF(Kalibratiemetingen!C114&gt;0,Grafiek_kalibratiemetingen!$R$13*Kalibratiemetingen!C114+Grafiek_kalibratiemetingen!$R$14,TRIM(""))</f>
        <v>12.955112291220399</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2.4665592967388363</v>
      </c>
      <c r="F115" s="24">
        <f>IF(Kalibratiemetingen!C115&gt;0,Grafiek_kalibratiemetingen!$R$13*Kalibratiemetingen!C115+Grafiek_kalibratiemetingen!$R$14,TRIM(""))</f>
        <v>13.333440703261164</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2.5265207809113353</v>
      </c>
      <c r="F116" s="24">
        <f>IF(Kalibratiemetingen!C116&gt;0,Grafiek_kalibratiemetingen!$R$13*Kalibratiemetingen!C116+Grafiek_kalibratiemetingen!$R$14,TRIM(""))</f>
        <v>13.273479219088665</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1.5899795043123071</v>
      </c>
      <c r="F117" s="59">
        <f>IF(Kalibratiemetingen!C117&gt;0,Grafiek_kalibratiemetingen!$R$13*Kalibratiemetingen!C117+Grafiek_kalibratiemetingen!$R$14,TRIM(""))</f>
        <v>14.210020495687694</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A118" s="69">
        <v>545</v>
      </c>
      <c r="B118" s="85">
        <v>21172</v>
      </c>
      <c r="C118" s="85">
        <v>3933</v>
      </c>
      <c r="D118" s="85">
        <v>30</v>
      </c>
      <c r="E118" s="26">
        <f t="shared" si="4"/>
        <v>-0.26574780237416817</v>
      </c>
      <c r="F118" s="24">
        <f>IF(Kalibratiemetingen!C118&gt;0,Grafiek_kalibratiemetingen!$R$13*Kalibratiemetingen!C118+Grafiek_kalibratiemetingen!$R$14,TRIM(""))</f>
        <v>11.965747802374167</v>
      </c>
      <c r="G118" s="86">
        <v>11.7</v>
      </c>
      <c r="H118" s="86">
        <v>28.6</v>
      </c>
      <c r="I118" s="2">
        <f>IF(IF(Kalibratiemetingen!C118&gt;0,1,0)+IF(Kalibratiemetingen!G118&gt;0,1,0)=2,1,0)</f>
        <v>1</v>
      </c>
      <c r="J118" s="69" t="s">
        <v>22</v>
      </c>
      <c r="K118" s="69" t="s">
        <v>14</v>
      </c>
      <c r="L118" s="69">
        <v>729</v>
      </c>
      <c r="M118" s="69" t="s">
        <v>15</v>
      </c>
      <c r="N118" s="69" t="s">
        <v>16</v>
      </c>
      <c r="O118" s="55">
        <v>42594</v>
      </c>
      <c r="P118" s="92" t="s">
        <v>218</v>
      </c>
      <c r="R118" s="69">
        <f t="shared" si="5"/>
        <v>46016.1</v>
      </c>
      <c r="S118">
        <f t="shared" si="6"/>
        <v>15468489</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99" priority="12">
      <formula>LEN(TRIM(G4))&gt;0</formula>
    </cfRule>
  </conditionalFormatting>
  <conditionalFormatting sqref="B4:D1048576">
    <cfRule type="notContainsBlanks" dxfId="98" priority="10">
      <formula>LEN(TRIM(B4))&gt;0</formula>
    </cfRule>
  </conditionalFormatting>
  <conditionalFormatting sqref="F4:F1048576">
    <cfRule type="notContainsBlanks" dxfId="97" priority="4">
      <formula>LEN(TRIM(F4))&gt;0</formula>
    </cfRule>
  </conditionalFormatting>
  <conditionalFormatting sqref="B4:I1048576">
    <cfRule type="containsBlanks" dxfId="96" priority="1">
      <formula>LEN(TRIM(B4))=0</formula>
    </cfRule>
  </conditionalFormatting>
  <conditionalFormatting sqref="E4:E1048576">
    <cfRule type="notContainsBlanks" dxfId="95" priority="3">
      <formula>LEN(TRIM(E4))&gt;0</formula>
    </cfRule>
  </conditionalFormatting>
  <conditionalFormatting sqref="I4:I1048576">
    <cfRule type="cellIs" dxfId="94"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G18" sqref="G18"/>
    </sheetView>
  </sheetViews>
  <sheetFormatPr defaultRowHeight="15" x14ac:dyDescent="0.25"/>
  <cols>
    <col min="1" max="1" width="11.7109375" bestFit="1" customWidth="1"/>
    <col min="2" max="2" width="15.42578125" bestFit="1" customWidth="1"/>
    <col min="3" max="3" width="16.140625" bestFit="1" customWidth="1"/>
    <col min="4" max="4" width="17" bestFit="1" customWidth="1"/>
    <col min="6" max="6" width="12.85546875" bestFit="1" customWidth="1"/>
  </cols>
  <sheetData>
    <row r="1" spans="1:10" x14ac:dyDescent="0.25">
      <c r="A1" s="89" t="s">
        <v>200</v>
      </c>
      <c r="B1" s="89"/>
      <c r="C1" s="89"/>
      <c r="D1" s="89"/>
      <c r="E1" s="89"/>
    </row>
    <row r="3" spans="1:10" x14ac:dyDescent="0.25">
      <c r="A3" s="17" t="s">
        <v>175</v>
      </c>
      <c r="B3" s="17" t="s">
        <v>174</v>
      </c>
      <c r="C3" s="17" t="s">
        <v>176</v>
      </c>
      <c r="D3" s="17" t="s">
        <v>177</v>
      </c>
      <c r="E3" s="17" t="s">
        <v>178</v>
      </c>
      <c r="F3" s="17" t="s">
        <v>179</v>
      </c>
      <c r="H3" s="17" t="s">
        <v>107</v>
      </c>
    </row>
    <row r="4" spans="1:10" x14ac:dyDescent="0.25">
      <c r="A4">
        <v>10225</v>
      </c>
      <c r="B4">
        <v>12.6</v>
      </c>
      <c r="C4">
        <v>4334</v>
      </c>
      <c r="D4">
        <v>29</v>
      </c>
      <c r="E4">
        <v>14</v>
      </c>
      <c r="F4">
        <v>30.6</v>
      </c>
      <c r="H4">
        <f>E4-B4</f>
        <v>1.4000000000000004</v>
      </c>
    </row>
    <row r="5" spans="1:10" x14ac:dyDescent="0.25">
      <c r="A5">
        <v>10225</v>
      </c>
      <c r="B5">
        <v>12.7</v>
      </c>
      <c r="C5">
        <v>4370</v>
      </c>
      <c r="D5">
        <v>29</v>
      </c>
      <c r="E5">
        <v>14</v>
      </c>
      <c r="F5">
        <v>30.6</v>
      </c>
      <c r="H5">
        <f t="shared" ref="H5:H16" si="0">E5-B5</f>
        <v>1.3000000000000007</v>
      </c>
    </row>
    <row r="6" spans="1:10" x14ac:dyDescent="0.25">
      <c r="A6">
        <v>10227</v>
      </c>
      <c r="B6">
        <v>13.3</v>
      </c>
      <c r="C6">
        <v>4668</v>
      </c>
      <c r="D6">
        <v>29</v>
      </c>
      <c r="E6">
        <v>13.7</v>
      </c>
      <c r="F6">
        <v>31.1</v>
      </c>
      <c r="H6">
        <f t="shared" si="0"/>
        <v>0.39999999999999858</v>
      </c>
    </row>
    <row r="7" spans="1:10" x14ac:dyDescent="0.25">
      <c r="A7">
        <v>10228</v>
      </c>
      <c r="B7">
        <v>13.3</v>
      </c>
      <c r="C7">
        <v>4662</v>
      </c>
      <c r="D7">
        <v>29</v>
      </c>
      <c r="E7">
        <v>13.8</v>
      </c>
      <c r="F7">
        <v>31.2</v>
      </c>
      <c r="H7">
        <f t="shared" si="0"/>
        <v>0.5</v>
      </c>
    </row>
    <row r="8" spans="1:10" x14ac:dyDescent="0.25">
      <c r="A8">
        <v>10226</v>
      </c>
      <c r="B8">
        <v>12.8</v>
      </c>
      <c r="C8">
        <v>4421</v>
      </c>
      <c r="D8">
        <v>30</v>
      </c>
      <c r="E8">
        <v>12.9</v>
      </c>
      <c r="F8">
        <v>30.7</v>
      </c>
      <c r="H8">
        <f t="shared" si="0"/>
        <v>9.9999999999999645E-2</v>
      </c>
    </row>
    <row r="9" spans="1:10" x14ac:dyDescent="0.25">
      <c r="A9">
        <v>10238</v>
      </c>
      <c r="B9">
        <v>12.7</v>
      </c>
      <c r="C9">
        <v>4379</v>
      </c>
      <c r="D9">
        <v>31</v>
      </c>
      <c r="E9">
        <v>13</v>
      </c>
      <c r="F9">
        <v>31.6</v>
      </c>
      <c r="H9">
        <f t="shared" si="0"/>
        <v>0.30000000000000071</v>
      </c>
    </row>
    <row r="10" spans="1:10" x14ac:dyDescent="0.25">
      <c r="A10">
        <v>10239</v>
      </c>
      <c r="B10">
        <v>12.4</v>
      </c>
      <c r="C10">
        <v>4231</v>
      </c>
      <c r="D10">
        <v>31</v>
      </c>
      <c r="E10">
        <v>12.8</v>
      </c>
      <c r="F10">
        <v>31.7</v>
      </c>
      <c r="H10">
        <f t="shared" si="0"/>
        <v>0.40000000000000036</v>
      </c>
    </row>
    <row r="11" spans="1:10" x14ac:dyDescent="0.25">
      <c r="A11">
        <v>454</v>
      </c>
      <c r="B11">
        <v>11.8</v>
      </c>
      <c r="C11">
        <v>3952</v>
      </c>
      <c r="D11">
        <v>31</v>
      </c>
      <c r="E11">
        <v>12.1</v>
      </c>
      <c r="F11">
        <v>30.6</v>
      </c>
      <c r="H11">
        <f t="shared" si="0"/>
        <v>0.29999999999999893</v>
      </c>
    </row>
    <row r="12" spans="1:10" x14ac:dyDescent="0.25">
      <c r="A12">
        <v>10325</v>
      </c>
      <c r="B12">
        <v>13.1</v>
      </c>
      <c r="C12">
        <v>4556</v>
      </c>
      <c r="D12">
        <v>30</v>
      </c>
      <c r="E12">
        <v>13.4</v>
      </c>
      <c r="F12">
        <v>32</v>
      </c>
      <c r="H12">
        <f t="shared" si="0"/>
        <v>0.30000000000000071</v>
      </c>
    </row>
    <row r="13" spans="1:10" x14ac:dyDescent="0.25">
      <c r="A13">
        <v>10322</v>
      </c>
      <c r="B13">
        <v>13.2</v>
      </c>
      <c r="C13">
        <v>4593</v>
      </c>
      <c r="D13">
        <v>31</v>
      </c>
      <c r="E13">
        <v>13</v>
      </c>
      <c r="F13">
        <v>32</v>
      </c>
      <c r="H13">
        <f t="shared" si="0"/>
        <v>-0.19999999999999929</v>
      </c>
    </row>
    <row r="14" spans="1:10" x14ac:dyDescent="0.25">
      <c r="A14">
        <v>11</v>
      </c>
      <c r="B14">
        <v>12.8</v>
      </c>
      <c r="C14">
        <v>4423</v>
      </c>
      <c r="D14">
        <v>31</v>
      </c>
      <c r="E14">
        <v>12.6</v>
      </c>
      <c r="F14">
        <v>32</v>
      </c>
      <c r="H14">
        <f t="shared" si="0"/>
        <v>-0.20000000000000107</v>
      </c>
    </row>
    <row r="15" spans="1:10" x14ac:dyDescent="0.25">
      <c r="A15">
        <v>10319</v>
      </c>
      <c r="B15">
        <v>9.6</v>
      </c>
      <c r="C15">
        <v>2939</v>
      </c>
      <c r="D15">
        <v>31</v>
      </c>
      <c r="E15">
        <v>10.8</v>
      </c>
      <c r="F15">
        <v>321</v>
      </c>
      <c r="H15">
        <f t="shared" si="0"/>
        <v>1.2000000000000011</v>
      </c>
    </row>
    <row r="16" spans="1:10" x14ac:dyDescent="0.25">
      <c r="A16">
        <v>10321</v>
      </c>
      <c r="B16">
        <v>14.3</v>
      </c>
      <c r="C16">
        <v>5099</v>
      </c>
      <c r="D16">
        <v>30</v>
      </c>
      <c r="E16">
        <v>18.2</v>
      </c>
      <c r="F16">
        <v>31.9</v>
      </c>
      <c r="H16">
        <f t="shared" si="0"/>
        <v>3.8999999999999986</v>
      </c>
      <c r="J16" t="s">
        <v>201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workbookViewId="0">
      <selection activeCell="A25" sqref="A25"/>
    </sheetView>
  </sheetViews>
  <sheetFormatPr defaultRowHeight="15" x14ac:dyDescent="0.25"/>
  <cols>
    <col min="1" max="1" width="16" bestFit="1" customWidth="1"/>
    <col min="2" max="2" width="17.85546875" bestFit="1" customWidth="1"/>
    <col min="3" max="3" width="17.7109375" bestFit="1" customWidth="1"/>
    <col min="4" max="5" width="6" bestFit="1" customWidth="1"/>
    <col min="8" max="8" width="12.85546875" bestFit="1" customWidth="1"/>
  </cols>
  <sheetData>
    <row r="1" spans="1:24" x14ac:dyDescent="0.25">
      <c r="C1" s="99" t="s">
        <v>183</v>
      </c>
      <c r="D1" s="99"/>
      <c r="E1" s="99"/>
      <c r="F1" s="99"/>
      <c r="G1" s="99"/>
      <c r="H1" s="99" t="s">
        <v>186</v>
      </c>
      <c r="I1" s="99"/>
      <c r="J1" s="99"/>
      <c r="K1" s="99"/>
      <c r="L1" s="99"/>
      <c r="R1" t="s">
        <v>193</v>
      </c>
    </row>
    <row r="2" spans="1:24" x14ac:dyDescent="0.25">
      <c r="A2" s="17" t="s">
        <v>175</v>
      </c>
      <c r="B2" s="17" t="s">
        <v>187</v>
      </c>
      <c r="C2" s="17" t="s">
        <v>190</v>
      </c>
      <c r="D2" s="17" t="s">
        <v>182</v>
      </c>
      <c r="E2" s="17" t="s">
        <v>130</v>
      </c>
      <c r="F2" s="17" t="s">
        <v>184</v>
      </c>
      <c r="G2" s="17" t="s">
        <v>130</v>
      </c>
      <c r="H2" s="17" t="s">
        <v>192</v>
      </c>
      <c r="I2" s="17" t="s">
        <v>182</v>
      </c>
      <c r="J2" s="17" t="s">
        <v>130</v>
      </c>
      <c r="K2" s="17" t="s">
        <v>184</v>
      </c>
      <c r="L2" s="17" t="s">
        <v>130</v>
      </c>
    </row>
    <row r="3" spans="1:24" x14ac:dyDescent="0.25">
      <c r="A3">
        <v>1</v>
      </c>
      <c r="B3" t="s">
        <v>181</v>
      </c>
      <c r="C3">
        <v>18669</v>
      </c>
      <c r="D3">
        <v>850</v>
      </c>
      <c r="E3">
        <v>6552</v>
      </c>
      <c r="M3" t="s">
        <v>180</v>
      </c>
    </row>
    <row r="4" spans="1:24" x14ac:dyDescent="0.25">
      <c r="A4">
        <v>1</v>
      </c>
      <c r="B4" t="s">
        <v>181</v>
      </c>
      <c r="C4">
        <v>18688</v>
      </c>
      <c r="D4">
        <v>837</v>
      </c>
      <c r="E4">
        <v>6552</v>
      </c>
      <c r="F4">
        <v>23</v>
      </c>
      <c r="G4">
        <v>33.299999999999997</v>
      </c>
      <c r="M4" t="s">
        <v>185</v>
      </c>
    </row>
    <row r="5" spans="1:24" x14ac:dyDescent="0.25">
      <c r="A5">
        <v>1</v>
      </c>
      <c r="B5" t="s">
        <v>181</v>
      </c>
      <c r="C5" s="18">
        <v>18661</v>
      </c>
      <c r="D5" s="17">
        <v>860</v>
      </c>
      <c r="E5">
        <v>31</v>
      </c>
      <c r="F5">
        <v>22.8</v>
      </c>
      <c r="G5">
        <v>31</v>
      </c>
      <c r="M5" t="s">
        <v>188</v>
      </c>
    </row>
    <row r="6" spans="1:24" x14ac:dyDescent="0.25">
      <c r="A6">
        <v>1</v>
      </c>
      <c r="B6" t="s">
        <v>189</v>
      </c>
      <c r="H6">
        <v>26.6</v>
      </c>
      <c r="I6">
        <v>10830</v>
      </c>
      <c r="J6">
        <v>29</v>
      </c>
      <c r="K6">
        <v>27.2</v>
      </c>
      <c r="L6">
        <v>35.6</v>
      </c>
      <c r="M6" t="s">
        <v>191</v>
      </c>
      <c r="U6" t="s">
        <v>198</v>
      </c>
      <c r="W6" t="s">
        <v>88</v>
      </c>
      <c r="X6" t="s">
        <v>92</v>
      </c>
    </row>
    <row r="7" spans="1:24" x14ac:dyDescent="0.25">
      <c r="A7">
        <v>1</v>
      </c>
      <c r="B7" t="s">
        <v>189</v>
      </c>
      <c r="H7">
        <v>23.8</v>
      </c>
      <c r="I7">
        <v>9550</v>
      </c>
      <c r="J7">
        <v>31</v>
      </c>
      <c r="K7">
        <v>28</v>
      </c>
      <c r="L7">
        <v>31.7</v>
      </c>
      <c r="M7" t="s">
        <v>194</v>
      </c>
      <c r="W7">
        <v>860</v>
      </c>
      <c r="X7">
        <v>27.3</v>
      </c>
    </row>
    <row r="8" spans="1:24" x14ac:dyDescent="0.25">
      <c r="A8">
        <v>1</v>
      </c>
      <c r="B8" t="s">
        <v>189</v>
      </c>
      <c r="H8">
        <v>21.5</v>
      </c>
      <c r="I8">
        <v>8481</v>
      </c>
      <c r="J8">
        <v>31</v>
      </c>
      <c r="W8">
        <v>623</v>
      </c>
      <c r="X8">
        <v>13.1</v>
      </c>
    </row>
    <row r="9" spans="1:24" x14ac:dyDescent="0.25">
      <c r="A9">
        <v>1</v>
      </c>
      <c r="B9" t="s">
        <v>189</v>
      </c>
      <c r="H9">
        <v>20.7</v>
      </c>
      <c r="I9">
        <v>8077</v>
      </c>
      <c r="J9">
        <v>31</v>
      </c>
    </row>
    <row r="10" spans="1:24" x14ac:dyDescent="0.25">
      <c r="A10">
        <v>1</v>
      </c>
      <c r="B10" t="s">
        <v>189</v>
      </c>
      <c r="H10">
        <v>20</v>
      </c>
      <c r="I10">
        <v>7760</v>
      </c>
      <c r="J10">
        <v>31</v>
      </c>
    </row>
    <row r="11" spans="1:24" x14ac:dyDescent="0.25">
      <c r="A11">
        <v>1</v>
      </c>
      <c r="B11" t="s">
        <v>189</v>
      </c>
      <c r="H11">
        <v>19.7</v>
      </c>
      <c r="I11">
        <v>7646</v>
      </c>
      <c r="J11">
        <v>31</v>
      </c>
    </row>
    <row r="12" spans="1:24" x14ac:dyDescent="0.25">
      <c r="A12">
        <v>1</v>
      </c>
      <c r="B12" t="s">
        <v>189</v>
      </c>
      <c r="H12">
        <v>20.6</v>
      </c>
      <c r="I12">
        <v>8062</v>
      </c>
      <c r="J12">
        <v>31</v>
      </c>
    </row>
    <row r="13" spans="1:24" x14ac:dyDescent="0.25">
      <c r="A13">
        <v>1</v>
      </c>
      <c r="B13" t="s">
        <v>189</v>
      </c>
      <c r="H13">
        <v>20.6</v>
      </c>
      <c r="I13">
        <v>8042</v>
      </c>
      <c r="J13">
        <v>31</v>
      </c>
    </row>
    <row r="14" spans="1:24" x14ac:dyDescent="0.25">
      <c r="A14">
        <v>1</v>
      </c>
      <c r="B14" t="s">
        <v>189</v>
      </c>
      <c r="H14">
        <v>20.2</v>
      </c>
      <c r="I14">
        <v>7852</v>
      </c>
      <c r="J14">
        <v>31</v>
      </c>
      <c r="K14" s="17">
        <v>27.3</v>
      </c>
      <c r="L14">
        <v>31.3</v>
      </c>
      <c r="M14" t="s">
        <v>195</v>
      </c>
    </row>
    <row r="15" spans="1:24" x14ac:dyDescent="0.25">
      <c r="A15">
        <v>2</v>
      </c>
      <c r="B15" t="s">
        <v>181</v>
      </c>
      <c r="C15">
        <v>18557</v>
      </c>
      <c r="D15">
        <v>626</v>
      </c>
      <c r="E15">
        <v>31</v>
      </c>
      <c r="F15">
        <v>14.9</v>
      </c>
      <c r="G15">
        <v>34</v>
      </c>
      <c r="M15" t="s">
        <v>180</v>
      </c>
    </row>
    <row r="16" spans="1:24" x14ac:dyDescent="0.25">
      <c r="A16">
        <v>2</v>
      </c>
      <c r="B16" t="s">
        <v>181</v>
      </c>
      <c r="C16" s="18">
        <v>18446</v>
      </c>
      <c r="D16" s="17">
        <v>623</v>
      </c>
      <c r="E16">
        <v>31</v>
      </c>
      <c r="F16">
        <v>13.7</v>
      </c>
      <c r="G16">
        <v>32</v>
      </c>
      <c r="M16" t="s">
        <v>194</v>
      </c>
    </row>
    <row r="17" spans="1:13" x14ac:dyDescent="0.25">
      <c r="A17">
        <v>2</v>
      </c>
      <c r="K17" s="18">
        <v>13.5</v>
      </c>
      <c r="L17">
        <v>35</v>
      </c>
      <c r="M17" t="s">
        <v>196</v>
      </c>
    </row>
    <row r="18" spans="1:13" x14ac:dyDescent="0.25">
      <c r="A18">
        <v>2</v>
      </c>
      <c r="K18" s="17">
        <v>13.1</v>
      </c>
      <c r="L18">
        <v>32.5</v>
      </c>
      <c r="M18" t="s">
        <v>194</v>
      </c>
    </row>
    <row r="19" spans="1:13" x14ac:dyDescent="0.25">
      <c r="A19">
        <v>3</v>
      </c>
      <c r="B19" t="s">
        <v>181</v>
      </c>
      <c r="C19">
        <v>18494</v>
      </c>
      <c r="D19" s="18">
        <v>1279</v>
      </c>
      <c r="E19">
        <v>32</v>
      </c>
      <c r="M19" t="s">
        <v>197</v>
      </c>
    </row>
    <row r="20" spans="1:13" x14ac:dyDescent="0.25">
      <c r="A20">
        <v>3</v>
      </c>
      <c r="C20">
        <v>18463</v>
      </c>
      <c r="D20" s="18">
        <v>1458</v>
      </c>
      <c r="E20">
        <v>31</v>
      </c>
      <c r="M20" t="s">
        <v>194</v>
      </c>
    </row>
    <row r="21" spans="1:13" x14ac:dyDescent="0.25">
      <c r="A21">
        <v>3</v>
      </c>
      <c r="C21">
        <v>18474</v>
      </c>
      <c r="D21" s="17">
        <v>1416</v>
      </c>
      <c r="E21">
        <v>31</v>
      </c>
      <c r="F21" s="18">
        <v>29.7</v>
      </c>
      <c r="G21">
        <v>32.5</v>
      </c>
      <c r="K21">
        <v>41.2</v>
      </c>
      <c r="L21">
        <v>35</v>
      </c>
      <c r="M21" t="s">
        <v>199</v>
      </c>
    </row>
    <row r="22" spans="1:13" x14ac:dyDescent="0.25">
      <c r="A22">
        <v>4</v>
      </c>
      <c r="B22" t="s">
        <v>181</v>
      </c>
      <c r="C22">
        <v>18760</v>
      </c>
      <c r="D22">
        <v>1698</v>
      </c>
      <c r="E22">
        <v>31</v>
      </c>
      <c r="F22">
        <v>29.3</v>
      </c>
      <c r="G22">
        <v>31</v>
      </c>
    </row>
    <row r="23" spans="1:13" x14ac:dyDescent="0.25">
      <c r="A23">
        <v>4</v>
      </c>
      <c r="K23">
        <v>33.200000000000003</v>
      </c>
      <c r="L23">
        <v>41</v>
      </c>
      <c r="M23" t="s">
        <v>202</v>
      </c>
    </row>
    <row r="24" spans="1:13" x14ac:dyDescent="0.25">
      <c r="A24">
        <v>4</v>
      </c>
      <c r="M24" t="s">
        <v>203</v>
      </c>
    </row>
  </sheetData>
  <mergeCells count="2">
    <mergeCell ref="C1:G1"/>
    <mergeCell ref="H1:L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6" sqref="E16"/>
    </sheetView>
  </sheetViews>
  <sheetFormatPr defaultRowHeight="15" x14ac:dyDescent="0.25"/>
  <cols>
    <col min="1" max="1" width="54.5703125" bestFit="1" customWidth="1"/>
  </cols>
  <sheetData>
    <row r="1" spans="1:6" x14ac:dyDescent="0.25">
      <c r="A1" t="s">
        <v>204</v>
      </c>
      <c r="B1">
        <v>19847</v>
      </c>
    </row>
    <row r="2" spans="1:6" x14ac:dyDescent="0.25">
      <c r="A2" t="s">
        <v>204</v>
      </c>
      <c r="B2">
        <v>19970</v>
      </c>
      <c r="F2" t="s">
        <v>213</v>
      </c>
    </row>
    <row r="3" spans="1:6" x14ac:dyDescent="0.25">
      <c r="A3" t="s">
        <v>204</v>
      </c>
      <c r="B3">
        <v>19937</v>
      </c>
    </row>
    <row r="4" spans="1:6" x14ac:dyDescent="0.25">
      <c r="A4" t="s">
        <v>205</v>
      </c>
      <c r="B4">
        <v>19873</v>
      </c>
    </row>
    <row r="5" spans="1:6" x14ac:dyDescent="0.25">
      <c r="A5" t="s">
        <v>206</v>
      </c>
      <c r="B5">
        <v>19685</v>
      </c>
    </row>
    <row r="6" spans="1:6" x14ac:dyDescent="0.25">
      <c r="A6" t="s">
        <v>207</v>
      </c>
      <c r="B6">
        <v>19386</v>
      </c>
    </row>
    <row r="7" spans="1:6" x14ac:dyDescent="0.25">
      <c r="A7" t="s">
        <v>207</v>
      </c>
      <c r="B7">
        <v>19317</v>
      </c>
    </row>
    <row r="8" spans="1:6" x14ac:dyDescent="0.25">
      <c r="A8" t="s">
        <v>210</v>
      </c>
      <c r="B8">
        <v>19449</v>
      </c>
    </row>
    <row r="9" spans="1:6" x14ac:dyDescent="0.25">
      <c r="A9" t="s">
        <v>209</v>
      </c>
      <c r="B9">
        <v>19504</v>
      </c>
    </row>
    <row r="10" spans="1:6" x14ac:dyDescent="0.25">
      <c r="A10" t="s">
        <v>209</v>
      </c>
      <c r="B10">
        <v>19488</v>
      </c>
    </row>
    <row r="11" spans="1:6" x14ac:dyDescent="0.25">
      <c r="A11" t="s">
        <v>208</v>
      </c>
      <c r="B11">
        <v>19373</v>
      </c>
    </row>
    <row r="12" spans="1:6" x14ac:dyDescent="0.25">
      <c r="A12" t="s">
        <v>208</v>
      </c>
      <c r="B12">
        <v>19378</v>
      </c>
    </row>
    <row r="13" spans="1:6" x14ac:dyDescent="0.25">
      <c r="A13" t="s">
        <v>211</v>
      </c>
      <c r="B13">
        <v>20827</v>
      </c>
    </row>
    <row r="14" spans="1:6" x14ac:dyDescent="0.25">
      <c r="A14" t="s">
        <v>211</v>
      </c>
      <c r="B14">
        <v>20980</v>
      </c>
    </row>
    <row r="15" spans="1:6" x14ac:dyDescent="0.25">
      <c r="A15" t="s">
        <v>212</v>
      </c>
      <c r="B15">
        <v>21505</v>
      </c>
    </row>
    <row r="16" spans="1:6" x14ac:dyDescent="0.25">
      <c r="A16" t="s">
        <v>214</v>
      </c>
      <c r="B16">
        <v>21212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94" t="s">
        <v>111</v>
      </c>
      <c r="F2" s="94"/>
      <c r="G2" s="94"/>
      <c r="H2" s="94"/>
      <c r="I2" s="94"/>
      <c r="N2" s="95" t="s">
        <v>112</v>
      </c>
      <c r="O2" s="95"/>
      <c r="P2" s="95"/>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-11.611060428258634</v>
      </c>
      <c r="F4" s="40">
        <f>IF(Augostometer!C4&gt;0,Grafiek_kalibratiemetingen!$R$13*Augostometer!C4+Grafiek_kalibratiemetingen!$R$14,TRIM(""))</f>
        <v>23.711060428258634</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-2.1092013934685188</v>
      </c>
      <c r="F5" s="40">
        <f>IF(Augostometer!C5&gt;0,Grafiek_kalibratiemetingen!$R$13*Augostometer!C5+Grafiek_kalibratiemetingen!$R$14,TRIM(""))</f>
        <v>17.709201393468518</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-0.67729742354631561</v>
      </c>
      <c r="F6" s="40">
        <f>IF(Augostometer!C6&gt;0,Grafiek_kalibratiemetingen!$R$13*Augostometer!C6+Grafiek_kalibratiemetingen!$R$14,TRIM(""))</f>
        <v>11.777297423546315</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-1.4353973093895895</v>
      </c>
      <c r="F7" s="40">
        <f>IF(Augostometer!C7&gt;0,Grafiek_kalibratiemetingen!$R$13*Augostometer!C7+Grafiek_kalibratiemetingen!$R$14,TRIM(""))</f>
        <v>14.73539730938959</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0.11813202636180087</v>
      </c>
      <c r="F8" s="40">
        <f>IF(Augostometer!C8&gt;0,Grafiek_kalibratiemetingen!$R$13*Augostometer!C8+Grafiek_kalibratiemetingen!$R$14,TRIM(""))</f>
        <v>15.781867973638199</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3.3836224597457942E-2</v>
      </c>
      <c r="F9" s="40">
        <f>IF(Augostometer!C9&gt;0,Grafiek_kalibratiemetingen!$R$13*Augostometer!C9+Grafiek_kalibratiemetingen!$R$14,TRIM(""))</f>
        <v>15.766163775402543</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-1.0553202777345838</v>
      </c>
      <c r="F10" s="40">
        <f>IF(Augostometer!C10&gt;0,Grafiek_kalibratiemetingen!$R$13*Augostometer!C10+Grafiek_kalibratiemetingen!$R$14,TRIM(""))</f>
        <v>14.855320277734585</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-1.2808896705739841</v>
      </c>
      <c r="F11" s="40">
        <f>IF(Augostometer!C11&gt;0,Grafiek_kalibratiemetingen!$R$13*Augostometer!C11+Grafiek_kalibratiemetingen!$R$14,TRIM(""))</f>
        <v>15.080889670573985</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-0.20629986256835231</v>
      </c>
      <c r="F12" s="40">
        <f>IF(Augostometer!C12&gt;0,Grafiek_kalibratiemetingen!$R$13*Augostometer!C12+Grafiek_kalibratiemetingen!$R$14,TRIM(""))</f>
        <v>11.106299862568353</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-1.41488119625539</v>
      </c>
      <c r="F13" s="40">
        <f>IF(Augostometer!C13&gt;0,Grafiek_kalibratiemetingen!$R$13*Augostometer!C13+Grafiek_kalibratiemetingen!$R$14,TRIM(""))</f>
        <v>13.31488119625539</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-0.7995775636714324</v>
      </c>
      <c r="F14" s="40">
        <f>IF(Augostometer!C14&gt;0,Grafiek_kalibratiemetingen!$R$13*Augostometer!C14+Grafiek_kalibratiemetingen!$R$14,TRIM(""))</f>
        <v>14.899577563671432</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83" priority="27">
      <formula>LEN(TRIM(G4))&gt;0</formula>
    </cfRule>
  </conditionalFormatting>
  <conditionalFormatting sqref="B4:D9 B15:D1048576">
    <cfRule type="notContainsBlanks" dxfId="82" priority="26">
      <formula>LEN(TRIM(B4))&gt;0</formula>
    </cfRule>
  </conditionalFormatting>
  <conditionalFormatting sqref="F4:F1048576">
    <cfRule type="notContainsBlanks" dxfId="81" priority="24">
      <formula>LEN(TRIM(F4))&gt;0</formula>
    </cfRule>
  </conditionalFormatting>
  <conditionalFormatting sqref="B4:I9 B15:I1048576 E10:F14 I10:I14">
    <cfRule type="containsBlanks" dxfId="80" priority="21">
      <formula>LEN(TRIM(B4))=0</formula>
    </cfRule>
  </conditionalFormatting>
  <conditionalFormatting sqref="E4:E1048576">
    <cfRule type="notContainsBlanks" dxfId="79" priority="23">
      <formula>LEN(TRIM(E4))&gt;0</formula>
    </cfRule>
  </conditionalFormatting>
  <conditionalFormatting sqref="I4:I1048576">
    <cfRule type="cellIs" dxfId="78" priority="25" operator="equal">
      <formula>0</formula>
    </cfRule>
  </conditionalFormatting>
  <conditionalFormatting sqref="G14:H14">
    <cfRule type="containsBlanks" dxfId="77" priority="1">
      <formula>LEN(TRIM(G14))=0</formula>
    </cfRule>
  </conditionalFormatting>
  <conditionalFormatting sqref="B10:D10">
    <cfRule type="notContainsBlanks" dxfId="76" priority="20">
      <formula>LEN(TRIM(B10))&gt;0</formula>
    </cfRule>
  </conditionalFormatting>
  <conditionalFormatting sqref="B10:D10">
    <cfRule type="containsBlanks" dxfId="75" priority="19">
      <formula>LEN(TRIM(B10))=0</formula>
    </cfRule>
  </conditionalFormatting>
  <conditionalFormatting sqref="B11:D11">
    <cfRule type="notContainsBlanks" dxfId="74" priority="18">
      <formula>LEN(TRIM(B11))&gt;0</formula>
    </cfRule>
  </conditionalFormatting>
  <conditionalFormatting sqref="B11:D11">
    <cfRule type="containsBlanks" dxfId="73" priority="17">
      <formula>LEN(TRIM(B11))=0</formula>
    </cfRule>
  </conditionalFormatting>
  <conditionalFormatting sqref="B12:D12">
    <cfRule type="notContainsBlanks" dxfId="72" priority="16">
      <formula>LEN(TRIM(B12))&gt;0</formula>
    </cfRule>
  </conditionalFormatting>
  <conditionalFormatting sqref="B12:D12">
    <cfRule type="containsBlanks" dxfId="71" priority="15">
      <formula>LEN(TRIM(B12))=0</formula>
    </cfRule>
  </conditionalFormatting>
  <conditionalFormatting sqref="B13:D13">
    <cfRule type="notContainsBlanks" dxfId="70" priority="14">
      <formula>LEN(TRIM(B13))&gt;0</formula>
    </cfRule>
  </conditionalFormatting>
  <conditionalFormatting sqref="B13:D13">
    <cfRule type="containsBlanks" dxfId="69" priority="13">
      <formula>LEN(TRIM(B13))=0</formula>
    </cfRule>
  </conditionalFormatting>
  <conditionalFormatting sqref="B14:D14">
    <cfRule type="notContainsBlanks" dxfId="68" priority="12">
      <formula>LEN(TRIM(B14))&gt;0</formula>
    </cfRule>
  </conditionalFormatting>
  <conditionalFormatting sqref="B14:D14">
    <cfRule type="containsBlanks" dxfId="67" priority="11">
      <formula>LEN(TRIM(B14))=0</formula>
    </cfRule>
  </conditionalFormatting>
  <conditionalFormatting sqref="G10:H10">
    <cfRule type="notContainsBlanks" dxfId="66" priority="10">
      <formula>LEN(TRIM(G10))&gt;0</formula>
    </cfRule>
  </conditionalFormatting>
  <conditionalFormatting sqref="G10:H10">
    <cfRule type="containsBlanks" dxfId="65" priority="9">
      <formula>LEN(TRIM(G10))=0</formula>
    </cfRule>
  </conditionalFormatting>
  <conditionalFormatting sqref="G11:H11">
    <cfRule type="notContainsBlanks" dxfId="64" priority="8">
      <formula>LEN(TRIM(G11))&gt;0</formula>
    </cfRule>
  </conditionalFormatting>
  <conditionalFormatting sqref="G11:H11">
    <cfRule type="containsBlanks" dxfId="63" priority="7">
      <formula>LEN(TRIM(G11))=0</formula>
    </cfRule>
  </conditionalFormatting>
  <conditionalFormatting sqref="G12:H12">
    <cfRule type="notContainsBlanks" dxfId="62" priority="6">
      <formula>LEN(TRIM(G12))&gt;0</formula>
    </cfRule>
  </conditionalFormatting>
  <conditionalFormatting sqref="G12:H12">
    <cfRule type="containsBlanks" dxfId="61" priority="5">
      <formula>LEN(TRIM(G12))=0</formula>
    </cfRule>
  </conditionalFormatting>
  <conditionalFormatting sqref="G13:H13">
    <cfRule type="notContainsBlanks" dxfId="60" priority="4">
      <formula>LEN(TRIM(G13))&gt;0</formula>
    </cfRule>
  </conditionalFormatting>
  <conditionalFormatting sqref="G13:H13">
    <cfRule type="containsBlanks" dxfId="59" priority="3">
      <formula>LEN(TRIM(G13))=0</formula>
    </cfRule>
  </conditionalFormatting>
  <conditionalFormatting sqref="G14:H14">
    <cfRule type="notContainsBlanks" dxfId="58"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opLeftCell="A180" zoomScaleNormal="100" workbookViewId="0">
      <selection activeCell="D213" sqref="D213"/>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27.28515625" bestFit="1" customWidth="1"/>
    <col min="11" max="11" width="18.28515625" bestFit="1" customWidth="1"/>
    <col min="14" max="14" width="10.7109375" bestFit="1" customWidth="1"/>
    <col min="15" max="15" width="16.7109375" bestFit="1" customWidth="1"/>
    <col min="16" max="16" width="56" customWidth="1"/>
    <col min="17" max="17" width="25.5703125" bestFit="1" customWidth="1"/>
    <col min="23" max="23" width="24" customWidth="1"/>
    <col min="24" max="24" width="14.42578125" customWidth="1"/>
  </cols>
  <sheetData>
    <row r="1" spans="1:24" x14ac:dyDescent="0.25">
      <c r="A1">
        <f>COUNT(A$4:A$64994)</f>
        <v>107</v>
      </c>
      <c r="B1">
        <f>COUNT(B$4:B$64994)</f>
        <v>0</v>
      </c>
      <c r="C1">
        <f>COUNT(C$4:C$64994)</f>
        <v>66</v>
      </c>
      <c r="D1">
        <f>COUNT(D$4:D$64994)</f>
        <v>194</v>
      </c>
      <c r="E1">
        <f>COUNT(E$4:E$64994)</f>
        <v>194</v>
      </c>
      <c r="H1">
        <f>COUNT(H$10:H$64994)</f>
        <v>189</v>
      </c>
      <c r="J1">
        <f t="shared" ref="J1:P1" si="0">COUNT(J$4:J$65000)</f>
        <v>27</v>
      </c>
      <c r="K1">
        <f t="shared" si="0"/>
        <v>168</v>
      </c>
      <c r="L1">
        <f>COUNT(L$4:L$65000)</f>
        <v>27</v>
      </c>
      <c r="M1">
        <f t="shared" si="0"/>
        <v>0</v>
      </c>
      <c r="N1">
        <f t="shared" si="0"/>
        <v>168</v>
      </c>
      <c r="O1">
        <f t="shared" si="0"/>
        <v>27</v>
      </c>
      <c r="P1">
        <f t="shared" si="0"/>
        <v>0</v>
      </c>
    </row>
    <row r="2" spans="1:24" ht="32.25" customHeight="1" x14ac:dyDescent="0.25">
      <c r="F2" s="94" t="s">
        <v>111</v>
      </c>
      <c r="G2" s="94"/>
      <c r="H2" s="94"/>
      <c r="I2" s="94"/>
      <c r="M2" s="95" t="s">
        <v>112</v>
      </c>
      <c r="N2" s="95"/>
      <c r="O2" s="95"/>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165</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12.00587096774194</v>
      </c>
    </row>
    <row r="6" spans="1:24" x14ac:dyDescent="0.25">
      <c r="A6" s="28">
        <v>9697</v>
      </c>
      <c r="B6" s="28" t="s">
        <v>22</v>
      </c>
      <c r="C6" s="38">
        <v>19711</v>
      </c>
      <c r="D6" s="38">
        <v>4851</v>
      </c>
      <c r="E6" s="38">
        <v>30</v>
      </c>
      <c r="F6" s="39">
        <f>IF(I6,GroteHoogte!H6-GroteHoogte!G6,TRIM(""))</f>
        <v>-1.4463345278587845</v>
      </c>
      <c r="G6" s="24">
        <f>D6*Grafiek_kalibratiemetingen!$R$13+Grafiek_kalibratiemetingen!$R$14</f>
        <v>13.276334527858785</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4237.939393939394</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4237.939393939394</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699260</v>
      </c>
    </row>
    <row r="9" spans="1:24" x14ac:dyDescent="0.25">
      <c r="A9" s="28">
        <v>9682</v>
      </c>
      <c r="B9" s="28" t="s">
        <v>22</v>
      </c>
      <c r="C9" s="38">
        <v>19748</v>
      </c>
      <c r="D9" s="38">
        <v>4414</v>
      </c>
      <c r="E9" s="38">
        <v>30</v>
      </c>
      <c r="F9" s="39">
        <f>IF(I9,GroteHoogte!H9-GroteHoogte!G9,TRIM(""))</f>
        <v>-0.67244956158778457</v>
      </c>
      <c r="G9" s="24">
        <f>D9*Grafiek_kalibratiemetingen!$R$13+Grafiek_kalibratiemetingen!$R$14</f>
        <v>12.652449561587785</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1860.9100000000005</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-0.98207082261735756</v>
      </c>
      <c r="G12" s="24">
        <f>D12*Grafiek_kalibratiemetingen!$R$13+Grafiek_kalibratiemetingen!$R$14</f>
        <v>13.242070822617357</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1515064554.6060605</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-1.0726613986390419</v>
      </c>
      <c r="G15" s="24">
        <f>D15*Grafiek_kalibratiemetingen!$R$13+Grafiek_kalibratiemetingen!$R$14</f>
        <v>12.322661398639042</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-0.60776860154842716</v>
      </c>
      <c r="G18" s="24">
        <f>D18*Grafiek_kalibratiemetingen!$R$13+Grafiek_kalibratiemetingen!$R$14</f>
        <v>13.267768601548427</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-1.2388560327905598</v>
      </c>
      <c r="G21" s="24">
        <f>D21*Grafiek_kalibratiemetingen!$R$13+Grafiek_kalibratiemetingen!$R$14</f>
        <v>13.79885603279056</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0.99006937457647481</v>
      </c>
      <c r="G24" s="24">
        <f>D24*Grafiek_kalibratiemetingen!$R$13+Grafiek_kalibratiemetingen!$R$14</f>
        <v>14.349930625423525</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-0.95199379096235504</v>
      </c>
      <c r="G27" s="24">
        <f>D27*Grafiek_kalibratiemetingen!$R$13+Grafiek_kalibratiemetingen!$R$14</f>
        <v>13.361993790962355</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-0.86210291914027515</v>
      </c>
      <c r="G30" s="24">
        <f>D30*Grafiek_kalibratiemetingen!$R$13+Grafiek_kalibratiemetingen!$R$14</f>
        <v>13.192102919140275</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-1.1792732875884884</v>
      </c>
      <c r="G33" s="24">
        <f>D33*Grafiek_kalibratiemetingen!$R$13+Grafiek_kalibratiemetingen!$R$14</f>
        <v>13.149273287588489</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-1.1075439258880042</v>
      </c>
      <c r="G36" s="24">
        <f>D36*Grafiek_kalibratiemetingen!$R$13+Grafiek_kalibratiemetingen!$R$14</f>
        <v>13.617543925888004</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0.65723332372010645</v>
      </c>
      <c r="G39" s="24">
        <f>D39*Grafiek_kalibratiemetingen!$R$13+Grafiek_kalibratiemetingen!$R$14</f>
        <v>14.382766676279893</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63" si="5">IF(I42,H42-G42,TRIM(""))</f>
        <v>-0.94362044378950394</v>
      </c>
      <c r="G42" s="24">
        <f>D42*Grafiek_kalibratiemetingen!$R$13+Grafiek_kalibratiemetingen!$R$14</f>
        <v>13.053620443789503</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-1.2478392138988461</v>
      </c>
      <c r="G45" s="24">
        <f>D45*Grafiek_kalibratiemetingen!$R$13+Grafiek_kalibratiemetingen!$R$14</f>
        <v>13.157839213898846</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-1.1826678179436243</v>
      </c>
      <c r="G48" s="24">
        <f>D48*Grafiek_kalibratiemetingen!$R$13+Grafiek_kalibratiemetingen!$R$14</f>
        <v>12.312667817943625</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-1.0976273768475888</v>
      </c>
      <c r="G51" s="24">
        <f>D51*Grafiek_kalibratiemetingen!$R$13+Grafiek_kalibratiemetingen!$R$14</f>
        <v>13.487627376847589</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-1.0206110717093786</v>
      </c>
      <c r="G54" s="59">
        <f>D54*Grafiek_kalibratiemetingen!$R$13+Grafiek_kalibratiemetingen!$R$14</f>
        <v>13.290611071709378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-1.0903992346581237</v>
      </c>
      <c r="G57" s="24">
        <f>D57*Grafiek_kalibratiemetingen!$R$13+Grafiek_kalibratiemetingen!$R$14</f>
        <v>13.620399234658123</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0.69595973264505062</v>
      </c>
      <c r="G60" s="24">
        <f>D60*Grafiek_kalibratiemetingen!$R$13+Grafiek_kalibratiemetingen!$R$14</f>
        <v>14.62404026735495</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90">
        <v>9699</v>
      </c>
      <c r="B63" s="70" t="s">
        <v>22</v>
      </c>
      <c r="C63" s="57"/>
      <c r="D63" s="57"/>
      <c r="E63" s="57"/>
      <c r="F63" s="58" t="str">
        <f t="shared" si="5"/>
        <v/>
      </c>
      <c r="G63" s="59">
        <f>D63*Grafiek_kalibratiemetingen!$R$13+Grafiek_kalibratiemetingen!$R$14</f>
        <v>6.3507831059351725</v>
      </c>
      <c r="H63" s="60">
        <v>14.6</v>
      </c>
      <c r="I63" s="61">
        <f>IF(IF(GroteHoogte!D63&gt;0,1,0)+IF(GroteHoogte!H63&gt;0,1,0)=2,1,0)</f>
        <v>0</v>
      </c>
      <c r="J63" s="71" t="s">
        <v>14</v>
      </c>
      <c r="K63" s="71">
        <v>729</v>
      </c>
      <c r="L63" s="71" t="s">
        <v>15</v>
      </c>
      <c r="M63" s="71" t="s">
        <v>16</v>
      </c>
      <c r="N63" s="72">
        <v>42577</v>
      </c>
      <c r="O63" s="71" t="s">
        <v>19</v>
      </c>
      <c r="P63" s="87"/>
      <c r="Q63" s="84">
        <f t="shared" si="6"/>
        <v>0</v>
      </c>
      <c r="R63" s="84"/>
      <c r="S63" s="84"/>
    </row>
    <row r="64" spans="1:20" ht="45" x14ac:dyDescent="0.25">
      <c r="A64" s="20" t="s">
        <v>0</v>
      </c>
      <c r="B64" s="23" t="s">
        <v>3</v>
      </c>
      <c r="C64" s="19" t="s">
        <v>4</v>
      </c>
      <c r="D64" s="19" t="s">
        <v>5</v>
      </c>
      <c r="E64" s="19" t="s">
        <v>6</v>
      </c>
      <c r="F64" s="25" t="s">
        <v>107</v>
      </c>
      <c r="G64" s="22" t="s">
        <v>83</v>
      </c>
      <c r="H64" s="21" t="s">
        <v>217</v>
      </c>
      <c r="I64" s="21" t="s">
        <v>108</v>
      </c>
      <c r="J64" s="23" t="s">
        <v>7</v>
      </c>
      <c r="K64" s="23" t="s">
        <v>8</v>
      </c>
      <c r="L64" s="23" t="s">
        <v>9</v>
      </c>
      <c r="M64" s="23" t="s">
        <v>10</v>
      </c>
      <c r="N64" s="23" t="s">
        <v>11</v>
      </c>
      <c r="O64" s="23" t="s">
        <v>12</v>
      </c>
      <c r="P64" s="23" t="s">
        <v>13</v>
      </c>
      <c r="Q64" s="69">
        <f>H65*D65</f>
        <v>70118.399999999994</v>
      </c>
    </row>
    <row r="65" spans="1:17" x14ac:dyDescent="0.25">
      <c r="A65" s="88">
        <v>10526</v>
      </c>
      <c r="B65" s="91" t="s">
        <v>49</v>
      </c>
      <c r="C65" s="13"/>
      <c r="D65" s="13">
        <v>5312</v>
      </c>
      <c r="E65" s="13">
        <v>30</v>
      </c>
      <c r="F65" s="26">
        <f t="shared" ref="F65:F90" si="7">IF(I65,H65-G65,TRIM(""))</f>
        <v>-0.20000000000000107</v>
      </c>
      <c r="G65" s="24">
        <v>13.4</v>
      </c>
      <c r="H65" s="12">
        <v>13.2</v>
      </c>
      <c r="I65" s="2">
        <f>IF(IF(GroteHoogte!D65&gt;0,1,0)+IF(GroteHoogte!H65&gt;0,1,0)=2,1,0)</f>
        <v>1</v>
      </c>
      <c r="J65" s="29" t="s">
        <v>14</v>
      </c>
      <c r="K65" s="29">
        <v>729</v>
      </c>
      <c r="L65" s="29" t="s">
        <v>15</v>
      </c>
      <c r="M65" s="29" t="s">
        <v>16</v>
      </c>
      <c r="N65" s="32">
        <v>42593</v>
      </c>
      <c r="O65" s="29" t="s">
        <v>19</v>
      </c>
      <c r="P65" t="s">
        <v>215</v>
      </c>
      <c r="Q65" s="69">
        <f>H68*D68</f>
        <v>72905.5</v>
      </c>
    </row>
    <row r="66" spans="1:17" x14ac:dyDescent="0.25">
      <c r="B66" s="91" t="s">
        <v>41</v>
      </c>
      <c r="C66" s="13"/>
      <c r="D66" s="13">
        <v>5182</v>
      </c>
      <c r="E66" s="13">
        <v>30</v>
      </c>
      <c r="F66" s="26">
        <f t="shared" si="7"/>
        <v>0.29999999999999893</v>
      </c>
      <c r="G66" s="24">
        <v>12.9</v>
      </c>
      <c r="H66" s="12">
        <v>13.2</v>
      </c>
      <c r="I66" s="2">
        <f>IF(IF(GroteHoogte!D66&gt;0,1,0)+IF(GroteHoogte!H66&gt;0,1,0)=2,1,0)</f>
        <v>1</v>
      </c>
      <c r="J66" s="29" t="s">
        <v>14</v>
      </c>
      <c r="K66" s="29">
        <v>729</v>
      </c>
      <c r="L66" s="29" t="s">
        <v>15</v>
      </c>
      <c r="M66" s="29" t="s">
        <v>16</v>
      </c>
      <c r="N66" s="32">
        <v>42593</v>
      </c>
      <c r="O66" s="29" t="s">
        <v>19</v>
      </c>
      <c r="Q66" s="69">
        <f>H71*D71</f>
        <v>44045</v>
      </c>
    </row>
    <row r="67" spans="1:17" x14ac:dyDescent="0.25">
      <c r="B67" s="91" t="s">
        <v>22</v>
      </c>
      <c r="C67" s="13">
        <v>21146</v>
      </c>
      <c r="D67" s="13">
        <v>4968</v>
      </c>
      <c r="E67" s="13">
        <v>30</v>
      </c>
      <c r="F67" s="26">
        <f t="shared" si="7"/>
        <v>-0.24337009091074613</v>
      </c>
      <c r="G67" s="24">
        <f>IF(GroteHoogte!D67&gt;0,Grafiek_kalibratiemetingen!$R$13*GroteHoogte!D67+Grafiek_kalibratiemetingen!$R$14,TRIM(""))</f>
        <v>13.443370090910745</v>
      </c>
      <c r="H67" s="12">
        <v>13.2</v>
      </c>
      <c r="I67" s="2">
        <f>IF(IF(GroteHoogte!D67&gt;0,1,0)+IF(GroteHoogte!H67&gt;0,1,0)=2,1,0)</f>
        <v>1</v>
      </c>
      <c r="J67" s="29" t="s">
        <v>14</v>
      </c>
      <c r="K67" s="29">
        <v>729</v>
      </c>
      <c r="L67" s="29" t="s">
        <v>15</v>
      </c>
      <c r="M67" s="29" t="s">
        <v>16</v>
      </c>
      <c r="N67" s="32">
        <v>42593</v>
      </c>
      <c r="O67" s="29" t="s">
        <v>19</v>
      </c>
      <c r="P67" t="s">
        <v>216</v>
      </c>
      <c r="Q67" s="69">
        <f>H74*D74</f>
        <v>29570.400000000001</v>
      </c>
    </row>
    <row r="68" spans="1:17" x14ac:dyDescent="0.25">
      <c r="A68" s="88">
        <v>10525</v>
      </c>
      <c r="B68" s="91" t="s">
        <v>49</v>
      </c>
      <c r="C68" s="13"/>
      <c r="D68" s="13">
        <v>5245</v>
      </c>
      <c r="E68" s="13">
        <v>30</v>
      </c>
      <c r="F68" s="26">
        <f t="shared" si="7"/>
        <v>0.70000000000000107</v>
      </c>
      <c r="G68" s="24">
        <v>13.2</v>
      </c>
      <c r="H68" s="12">
        <v>13.9</v>
      </c>
      <c r="I68" s="2">
        <f>IF(IF(GroteHoogte!D68&gt;0,1,0)+IF(GroteHoogte!H68&gt;0,1,0)=2,1,0)</f>
        <v>1</v>
      </c>
      <c r="J68" s="29" t="s">
        <v>14</v>
      </c>
      <c r="K68" s="29">
        <v>729</v>
      </c>
      <c r="L68" s="29" t="s">
        <v>15</v>
      </c>
      <c r="M68" s="29" t="s">
        <v>16</v>
      </c>
      <c r="N68" s="32">
        <v>42593</v>
      </c>
      <c r="O68" s="29" t="s">
        <v>19</v>
      </c>
      <c r="Q68" s="69">
        <f>H77*D77</f>
        <v>62775</v>
      </c>
    </row>
    <row r="69" spans="1:17" x14ac:dyDescent="0.25">
      <c r="B69" s="91" t="s">
        <v>41</v>
      </c>
      <c r="C69" s="13"/>
      <c r="D69" s="13">
        <v>5339</v>
      </c>
      <c r="E69" s="13">
        <v>30</v>
      </c>
      <c r="F69" s="26">
        <f t="shared" si="7"/>
        <v>0.70000000000000107</v>
      </c>
      <c r="G69" s="24">
        <v>13.2</v>
      </c>
      <c r="H69" s="12">
        <v>13.9</v>
      </c>
      <c r="I69" s="2">
        <f>IF(IF(GroteHoogte!D69&gt;0,1,0)+IF(GroteHoogte!H69&gt;0,1,0)=2,1,0)</f>
        <v>1</v>
      </c>
      <c r="J69" s="29" t="s">
        <v>14</v>
      </c>
      <c r="K69" s="29">
        <v>729</v>
      </c>
      <c r="L69" s="29" t="s">
        <v>15</v>
      </c>
      <c r="M69" s="29" t="s">
        <v>16</v>
      </c>
      <c r="N69" s="32">
        <v>42593</v>
      </c>
      <c r="O69" s="29" t="s">
        <v>19</v>
      </c>
      <c r="Q69" s="69">
        <f>H80*D80</f>
        <v>51062.9</v>
      </c>
    </row>
    <row r="70" spans="1:17" x14ac:dyDescent="0.25">
      <c r="B70" s="91" t="s">
        <v>22</v>
      </c>
      <c r="C70" s="13">
        <v>21165</v>
      </c>
      <c r="D70" s="13">
        <v>5117</v>
      </c>
      <c r="E70" s="13">
        <v>30</v>
      </c>
      <c r="F70" s="26">
        <f t="shared" si="7"/>
        <v>0.24390940571539055</v>
      </c>
      <c r="G70" s="24">
        <f>IF(GroteHoogte!D70&gt;0,Grafiek_kalibratiemetingen!$R$13*GroteHoogte!D70+Grafiek_kalibratiemetingen!$R$14,TRIM(""))</f>
        <v>13.65609059428461</v>
      </c>
      <c r="H70" s="12">
        <v>13.9</v>
      </c>
      <c r="I70" s="2">
        <f>IF(IF(GroteHoogte!D70&gt;0,1,0)+IF(GroteHoogte!H70&gt;0,1,0)=2,1,0)</f>
        <v>1</v>
      </c>
      <c r="J70" s="29" t="s">
        <v>14</v>
      </c>
      <c r="K70" s="29">
        <v>729</v>
      </c>
      <c r="L70" s="29" t="s">
        <v>15</v>
      </c>
      <c r="M70" s="29" t="s">
        <v>16</v>
      </c>
      <c r="N70" s="32">
        <v>42593</v>
      </c>
      <c r="O70" s="29" t="s">
        <v>19</v>
      </c>
      <c r="Q70" s="69">
        <f>H83*D83</f>
        <v>53133.5</v>
      </c>
    </row>
    <row r="71" spans="1:17" x14ac:dyDescent="0.25">
      <c r="A71" s="88">
        <v>542</v>
      </c>
      <c r="B71" s="91" t="s">
        <v>49</v>
      </c>
      <c r="C71" s="13"/>
      <c r="D71" s="13">
        <v>3830</v>
      </c>
      <c r="E71" s="13">
        <v>30</v>
      </c>
      <c r="F71" s="26">
        <f t="shared" si="7"/>
        <v>1.1999999999999993</v>
      </c>
      <c r="G71" s="24">
        <v>10.3</v>
      </c>
      <c r="H71" s="12">
        <v>11.5</v>
      </c>
      <c r="I71" s="2">
        <f>IF(IF(GroteHoogte!D71&gt;0,1,0)+IF(GroteHoogte!H71&gt;0,1,0)=2,1,0)</f>
        <v>1</v>
      </c>
      <c r="J71" s="29" t="s">
        <v>14</v>
      </c>
      <c r="K71" s="29">
        <v>729</v>
      </c>
      <c r="L71" s="29" t="s">
        <v>15</v>
      </c>
      <c r="M71" s="29" t="s">
        <v>16</v>
      </c>
      <c r="N71" s="32">
        <v>42593</v>
      </c>
      <c r="O71" s="29" t="s">
        <v>19</v>
      </c>
      <c r="Q71" s="69">
        <f>H86*D86</f>
        <v>40216.700000000004</v>
      </c>
    </row>
    <row r="72" spans="1:17" x14ac:dyDescent="0.25">
      <c r="B72" s="91" t="s">
        <v>41</v>
      </c>
      <c r="C72" s="13"/>
      <c r="D72" s="13">
        <v>3813</v>
      </c>
      <c r="E72" s="13">
        <v>30</v>
      </c>
      <c r="F72" s="26">
        <f t="shared" si="7"/>
        <v>1.4000000000000004</v>
      </c>
      <c r="G72" s="24">
        <v>10.1</v>
      </c>
      <c r="H72" s="12">
        <v>11.5</v>
      </c>
      <c r="I72" s="2">
        <f>IF(IF(GroteHoogte!D72&gt;0,1,0)+IF(GroteHoogte!H72&gt;0,1,0)=2,1,0)</f>
        <v>1</v>
      </c>
      <c r="J72" s="29" t="s">
        <v>14</v>
      </c>
      <c r="K72" s="29">
        <v>729</v>
      </c>
      <c r="L72" s="29" t="s">
        <v>15</v>
      </c>
      <c r="M72" s="29" t="s">
        <v>16</v>
      </c>
      <c r="N72" s="32">
        <v>42593</v>
      </c>
      <c r="O72" s="29" t="s">
        <v>19</v>
      </c>
      <c r="Q72" s="69" t="e">
        <f>H89*#REF!</f>
        <v>#REF!</v>
      </c>
    </row>
    <row r="73" spans="1:17" x14ac:dyDescent="0.25">
      <c r="B73" s="91" t="s">
        <v>22</v>
      </c>
      <c r="C73" s="13">
        <v>21129</v>
      </c>
      <c r="D73" s="13">
        <v>3725</v>
      </c>
      <c r="E73" s="13">
        <v>30</v>
      </c>
      <c r="F73" s="26">
        <f t="shared" si="7"/>
        <v>-0.16879569028179375</v>
      </c>
      <c r="G73" s="24">
        <f>IF(GroteHoogte!D73&gt;0,Grafiek_kalibratiemetingen!$R$13*GroteHoogte!D73+Grafiek_kalibratiemetingen!$R$14,TRIM(""))</f>
        <v>11.668795690281794</v>
      </c>
      <c r="H73" s="12">
        <v>11.5</v>
      </c>
      <c r="I73" s="2">
        <f>IF(IF(GroteHoogte!D73&gt;0,1,0)+IF(GroteHoogte!H73&gt;0,1,0)=2,1,0)</f>
        <v>1</v>
      </c>
      <c r="J73" s="29" t="s">
        <v>14</v>
      </c>
      <c r="K73" s="29">
        <v>729</v>
      </c>
      <c r="L73" s="29" t="s">
        <v>15</v>
      </c>
      <c r="M73" s="29" t="s">
        <v>16</v>
      </c>
      <c r="N73" s="32">
        <v>42593</v>
      </c>
      <c r="O73" s="29" t="s">
        <v>19</v>
      </c>
    </row>
    <row r="74" spans="1:17" x14ac:dyDescent="0.25">
      <c r="A74" s="88">
        <v>540</v>
      </c>
      <c r="B74" s="91" t="s">
        <v>49</v>
      </c>
      <c r="C74" s="13"/>
      <c r="D74" s="13">
        <v>2738</v>
      </c>
      <c r="E74" s="13">
        <v>30</v>
      </c>
      <c r="F74" s="26">
        <f t="shared" si="7"/>
        <v>2.7000000000000011</v>
      </c>
      <c r="G74" s="24">
        <v>8.1</v>
      </c>
      <c r="H74" s="12">
        <v>10.8</v>
      </c>
      <c r="I74" s="2">
        <f>IF(IF(GroteHoogte!D74&gt;0,1,0)+IF(GroteHoogte!H74&gt;0,1,0)=2,1,0)</f>
        <v>1</v>
      </c>
      <c r="J74" s="29" t="s">
        <v>14</v>
      </c>
      <c r="K74" s="29">
        <v>729</v>
      </c>
      <c r="L74" s="29" t="s">
        <v>15</v>
      </c>
      <c r="M74" s="29" t="s">
        <v>16</v>
      </c>
      <c r="N74" s="32">
        <v>42593</v>
      </c>
      <c r="O74" s="29" t="s">
        <v>19</v>
      </c>
    </row>
    <row r="75" spans="1:17" x14ac:dyDescent="0.25">
      <c r="B75" s="91" t="s">
        <v>41</v>
      </c>
      <c r="C75" s="13"/>
      <c r="D75" s="13">
        <v>2643</v>
      </c>
      <c r="E75" s="13">
        <v>30</v>
      </c>
      <c r="F75" s="26">
        <f t="shared" si="7"/>
        <v>3.0000000000000009</v>
      </c>
      <c r="G75" s="24">
        <v>7.8</v>
      </c>
      <c r="H75" s="12">
        <v>10.8</v>
      </c>
      <c r="I75" s="2">
        <f>IF(IF(GroteHoogte!D75&gt;0,1,0)+IF(GroteHoogte!H75&gt;0,1,0)=2,1,0)</f>
        <v>1</v>
      </c>
      <c r="J75" s="29" t="s">
        <v>14</v>
      </c>
      <c r="K75" s="29">
        <v>729</v>
      </c>
      <c r="L75" s="29" t="s">
        <v>15</v>
      </c>
      <c r="M75" s="29" t="s">
        <v>16</v>
      </c>
      <c r="N75" s="32">
        <v>42593</v>
      </c>
      <c r="O75" s="29" t="s">
        <v>19</v>
      </c>
    </row>
    <row r="76" spans="1:17" x14ac:dyDescent="0.25">
      <c r="B76" s="91" t="s">
        <v>22</v>
      </c>
      <c r="C76" s="13">
        <v>21160</v>
      </c>
      <c r="D76" s="13">
        <v>2555</v>
      </c>
      <c r="E76" s="13">
        <v>30</v>
      </c>
      <c r="F76" s="26">
        <f t="shared" si="7"/>
        <v>0.80155994023781751</v>
      </c>
      <c r="G76" s="24">
        <f>IF(GroteHoogte!D76&gt;0,Grafiek_kalibratiemetingen!$R$13*GroteHoogte!D76+Grafiek_kalibratiemetingen!$R$14,TRIM(""))</f>
        <v>9.9984400597621832</v>
      </c>
      <c r="H76" s="12">
        <v>10.8</v>
      </c>
      <c r="I76" s="2">
        <f>IF(IF(GroteHoogte!D76&gt;0,1,0)+IF(GroteHoogte!H76&gt;0,1,0)=2,1,0)</f>
        <v>1</v>
      </c>
      <c r="J76" s="29" t="s">
        <v>14</v>
      </c>
      <c r="K76" s="29">
        <v>729</v>
      </c>
      <c r="L76" s="29" t="s">
        <v>15</v>
      </c>
      <c r="M76" s="29" t="s">
        <v>16</v>
      </c>
      <c r="N76" s="32">
        <v>42593</v>
      </c>
      <c r="O76" s="29" t="s">
        <v>19</v>
      </c>
    </row>
    <row r="77" spans="1:17" x14ac:dyDescent="0.25">
      <c r="A77" s="88">
        <v>10520</v>
      </c>
      <c r="B77" s="91" t="s">
        <v>49</v>
      </c>
      <c r="C77" s="13"/>
      <c r="D77" s="13">
        <v>5022</v>
      </c>
      <c r="E77" s="13">
        <v>30</v>
      </c>
      <c r="F77" s="26">
        <f t="shared" si="7"/>
        <v>-0.30000000000000071</v>
      </c>
      <c r="G77" s="24">
        <v>12.8</v>
      </c>
      <c r="H77" s="12">
        <v>12.5</v>
      </c>
      <c r="I77" s="2">
        <f>IF(IF(GroteHoogte!D77&gt;0,1,0)+IF(GroteHoogte!H77&gt;0,1,0)=2,1,0)</f>
        <v>1</v>
      </c>
      <c r="J77" s="29" t="s">
        <v>14</v>
      </c>
      <c r="K77" s="29">
        <v>729</v>
      </c>
      <c r="L77" s="29" t="s">
        <v>15</v>
      </c>
      <c r="M77" s="29" t="s">
        <v>16</v>
      </c>
      <c r="N77" s="32">
        <v>42593</v>
      </c>
      <c r="O77" s="29" t="s">
        <v>19</v>
      </c>
    </row>
    <row r="78" spans="1:17" x14ac:dyDescent="0.25">
      <c r="B78" s="91" t="s">
        <v>41</v>
      </c>
      <c r="C78" s="13"/>
      <c r="D78" s="13">
        <v>5136</v>
      </c>
      <c r="E78" s="13">
        <v>30</v>
      </c>
      <c r="F78" s="26">
        <f t="shared" si="7"/>
        <v>-0.30000000000000071</v>
      </c>
      <c r="G78" s="24">
        <v>12.8</v>
      </c>
      <c r="H78" s="12">
        <v>12.5</v>
      </c>
      <c r="I78" s="2">
        <f>IF(IF(GroteHoogte!D78&gt;0,1,0)+IF(GroteHoogte!H78&gt;0,1,0)=2,1,0)</f>
        <v>1</v>
      </c>
      <c r="J78" s="29" t="s">
        <v>14</v>
      </c>
      <c r="K78" s="29">
        <v>729</v>
      </c>
      <c r="L78" s="29" t="s">
        <v>15</v>
      </c>
      <c r="M78" s="29" t="s">
        <v>16</v>
      </c>
      <c r="N78" s="32">
        <v>42593</v>
      </c>
      <c r="O78" s="29" t="s">
        <v>19</v>
      </c>
    </row>
    <row r="79" spans="1:17" x14ac:dyDescent="0.25">
      <c r="B79" s="91" t="s">
        <v>22</v>
      </c>
      <c r="C79" s="13">
        <v>21168</v>
      </c>
      <c r="D79" s="13">
        <v>4735</v>
      </c>
      <c r="E79" s="13">
        <v>30</v>
      </c>
      <c r="F79" s="26">
        <f t="shared" si="7"/>
        <v>-0.6107266191918832</v>
      </c>
      <c r="G79" s="24">
        <f>IF(GroteHoogte!D79&gt;0,Grafiek_kalibratiemetingen!$R$13*GroteHoogte!D79+Grafiek_kalibratiemetingen!$R$14,TRIM(""))</f>
        <v>13.110726619191883</v>
      </c>
      <c r="H79" s="12">
        <v>12.5</v>
      </c>
      <c r="I79" s="2">
        <f>IF(IF(GroteHoogte!D79&gt;0,1,0)+IF(GroteHoogte!H79&gt;0,1,0)=2,1,0)</f>
        <v>1</v>
      </c>
      <c r="J79" s="29" t="s">
        <v>14</v>
      </c>
      <c r="K79" s="29">
        <v>729</v>
      </c>
      <c r="L79" s="29" t="s">
        <v>15</v>
      </c>
      <c r="M79" s="29" t="s">
        <v>16</v>
      </c>
      <c r="N79" s="32">
        <v>42593</v>
      </c>
      <c r="O79" s="29" t="s">
        <v>19</v>
      </c>
    </row>
    <row r="80" spans="1:17" x14ac:dyDescent="0.25">
      <c r="A80" s="88">
        <v>10519</v>
      </c>
      <c r="B80" s="91" t="s">
        <v>49</v>
      </c>
      <c r="C80" s="13"/>
      <c r="D80" s="13">
        <v>4291</v>
      </c>
      <c r="E80" s="13">
        <v>29</v>
      </c>
      <c r="F80" s="26">
        <f t="shared" si="7"/>
        <v>0.59999999999999964</v>
      </c>
      <c r="G80" s="24">
        <v>11.3</v>
      </c>
      <c r="H80" s="12">
        <v>11.9</v>
      </c>
      <c r="I80" s="2">
        <f>IF(IF(GroteHoogte!D80&gt;0,1,0)+IF(GroteHoogte!H80&gt;0,1,0)=2,1,0)</f>
        <v>1</v>
      </c>
      <c r="J80" s="29" t="s">
        <v>14</v>
      </c>
      <c r="K80" s="29">
        <v>729</v>
      </c>
      <c r="L80" s="29" t="s">
        <v>15</v>
      </c>
      <c r="M80" s="29" t="s">
        <v>16</v>
      </c>
      <c r="N80" s="32">
        <v>42593</v>
      </c>
      <c r="O80" s="29" t="s">
        <v>19</v>
      </c>
    </row>
    <row r="81" spans="1:16" x14ac:dyDescent="0.25">
      <c r="B81" s="91" t="s">
        <v>41</v>
      </c>
      <c r="C81" s="13"/>
      <c r="D81" s="13">
        <v>4258</v>
      </c>
      <c r="E81" s="13">
        <v>30</v>
      </c>
      <c r="F81" s="26">
        <f t="shared" si="7"/>
        <v>0.90000000000000036</v>
      </c>
      <c r="G81" s="24">
        <v>11</v>
      </c>
      <c r="H81" s="12">
        <v>11.9</v>
      </c>
      <c r="I81" s="2">
        <f>IF(IF(GroteHoogte!D81&gt;0,1,0)+IF(GroteHoogte!H81&gt;0,1,0)=2,1,0)</f>
        <v>1</v>
      </c>
      <c r="J81" s="29" t="s">
        <v>14</v>
      </c>
      <c r="K81" s="29">
        <v>729</v>
      </c>
      <c r="L81" s="29" t="s">
        <v>15</v>
      </c>
      <c r="M81" s="29" t="s">
        <v>16</v>
      </c>
      <c r="N81" s="32">
        <v>42593</v>
      </c>
      <c r="O81" s="29" t="s">
        <v>19</v>
      </c>
    </row>
    <row r="82" spans="1:16" x14ac:dyDescent="0.25">
      <c r="B82" s="91" t="s">
        <v>22</v>
      </c>
      <c r="C82" s="13">
        <v>21149</v>
      </c>
      <c r="D82" s="13">
        <v>4168</v>
      </c>
      <c r="E82" s="13">
        <v>30</v>
      </c>
      <c r="F82" s="26">
        <f t="shared" si="7"/>
        <v>-0.4012465828631484</v>
      </c>
      <c r="G82" s="24">
        <f>IF(GroteHoogte!D82&gt;0,Grafiek_kalibratiemetingen!$R$13*GroteHoogte!D82+Grafiek_kalibratiemetingen!$R$14,TRIM(""))</f>
        <v>12.301246582863149</v>
      </c>
      <c r="H82" s="12">
        <v>11.9</v>
      </c>
      <c r="I82" s="2">
        <f>IF(IF(GroteHoogte!D82&gt;0,1,0)+IF(GroteHoogte!H82&gt;0,1,0)=2,1,0)</f>
        <v>1</v>
      </c>
      <c r="J82" s="29" t="s">
        <v>14</v>
      </c>
      <c r="K82" s="29">
        <v>729</v>
      </c>
      <c r="L82" s="29" t="s">
        <v>15</v>
      </c>
      <c r="M82" s="29" t="s">
        <v>16</v>
      </c>
      <c r="N82" s="32">
        <v>42593</v>
      </c>
      <c r="O82" s="29" t="s">
        <v>19</v>
      </c>
    </row>
    <row r="83" spans="1:16" x14ac:dyDescent="0.25">
      <c r="A83" s="88">
        <v>547</v>
      </c>
      <c r="B83" s="91" t="s">
        <v>49</v>
      </c>
      <c r="C83" s="13"/>
      <c r="D83" s="13">
        <v>4465</v>
      </c>
      <c r="E83" s="13">
        <v>29</v>
      </c>
      <c r="F83" s="26">
        <f t="shared" si="7"/>
        <v>0.30000000000000071</v>
      </c>
      <c r="G83" s="24">
        <v>11.6</v>
      </c>
      <c r="H83" s="12">
        <v>11.9</v>
      </c>
      <c r="I83" s="2">
        <f>IF(IF(GroteHoogte!D83&gt;0,1,0)+IF(GroteHoogte!H83&gt;0,1,0)=2,1,0)</f>
        <v>1</v>
      </c>
      <c r="J83" s="29" t="s">
        <v>14</v>
      </c>
      <c r="K83" s="29">
        <v>729</v>
      </c>
      <c r="L83" s="29" t="s">
        <v>15</v>
      </c>
      <c r="M83" s="29" t="s">
        <v>16</v>
      </c>
      <c r="N83" s="32">
        <v>42593</v>
      </c>
      <c r="O83" s="29" t="s">
        <v>19</v>
      </c>
    </row>
    <row r="84" spans="1:16" x14ac:dyDescent="0.25">
      <c r="B84" s="91" t="s">
        <v>41</v>
      </c>
      <c r="C84" s="13"/>
      <c r="D84" s="13">
        <v>4386</v>
      </c>
      <c r="E84" s="13">
        <v>30</v>
      </c>
      <c r="F84" s="26">
        <f t="shared" si="7"/>
        <v>0.59999999999999964</v>
      </c>
      <c r="G84" s="24">
        <v>11.3</v>
      </c>
      <c r="H84" s="12">
        <v>11.9</v>
      </c>
      <c r="I84" s="2">
        <f>IF(IF(GroteHoogte!D84&gt;0,1,0)+IF(GroteHoogte!H84&gt;0,1,0)=2,1,0)</f>
        <v>1</v>
      </c>
      <c r="J84" s="29" t="s">
        <v>14</v>
      </c>
      <c r="K84" s="29">
        <v>729</v>
      </c>
      <c r="L84" s="29" t="s">
        <v>15</v>
      </c>
      <c r="M84" s="29" t="s">
        <v>16</v>
      </c>
      <c r="N84" s="32">
        <v>42593</v>
      </c>
      <c r="O84" s="29" t="s">
        <v>19</v>
      </c>
    </row>
    <row r="85" spans="1:16" x14ac:dyDescent="0.25">
      <c r="B85" s="91" t="s">
        <v>22</v>
      </c>
      <c r="C85" s="13">
        <v>21127</v>
      </c>
      <c r="D85" s="13">
        <v>4138</v>
      </c>
      <c r="E85" s="13">
        <v>30</v>
      </c>
      <c r="F85" s="26">
        <f t="shared" si="7"/>
        <v>-0.35841695131136397</v>
      </c>
      <c r="G85" s="24">
        <f>IF(GroteHoogte!D85&gt;0,Grafiek_kalibratiemetingen!$R$13*GroteHoogte!D85+Grafiek_kalibratiemetingen!$R$14,TRIM(""))</f>
        <v>12.258416951311364</v>
      </c>
      <c r="H85" s="12">
        <v>11.9</v>
      </c>
      <c r="I85" s="2">
        <f>IF(IF(GroteHoogte!D85&gt;0,1,0)+IF(GroteHoogte!H85&gt;0,1,0)=2,1,0)</f>
        <v>1</v>
      </c>
      <c r="J85" s="29" t="s">
        <v>14</v>
      </c>
      <c r="K85" s="29">
        <v>729</v>
      </c>
      <c r="L85" s="29" t="s">
        <v>15</v>
      </c>
      <c r="M85" s="29" t="s">
        <v>16</v>
      </c>
      <c r="N85" s="32">
        <v>42593</v>
      </c>
      <c r="O85" s="29" t="s">
        <v>19</v>
      </c>
    </row>
    <row r="86" spans="1:16" x14ac:dyDescent="0.25">
      <c r="A86" s="88">
        <v>548</v>
      </c>
      <c r="B86" s="91" t="s">
        <v>49</v>
      </c>
      <c r="C86" s="13"/>
      <c r="D86" s="13">
        <v>3559</v>
      </c>
      <c r="E86" s="13">
        <v>29</v>
      </c>
      <c r="F86" s="26">
        <f t="shared" si="7"/>
        <v>1.5</v>
      </c>
      <c r="G86" s="24">
        <v>9.8000000000000007</v>
      </c>
      <c r="H86" s="12">
        <v>11.3</v>
      </c>
      <c r="I86" s="2">
        <f>IF(IF(GroteHoogte!D86&gt;0,1,0)+IF(GroteHoogte!H86&gt;0,1,0)=2,1,0)</f>
        <v>1</v>
      </c>
      <c r="J86" s="29" t="s">
        <v>14</v>
      </c>
      <c r="K86" s="29">
        <v>729</v>
      </c>
      <c r="L86" s="29" t="s">
        <v>15</v>
      </c>
      <c r="M86" s="29" t="s">
        <v>16</v>
      </c>
      <c r="N86" s="32">
        <v>42593</v>
      </c>
      <c r="O86" s="29" t="s">
        <v>19</v>
      </c>
    </row>
    <row r="87" spans="1:16" x14ac:dyDescent="0.25">
      <c r="B87" s="91" t="s">
        <v>41</v>
      </c>
      <c r="C87" s="13"/>
      <c r="D87" s="13">
        <v>3532</v>
      </c>
      <c r="E87" s="13">
        <v>30</v>
      </c>
      <c r="F87" s="26">
        <f t="shared" si="7"/>
        <v>1.7000000000000011</v>
      </c>
      <c r="G87" s="24">
        <v>9.6</v>
      </c>
      <c r="H87" s="12">
        <v>11.3</v>
      </c>
      <c r="I87" s="2">
        <f>IF(IF(GroteHoogte!D87&gt;0,1,0)+IF(GroteHoogte!H87&gt;0,1,0)=2,1,0)</f>
        <v>1</v>
      </c>
      <c r="J87" s="29" t="s">
        <v>14</v>
      </c>
      <c r="K87" s="29">
        <v>729</v>
      </c>
      <c r="L87" s="29" t="s">
        <v>15</v>
      </c>
      <c r="M87" s="29" t="s">
        <v>16</v>
      </c>
      <c r="N87" s="32">
        <v>42593</v>
      </c>
      <c r="O87" s="29" t="s">
        <v>19</v>
      </c>
    </row>
    <row r="88" spans="1:16" x14ac:dyDescent="0.25">
      <c r="B88" s="91" t="s">
        <v>22</v>
      </c>
      <c r="C88" s="13">
        <v>21101</v>
      </c>
      <c r="D88" s="13">
        <v>3492</v>
      </c>
      <c r="E88" s="13">
        <v>30</v>
      </c>
      <c r="F88" s="26">
        <f t="shared" si="7"/>
        <v>-3.615221856292905E-2</v>
      </c>
      <c r="G88" s="24">
        <f>IF(GroteHoogte!D88&gt;0,Grafiek_kalibratiemetingen!$R$13*GroteHoogte!D88+Grafiek_kalibratiemetingen!$R$14,TRIM(""))</f>
        <v>11.33615221856293</v>
      </c>
      <c r="H88" s="12">
        <v>11.3</v>
      </c>
      <c r="I88" s="2">
        <f>IF(IF(GroteHoogte!D88&gt;0,1,0)+IF(GroteHoogte!H88&gt;0,1,0)=2,1,0)</f>
        <v>1</v>
      </c>
      <c r="J88" s="29" t="s">
        <v>14</v>
      </c>
      <c r="K88" s="29">
        <v>729</v>
      </c>
      <c r="L88" s="29" t="s">
        <v>15</v>
      </c>
      <c r="M88" s="29" t="s">
        <v>16</v>
      </c>
      <c r="N88" s="32">
        <v>42593</v>
      </c>
      <c r="O88" s="29" t="s">
        <v>19</v>
      </c>
    </row>
    <row r="89" spans="1:16" x14ac:dyDescent="0.25">
      <c r="A89" s="88">
        <v>545</v>
      </c>
      <c r="B89" s="91" t="s">
        <v>49</v>
      </c>
      <c r="C89" s="13"/>
      <c r="D89" s="13">
        <v>4135</v>
      </c>
      <c r="E89" s="13">
        <v>28</v>
      </c>
      <c r="F89" s="26">
        <f t="shared" si="7"/>
        <v>0.69999999999999929</v>
      </c>
      <c r="G89" s="24">
        <v>11</v>
      </c>
      <c r="H89" s="12">
        <v>11.7</v>
      </c>
      <c r="I89" s="2">
        <f>IF(IF(GroteHoogte!D89&gt;0,1,0)+IF(GroteHoogte!H89&gt;0,1,0)=2,1,0)</f>
        <v>1</v>
      </c>
      <c r="J89" s="29" t="s">
        <v>14</v>
      </c>
      <c r="K89" s="29">
        <v>729</v>
      </c>
      <c r="L89" s="29" t="s">
        <v>15</v>
      </c>
      <c r="M89" s="29" t="s">
        <v>16</v>
      </c>
      <c r="N89" s="32">
        <v>42593</v>
      </c>
      <c r="O89" s="29" t="s">
        <v>19</v>
      </c>
    </row>
    <row r="90" spans="1:16" x14ac:dyDescent="0.25">
      <c r="B90" s="91" t="s">
        <v>41</v>
      </c>
      <c r="C90" s="13"/>
      <c r="D90" s="13">
        <v>4083</v>
      </c>
      <c r="E90" s="13">
        <v>29</v>
      </c>
      <c r="F90" s="26">
        <f t="shared" si="7"/>
        <v>1</v>
      </c>
      <c r="G90" s="24">
        <v>10.7</v>
      </c>
      <c r="H90" s="12">
        <v>11.7</v>
      </c>
      <c r="I90" s="2">
        <f>IF(IF(GroteHoogte!D90&gt;0,1,0)+IF(GroteHoogte!H90&gt;0,1,0)=2,1,0)</f>
        <v>1</v>
      </c>
      <c r="J90" s="29" t="s">
        <v>14</v>
      </c>
      <c r="K90" s="29">
        <v>729</v>
      </c>
      <c r="L90" s="29" t="s">
        <v>15</v>
      </c>
      <c r="M90" s="29" t="s">
        <v>16</v>
      </c>
      <c r="N90" s="32">
        <v>42593</v>
      </c>
      <c r="O90" s="29" t="s">
        <v>19</v>
      </c>
    </row>
    <row r="91" spans="1:16" x14ac:dyDescent="0.25">
      <c r="B91" s="91" t="s">
        <v>22</v>
      </c>
      <c r="C91" s="13">
        <v>21139</v>
      </c>
      <c r="D91" s="13">
        <v>3946</v>
      </c>
      <c r="E91" s="13">
        <v>29</v>
      </c>
      <c r="F91" s="26">
        <f>IF(I91,H91-G91,TRIM(""))</f>
        <v>-0.2843073093799422</v>
      </c>
      <c r="G91" s="24">
        <f>IF(GroteHoogte!D91&gt;0,Grafiek_kalibratiemetingen!$R$13*GroteHoogte!D91+Grafiek_kalibratiemetingen!$R$14,TRIM(""))</f>
        <v>11.984307309379941</v>
      </c>
      <c r="H91" s="12">
        <v>11.7</v>
      </c>
      <c r="I91" s="2">
        <f>IF(IF(GroteHoogte!D91&gt;0,1,0)+IF(GroteHoogte!H91&gt;0,1,0)=2,1,0)</f>
        <v>1</v>
      </c>
      <c r="J91" s="29" t="s">
        <v>14</v>
      </c>
      <c r="K91" s="29">
        <v>729</v>
      </c>
      <c r="L91" s="29" t="s">
        <v>15</v>
      </c>
      <c r="M91" s="29" t="s">
        <v>16</v>
      </c>
      <c r="N91" s="32">
        <v>42593</v>
      </c>
      <c r="O91" s="29" t="s">
        <v>19</v>
      </c>
    </row>
    <row r="92" spans="1:16" ht="45" x14ac:dyDescent="0.25">
      <c r="A92" s="20" t="s">
        <v>0</v>
      </c>
      <c r="B92" s="23" t="s">
        <v>3</v>
      </c>
      <c r="C92" s="19" t="s">
        <v>4</v>
      </c>
      <c r="D92" s="19" t="s">
        <v>5</v>
      </c>
      <c r="E92" s="19" t="s">
        <v>6</v>
      </c>
      <c r="F92" s="25" t="s">
        <v>107</v>
      </c>
      <c r="G92" s="22" t="s">
        <v>83</v>
      </c>
      <c r="H92" s="21" t="s">
        <v>219</v>
      </c>
      <c r="I92" s="21" t="s">
        <v>108</v>
      </c>
      <c r="J92" s="23" t="s">
        <v>7</v>
      </c>
      <c r="K92" s="23" t="s">
        <v>8</v>
      </c>
      <c r="L92" s="23" t="s">
        <v>9</v>
      </c>
      <c r="M92" s="23" t="s">
        <v>10</v>
      </c>
      <c r="N92" s="23" t="s">
        <v>11</v>
      </c>
      <c r="O92" s="23" t="s">
        <v>12</v>
      </c>
      <c r="P92" s="23" t="s">
        <v>13</v>
      </c>
    </row>
    <row r="93" spans="1:16" x14ac:dyDescent="0.25">
      <c r="A93">
        <v>10526</v>
      </c>
      <c r="B93" s="91" t="s">
        <v>49</v>
      </c>
      <c r="D93" s="13">
        <v>4867</v>
      </c>
      <c r="E93" s="13">
        <v>25</v>
      </c>
      <c r="F93" s="26">
        <f>IF(I93,H93-G93,TRIM(""))</f>
        <v>0.15000000000000036</v>
      </c>
      <c r="G93">
        <v>12.5</v>
      </c>
      <c r="H93" s="12">
        <v>12.65</v>
      </c>
      <c r="I93" s="2">
        <f>IF(IF(GroteHoogte!D93&gt;0,1,0)+IF(GroteHoogte!H93&gt;0,1,0)=2,1,0)</f>
        <v>1</v>
      </c>
      <c r="J93" s="29" t="s">
        <v>222</v>
      </c>
      <c r="K93" s="29">
        <v>1820</v>
      </c>
      <c r="L93" s="29" t="s">
        <v>15</v>
      </c>
      <c r="M93" s="29" t="s">
        <v>16</v>
      </c>
      <c r="N93" s="93">
        <v>42594</v>
      </c>
      <c r="O93" s="29" t="s">
        <v>220</v>
      </c>
      <c r="P93" s="29" t="s">
        <v>221</v>
      </c>
    </row>
    <row r="94" spans="1:16" x14ac:dyDescent="0.25">
      <c r="B94" s="91" t="s">
        <v>41</v>
      </c>
      <c r="D94" s="13">
        <v>4878</v>
      </c>
      <c r="E94" s="13">
        <v>24</v>
      </c>
      <c r="F94" s="26">
        <f>IF(I94,H94-G94,TRIM(""))</f>
        <v>0.34999999999999964</v>
      </c>
      <c r="G94" s="24">
        <v>12.3</v>
      </c>
      <c r="H94" s="12">
        <v>12.65</v>
      </c>
      <c r="I94" s="2">
        <f>IF(IF(GroteHoogte!D94&gt;0,1,0)+IF(GroteHoogte!H94&gt;0,1,0)=2,1,0)</f>
        <v>1</v>
      </c>
      <c r="J94" s="29" t="s">
        <v>222</v>
      </c>
      <c r="K94" s="29">
        <v>1820</v>
      </c>
      <c r="L94" s="29" t="s">
        <v>15</v>
      </c>
      <c r="M94" s="29" t="s">
        <v>16</v>
      </c>
      <c r="N94" s="93">
        <v>42594</v>
      </c>
      <c r="O94" s="29" t="s">
        <v>220</v>
      </c>
    </row>
    <row r="95" spans="1:16" x14ac:dyDescent="0.25">
      <c r="B95" s="91" t="s">
        <v>22</v>
      </c>
      <c r="C95">
        <v>20996</v>
      </c>
      <c r="D95">
        <v>4531</v>
      </c>
      <c r="E95">
        <v>24</v>
      </c>
      <c r="F95" s="26">
        <f t="shared" ref="F95:F119" si="8">IF(I95,H95-G95,TRIM(""))</f>
        <v>-0.16948512463974552</v>
      </c>
      <c r="G95" s="24">
        <f>IF(GroteHoogte!D95&gt;0,Grafiek_kalibratiemetingen!$R$13*GroteHoogte!D95+Grafiek_kalibratiemetingen!$R$14,TRIM(""))</f>
        <v>12.819485124639746</v>
      </c>
      <c r="H95">
        <v>12.65</v>
      </c>
      <c r="I95" s="2">
        <f>IF(IF(GroteHoogte!D95&gt;0,1,0)+IF(GroteHoogte!H95&gt;0,1,0)=2,1,0)</f>
        <v>1</v>
      </c>
      <c r="J95" s="29" t="s">
        <v>222</v>
      </c>
      <c r="K95" s="29">
        <v>1820</v>
      </c>
      <c r="L95" s="29" t="s">
        <v>15</v>
      </c>
      <c r="M95" s="29" t="s">
        <v>16</v>
      </c>
      <c r="N95" s="93">
        <v>42594</v>
      </c>
      <c r="O95" s="29" t="s">
        <v>220</v>
      </c>
    </row>
    <row r="96" spans="1:16" x14ac:dyDescent="0.25">
      <c r="A96" s="88">
        <v>10525</v>
      </c>
      <c r="B96" s="91" t="s">
        <v>49</v>
      </c>
      <c r="D96">
        <v>5052</v>
      </c>
      <c r="E96">
        <v>26</v>
      </c>
      <c r="F96" s="26">
        <f t="shared" si="8"/>
        <v>0.73999999999999844</v>
      </c>
      <c r="G96" s="24">
        <v>12.8</v>
      </c>
      <c r="H96">
        <v>13.54</v>
      </c>
      <c r="I96" s="2">
        <f>IF(IF(GroteHoogte!D96&gt;0,1,0)+IF(GroteHoogte!H96&gt;0,1,0)=2,1,0)</f>
        <v>1</v>
      </c>
      <c r="J96" s="29" t="s">
        <v>222</v>
      </c>
      <c r="K96" s="29">
        <v>1820</v>
      </c>
      <c r="L96" s="29" t="s">
        <v>15</v>
      </c>
      <c r="M96" s="29" t="s">
        <v>16</v>
      </c>
      <c r="N96" s="93">
        <v>42594</v>
      </c>
      <c r="O96" s="29" t="s">
        <v>220</v>
      </c>
      <c r="P96" t="s">
        <v>223</v>
      </c>
    </row>
    <row r="97" spans="1:16" x14ac:dyDescent="0.25">
      <c r="B97" s="91" t="s">
        <v>41</v>
      </c>
      <c r="D97">
        <v>5141</v>
      </c>
      <c r="E97">
        <v>25</v>
      </c>
      <c r="F97" s="26">
        <f t="shared" si="8"/>
        <v>0.73999999999999844</v>
      </c>
      <c r="G97" s="24">
        <v>12.8</v>
      </c>
      <c r="H97">
        <v>13.54</v>
      </c>
      <c r="I97" s="2">
        <f>IF(IF(GroteHoogte!D97&gt;0,1,0)+IF(GroteHoogte!H97&gt;0,1,0)=2,1,0)</f>
        <v>1</v>
      </c>
      <c r="J97" s="29" t="s">
        <v>222</v>
      </c>
      <c r="K97" s="29">
        <v>1820</v>
      </c>
      <c r="L97" s="29" t="s">
        <v>15</v>
      </c>
      <c r="M97" s="29" t="s">
        <v>16</v>
      </c>
      <c r="N97" s="93">
        <v>42594</v>
      </c>
      <c r="O97" s="29" t="s">
        <v>220</v>
      </c>
    </row>
    <row r="98" spans="1:16" x14ac:dyDescent="0.25">
      <c r="B98" s="91" t="s">
        <v>22</v>
      </c>
      <c r="C98">
        <v>20904</v>
      </c>
      <c r="D98">
        <v>4801</v>
      </c>
      <c r="E98">
        <v>25</v>
      </c>
      <c r="F98" s="26">
        <f t="shared" si="8"/>
        <v>0.33504819139418984</v>
      </c>
      <c r="G98" s="24">
        <f>IF(GroteHoogte!D98&gt;0,Grafiek_kalibratiemetingen!$R$13*GroteHoogte!D98+Grafiek_kalibratiemetingen!$R$14,TRIM(""))</f>
        <v>13.204951808605809</v>
      </c>
      <c r="H98">
        <v>13.54</v>
      </c>
      <c r="I98" s="2">
        <f>IF(IF(GroteHoogte!D98&gt;0,1,0)+IF(GroteHoogte!H98&gt;0,1,0)=2,1,0)</f>
        <v>1</v>
      </c>
      <c r="J98" s="29" t="s">
        <v>222</v>
      </c>
      <c r="K98" s="29">
        <v>1820</v>
      </c>
      <c r="L98" s="29" t="s">
        <v>15</v>
      </c>
      <c r="M98" s="29" t="s">
        <v>16</v>
      </c>
      <c r="N98" s="93">
        <v>42594</v>
      </c>
      <c r="O98" s="29" t="s">
        <v>220</v>
      </c>
    </row>
    <row r="99" spans="1:16" x14ac:dyDescent="0.25">
      <c r="A99">
        <v>542</v>
      </c>
      <c r="B99" s="91" t="s">
        <v>49</v>
      </c>
      <c r="D99">
        <v>3418</v>
      </c>
      <c r="E99">
        <v>26</v>
      </c>
      <c r="F99" s="26">
        <f t="shared" si="8"/>
        <v>1.5299999999999994</v>
      </c>
      <c r="G99" s="24">
        <v>9.5</v>
      </c>
      <c r="H99">
        <v>11.03</v>
      </c>
      <c r="I99" s="2">
        <f>IF(IF(GroteHoogte!D99&gt;0,1,0)+IF(GroteHoogte!H99&gt;0,1,0)=2,1,0)</f>
        <v>1</v>
      </c>
      <c r="J99" s="29" t="s">
        <v>222</v>
      </c>
      <c r="K99" s="29">
        <v>1820</v>
      </c>
      <c r="L99" s="29" t="s">
        <v>15</v>
      </c>
      <c r="M99" s="29" t="s">
        <v>16</v>
      </c>
      <c r="N99" s="93">
        <v>42594</v>
      </c>
      <c r="O99" s="29" t="s">
        <v>220</v>
      </c>
      <c r="P99" t="s">
        <v>224</v>
      </c>
    </row>
    <row r="100" spans="1:16" x14ac:dyDescent="0.25">
      <c r="B100" s="91" t="s">
        <v>41</v>
      </c>
      <c r="D100">
        <v>3379</v>
      </c>
      <c r="E100">
        <v>26</v>
      </c>
      <c r="F100" s="26">
        <f t="shared" si="8"/>
        <v>1.7299999999999986</v>
      </c>
      <c r="G100" s="24">
        <v>9.3000000000000007</v>
      </c>
      <c r="H100">
        <v>11.03</v>
      </c>
      <c r="I100" s="2">
        <f>IF(IF(GroteHoogte!D100&gt;0,1,0)+IF(GroteHoogte!H100&gt;0,1,0)=2,1,0)</f>
        <v>1</v>
      </c>
      <c r="J100" s="29" t="s">
        <v>222</v>
      </c>
      <c r="K100" s="29">
        <v>1820</v>
      </c>
      <c r="L100" s="29" t="s">
        <v>15</v>
      </c>
      <c r="M100" s="29" t="s">
        <v>16</v>
      </c>
      <c r="N100" s="93">
        <v>42594</v>
      </c>
      <c r="O100" s="29" t="s">
        <v>220</v>
      </c>
    </row>
    <row r="101" spans="1:16" x14ac:dyDescent="0.25">
      <c r="B101" s="91" t="s">
        <v>22</v>
      </c>
      <c r="C101">
        <v>20929</v>
      </c>
      <c r="D101">
        <v>3169</v>
      </c>
      <c r="E101">
        <v>25</v>
      </c>
      <c r="F101" s="26">
        <f t="shared" si="8"/>
        <v>0.15498014781128511</v>
      </c>
      <c r="G101" s="24">
        <f>IF(GroteHoogte!D101&gt;0,Grafiek_kalibratiemetingen!$R$13*GroteHoogte!D101+Grafiek_kalibratiemetingen!$R$14,TRIM(""))</f>
        <v>10.875019852188714</v>
      </c>
      <c r="H101">
        <v>11.03</v>
      </c>
      <c r="I101" s="2">
        <f>IF(IF(GroteHoogte!D101&gt;0,1,0)+IF(GroteHoogte!H101&gt;0,1,0)=2,1,0)</f>
        <v>1</v>
      </c>
      <c r="J101" s="29" t="s">
        <v>222</v>
      </c>
      <c r="K101" s="29">
        <v>1820</v>
      </c>
      <c r="L101" s="29" t="s">
        <v>15</v>
      </c>
      <c r="M101" s="29" t="s">
        <v>16</v>
      </c>
      <c r="N101" s="93">
        <v>42594</v>
      </c>
      <c r="O101" s="29" t="s">
        <v>220</v>
      </c>
    </row>
    <row r="102" spans="1:16" x14ac:dyDescent="0.25">
      <c r="A102">
        <v>540</v>
      </c>
      <c r="B102" s="91" t="s">
        <v>49</v>
      </c>
      <c r="D102">
        <v>2282</v>
      </c>
      <c r="E102">
        <v>26</v>
      </c>
      <c r="F102" s="26">
        <f t="shared" si="8"/>
        <v>3.13</v>
      </c>
      <c r="G102" s="24">
        <v>7.2</v>
      </c>
      <c r="H102">
        <v>10.33</v>
      </c>
      <c r="I102" s="2">
        <f>IF(IF(GroteHoogte!D102&gt;0,1,0)+IF(GroteHoogte!H102&gt;0,1,0)=2,1,0)</f>
        <v>1</v>
      </c>
      <c r="J102" s="29" t="s">
        <v>222</v>
      </c>
      <c r="K102" s="29">
        <v>1820</v>
      </c>
      <c r="L102" s="29" t="s">
        <v>15</v>
      </c>
      <c r="M102" s="29" t="s">
        <v>16</v>
      </c>
      <c r="N102" s="93">
        <v>42594</v>
      </c>
      <c r="O102" s="29" t="s">
        <v>220</v>
      </c>
      <c r="P102" t="s">
        <v>224</v>
      </c>
    </row>
    <row r="103" spans="1:16" x14ac:dyDescent="0.25">
      <c r="B103" s="91" t="s">
        <v>41</v>
      </c>
      <c r="D103">
        <v>2261</v>
      </c>
      <c r="E103">
        <v>26</v>
      </c>
      <c r="F103" s="26">
        <f t="shared" si="8"/>
        <v>3.33</v>
      </c>
      <c r="G103" s="24">
        <v>7</v>
      </c>
      <c r="H103">
        <v>10.33</v>
      </c>
      <c r="I103" s="2">
        <f>IF(IF(GroteHoogte!D103&gt;0,1,0)+IF(GroteHoogte!H103&gt;0,1,0)=2,1,0)</f>
        <v>1</v>
      </c>
      <c r="J103" s="29" t="s">
        <v>222</v>
      </c>
      <c r="K103" s="29">
        <v>1820</v>
      </c>
      <c r="L103" s="29" t="s">
        <v>15</v>
      </c>
      <c r="M103" s="29" t="s">
        <v>16</v>
      </c>
      <c r="N103" s="93">
        <v>42594</v>
      </c>
      <c r="O103" s="29" t="s">
        <v>220</v>
      </c>
    </row>
    <row r="104" spans="1:16" x14ac:dyDescent="0.25">
      <c r="B104" s="91" t="s">
        <v>22</v>
      </c>
      <c r="C104">
        <v>20916</v>
      </c>
      <c r="D104">
        <v>2129</v>
      </c>
      <c r="E104">
        <v>25</v>
      </c>
      <c r="F104" s="26">
        <f t="shared" si="8"/>
        <v>0.93974070827316147</v>
      </c>
      <c r="G104" s="24">
        <f>IF(GroteHoogte!D104&gt;0,Grafiek_kalibratiemetingen!$R$13*GroteHoogte!D104+Grafiek_kalibratiemetingen!$R$14,TRIM(""))</f>
        <v>9.3902592917268386</v>
      </c>
      <c r="H104">
        <v>10.33</v>
      </c>
      <c r="I104" s="2">
        <f>IF(IF(GroteHoogte!D104&gt;0,1,0)+IF(GroteHoogte!H104&gt;0,1,0)=2,1,0)</f>
        <v>1</v>
      </c>
      <c r="J104" s="29" t="s">
        <v>222</v>
      </c>
      <c r="K104" s="29">
        <v>1820</v>
      </c>
      <c r="L104" s="29" t="s">
        <v>15</v>
      </c>
      <c r="M104" s="29" t="s">
        <v>16</v>
      </c>
      <c r="N104" s="93">
        <v>42594</v>
      </c>
      <c r="O104" s="29" t="s">
        <v>220</v>
      </c>
    </row>
    <row r="105" spans="1:16" x14ac:dyDescent="0.25">
      <c r="A105">
        <v>10520</v>
      </c>
      <c r="B105" s="91" t="s">
        <v>49</v>
      </c>
      <c r="D105">
        <v>4713</v>
      </c>
      <c r="E105">
        <v>26</v>
      </c>
      <c r="F105" s="26">
        <f t="shared" si="8"/>
        <v>-8.9999999999999858E-2</v>
      </c>
      <c r="G105" s="24">
        <v>12.2</v>
      </c>
      <c r="H105">
        <v>12.11</v>
      </c>
      <c r="I105" s="2">
        <f>IF(IF(GroteHoogte!D105&gt;0,1,0)+IF(GroteHoogte!H105&gt;0,1,0)=2,1,0)</f>
        <v>1</v>
      </c>
      <c r="J105" s="29" t="s">
        <v>222</v>
      </c>
      <c r="K105" s="29">
        <v>1820</v>
      </c>
      <c r="L105" s="29" t="s">
        <v>15</v>
      </c>
      <c r="M105" s="29" t="s">
        <v>16</v>
      </c>
      <c r="N105" s="93">
        <v>42594</v>
      </c>
      <c r="O105" s="29" t="s">
        <v>220</v>
      </c>
      <c r="P105" t="s">
        <v>225</v>
      </c>
    </row>
    <row r="106" spans="1:16" x14ac:dyDescent="0.25">
      <c r="B106" s="91" t="s">
        <v>41</v>
      </c>
      <c r="D106">
        <v>4623</v>
      </c>
      <c r="E106">
        <v>26</v>
      </c>
      <c r="F106" s="26">
        <f t="shared" si="8"/>
        <v>0.30999999999999872</v>
      </c>
      <c r="G106" s="24">
        <v>11.8</v>
      </c>
      <c r="H106">
        <v>12.11</v>
      </c>
      <c r="I106" s="2">
        <f>IF(IF(GroteHoogte!D106&gt;0,1,0)+IF(GroteHoogte!H106&gt;0,1,0)=2,1,0)</f>
        <v>1</v>
      </c>
      <c r="J106" s="29" t="s">
        <v>222</v>
      </c>
      <c r="K106" s="29">
        <v>1820</v>
      </c>
      <c r="L106" s="29" t="s">
        <v>15</v>
      </c>
      <c r="M106" s="29" t="s">
        <v>16</v>
      </c>
      <c r="N106" s="93">
        <v>42594</v>
      </c>
      <c r="O106" s="29" t="s">
        <v>220</v>
      </c>
    </row>
    <row r="107" spans="1:16" x14ac:dyDescent="0.25">
      <c r="B107" s="91" t="s">
        <v>22</v>
      </c>
      <c r="C107">
        <v>20919</v>
      </c>
      <c r="D107">
        <v>4390</v>
      </c>
      <c r="E107">
        <v>25</v>
      </c>
      <c r="F107" s="26">
        <f t="shared" si="8"/>
        <v>-0.50818585634635838</v>
      </c>
      <c r="G107" s="24">
        <f>IF(GroteHoogte!D107&gt;0,Grafiek_kalibratiemetingen!$R$13*GroteHoogte!D107+Grafiek_kalibratiemetingen!$R$14,TRIM(""))</f>
        <v>12.618185856346358</v>
      </c>
      <c r="H107">
        <v>12.11</v>
      </c>
      <c r="I107" s="2">
        <f>IF(IF(GroteHoogte!D107&gt;0,1,0)+IF(GroteHoogte!H107&gt;0,1,0)=2,1,0)</f>
        <v>1</v>
      </c>
      <c r="J107" s="29" t="s">
        <v>222</v>
      </c>
      <c r="K107" s="29">
        <v>1820</v>
      </c>
      <c r="L107" s="29" t="s">
        <v>15</v>
      </c>
      <c r="M107" s="29" t="s">
        <v>16</v>
      </c>
      <c r="N107" s="93">
        <v>42594</v>
      </c>
      <c r="O107" s="29" t="s">
        <v>220</v>
      </c>
    </row>
    <row r="108" spans="1:16" x14ac:dyDescent="0.25">
      <c r="A108">
        <v>10519</v>
      </c>
      <c r="B108" s="91" t="s">
        <v>49</v>
      </c>
      <c r="D108">
        <v>3922</v>
      </c>
      <c r="E108">
        <v>25</v>
      </c>
      <c r="F108" s="26">
        <f t="shared" si="8"/>
        <v>0.92999999999999972</v>
      </c>
      <c r="G108" s="24">
        <v>10.5</v>
      </c>
      <c r="H108">
        <v>11.43</v>
      </c>
      <c r="I108" s="2">
        <f>IF(IF(GroteHoogte!D108&gt;0,1,0)+IF(GroteHoogte!H108&gt;0,1,0)=2,1,0)</f>
        <v>1</v>
      </c>
      <c r="J108" s="29" t="s">
        <v>222</v>
      </c>
      <c r="K108" s="29">
        <v>1820</v>
      </c>
      <c r="L108" s="29" t="s">
        <v>15</v>
      </c>
      <c r="M108" s="29" t="s">
        <v>16</v>
      </c>
      <c r="N108" s="93">
        <v>42594</v>
      </c>
      <c r="O108" s="29" t="s">
        <v>220</v>
      </c>
      <c r="P108" t="s">
        <v>226</v>
      </c>
    </row>
    <row r="109" spans="1:16" x14ac:dyDescent="0.25">
      <c r="B109" s="91" t="s">
        <v>41</v>
      </c>
      <c r="D109">
        <v>3816</v>
      </c>
      <c r="E109">
        <v>26</v>
      </c>
      <c r="F109" s="26">
        <f t="shared" si="8"/>
        <v>1.2300000000000004</v>
      </c>
      <c r="G109" s="24">
        <v>10.199999999999999</v>
      </c>
      <c r="H109">
        <v>11.43</v>
      </c>
      <c r="I109" s="2">
        <f>IF(IF(GroteHoogte!D109&gt;0,1,0)+IF(GroteHoogte!H109&gt;0,1,0)=2,1,0)</f>
        <v>1</v>
      </c>
      <c r="J109" s="29" t="s">
        <v>222</v>
      </c>
      <c r="K109" s="29">
        <v>1820</v>
      </c>
      <c r="L109" s="29" t="s">
        <v>15</v>
      </c>
      <c r="M109" s="29" t="s">
        <v>16</v>
      </c>
      <c r="N109" s="93">
        <v>42594</v>
      </c>
      <c r="O109" s="29" t="s">
        <v>220</v>
      </c>
    </row>
    <row r="110" spans="1:16" x14ac:dyDescent="0.25">
      <c r="B110" s="91" t="s">
        <v>22</v>
      </c>
      <c r="C110">
        <v>20917</v>
      </c>
      <c r="D110">
        <v>3653</v>
      </c>
      <c r="E110">
        <v>25</v>
      </c>
      <c r="F110" s="26">
        <f t="shared" si="8"/>
        <v>-0.13600457455750892</v>
      </c>
      <c r="G110" s="24">
        <f>IF(GroteHoogte!D110&gt;0,Grafiek_kalibratiemetingen!$R$13*GroteHoogte!D110+Grafiek_kalibratiemetingen!$R$14,TRIM(""))</f>
        <v>11.566004574557509</v>
      </c>
      <c r="H110">
        <v>11.43</v>
      </c>
      <c r="I110" s="2">
        <f>IF(IF(GroteHoogte!D110&gt;0,1,0)+IF(GroteHoogte!H110&gt;0,1,0)=2,1,0)</f>
        <v>1</v>
      </c>
      <c r="J110" s="29" t="s">
        <v>222</v>
      </c>
      <c r="K110" s="29">
        <v>1820</v>
      </c>
      <c r="L110" s="29" t="s">
        <v>15</v>
      </c>
      <c r="M110" s="29" t="s">
        <v>16</v>
      </c>
      <c r="N110" s="93">
        <v>42594</v>
      </c>
      <c r="O110" s="29" t="s">
        <v>220</v>
      </c>
    </row>
    <row r="111" spans="1:16" x14ac:dyDescent="0.25">
      <c r="A111">
        <v>547</v>
      </c>
      <c r="B111" s="91" t="s">
        <v>49</v>
      </c>
      <c r="D111">
        <v>3837</v>
      </c>
      <c r="E111">
        <v>25</v>
      </c>
      <c r="F111" s="26">
        <f t="shared" si="8"/>
        <v>1</v>
      </c>
      <c r="G111" s="24">
        <v>10.4</v>
      </c>
      <c r="H111">
        <v>11.4</v>
      </c>
      <c r="I111" s="2">
        <f>IF(IF(GroteHoogte!D111&gt;0,1,0)+IF(GroteHoogte!H111&gt;0,1,0)=2,1,0)</f>
        <v>1</v>
      </c>
      <c r="J111" s="29" t="s">
        <v>222</v>
      </c>
      <c r="K111" s="29">
        <v>1820</v>
      </c>
      <c r="L111" s="29" t="s">
        <v>15</v>
      </c>
      <c r="M111" s="29" t="s">
        <v>16</v>
      </c>
      <c r="N111" s="93">
        <v>42594</v>
      </c>
      <c r="O111" s="29" t="s">
        <v>220</v>
      </c>
      <c r="P111" t="s">
        <v>226</v>
      </c>
    </row>
    <row r="112" spans="1:16" x14ac:dyDescent="0.25">
      <c r="B112" s="91" t="s">
        <v>41</v>
      </c>
      <c r="D112">
        <v>3851</v>
      </c>
      <c r="E112">
        <v>25</v>
      </c>
      <c r="F112" s="26">
        <f t="shared" si="8"/>
        <v>1.2000000000000011</v>
      </c>
      <c r="G112" s="24">
        <v>10.199999999999999</v>
      </c>
      <c r="H112">
        <v>11.4</v>
      </c>
      <c r="I112" s="2">
        <f>IF(IF(GroteHoogte!D112&gt;0,1,0)+IF(GroteHoogte!H112&gt;0,1,0)=2,1,0)</f>
        <v>1</v>
      </c>
      <c r="J112" s="29" t="s">
        <v>222</v>
      </c>
      <c r="K112" s="29">
        <v>1820</v>
      </c>
      <c r="L112" s="29" t="s">
        <v>15</v>
      </c>
      <c r="M112" s="29" t="s">
        <v>16</v>
      </c>
      <c r="N112" s="93">
        <v>42594</v>
      </c>
      <c r="O112" s="29" t="s">
        <v>220</v>
      </c>
    </row>
    <row r="113" spans="1:16" x14ac:dyDescent="0.25">
      <c r="B113" s="91" t="s">
        <v>22</v>
      </c>
      <c r="C113">
        <v>20909</v>
      </c>
      <c r="D113">
        <v>3643</v>
      </c>
      <c r="E113">
        <v>25</v>
      </c>
      <c r="F113" s="26">
        <f t="shared" si="8"/>
        <v>-0.15172803070691465</v>
      </c>
      <c r="G113" s="24">
        <f>IF(GroteHoogte!D113&gt;0,Grafiek_kalibratiemetingen!$R$13*GroteHoogte!D113+Grafiek_kalibratiemetingen!$R$14,TRIM(""))</f>
        <v>11.551728030706915</v>
      </c>
      <c r="H113">
        <v>11.4</v>
      </c>
      <c r="I113" s="2">
        <f>IF(IF(GroteHoogte!D113&gt;0,1,0)+IF(GroteHoogte!H113&gt;0,1,0)=2,1,0)</f>
        <v>1</v>
      </c>
      <c r="J113" s="29" t="s">
        <v>222</v>
      </c>
      <c r="K113" s="29">
        <v>1820</v>
      </c>
      <c r="L113" s="29" t="s">
        <v>15</v>
      </c>
      <c r="M113" s="29" t="s">
        <v>16</v>
      </c>
      <c r="N113" s="93">
        <v>42594</v>
      </c>
      <c r="O113" s="29" t="s">
        <v>220</v>
      </c>
    </row>
    <row r="114" spans="1:16" x14ac:dyDescent="0.25">
      <c r="A114">
        <v>548</v>
      </c>
      <c r="B114" s="91" t="s">
        <v>49</v>
      </c>
      <c r="D114">
        <v>3195</v>
      </c>
      <c r="E114">
        <v>25</v>
      </c>
      <c r="F114" s="26">
        <f t="shared" si="8"/>
        <v>1.8699999999999992</v>
      </c>
      <c r="G114" s="24">
        <v>9</v>
      </c>
      <c r="H114">
        <v>10.87</v>
      </c>
      <c r="I114" s="2">
        <f>IF(IF(GroteHoogte!D114&gt;0,1,0)+IF(GroteHoogte!H114&gt;0,1,0)=2,1,0)</f>
        <v>1</v>
      </c>
      <c r="J114" t="s">
        <v>228</v>
      </c>
      <c r="K114" s="29">
        <v>1820</v>
      </c>
      <c r="L114" s="29" t="s">
        <v>15</v>
      </c>
      <c r="M114" s="29" t="s">
        <v>16</v>
      </c>
      <c r="N114" s="93">
        <v>42594</v>
      </c>
      <c r="O114" s="29" t="s">
        <v>229</v>
      </c>
      <c r="P114" t="s">
        <v>227</v>
      </c>
    </row>
    <row r="115" spans="1:16" x14ac:dyDescent="0.25">
      <c r="B115" s="91" t="s">
        <v>41</v>
      </c>
      <c r="D115">
        <v>2911</v>
      </c>
      <c r="E115">
        <v>24</v>
      </c>
      <c r="F115" s="26">
        <f t="shared" si="8"/>
        <v>2.5699999999999985</v>
      </c>
      <c r="G115" s="24">
        <v>8.3000000000000007</v>
      </c>
      <c r="H115">
        <v>10.87</v>
      </c>
      <c r="I115" s="2">
        <f>IF(IF(GroteHoogte!D115&gt;0,1,0)+IF(GroteHoogte!H115&gt;0,1,0)=2,1,0)</f>
        <v>1</v>
      </c>
      <c r="J115" t="s">
        <v>228</v>
      </c>
      <c r="K115" s="29">
        <v>1820</v>
      </c>
      <c r="L115" s="29" t="s">
        <v>15</v>
      </c>
      <c r="M115" s="29" t="s">
        <v>16</v>
      </c>
      <c r="N115" s="93">
        <v>42594</v>
      </c>
      <c r="O115" s="29" t="s">
        <v>229</v>
      </c>
    </row>
    <row r="116" spans="1:16" x14ac:dyDescent="0.25">
      <c r="B116" s="91" t="s">
        <v>22</v>
      </c>
      <c r="C116">
        <v>20866</v>
      </c>
      <c r="D116">
        <v>2823</v>
      </c>
      <c r="E116">
        <v>24</v>
      </c>
      <c r="F116" s="26">
        <f t="shared" si="8"/>
        <v>0.48894856504187167</v>
      </c>
      <c r="G116" s="24">
        <f>IF(GroteHoogte!D116&gt;0,Grafiek_kalibratiemetingen!$R$13*GroteHoogte!D116+Grafiek_kalibratiemetingen!$R$14,TRIM(""))</f>
        <v>10.381051434958128</v>
      </c>
      <c r="H116">
        <v>10.87</v>
      </c>
      <c r="I116" s="2">
        <f>IF(IF(GroteHoogte!D116&gt;0,1,0)+IF(GroteHoogte!H116&gt;0,1,0)=2,1,0)</f>
        <v>1</v>
      </c>
      <c r="J116" t="s">
        <v>228</v>
      </c>
      <c r="K116" s="29">
        <v>1820</v>
      </c>
      <c r="L116" s="29" t="s">
        <v>15</v>
      </c>
      <c r="M116" s="29" t="s">
        <v>16</v>
      </c>
      <c r="N116" s="93">
        <v>42594</v>
      </c>
      <c r="O116" s="29" t="s">
        <v>229</v>
      </c>
    </row>
    <row r="117" spans="1:16" x14ac:dyDescent="0.25">
      <c r="A117">
        <v>545</v>
      </c>
      <c r="B117" s="91" t="s">
        <v>49</v>
      </c>
      <c r="D117">
        <v>3659</v>
      </c>
      <c r="E117">
        <v>25</v>
      </c>
      <c r="F117" s="26">
        <f t="shared" si="8"/>
        <v>1.2400000000000002</v>
      </c>
      <c r="G117" s="24">
        <v>10</v>
      </c>
      <c r="H117">
        <v>11.24</v>
      </c>
      <c r="I117" s="2">
        <f>IF(IF(GroteHoogte!D117&gt;0,1,0)+IF(GroteHoogte!H117&gt;0,1,0)=2,1,0)</f>
        <v>1</v>
      </c>
      <c r="J117" t="s">
        <v>228</v>
      </c>
      <c r="K117" s="29">
        <v>1820</v>
      </c>
      <c r="L117" s="29" t="s">
        <v>15</v>
      </c>
      <c r="M117" s="29" t="s">
        <v>16</v>
      </c>
      <c r="N117" s="93">
        <v>42594</v>
      </c>
      <c r="O117" s="29" t="s">
        <v>229</v>
      </c>
      <c r="P117" t="s">
        <v>224</v>
      </c>
    </row>
    <row r="118" spans="1:16" x14ac:dyDescent="0.25">
      <c r="B118" s="91" t="s">
        <v>41</v>
      </c>
      <c r="D118">
        <v>3576</v>
      </c>
      <c r="E118">
        <v>23</v>
      </c>
      <c r="F118" s="26">
        <f t="shared" si="8"/>
        <v>1.5400000000000009</v>
      </c>
      <c r="G118" s="24">
        <v>9.6999999999999993</v>
      </c>
      <c r="H118">
        <v>11.24</v>
      </c>
      <c r="I118" s="2">
        <f>IF(IF(GroteHoogte!D118&gt;0,1,0)+IF(GroteHoogte!H118&gt;0,1,0)=2,1,0)</f>
        <v>1</v>
      </c>
      <c r="J118" t="s">
        <v>228</v>
      </c>
      <c r="K118" s="29">
        <v>1820</v>
      </c>
      <c r="L118" s="29" t="s">
        <v>15</v>
      </c>
      <c r="M118" s="29" t="s">
        <v>16</v>
      </c>
      <c r="N118" s="93">
        <v>42594</v>
      </c>
      <c r="O118" s="29" t="s">
        <v>229</v>
      </c>
    </row>
    <row r="119" spans="1:16" x14ac:dyDescent="0.25">
      <c r="B119" s="91" t="s">
        <v>22</v>
      </c>
      <c r="C119">
        <v>20880</v>
      </c>
      <c r="D119">
        <v>3460</v>
      </c>
      <c r="E119">
        <v>24</v>
      </c>
      <c r="F119" s="26">
        <f t="shared" si="8"/>
        <v>-5.0467278241026037E-2</v>
      </c>
      <c r="G119" s="24">
        <f>IF(GroteHoogte!D119&gt;0,Grafiek_kalibratiemetingen!$R$13*GroteHoogte!D119+Grafiek_kalibratiemetingen!$R$14,TRIM(""))</f>
        <v>11.290467278241026</v>
      </c>
      <c r="H119">
        <v>11.24</v>
      </c>
      <c r="I119" s="2">
        <f>IF(IF(GroteHoogte!D119&gt;0,1,0)+IF(GroteHoogte!H119&gt;0,1,0)=2,1,0)</f>
        <v>1</v>
      </c>
      <c r="J119" t="s">
        <v>228</v>
      </c>
      <c r="K119" s="29">
        <v>1820</v>
      </c>
      <c r="L119" s="29" t="s">
        <v>15</v>
      </c>
      <c r="M119" s="29" t="s">
        <v>16</v>
      </c>
      <c r="N119" s="93">
        <v>42594</v>
      </c>
      <c r="O119" s="29" t="s">
        <v>229</v>
      </c>
    </row>
    <row r="120" spans="1:16" x14ac:dyDescent="0.25">
      <c r="G120" s="24" t="str">
        <f>IF(GroteHoogte!D120&gt;0,Grafiek_kalibratiemetingen!$R$13*GroteHoogte!D120+Grafiek_kalibratiemetingen!$R$14,TRIM(""))</f>
        <v/>
      </c>
      <c r="I120" s="2">
        <f>IF(IF(GroteHoogte!D120&gt;0,1,0)+IF(GroteHoogte!H120&gt;0,1,0)=2,1,0)</f>
        <v>0</v>
      </c>
    </row>
    <row r="121" spans="1:16" x14ac:dyDescent="0.25">
      <c r="G121" s="24" t="str">
        <f>IF(GroteHoogte!D121&gt;0,Grafiek_kalibratiemetingen!$R$13*GroteHoogte!D121+Grafiek_kalibratiemetingen!$R$14,TRIM(""))</f>
        <v/>
      </c>
      <c r="I121" s="2">
        <f>IF(IF(GroteHoogte!D121&gt;0,1,0)+IF(GroteHoogte!H121&gt;0,1,0)=2,1,0)</f>
        <v>0</v>
      </c>
    </row>
    <row r="122" spans="1:16" x14ac:dyDescent="0.25">
      <c r="A122">
        <v>545</v>
      </c>
      <c r="C122">
        <v>20980</v>
      </c>
      <c r="D122">
        <v>3702</v>
      </c>
      <c r="E122">
        <v>25</v>
      </c>
      <c r="G122" s="24">
        <f>IF(GroteHoogte!D122&gt;0,Grafiek_kalibratiemetingen!$R$13*GroteHoogte!D122+Grafiek_kalibratiemetingen!$R$14,TRIM(""))</f>
        <v>11.635959639425424</v>
      </c>
      <c r="I122" s="2">
        <f>IF(IF(GroteHoogte!D122&gt;0,1,0)+IF(GroteHoogte!H122&gt;0,1,0)=2,1,0)</f>
        <v>0</v>
      </c>
      <c r="J122" t="s">
        <v>234</v>
      </c>
    </row>
    <row r="123" spans="1:16" x14ac:dyDescent="0.25">
      <c r="A123">
        <v>10519</v>
      </c>
      <c r="C123">
        <v>20993</v>
      </c>
      <c r="D123">
        <v>4069</v>
      </c>
      <c r="E123">
        <v>26</v>
      </c>
      <c r="G123" s="24">
        <f>IF(GroteHoogte!D123&gt;0,Grafiek_kalibratiemetingen!$R$13*GroteHoogte!D123+Grafiek_kalibratiemetingen!$R$14,TRIM(""))</f>
        <v>12.159908798742258</v>
      </c>
      <c r="I123" s="2">
        <f>IF(IF(GroteHoogte!D123&gt;0,1,0)+IF(GroteHoogte!H123&gt;0,1,0)=2,1,0)</f>
        <v>0</v>
      </c>
      <c r="J123" t="s">
        <v>234</v>
      </c>
      <c r="P123" t="s">
        <v>230</v>
      </c>
    </row>
    <row r="124" spans="1:16" x14ac:dyDescent="0.25">
      <c r="G124" s="24" t="str">
        <f>IF(GroteHoogte!D124&gt;0,Grafiek_kalibratiemetingen!$R$13*GroteHoogte!D124+Grafiek_kalibratiemetingen!$R$14,TRIM(""))</f>
        <v/>
      </c>
      <c r="I124" s="2">
        <f>IF(IF(GroteHoogte!D124&gt;0,1,0)+IF(GroteHoogte!H124&gt;0,1,0)=2,1,0)</f>
        <v>0</v>
      </c>
      <c r="P124" t="s">
        <v>231</v>
      </c>
    </row>
    <row r="125" spans="1:16" x14ac:dyDescent="0.25">
      <c r="G125" s="24" t="str">
        <f>IF(GroteHoogte!D125&gt;0,Grafiek_kalibratiemetingen!$R$13*GroteHoogte!D125+Grafiek_kalibratiemetingen!$R$14,TRIM(""))</f>
        <v/>
      </c>
      <c r="I125" s="2">
        <f>IF(IF(GroteHoogte!D125&gt;0,1,0)+IF(GroteHoogte!H125&gt;0,1,0)=2,1,0)</f>
        <v>0</v>
      </c>
      <c r="P125" t="s">
        <v>232</v>
      </c>
    </row>
    <row r="126" spans="1:16" x14ac:dyDescent="0.25">
      <c r="G126" s="24" t="str">
        <f>IF(GroteHoogte!D126&gt;0,Grafiek_kalibratiemetingen!$R$13*GroteHoogte!D126+Grafiek_kalibratiemetingen!$R$14,TRIM(""))</f>
        <v/>
      </c>
      <c r="I126" s="2">
        <f>IF(IF(GroteHoogte!D126&gt;0,1,0)+IF(GroteHoogte!H126&gt;0,1,0)=2,1,0)</f>
        <v>0</v>
      </c>
    </row>
    <row r="127" spans="1:16" x14ac:dyDescent="0.25">
      <c r="G127" s="24" t="str">
        <f>IF(GroteHoogte!D127&gt;0,Grafiek_kalibratiemetingen!$R$13*GroteHoogte!D127+Grafiek_kalibratiemetingen!$R$14,TRIM(""))</f>
        <v/>
      </c>
      <c r="I127" s="2">
        <f>IF(IF(GroteHoogte!D127&gt;0,1,0)+IF(GroteHoogte!H127&gt;0,1,0)=2,1,0)</f>
        <v>0</v>
      </c>
    </row>
    <row r="128" spans="1:16" x14ac:dyDescent="0.25">
      <c r="G128" s="24" t="str">
        <f>IF(GroteHoogte!D128&gt;0,Grafiek_kalibratiemetingen!$R$13*GroteHoogte!D128+Grafiek_kalibratiemetingen!$R$14,TRIM(""))</f>
        <v/>
      </c>
      <c r="I128" s="2">
        <f>IF(IF(GroteHoogte!D128&gt;0,1,0)+IF(GroteHoogte!H128&gt;0,1,0)=2,1,0)</f>
        <v>0</v>
      </c>
    </row>
    <row r="129" spans="1:16" x14ac:dyDescent="0.25">
      <c r="G129" s="24" t="str">
        <f>IF(GroteHoogte!D129&gt;0,Grafiek_kalibratiemetingen!$R$13*GroteHoogte!D129+Grafiek_kalibratiemetingen!$R$14,TRIM(""))</f>
        <v/>
      </c>
      <c r="I129" s="2">
        <f>IF(IF(GroteHoogte!D129&gt;0,1,0)+IF(GroteHoogte!H129&gt;0,1,0)=2,1,0)</f>
        <v>0</v>
      </c>
    </row>
    <row r="130" spans="1:16" ht="45" x14ac:dyDescent="0.25">
      <c r="A130" s="20" t="s">
        <v>0</v>
      </c>
      <c r="B130" s="23" t="s">
        <v>3</v>
      </c>
      <c r="C130" s="19" t="s">
        <v>4</v>
      </c>
      <c r="D130" s="19" t="s">
        <v>5</v>
      </c>
      <c r="E130" s="19" t="s">
        <v>6</v>
      </c>
      <c r="F130" s="25" t="s">
        <v>107</v>
      </c>
      <c r="G130" s="22" t="s">
        <v>83</v>
      </c>
      <c r="H130" s="21" t="s">
        <v>219</v>
      </c>
      <c r="I130" s="21" t="s">
        <v>108</v>
      </c>
      <c r="J130" s="23" t="s">
        <v>7</v>
      </c>
      <c r="K130" s="23" t="s">
        <v>8</v>
      </c>
      <c r="L130" s="23" t="s">
        <v>9</v>
      </c>
      <c r="M130" s="23" t="s">
        <v>10</v>
      </c>
      <c r="N130" s="23" t="s">
        <v>11</v>
      </c>
      <c r="O130" s="23" t="s">
        <v>12</v>
      </c>
      <c r="P130" s="23" t="s">
        <v>13</v>
      </c>
    </row>
    <row r="131" spans="1:16" x14ac:dyDescent="0.25">
      <c r="A131">
        <v>10526</v>
      </c>
      <c r="B131" s="91" t="s">
        <v>49</v>
      </c>
      <c r="D131" s="13">
        <v>4604</v>
      </c>
      <c r="E131" s="13">
        <v>22</v>
      </c>
      <c r="F131" s="26">
        <f>IF(I131,H131-G131,TRIM(""))</f>
        <v>0.53999999999999915</v>
      </c>
      <c r="G131" s="24">
        <v>11.9</v>
      </c>
      <c r="H131" s="12">
        <v>12.44</v>
      </c>
      <c r="I131" s="2">
        <f>IF(IF(GroteHoogte!D131&gt;0,1,0)+IF(GroteHoogte!H131&gt;0,1,0)=2,1,0)</f>
        <v>1</v>
      </c>
      <c r="J131" s="29" t="s">
        <v>222</v>
      </c>
      <c r="K131" s="29">
        <v>1820</v>
      </c>
      <c r="L131" s="29" t="s">
        <v>15</v>
      </c>
      <c r="M131" s="29" t="s">
        <v>16</v>
      </c>
      <c r="N131" s="93">
        <v>42595</v>
      </c>
      <c r="O131" s="29" t="s">
        <v>233</v>
      </c>
      <c r="P131" s="29" t="s">
        <v>235</v>
      </c>
    </row>
    <row r="132" spans="1:16" x14ac:dyDescent="0.25">
      <c r="B132" s="91" t="s">
        <v>41</v>
      </c>
      <c r="D132" s="13">
        <v>4693</v>
      </c>
      <c r="E132" s="13">
        <v>21</v>
      </c>
      <c r="F132" s="26">
        <f>IF(I132,H132-G132,TRIM(""))</f>
        <v>0.53999999999999915</v>
      </c>
      <c r="G132" s="24">
        <v>11.9</v>
      </c>
      <c r="H132" s="12">
        <v>12.44</v>
      </c>
      <c r="I132" s="2">
        <f>IF(IF(GroteHoogte!D132&gt;0,1,0)+IF(GroteHoogte!H132&gt;0,1,0)=2,1,0)</f>
        <v>1</v>
      </c>
      <c r="J132" s="29" t="s">
        <v>222</v>
      </c>
      <c r="K132" s="29">
        <v>1820</v>
      </c>
      <c r="L132" s="29" t="s">
        <v>15</v>
      </c>
      <c r="M132" s="29" t="s">
        <v>16</v>
      </c>
      <c r="N132" s="93">
        <v>42595</v>
      </c>
      <c r="O132" s="29" t="s">
        <v>233</v>
      </c>
    </row>
    <row r="133" spans="1:16" x14ac:dyDescent="0.25">
      <c r="B133" s="91" t="s">
        <v>22</v>
      </c>
      <c r="C133">
        <v>20801</v>
      </c>
      <c r="D133">
        <v>4334</v>
      </c>
      <c r="E133">
        <v>20</v>
      </c>
      <c r="F133" s="26">
        <f t="shared" ref="F133:F157" si="9">IF(I133,H133-G133,TRIM(""))</f>
        <v>-9.823721078302583E-2</v>
      </c>
      <c r="G133" s="24">
        <f>IF(GroteHoogte!D133&gt;0,Grafiek_kalibratiemetingen!$R$13*GroteHoogte!D133+Grafiek_kalibratiemetingen!$R$14,TRIM(""))</f>
        <v>12.538237210783025</v>
      </c>
      <c r="H133">
        <v>12.44</v>
      </c>
      <c r="I133" s="2">
        <f>IF(IF(GroteHoogte!D133&gt;0,1,0)+IF(GroteHoogte!H133&gt;0,1,0)=2,1,0)</f>
        <v>1</v>
      </c>
      <c r="J133" s="29" t="s">
        <v>222</v>
      </c>
      <c r="K133" s="29">
        <v>1820</v>
      </c>
      <c r="L133" s="29" t="s">
        <v>15</v>
      </c>
      <c r="M133" s="29" t="s">
        <v>16</v>
      </c>
      <c r="N133" s="93">
        <v>42595</v>
      </c>
      <c r="O133" s="29" t="s">
        <v>233</v>
      </c>
    </row>
    <row r="134" spans="1:16" x14ac:dyDescent="0.25">
      <c r="A134" s="88">
        <v>10525</v>
      </c>
      <c r="B134" s="91" t="s">
        <v>49</v>
      </c>
      <c r="D134">
        <v>4880</v>
      </c>
      <c r="E134">
        <v>23</v>
      </c>
      <c r="F134" s="26">
        <f t="shared" si="9"/>
        <v>0.85999999999999943</v>
      </c>
      <c r="G134" s="24">
        <v>12.5</v>
      </c>
      <c r="H134">
        <v>13.36</v>
      </c>
      <c r="I134" s="2">
        <f>IF(IF(GroteHoogte!D134&gt;0,1,0)+IF(GroteHoogte!H134&gt;0,1,0)=2,1,0)</f>
        <v>1</v>
      </c>
      <c r="J134" s="29" t="s">
        <v>222</v>
      </c>
      <c r="K134" s="29">
        <v>1820</v>
      </c>
      <c r="L134" s="29" t="s">
        <v>15</v>
      </c>
      <c r="M134" s="29" t="s">
        <v>16</v>
      </c>
      <c r="N134" s="93">
        <v>42595</v>
      </c>
      <c r="O134" s="29" t="s">
        <v>233</v>
      </c>
      <c r="P134" t="s">
        <v>236</v>
      </c>
    </row>
    <row r="135" spans="1:16" x14ac:dyDescent="0.25">
      <c r="B135" s="91" t="s">
        <v>41</v>
      </c>
      <c r="D135">
        <v>4943</v>
      </c>
      <c r="E135">
        <v>22</v>
      </c>
      <c r="F135" s="26">
        <f t="shared" si="9"/>
        <v>0.95999999999999908</v>
      </c>
      <c r="G135" s="24">
        <v>12.4</v>
      </c>
      <c r="H135">
        <v>13.36</v>
      </c>
      <c r="I135" s="2">
        <f>IF(IF(GroteHoogte!D135&gt;0,1,0)+IF(GroteHoogte!H135&gt;0,1,0)=2,1,0)</f>
        <v>1</v>
      </c>
      <c r="J135" s="29" t="s">
        <v>222</v>
      </c>
      <c r="K135" s="29">
        <v>1820</v>
      </c>
      <c r="L135" s="29" t="s">
        <v>15</v>
      </c>
      <c r="M135" s="29" t="s">
        <v>16</v>
      </c>
      <c r="N135" s="93">
        <v>42595</v>
      </c>
      <c r="O135" s="29" t="s">
        <v>233</v>
      </c>
    </row>
    <row r="136" spans="1:16" x14ac:dyDescent="0.25">
      <c r="B136" s="91" t="s">
        <v>22</v>
      </c>
      <c r="C136">
        <v>20909</v>
      </c>
      <c r="D136">
        <v>4657</v>
      </c>
      <c r="E136">
        <v>22</v>
      </c>
      <c r="F136" s="26">
        <f t="shared" si="9"/>
        <v>0.36063042284275681</v>
      </c>
      <c r="G136" s="24">
        <f>IF(GroteHoogte!D136&gt;0,Grafiek_kalibratiemetingen!$R$13*GroteHoogte!D136+Grafiek_kalibratiemetingen!$R$14,TRIM(""))</f>
        <v>12.999369577157243</v>
      </c>
      <c r="H136">
        <v>13.36</v>
      </c>
      <c r="I136" s="2">
        <f>IF(IF(GroteHoogte!D136&gt;0,1,0)+IF(GroteHoogte!H136&gt;0,1,0)=2,1,0)</f>
        <v>1</v>
      </c>
      <c r="J136" s="29" t="s">
        <v>222</v>
      </c>
      <c r="K136" s="29">
        <v>1820</v>
      </c>
      <c r="L136" s="29" t="s">
        <v>15</v>
      </c>
      <c r="M136" s="29" t="s">
        <v>16</v>
      </c>
      <c r="N136" s="93">
        <v>42595</v>
      </c>
      <c r="O136" s="29" t="s">
        <v>233</v>
      </c>
    </row>
    <row r="137" spans="1:16" x14ac:dyDescent="0.25">
      <c r="A137">
        <v>542</v>
      </c>
      <c r="B137" s="91" t="s">
        <v>49</v>
      </c>
      <c r="D137">
        <v>3076</v>
      </c>
      <c r="E137">
        <v>23</v>
      </c>
      <c r="F137" s="26">
        <f t="shared" si="9"/>
        <v>2.33</v>
      </c>
      <c r="G137" s="24">
        <v>8.8000000000000007</v>
      </c>
      <c r="H137">
        <v>11.13</v>
      </c>
      <c r="I137" s="2">
        <f>IF(IF(GroteHoogte!D137&gt;0,1,0)+IF(GroteHoogte!H137&gt;0,1,0)=2,1,0)</f>
        <v>1</v>
      </c>
      <c r="J137" s="29" t="s">
        <v>222</v>
      </c>
      <c r="K137" s="29">
        <v>1820</v>
      </c>
      <c r="L137" s="29" t="s">
        <v>15</v>
      </c>
      <c r="M137" s="29" t="s">
        <v>16</v>
      </c>
      <c r="N137" s="93">
        <v>42595</v>
      </c>
      <c r="O137" s="29" t="s">
        <v>233</v>
      </c>
      <c r="P137" s="29" t="s">
        <v>239</v>
      </c>
    </row>
    <row r="138" spans="1:16" x14ac:dyDescent="0.25">
      <c r="B138" s="91" t="s">
        <v>41</v>
      </c>
      <c r="D138">
        <v>2960</v>
      </c>
      <c r="E138">
        <v>23</v>
      </c>
      <c r="F138" s="26">
        <f t="shared" si="9"/>
        <v>2.7300000000000004</v>
      </c>
      <c r="G138" s="24">
        <v>8.4</v>
      </c>
      <c r="H138">
        <v>11.13</v>
      </c>
      <c r="I138" s="2">
        <f>IF(IF(GroteHoogte!D138&gt;0,1,0)+IF(GroteHoogte!H138&gt;0,1,0)=2,1,0)</f>
        <v>1</v>
      </c>
      <c r="J138" s="29" t="s">
        <v>222</v>
      </c>
      <c r="K138" s="29">
        <v>1820</v>
      </c>
      <c r="L138" s="29" t="s">
        <v>15</v>
      </c>
      <c r="M138" s="29" t="s">
        <v>16</v>
      </c>
      <c r="N138" s="93">
        <v>42595</v>
      </c>
      <c r="O138" s="29" t="s">
        <v>233</v>
      </c>
    </row>
    <row r="139" spans="1:16" x14ac:dyDescent="0.25">
      <c r="B139" s="91" t="s">
        <v>22</v>
      </c>
      <c r="C139">
        <v>20945</v>
      </c>
      <c r="D139">
        <v>2843</v>
      </c>
      <c r="E139">
        <v>23</v>
      </c>
      <c r="F139" s="26">
        <f t="shared" si="9"/>
        <v>0.72039547734068243</v>
      </c>
      <c r="G139" s="24">
        <f>IF(GroteHoogte!D139&gt;0,Grafiek_kalibratiemetingen!$R$13*GroteHoogte!D139+Grafiek_kalibratiemetingen!$R$14,TRIM(""))</f>
        <v>10.409604522659318</v>
      </c>
      <c r="H139">
        <v>11.13</v>
      </c>
      <c r="I139" s="2">
        <f>IF(IF(GroteHoogte!D139&gt;0,1,0)+IF(GroteHoogte!H139&gt;0,1,0)=2,1,0)</f>
        <v>1</v>
      </c>
      <c r="J139" s="29" t="s">
        <v>222</v>
      </c>
      <c r="K139" s="29">
        <v>1820</v>
      </c>
      <c r="L139" s="29" t="s">
        <v>15</v>
      </c>
      <c r="M139" s="29" t="s">
        <v>16</v>
      </c>
      <c r="N139" s="93">
        <v>42595</v>
      </c>
      <c r="O139" s="29" t="s">
        <v>233</v>
      </c>
    </row>
    <row r="140" spans="1:16" x14ac:dyDescent="0.25">
      <c r="A140">
        <v>540</v>
      </c>
      <c r="B140" s="91" t="s">
        <v>49</v>
      </c>
      <c r="D140">
        <v>2120</v>
      </c>
      <c r="E140">
        <v>24</v>
      </c>
      <c r="F140" s="26">
        <f t="shared" si="9"/>
        <v>3.5900000000000007</v>
      </c>
      <c r="G140" s="24">
        <v>6.8</v>
      </c>
      <c r="H140">
        <v>10.39</v>
      </c>
      <c r="I140" s="2">
        <f>IF(IF(GroteHoogte!D140&gt;0,1,0)+IF(GroteHoogte!H140&gt;0,1,0)=2,1,0)</f>
        <v>1</v>
      </c>
      <c r="J140" s="29" t="s">
        <v>222</v>
      </c>
      <c r="K140" s="29">
        <v>1820</v>
      </c>
      <c r="L140" s="29" t="s">
        <v>15</v>
      </c>
      <c r="M140" s="29" t="s">
        <v>16</v>
      </c>
      <c r="N140" s="93">
        <v>42595</v>
      </c>
      <c r="O140" s="29" t="s">
        <v>233</v>
      </c>
      <c r="P140" s="29" t="s">
        <v>240</v>
      </c>
    </row>
    <row r="141" spans="1:16" x14ac:dyDescent="0.25">
      <c r="B141" s="91" t="s">
        <v>41</v>
      </c>
      <c r="D141">
        <v>2113</v>
      </c>
      <c r="E141">
        <v>24</v>
      </c>
      <c r="F141" s="26">
        <f t="shared" si="9"/>
        <v>3.6900000000000004</v>
      </c>
      <c r="G141" s="24">
        <v>6.7</v>
      </c>
      <c r="H141">
        <v>10.39</v>
      </c>
      <c r="I141" s="2">
        <f>IF(IF(GroteHoogte!D141&gt;0,1,0)+IF(GroteHoogte!H141&gt;0,1,0)=2,1,0)</f>
        <v>1</v>
      </c>
      <c r="J141" s="29" t="s">
        <v>222</v>
      </c>
      <c r="K141" s="29">
        <v>1820</v>
      </c>
      <c r="L141" s="29" t="s">
        <v>15</v>
      </c>
      <c r="M141" s="29" t="s">
        <v>16</v>
      </c>
      <c r="N141" s="93">
        <v>42595</v>
      </c>
      <c r="O141" s="29" t="s">
        <v>233</v>
      </c>
    </row>
    <row r="142" spans="1:16" x14ac:dyDescent="0.25">
      <c r="B142" s="91" t="s">
        <v>22</v>
      </c>
      <c r="C142">
        <v>20959</v>
      </c>
      <c r="D142">
        <v>1993</v>
      </c>
      <c r="E142">
        <v>23</v>
      </c>
      <c r="F142" s="26">
        <f t="shared" si="9"/>
        <v>1.1939017046412541</v>
      </c>
      <c r="G142" s="24">
        <f>IF(GroteHoogte!D142&gt;0,Grafiek_kalibratiemetingen!$R$13*GroteHoogte!D142+Grafiek_kalibratiemetingen!$R$14,TRIM(""))</f>
        <v>9.1960982953587465</v>
      </c>
      <c r="H142">
        <v>10.39</v>
      </c>
      <c r="I142" s="2">
        <f>IF(IF(GroteHoogte!D142&gt;0,1,0)+IF(GroteHoogte!H142&gt;0,1,0)=2,1,0)</f>
        <v>1</v>
      </c>
      <c r="J142" s="29" t="s">
        <v>222</v>
      </c>
      <c r="K142" s="29">
        <v>1820</v>
      </c>
      <c r="L142" s="29" t="s">
        <v>15</v>
      </c>
      <c r="M142" s="29" t="s">
        <v>16</v>
      </c>
      <c r="N142" s="93">
        <v>42595</v>
      </c>
      <c r="O142" s="29" t="s">
        <v>233</v>
      </c>
    </row>
    <row r="143" spans="1:16" x14ac:dyDescent="0.25">
      <c r="A143">
        <v>10520</v>
      </c>
      <c r="B143" s="91" t="s">
        <v>49</v>
      </c>
      <c r="D143">
        <v>4392</v>
      </c>
      <c r="E143">
        <v>24</v>
      </c>
      <c r="F143" s="26">
        <f t="shared" si="9"/>
        <v>0.17999999999999972</v>
      </c>
      <c r="G143" s="24">
        <v>11.5</v>
      </c>
      <c r="H143">
        <v>11.68</v>
      </c>
      <c r="I143" s="2">
        <f>IF(IF(GroteHoogte!D143&gt;0,1,0)+IF(GroteHoogte!H143&gt;0,1,0)=2,1,0)</f>
        <v>1</v>
      </c>
      <c r="J143" s="29" t="s">
        <v>222</v>
      </c>
      <c r="K143" s="29">
        <v>1820</v>
      </c>
      <c r="L143" s="29" t="s">
        <v>15</v>
      </c>
      <c r="M143" s="29" t="s">
        <v>16</v>
      </c>
      <c r="N143" s="93">
        <v>42595</v>
      </c>
      <c r="O143" s="29" t="s">
        <v>233</v>
      </c>
      <c r="P143" s="29" t="s">
        <v>240</v>
      </c>
    </row>
    <row r="144" spans="1:16" x14ac:dyDescent="0.25">
      <c r="B144" s="91" t="s">
        <v>41</v>
      </c>
      <c r="D144">
        <v>4344</v>
      </c>
      <c r="E144">
        <v>24</v>
      </c>
      <c r="F144" s="26">
        <f t="shared" si="9"/>
        <v>0.48000000000000043</v>
      </c>
      <c r="G144" s="24">
        <v>11.2</v>
      </c>
      <c r="H144">
        <v>11.68</v>
      </c>
      <c r="I144" s="2">
        <f>IF(IF(GroteHoogte!D144&gt;0,1,0)+IF(GroteHoogte!H144&gt;0,1,0)=2,1,0)</f>
        <v>1</v>
      </c>
      <c r="J144" s="29" t="s">
        <v>222</v>
      </c>
      <c r="K144" s="29">
        <v>1820</v>
      </c>
      <c r="L144" s="29" t="s">
        <v>15</v>
      </c>
      <c r="M144" s="29" t="s">
        <v>16</v>
      </c>
      <c r="N144" s="93">
        <v>42595</v>
      </c>
      <c r="O144" s="29" t="s">
        <v>233</v>
      </c>
    </row>
    <row r="145" spans="1:16" x14ac:dyDescent="0.25">
      <c r="B145" s="91" t="s">
        <v>22</v>
      </c>
      <c r="C145">
        <v>20985</v>
      </c>
      <c r="D145">
        <v>4125</v>
      </c>
      <c r="E145">
        <v>23</v>
      </c>
      <c r="F145" s="26">
        <f t="shared" si="9"/>
        <v>-0.55985744430559237</v>
      </c>
      <c r="G145" s="24">
        <f>IF(GroteHoogte!D145&gt;0,Grafiek_kalibratiemetingen!$R$13*GroteHoogte!D145+Grafiek_kalibratiemetingen!$R$14,TRIM(""))</f>
        <v>12.239857444305592</v>
      </c>
      <c r="H145">
        <v>11.68</v>
      </c>
      <c r="I145" s="2">
        <f>IF(IF(GroteHoogte!D145&gt;0,1,0)+IF(GroteHoogte!H145&gt;0,1,0)=2,1,0)</f>
        <v>1</v>
      </c>
      <c r="J145" s="29" t="s">
        <v>222</v>
      </c>
      <c r="K145" s="29">
        <v>1820</v>
      </c>
      <c r="L145" s="29" t="s">
        <v>15</v>
      </c>
      <c r="M145" s="29" t="s">
        <v>16</v>
      </c>
      <c r="N145" s="93">
        <v>42595</v>
      </c>
      <c r="O145" s="29" t="s">
        <v>233</v>
      </c>
    </row>
    <row r="146" spans="1:16" x14ac:dyDescent="0.25">
      <c r="A146">
        <v>10519</v>
      </c>
      <c r="B146" s="91" t="s">
        <v>49</v>
      </c>
      <c r="D146">
        <v>3600</v>
      </c>
      <c r="E146">
        <v>23</v>
      </c>
      <c r="F146" s="26">
        <f t="shared" si="9"/>
        <v>1.5899999999999999</v>
      </c>
      <c r="G146" s="24">
        <v>9.9</v>
      </c>
      <c r="H146">
        <v>11.49</v>
      </c>
      <c r="I146" s="2">
        <f>IF(IF(GroteHoogte!D146&gt;0,1,0)+IF(GroteHoogte!H146&gt;0,1,0)=2,1,0)</f>
        <v>1</v>
      </c>
      <c r="J146" s="29" t="s">
        <v>222</v>
      </c>
      <c r="K146" s="29">
        <v>1820</v>
      </c>
      <c r="L146" s="29" t="s">
        <v>15</v>
      </c>
      <c r="M146" s="29" t="s">
        <v>16</v>
      </c>
      <c r="N146" s="93">
        <v>42595</v>
      </c>
      <c r="O146" s="29" t="s">
        <v>233</v>
      </c>
      <c r="P146" s="29" t="s">
        <v>237</v>
      </c>
    </row>
    <row r="147" spans="1:16" x14ac:dyDescent="0.25">
      <c r="B147" s="91" t="s">
        <v>41</v>
      </c>
      <c r="D147">
        <v>3588</v>
      </c>
      <c r="E147">
        <v>23</v>
      </c>
      <c r="F147" s="26">
        <f t="shared" si="9"/>
        <v>1.7900000000000009</v>
      </c>
      <c r="G147" s="24">
        <v>9.6999999999999993</v>
      </c>
      <c r="H147">
        <v>11.49</v>
      </c>
      <c r="I147" s="2">
        <f>IF(IF(GroteHoogte!D147&gt;0,1,0)+IF(GroteHoogte!H147&gt;0,1,0)=2,1,0)</f>
        <v>1</v>
      </c>
      <c r="J147" s="29" t="s">
        <v>222</v>
      </c>
      <c r="K147" s="29">
        <v>1820</v>
      </c>
      <c r="L147" s="29" t="s">
        <v>15</v>
      </c>
      <c r="M147" s="29" t="s">
        <v>16</v>
      </c>
      <c r="N147" s="93">
        <v>42595</v>
      </c>
      <c r="O147" s="29" t="s">
        <v>233</v>
      </c>
      <c r="P147" s="29" t="s">
        <v>238</v>
      </c>
    </row>
    <row r="148" spans="1:16" x14ac:dyDescent="0.25">
      <c r="B148" s="91" t="s">
        <v>22</v>
      </c>
      <c r="C148">
        <v>20948</v>
      </c>
      <c r="D148">
        <v>3429</v>
      </c>
      <c r="E148">
        <v>22</v>
      </c>
      <c r="F148" s="26">
        <f t="shared" si="9"/>
        <v>0.24379000769581793</v>
      </c>
      <c r="G148" s="24">
        <f>IF(GroteHoogte!D148&gt;0,Grafiek_kalibratiemetingen!$R$13*GroteHoogte!D148+Grafiek_kalibratiemetingen!$R$14,TRIM(""))</f>
        <v>11.246209992304182</v>
      </c>
      <c r="H148">
        <v>11.49</v>
      </c>
      <c r="I148" s="2">
        <f>IF(IF(GroteHoogte!D148&gt;0,1,0)+IF(GroteHoogte!H148&gt;0,1,0)=2,1,0)</f>
        <v>1</v>
      </c>
      <c r="J148" s="29" t="s">
        <v>222</v>
      </c>
      <c r="K148" s="29">
        <v>1820</v>
      </c>
      <c r="L148" s="29" t="s">
        <v>15</v>
      </c>
      <c r="M148" s="29" t="s">
        <v>16</v>
      </c>
      <c r="N148" s="93">
        <v>42595</v>
      </c>
      <c r="O148" s="29" t="s">
        <v>233</v>
      </c>
    </row>
    <row r="149" spans="1:16" x14ac:dyDescent="0.25">
      <c r="A149">
        <v>547</v>
      </c>
      <c r="B149" s="91" t="s">
        <v>49</v>
      </c>
      <c r="D149">
        <v>3608</v>
      </c>
      <c r="E149">
        <v>25</v>
      </c>
      <c r="F149" s="26">
        <f t="shared" si="9"/>
        <v>1.3599999999999994</v>
      </c>
      <c r="G149" s="24">
        <v>9.9</v>
      </c>
      <c r="H149">
        <v>11.26</v>
      </c>
      <c r="I149" s="2">
        <f>IF(IF(GroteHoogte!D149&gt;0,1,0)+IF(GroteHoogte!H149&gt;0,1,0)=2,1,0)</f>
        <v>1</v>
      </c>
      <c r="J149" s="29" t="s">
        <v>222</v>
      </c>
      <c r="K149" s="29">
        <v>1820</v>
      </c>
      <c r="L149" s="29" t="s">
        <v>15</v>
      </c>
      <c r="M149" s="29" t="s">
        <v>16</v>
      </c>
      <c r="N149" s="93">
        <v>42595</v>
      </c>
      <c r="O149" s="29" t="s">
        <v>233</v>
      </c>
      <c r="P149" s="29" t="s">
        <v>241</v>
      </c>
    </row>
    <row r="150" spans="1:16" x14ac:dyDescent="0.25">
      <c r="B150" s="91" t="s">
        <v>41</v>
      </c>
      <c r="D150">
        <v>3523</v>
      </c>
      <c r="E150">
        <v>24</v>
      </c>
      <c r="F150" s="26">
        <f t="shared" si="9"/>
        <v>1.6600000000000001</v>
      </c>
      <c r="G150" s="24">
        <v>9.6</v>
      </c>
      <c r="H150">
        <v>11.26</v>
      </c>
      <c r="I150" s="2">
        <f>IF(IF(GroteHoogte!D150&gt;0,1,0)+IF(GroteHoogte!H150&gt;0,1,0)=2,1,0)</f>
        <v>1</v>
      </c>
      <c r="J150" s="29" t="s">
        <v>222</v>
      </c>
      <c r="K150" s="29">
        <v>1820</v>
      </c>
      <c r="L150" s="29" t="s">
        <v>15</v>
      </c>
      <c r="M150" s="29" t="s">
        <v>16</v>
      </c>
      <c r="N150" s="93">
        <v>42595</v>
      </c>
      <c r="O150" s="29" t="s">
        <v>233</v>
      </c>
    </row>
    <row r="151" spans="1:16" x14ac:dyDescent="0.25">
      <c r="B151" s="91" t="s">
        <v>22</v>
      </c>
      <c r="C151">
        <v>20973</v>
      </c>
      <c r="D151">
        <v>3420</v>
      </c>
      <c r="E151">
        <v>24</v>
      </c>
      <c r="F151" s="26">
        <f t="shared" si="9"/>
        <v>2.663889716135337E-2</v>
      </c>
      <c r="G151" s="24">
        <f>IF(GroteHoogte!D151&gt;0,Grafiek_kalibratiemetingen!$R$13*GroteHoogte!D151+Grafiek_kalibratiemetingen!$R$14,TRIM(""))</f>
        <v>11.233361102838646</v>
      </c>
      <c r="H151">
        <v>11.26</v>
      </c>
      <c r="I151" s="2">
        <f>IF(IF(GroteHoogte!D151&gt;0,1,0)+IF(GroteHoogte!H151&gt;0,1,0)=2,1,0)</f>
        <v>1</v>
      </c>
      <c r="J151" s="29" t="s">
        <v>222</v>
      </c>
      <c r="K151" s="29">
        <v>1820</v>
      </c>
      <c r="L151" s="29" t="s">
        <v>15</v>
      </c>
      <c r="M151" s="29" t="s">
        <v>16</v>
      </c>
      <c r="N151" s="93">
        <v>42595</v>
      </c>
      <c r="O151" s="29" t="s">
        <v>233</v>
      </c>
    </row>
    <row r="152" spans="1:16" x14ac:dyDescent="0.25">
      <c r="A152">
        <v>548</v>
      </c>
      <c r="B152" s="91" t="s">
        <v>49</v>
      </c>
      <c r="D152">
        <v>2822</v>
      </c>
      <c r="E152">
        <v>25</v>
      </c>
      <c r="F152" s="26">
        <f t="shared" si="9"/>
        <v>2.5499999999999989</v>
      </c>
      <c r="G152" s="24">
        <v>8.3000000000000007</v>
      </c>
      <c r="H152">
        <v>10.85</v>
      </c>
      <c r="I152" s="2">
        <f>IF(IF(GroteHoogte!D152&gt;0,1,0)+IF(GroteHoogte!H152&gt;0,1,0)=2,1,0)</f>
        <v>1</v>
      </c>
      <c r="J152" s="29" t="s">
        <v>222</v>
      </c>
      <c r="K152" s="29">
        <v>1820</v>
      </c>
      <c r="L152" s="29" t="s">
        <v>15</v>
      </c>
      <c r="M152" s="29" t="s">
        <v>16</v>
      </c>
      <c r="N152" s="93">
        <v>42595</v>
      </c>
      <c r="O152" s="29" t="s">
        <v>233</v>
      </c>
      <c r="P152" s="29" t="s">
        <v>242</v>
      </c>
    </row>
    <row r="153" spans="1:16" x14ac:dyDescent="0.25">
      <c r="B153" s="91" t="s">
        <v>41</v>
      </c>
      <c r="D153">
        <v>2835</v>
      </c>
      <c r="E153">
        <v>24</v>
      </c>
      <c r="F153" s="26">
        <f t="shared" si="9"/>
        <v>2.6500000000000004</v>
      </c>
      <c r="G153" s="24">
        <v>8.1999999999999993</v>
      </c>
      <c r="H153">
        <v>10.85</v>
      </c>
      <c r="I153" s="2">
        <f>IF(IF(GroteHoogte!D153&gt;0,1,0)+IF(GroteHoogte!H153&gt;0,1,0)=2,1,0)</f>
        <v>1</v>
      </c>
      <c r="J153" s="29" t="s">
        <v>222</v>
      </c>
      <c r="K153" s="29">
        <v>1820</v>
      </c>
      <c r="L153" s="29" t="s">
        <v>15</v>
      </c>
      <c r="M153" s="29" t="s">
        <v>16</v>
      </c>
      <c r="N153" s="93">
        <v>42595</v>
      </c>
      <c r="O153" s="29" t="s">
        <v>233</v>
      </c>
    </row>
    <row r="154" spans="1:16" x14ac:dyDescent="0.25">
      <c r="B154" s="91" t="s">
        <v>22</v>
      </c>
      <c r="C154">
        <v>20971</v>
      </c>
      <c r="D154">
        <v>2673</v>
      </c>
      <c r="E154">
        <v>24</v>
      </c>
      <c r="F154" s="26">
        <f t="shared" si="9"/>
        <v>0.68309672280079603</v>
      </c>
      <c r="G154" s="24">
        <f>IF(GroteHoogte!D154&gt;0,Grafiek_kalibratiemetingen!$R$13*GroteHoogte!D154+Grafiek_kalibratiemetingen!$R$14,TRIM(""))</f>
        <v>10.166903277199204</v>
      </c>
      <c r="H154">
        <v>10.85</v>
      </c>
      <c r="I154" s="2">
        <f>IF(IF(GroteHoogte!D154&gt;0,1,0)+IF(GroteHoogte!H154&gt;0,1,0)=2,1,0)</f>
        <v>1</v>
      </c>
      <c r="J154" s="29" t="s">
        <v>222</v>
      </c>
      <c r="K154" s="29">
        <v>1820</v>
      </c>
      <c r="L154" s="29" t="s">
        <v>15</v>
      </c>
      <c r="M154" s="29" t="s">
        <v>16</v>
      </c>
      <c r="N154" s="93">
        <v>42595</v>
      </c>
      <c r="O154" s="29" t="s">
        <v>233</v>
      </c>
    </row>
    <row r="155" spans="1:16" x14ac:dyDescent="0.25">
      <c r="A155">
        <v>545</v>
      </c>
      <c r="B155" s="91" t="s">
        <v>49</v>
      </c>
      <c r="D155">
        <v>3423</v>
      </c>
      <c r="E155">
        <v>25</v>
      </c>
      <c r="F155" s="26">
        <f t="shared" si="9"/>
        <v>1.6500000000000004</v>
      </c>
      <c r="G155" s="24">
        <v>9.5</v>
      </c>
      <c r="H155">
        <v>11.15</v>
      </c>
      <c r="I155" s="2">
        <f>IF(IF(GroteHoogte!D155&gt;0,1,0)+IF(GroteHoogte!H155&gt;0,1,0)=2,1,0)</f>
        <v>1</v>
      </c>
      <c r="J155" s="29" t="s">
        <v>222</v>
      </c>
      <c r="K155" s="29">
        <v>1820</v>
      </c>
      <c r="L155" s="29" t="s">
        <v>15</v>
      </c>
      <c r="M155" s="29" t="s">
        <v>16</v>
      </c>
      <c r="N155" s="93">
        <v>42595</v>
      </c>
      <c r="O155" s="29" t="s">
        <v>233</v>
      </c>
      <c r="P155" s="29" t="s">
        <v>243</v>
      </c>
    </row>
    <row r="156" spans="1:16" x14ac:dyDescent="0.25">
      <c r="B156" s="91" t="s">
        <v>41</v>
      </c>
      <c r="D156">
        <v>3257</v>
      </c>
      <c r="E156">
        <v>24</v>
      </c>
      <c r="F156" s="26">
        <f t="shared" si="9"/>
        <v>2.1500000000000004</v>
      </c>
      <c r="G156" s="24">
        <v>9</v>
      </c>
      <c r="H156">
        <v>11.15</v>
      </c>
      <c r="I156" s="2">
        <f>IF(IF(GroteHoogte!D156&gt;0,1,0)+IF(GroteHoogte!H156&gt;0,1,0)=2,1,0)</f>
        <v>1</v>
      </c>
      <c r="J156" s="29" t="s">
        <v>222</v>
      </c>
      <c r="K156" s="29">
        <v>1820</v>
      </c>
      <c r="L156" s="29" t="s">
        <v>15</v>
      </c>
      <c r="M156" s="29" t="s">
        <v>16</v>
      </c>
      <c r="N156" s="93">
        <v>42595</v>
      </c>
      <c r="O156" s="29" t="s">
        <v>233</v>
      </c>
    </row>
    <row r="157" spans="1:16" x14ac:dyDescent="0.25">
      <c r="B157" s="91" t="s">
        <v>22</v>
      </c>
      <c r="C157">
        <v>20979</v>
      </c>
      <c r="D157">
        <v>3109</v>
      </c>
      <c r="E157">
        <v>24</v>
      </c>
      <c r="F157" s="26">
        <f t="shared" si="9"/>
        <v>0.36063941091485674</v>
      </c>
      <c r="G157" s="24">
        <f>IF(GroteHoogte!D157&gt;0,Grafiek_kalibratiemetingen!$R$13*GroteHoogte!D157+Grafiek_kalibratiemetingen!$R$14,TRIM(""))</f>
        <v>10.789360589085144</v>
      </c>
      <c r="H157">
        <v>11.15</v>
      </c>
      <c r="I157" s="2">
        <f>IF(IF(GroteHoogte!D157&gt;0,1,0)+IF(GroteHoogte!H157&gt;0,1,0)=2,1,0)</f>
        <v>1</v>
      </c>
      <c r="J157" s="29" t="s">
        <v>222</v>
      </c>
      <c r="K157" s="29">
        <v>1820</v>
      </c>
      <c r="L157" s="29" t="s">
        <v>15</v>
      </c>
      <c r="M157" s="29" t="s">
        <v>16</v>
      </c>
      <c r="N157" s="93">
        <v>42595</v>
      </c>
      <c r="O157" s="29" t="s">
        <v>233</v>
      </c>
    </row>
    <row r="158" spans="1:16" ht="45" x14ac:dyDescent="0.25">
      <c r="A158" s="20" t="s">
        <v>0</v>
      </c>
      <c r="B158" s="23" t="s">
        <v>3</v>
      </c>
      <c r="C158" s="19" t="s">
        <v>4</v>
      </c>
      <c r="D158" s="19" t="s">
        <v>5</v>
      </c>
      <c r="E158" s="19" t="s">
        <v>6</v>
      </c>
      <c r="F158" s="25" t="s">
        <v>107</v>
      </c>
      <c r="G158" s="22" t="s">
        <v>83</v>
      </c>
      <c r="H158" s="21" t="s">
        <v>219</v>
      </c>
      <c r="I158" s="21" t="s">
        <v>108</v>
      </c>
      <c r="J158" s="23" t="s">
        <v>7</v>
      </c>
      <c r="K158" s="23" t="s">
        <v>8</v>
      </c>
      <c r="L158" s="23" t="s">
        <v>9</v>
      </c>
      <c r="M158" s="23" t="s">
        <v>10</v>
      </c>
      <c r="N158" s="23" t="s">
        <v>11</v>
      </c>
      <c r="O158" s="23" t="s">
        <v>12</v>
      </c>
      <c r="P158" s="23" t="s">
        <v>13</v>
      </c>
    </row>
    <row r="159" spans="1:16" x14ac:dyDescent="0.25">
      <c r="A159">
        <v>10526</v>
      </c>
      <c r="B159" s="91" t="s">
        <v>49</v>
      </c>
      <c r="D159" s="13">
        <v>4618</v>
      </c>
      <c r="E159" s="13">
        <v>21</v>
      </c>
      <c r="F159" s="26">
        <f>IF(I159,H159-G159,TRIM(""))</f>
        <v>0.58999999999999986</v>
      </c>
      <c r="G159" s="24">
        <v>12</v>
      </c>
      <c r="H159" s="12">
        <v>12.59</v>
      </c>
      <c r="I159" s="2">
        <f>IF(IF(GroteHoogte!D159&gt;0,1,0)+IF(GroteHoogte!H159&gt;0,1,0)=2,1,0)</f>
        <v>1</v>
      </c>
      <c r="J159" s="29" t="s">
        <v>222</v>
      </c>
      <c r="K159" s="29">
        <v>1820</v>
      </c>
      <c r="L159" s="29" t="s">
        <v>15</v>
      </c>
      <c r="M159" s="29" t="s">
        <v>16</v>
      </c>
      <c r="N159" s="93">
        <v>42596</v>
      </c>
      <c r="O159" s="29" t="s">
        <v>233</v>
      </c>
      <c r="P159" s="29" t="s">
        <v>244</v>
      </c>
    </row>
    <row r="160" spans="1:16" x14ac:dyDescent="0.25">
      <c r="B160" s="91" t="s">
        <v>41</v>
      </c>
      <c r="D160" s="13">
        <v>4500</v>
      </c>
      <c r="E160" s="13">
        <v>21</v>
      </c>
      <c r="F160" s="26">
        <f>IF(I160,H160-G160,TRIM(""))</f>
        <v>1.0899999999999999</v>
      </c>
      <c r="G160" s="24">
        <v>11.5</v>
      </c>
      <c r="H160" s="12">
        <v>12.59</v>
      </c>
      <c r="I160" s="2">
        <f>IF(IF(GroteHoogte!D160&gt;0,1,0)+IF(GroteHoogte!H160&gt;0,1,0)=2,1,0)</f>
        <v>1</v>
      </c>
      <c r="J160" s="29" t="s">
        <v>222</v>
      </c>
      <c r="K160" s="29">
        <v>1820</v>
      </c>
      <c r="L160" s="29" t="s">
        <v>15</v>
      </c>
      <c r="M160" s="29" t="s">
        <v>16</v>
      </c>
      <c r="N160" s="93">
        <v>42596</v>
      </c>
      <c r="O160" s="29" t="s">
        <v>233</v>
      </c>
      <c r="P160" s="29" t="s">
        <v>250</v>
      </c>
    </row>
    <row r="161" spans="1:16" x14ac:dyDescent="0.25">
      <c r="B161" s="91" t="s">
        <v>22</v>
      </c>
      <c r="C161">
        <v>20651</v>
      </c>
      <c r="D161">
        <v>4333</v>
      </c>
      <c r="E161">
        <v>21</v>
      </c>
      <c r="F161" s="26">
        <f t="shared" ref="F161:F185" si="10">IF(I161,H161-G161,TRIM(""))</f>
        <v>5.3190443602034065E-2</v>
      </c>
      <c r="G161" s="24">
        <f>IF(GroteHoogte!D161&gt;0,Grafiek_kalibratiemetingen!$R$13*GroteHoogte!D161+Grafiek_kalibratiemetingen!$R$14,TRIM(""))</f>
        <v>12.536809556397966</v>
      </c>
      <c r="H161">
        <v>12.59</v>
      </c>
      <c r="I161" s="2">
        <f>IF(IF(GroteHoogte!D161&gt;0,1,0)+IF(GroteHoogte!H161&gt;0,1,0)=2,1,0)</f>
        <v>1</v>
      </c>
      <c r="J161" s="29" t="s">
        <v>222</v>
      </c>
      <c r="K161" s="29">
        <v>1820</v>
      </c>
      <c r="L161" s="29" t="s">
        <v>15</v>
      </c>
      <c r="M161" s="29" t="s">
        <v>16</v>
      </c>
      <c r="N161" s="93">
        <v>42596</v>
      </c>
      <c r="O161" s="29" t="s">
        <v>233</v>
      </c>
    </row>
    <row r="162" spans="1:16" x14ac:dyDescent="0.25">
      <c r="A162" s="88">
        <v>10525</v>
      </c>
      <c r="B162" s="91" t="s">
        <v>49</v>
      </c>
      <c r="D162">
        <v>4877</v>
      </c>
      <c r="E162">
        <v>22</v>
      </c>
      <c r="F162" s="26">
        <f t="shared" si="10"/>
        <v>0.94999999999999929</v>
      </c>
      <c r="G162" s="24">
        <v>12.3</v>
      </c>
      <c r="H162">
        <v>13.25</v>
      </c>
      <c r="I162" s="2">
        <f>IF(IF(GroteHoogte!D162&gt;0,1,0)+IF(GroteHoogte!H162&gt;0,1,0)=2,1,0)</f>
        <v>1</v>
      </c>
      <c r="J162" s="29" t="s">
        <v>222</v>
      </c>
      <c r="K162" s="29">
        <v>1820</v>
      </c>
      <c r="L162" s="29" t="s">
        <v>15</v>
      </c>
      <c r="M162" s="29" t="s">
        <v>16</v>
      </c>
      <c r="N162" s="93">
        <v>42596</v>
      </c>
      <c r="O162" s="29" t="s">
        <v>233</v>
      </c>
      <c r="P162" s="29" t="s">
        <v>236</v>
      </c>
    </row>
    <row r="163" spans="1:16" x14ac:dyDescent="0.25">
      <c r="B163" s="91" t="s">
        <v>41</v>
      </c>
      <c r="D163">
        <v>4743</v>
      </c>
      <c r="E163">
        <v>22</v>
      </c>
      <c r="F163" s="26">
        <f t="shared" si="10"/>
        <v>1.0500000000000007</v>
      </c>
      <c r="G163" s="24">
        <v>12.2</v>
      </c>
      <c r="H163">
        <v>13.25</v>
      </c>
      <c r="I163" s="2">
        <f>IF(IF(GroteHoogte!D163&gt;0,1,0)+IF(GroteHoogte!H163&gt;0,1,0)=2,1,0)</f>
        <v>1</v>
      </c>
      <c r="J163" s="29" t="s">
        <v>222</v>
      </c>
      <c r="K163" s="29">
        <v>1820</v>
      </c>
      <c r="L163" s="29" t="s">
        <v>15</v>
      </c>
      <c r="M163" s="29" t="s">
        <v>16</v>
      </c>
      <c r="N163" s="93">
        <v>42596</v>
      </c>
      <c r="O163" s="29" t="s">
        <v>233</v>
      </c>
    </row>
    <row r="164" spans="1:16" x14ac:dyDescent="0.25">
      <c r="B164" s="91" t="s">
        <v>22</v>
      </c>
      <c r="C164">
        <v>20758</v>
      </c>
      <c r="D164">
        <v>4647</v>
      </c>
      <c r="E164">
        <v>22</v>
      </c>
      <c r="F164" s="26">
        <f t="shared" si="10"/>
        <v>0.26490696669335279</v>
      </c>
      <c r="G164" s="24">
        <f>IF(GroteHoogte!D164&gt;0,Grafiek_kalibratiemetingen!$R$13*GroteHoogte!D164+Grafiek_kalibratiemetingen!$R$14,TRIM(""))</f>
        <v>12.985093033306647</v>
      </c>
      <c r="H164">
        <v>13.25</v>
      </c>
      <c r="I164" s="2">
        <f>IF(IF(GroteHoogte!D164&gt;0,1,0)+IF(GroteHoogte!H164&gt;0,1,0)=2,1,0)</f>
        <v>1</v>
      </c>
      <c r="J164" s="29" t="s">
        <v>222</v>
      </c>
      <c r="K164" s="29">
        <v>1820</v>
      </c>
      <c r="L164" s="29" t="s">
        <v>15</v>
      </c>
      <c r="M164" s="29" t="s">
        <v>16</v>
      </c>
      <c r="N164" s="93">
        <v>42596</v>
      </c>
      <c r="O164" s="29" t="s">
        <v>233</v>
      </c>
    </row>
    <row r="165" spans="1:16" x14ac:dyDescent="0.25">
      <c r="A165">
        <v>542</v>
      </c>
      <c r="B165" s="91" t="s">
        <v>49</v>
      </c>
      <c r="D165">
        <v>2938</v>
      </c>
      <c r="E165">
        <v>23</v>
      </c>
      <c r="F165" s="26">
        <f t="shared" si="10"/>
        <v>2.66</v>
      </c>
      <c r="G165" s="24">
        <v>8.5</v>
      </c>
      <c r="H165">
        <v>11.16</v>
      </c>
      <c r="I165" s="2">
        <f>IF(IF(GroteHoogte!D165&gt;0,1,0)+IF(GroteHoogte!H165&gt;0,1,0)=2,1,0)</f>
        <v>1</v>
      </c>
      <c r="J165" s="29" t="s">
        <v>222</v>
      </c>
      <c r="K165" s="29">
        <v>1820</v>
      </c>
      <c r="L165" s="29" t="s">
        <v>15</v>
      </c>
      <c r="M165" s="29" t="s">
        <v>16</v>
      </c>
      <c r="N165" s="93">
        <v>42596</v>
      </c>
      <c r="O165" s="29" t="s">
        <v>233</v>
      </c>
      <c r="P165" s="29" t="s">
        <v>245</v>
      </c>
    </row>
    <row r="166" spans="1:16" x14ac:dyDescent="0.25">
      <c r="B166" s="91" t="s">
        <v>41</v>
      </c>
      <c r="D166">
        <v>2988</v>
      </c>
      <c r="E166">
        <v>23</v>
      </c>
      <c r="F166" s="26">
        <f t="shared" si="10"/>
        <v>2.66</v>
      </c>
      <c r="G166" s="24">
        <v>8.5</v>
      </c>
      <c r="H166">
        <v>11.16</v>
      </c>
      <c r="I166" s="2">
        <f>IF(IF(GroteHoogte!D166&gt;0,1,0)+IF(GroteHoogte!H166&gt;0,1,0)=2,1,0)</f>
        <v>1</v>
      </c>
      <c r="J166" s="29" t="s">
        <v>222</v>
      </c>
      <c r="K166" s="29">
        <v>1820</v>
      </c>
      <c r="L166" s="29" t="s">
        <v>15</v>
      </c>
      <c r="M166" s="29" t="s">
        <v>16</v>
      </c>
      <c r="N166" s="93">
        <v>42596</v>
      </c>
      <c r="O166" s="29" t="s">
        <v>233</v>
      </c>
    </row>
    <row r="167" spans="1:16" x14ac:dyDescent="0.25">
      <c r="B167" s="91" t="s">
        <v>22</v>
      </c>
      <c r="C167">
        <v>20748</v>
      </c>
      <c r="D167">
        <v>2846</v>
      </c>
      <c r="E167">
        <v>22</v>
      </c>
      <c r="F167" s="26">
        <f t="shared" si="10"/>
        <v>0.74611251418550495</v>
      </c>
      <c r="G167" s="24">
        <f>IF(GroteHoogte!D167&gt;0,Grafiek_kalibratiemetingen!$R$13*GroteHoogte!D167+Grafiek_kalibratiemetingen!$R$14,TRIM(""))</f>
        <v>10.413887485814495</v>
      </c>
      <c r="H167">
        <v>11.16</v>
      </c>
      <c r="I167" s="2">
        <f>IF(IF(GroteHoogte!D167&gt;0,1,0)+IF(GroteHoogte!H167&gt;0,1,0)=2,1,0)</f>
        <v>1</v>
      </c>
      <c r="J167" s="29" t="s">
        <v>222</v>
      </c>
      <c r="K167" s="29">
        <v>1820</v>
      </c>
      <c r="L167" s="29" t="s">
        <v>15</v>
      </c>
      <c r="M167" s="29" t="s">
        <v>16</v>
      </c>
      <c r="N167" s="93">
        <v>42596</v>
      </c>
      <c r="O167" s="29" t="s">
        <v>233</v>
      </c>
    </row>
    <row r="168" spans="1:16" x14ac:dyDescent="0.25">
      <c r="A168">
        <v>540</v>
      </c>
      <c r="B168" s="91" t="s">
        <v>49</v>
      </c>
      <c r="D168">
        <v>2059</v>
      </c>
      <c r="E168">
        <v>23</v>
      </c>
      <c r="F168" s="26">
        <f t="shared" si="10"/>
        <v>3.7499999999999991</v>
      </c>
      <c r="G168" s="24">
        <v>6.7</v>
      </c>
      <c r="H168">
        <v>10.45</v>
      </c>
      <c r="I168" s="2">
        <f>IF(IF(GroteHoogte!D168&gt;0,1,0)+IF(GroteHoogte!H168&gt;0,1,0)=2,1,0)</f>
        <v>1</v>
      </c>
      <c r="J168" s="29" t="s">
        <v>222</v>
      </c>
      <c r="K168" s="29">
        <v>1820</v>
      </c>
      <c r="L168" s="29" t="s">
        <v>15</v>
      </c>
      <c r="M168" s="29" t="s">
        <v>16</v>
      </c>
      <c r="N168" s="93">
        <v>42596</v>
      </c>
      <c r="O168" s="29" t="s">
        <v>233</v>
      </c>
      <c r="P168" s="29" t="s">
        <v>246</v>
      </c>
    </row>
    <row r="169" spans="1:16" x14ac:dyDescent="0.25">
      <c r="B169" s="91" t="s">
        <v>41</v>
      </c>
      <c r="D169">
        <v>2141</v>
      </c>
      <c r="E169">
        <v>23</v>
      </c>
      <c r="F169" s="26">
        <f t="shared" si="10"/>
        <v>3.6499999999999995</v>
      </c>
      <c r="G169" s="24">
        <v>6.8</v>
      </c>
      <c r="H169">
        <v>10.45</v>
      </c>
      <c r="I169" s="2">
        <f>IF(IF(GroteHoogte!D169&gt;0,1,0)+IF(GroteHoogte!H169&gt;0,1,0)=2,1,0)</f>
        <v>1</v>
      </c>
      <c r="J169" s="29" t="s">
        <v>222</v>
      </c>
      <c r="K169" s="29">
        <v>1820</v>
      </c>
      <c r="L169" s="29" t="s">
        <v>15</v>
      </c>
      <c r="M169" s="29" t="s">
        <v>16</v>
      </c>
      <c r="N169" s="93">
        <v>42596</v>
      </c>
      <c r="O169" s="29" t="s">
        <v>233</v>
      </c>
    </row>
    <row r="170" spans="1:16" x14ac:dyDescent="0.25">
      <c r="B170" s="91" t="s">
        <v>22</v>
      </c>
      <c r="C170">
        <v>20831</v>
      </c>
      <c r="D170">
        <v>1947</v>
      </c>
      <c r="E170">
        <v>23</v>
      </c>
      <c r="F170" s="26">
        <f t="shared" si="10"/>
        <v>1.3195738063539899</v>
      </c>
      <c r="G170" s="24">
        <f>IF(GroteHoogte!D170&gt;0,Grafiek_kalibratiemetingen!$R$13*GroteHoogte!D170+Grafiek_kalibratiemetingen!$R$14,TRIM(""))</f>
        <v>9.1304261936460094</v>
      </c>
      <c r="H170">
        <v>10.45</v>
      </c>
      <c r="I170" s="2">
        <f>IF(IF(GroteHoogte!D170&gt;0,1,0)+IF(GroteHoogte!H170&gt;0,1,0)=2,1,0)</f>
        <v>1</v>
      </c>
      <c r="J170" s="29" t="s">
        <v>222</v>
      </c>
      <c r="K170" s="29">
        <v>1820</v>
      </c>
      <c r="L170" s="29" t="s">
        <v>15</v>
      </c>
      <c r="M170" s="29" t="s">
        <v>16</v>
      </c>
      <c r="N170" s="93">
        <v>42596</v>
      </c>
      <c r="O170" s="29" t="s">
        <v>233</v>
      </c>
    </row>
    <row r="171" spans="1:16" x14ac:dyDescent="0.25">
      <c r="A171">
        <v>10520</v>
      </c>
      <c r="B171" s="91" t="s">
        <v>49</v>
      </c>
      <c r="D171">
        <v>4369</v>
      </c>
      <c r="E171">
        <v>23</v>
      </c>
      <c r="F171" s="26">
        <f t="shared" si="10"/>
        <v>0.50999999999999979</v>
      </c>
      <c r="G171" s="24">
        <v>11.4</v>
      </c>
      <c r="H171">
        <v>11.91</v>
      </c>
      <c r="I171" s="2">
        <f>IF(IF(GroteHoogte!D171&gt;0,1,0)+IF(GroteHoogte!H171&gt;0,1,0)=2,1,0)</f>
        <v>1</v>
      </c>
      <c r="J171" s="29" t="s">
        <v>222</v>
      </c>
      <c r="K171" s="29">
        <v>1820</v>
      </c>
      <c r="L171" s="29" t="s">
        <v>15</v>
      </c>
      <c r="M171" s="29" t="s">
        <v>16</v>
      </c>
      <c r="N171" s="93">
        <v>42596</v>
      </c>
      <c r="O171" s="29" t="s">
        <v>233</v>
      </c>
      <c r="P171" s="29" t="s">
        <v>246</v>
      </c>
    </row>
    <row r="172" spans="1:16" x14ac:dyDescent="0.25">
      <c r="B172" s="91" t="s">
        <v>41</v>
      </c>
      <c r="D172">
        <v>4334</v>
      </c>
      <c r="E172">
        <v>23</v>
      </c>
      <c r="F172" s="26">
        <f t="shared" si="10"/>
        <v>0.71000000000000085</v>
      </c>
      <c r="G172" s="24">
        <v>11.2</v>
      </c>
      <c r="H172">
        <v>11.91</v>
      </c>
      <c r="I172" s="2">
        <f>IF(IF(GroteHoogte!D172&gt;0,1,0)+IF(GroteHoogte!H172&gt;0,1,0)=2,1,0)</f>
        <v>1</v>
      </c>
      <c r="J172" s="29" t="s">
        <v>222</v>
      </c>
      <c r="K172" s="29">
        <v>1820</v>
      </c>
      <c r="L172" s="29" t="s">
        <v>15</v>
      </c>
      <c r="M172" s="29" t="s">
        <v>16</v>
      </c>
      <c r="N172" s="93">
        <v>42596</v>
      </c>
      <c r="O172" s="29" t="s">
        <v>233</v>
      </c>
    </row>
    <row r="173" spans="1:16" x14ac:dyDescent="0.25">
      <c r="B173" s="91" t="s">
        <v>22</v>
      </c>
      <c r="C173">
        <v>20827</v>
      </c>
      <c r="D173">
        <v>4183</v>
      </c>
      <c r="E173">
        <v>23</v>
      </c>
      <c r="F173" s="26">
        <f t="shared" si="10"/>
        <v>-0.41266139863904172</v>
      </c>
      <c r="G173" s="24">
        <f>IF(GroteHoogte!D173&gt;0,Grafiek_kalibratiemetingen!$R$13*GroteHoogte!D173+Grafiek_kalibratiemetingen!$R$14,TRIM(""))</f>
        <v>12.322661398639042</v>
      </c>
      <c r="H173">
        <v>11.91</v>
      </c>
      <c r="I173" s="2">
        <f>IF(IF(GroteHoogte!D173&gt;0,1,0)+IF(GroteHoogte!H173&gt;0,1,0)=2,1,0)</f>
        <v>1</v>
      </c>
      <c r="J173" s="29" t="s">
        <v>222</v>
      </c>
      <c r="K173" s="29">
        <v>1820</v>
      </c>
      <c r="L173" s="29" t="s">
        <v>15</v>
      </c>
      <c r="M173" s="29" t="s">
        <v>16</v>
      </c>
      <c r="N173" s="93">
        <v>42596</v>
      </c>
      <c r="O173" s="29" t="s">
        <v>233</v>
      </c>
    </row>
    <row r="174" spans="1:16" x14ac:dyDescent="0.25">
      <c r="A174">
        <v>10519</v>
      </c>
      <c r="B174" s="91" t="s">
        <v>49</v>
      </c>
      <c r="D174">
        <v>3605</v>
      </c>
      <c r="E174">
        <v>23</v>
      </c>
      <c r="F174" s="26">
        <f t="shared" si="10"/>
        <v>1.4100000000000001</v>
      </c>
      <c r="G174" s="24">
        <v>9.9</v>
      </c>
      <c r="H174">
        <v>11.31</v>
      </c>
      <c r="I174" s="2">
        <f>IF(IF(GroteHoogte!D174&gt;0,1,0)+IF(GroteHoogte!H174&gt;0,1,0)=2,1,0)</f>
        <v>1</v>
      </c>
      <c r="J174" s="29" t="s">
        <v>222</v>
      </c>
      <c r="K174" s="29">
        <v>1820</v>
      </c>
      <c r="L174" s="29" t="s">
        <v>15</v>
      </c>
      <c r="M174" s="29" t="s">
        <v>16</v>
      </c>
      <c r="N174" s="93">
        <v>42596</v>
      </c>
      <c r="O174" s="29" t="s">
        <v>233</v>
      </c>
      <c r="P174" s="29" t="s">
        <v>247</v>
      </c>
    </row>
    <row r="175" spans="1:16" x14ac:dyDescent="0.25">
      <c r="B175" s="91" t="s">
        <v>41</v>
      </c>
      <c r="D175">
        <v>3696</v>
      </c>
      <c r="E175">
        <v>23</v>
      </c>
      <c r="F175" s="26">
        <f t="shared" si="10"/>
        <v>1.4100000000000001</v>
      </c>
      <c r="G175" s="24">
        <v>9.9</v>
      </c>
      <c r="H175">
        <v>11.31</v>
      </c>
      <c r="I175" s="2">
        <f>IF(IF(GroteHoogte!D175&gt;0,1,0)+IF(GroteHoogte!H175&gt;0,1,0)=2,1,0)</f>
        <v>1</v>
      </c>
      <c r="J175" s="29" t="s">
        <v>222</v>
      </c>
      <c r="K175" s="29">
        <v>1820</v>
      </c>
      <c r="L175" s="29" t="s">
        <v>15</v>
      </c>
      <c r="M175" s="29" t="s">
        <v>16</v>
      </c>
      <c r="N175" s="93">
        <v>42596</v>
      </c>
      <c r="O175" s="29" t="s">
        <v>233</v>
      </c>
    </row>
    <row r="176" spans="1:16" x14ac:dyDescent="0.25">
      <c r="B176" s="91" t="s">
        <v>22</v>
      </c>
      <c r="C176">
        <v>20792</v>
      </c>
      <c r="D176">
        <v>3428</v>
      </c>
      <c r="E176">
        <v>23</v>
      </c>
      <c r="F176" s="26">
        <f t="shared" si="10"/>
        <v>6.5217662080877759E-2</v>
      </c>
      <c r="G176" s="24">
        <f>IF(GroteHoogte!D176&gt;0,Grafiek_kalibratiemetingen!$R$13*GroteHoogte!D176+Grafiek_kalibratiemetingen!$R$14,TRIM(""))</f>
        <v>11.244782337919123</v>
      </c>
      <c r="H176">
        <v>11.31</v>
      </c>
      <c r="I176" s="2">
        <f>IF(IF(GroteHoogte!D176&gt;0,1,0)+IF(GroteHoogte!H176&gt;0,1,0)=2,1,0)</f>
        <v>1</v>
      </c>
      <c r="J176" s="29" t="s">
        <v>222</v>
      </c>
      <c r="K176" s="29">
        <v>1820</v>
      </c>
      <c r="L176" s="29" t="s">
        <v>15</v>
      </c>
      <c r="M176" s="29" t="s">
        <v>16</v>
      </c>
      <c r="N176" s="93">
        <v>42596</v>
      </c>
      <c r="O176" s="29" t="s">
        <v>233</v>
      </c>
    </row>
    <row r="177" spans="1:17" x14ac:dyDescent="0.25">
      <c r="A177">
        <v>547</v>
      </c>
      <c r="B177" s="91" t="s">
        <v>49</v>
      </c>
      <c r="D177">
        <v>3556</v>
      </c>
      <c r="E177">
        <v>23</v>
      </c>
      <c r="F177" s="26">
        <f t="shared" si="10"/>
        <v>1.4899999999999984</v>
      </c>
      <c r="G177" s="24">
        <v>9.8000000000000007</v>
      </c>
      <c r="H177">
        <v>11.29</v>
      </c>
      <c r="I177" s="2">
        <f>IF(IF(GroteHoogte!D177&gt;0,1,0)+IF(GroteHoogte!H177&gt;0,1,0)=2,1,0)</f>
        <v>1</v>
      </c>
      <c r="J177" s="29" t="s">
        <v>222</v>
      </c>
      <c r="K177" s="29">
        <v>1820</v>
      </c>
      <c r="L177" s="29" t="s">
        <v>15</v>
      </c>
      <c r="M177" s="29" t="s">
        <v>16</v>
      </c>
      <c r="N177" s="93">
        <v>42596</v>
      </c>
      <c r="O177" s="29" t="s">
        <v>233</v>
      </c>
      <c r="P177" s="29" t="s">
        <v>247</v>
      </c>
    </row>
    <row r="178" spans="1:17" x14ac:dyDescent="0.25">
      <c r="B178" s="91" t="s">
        <v>41</v>
      </c>
      <c r="D178">
        <v>3625</v>
      </c>
      <c r="E178">
        <v>23</v>
      </c>
      <c r="F178" s="26">
        <f t="shared" si="10"/>
        <v>1.4899999999999984</v>
      </c>
      <c r="G178" s="24">
        <v>9.8000000000000007</v>
      </c>
      <c r="H178">
        <v>11.29</v>
      </c>
      <c r="I178" s="2">
        <f>IF(IF(GroteHoogte!D178&gt;0,1,0)+IF(GroteHoogte!H178&gt;0,1,0)=2,1,0)</f>
        <v>1</v>
      </c>
      <c r="J178" s="29" t="s">
        <v>222</v>
      </c>
      <c r="K178" s="29">
        <v>1820</v>
      </c>
      <c r="L178" s="29" t="s">
        <v>15</v>
      </c>
      <c r="M178" s="29" t="s">
        <v>16</v>
      </c>
      <c r="N178" s="93">
        <v>42596</v>
      </c>
      <c r="O178" s="29" t="s">
        <v>233</v>
      </c>
    </row>
    <row r="179" spans="1:17" x14ac:dyDescent="0.25">
      <c r="B179" s="91" t="s">
        <v>22</v>
      </c>
      <c r="C179">
        <v>20838</v>
      </c>
      <c r="D179">
        <v>3406</v>
      </c>
      <c r="E179">
        <v>23</v>
      </c>
      <c r="F179" s="26">
        <f t="shared" si="10"/>
        <v>7.6626058552186294E-2</v>
      </c>
      <c r="G179" s="24">
        <f>IF(GroteHoogte!D179&gt;0,Grafiek_kalibratiemetingen!$R$13*GroteHoogte!D179+Grafiek_kalibratiemetingen!$R$14,TRIM(""))</f>
        <v>11.213373941447813</v>
      </c>
      <c r="H179">
        <v>11.29</v>
      </c>
      <c r="I179" s="2">
        <f>IF(IF(GroteHoogte!D179&gt;0,1,0)+IF(GroteHoogte!H179&gt;0,1,0)=2,1,0)</f>
        <v>1</v>
      </c>
      <c r="J179" s="29" t="s">
        <v>222</v>
      </c>
      <c r="K179" s="29">
        <v>1820</v>
      </c>
      <c r="L179" s="29" t="s">
        <v>15</v>
      </c>
      <c r="M179" s="29" t="s">
        <v>16</v>
      </c>
      <c r="N179" s="93">
        <v>42596</v>
      </c>
      <c r="O179" s="29" t="s">
        <v>233</v>
      </c>
    </row>
    <row r="180" spans="1:17" x14ac:dyDescent="0.25">
      <c r="A180">
        <v>548</v>
      </c>
      <c r="B180" s="91" t="s">
        <v>49</v>
      </c>
      <c r="D180">
        <v>2804</v>
      </c>
      <c r="E180">
        <v>23</v>
      </c>
      <c r="F180" s="26">
        <f t="shared" si="10"/>
        <v>2.6100000000000012</v>
      </c>
      <c r="G180" s="24">
        <v>8.1999999999999993</v>
      </c>
      <c r="H180">
        <v>10.81</v>
      </c>
      <c r="I180" s="2">
        <f>IF(IF(GroteHoogte!D180&gt;0,1,0)+IF(GroteHoogte!H180&gt;0,1,0)=2,1,0)</f>
        <v>1</v>
      </c>
      <c r="J180" s="29" t="s">
        <v>222</v>
      </c>
      <c r="K180" s="29">
        <v>1820</v>
      </c>
      <c r="L180" s="29" t="s">
        <v>15</v>
      </c>
      <c r="M180" s="29" t="s">
        <v>16</v>
      </c>
      <c r="N180" s="93">
        <v>42596</v>
      </c>
      <c r="O180" s="29" t="s">
        <v>233</v>
      </c>
      <c r="P180" s="29" t="s">
        <v>248</v>
      </c>
    </row>
    <row r="181" spans="1:17" x14ac:dyDescent="0.25">
      <c r="B181" s="91" t="s">
        <v>41</v>
      </c>
      <c r="D181">
        <v>2806</v>
      </c>
      <c r="E181">
        <v>23</v>
      </c>
      <c r="F181" s="26">
        <f t="shared" si="10"/>
        <v>2.7100000000000009</v>
      </c>
      <c r="G181" s="24">
        <v>8.1</v>
      </c>
      <c r="H181">
        <v>10.81</v>
      </c>
      <c r="I181" s="2">
        <f>IF(IF(GroteHoogte!D181&gt;0,1,0)+IF(GroteHoogte!H181&gt;0,1,0)=2,1,0)</f>
        <v>1</v>
      </c>
      <c r="J181" s="29" t="s">
        <v>222</v>
      </c>
      <c r="K181" s="29">
        <v>1820</v>
      </c>
      <c r="L181" s="29" t="s">
        <v>15</v>
      </c>
      <c r="M181" s="29" t="s">
        <v>16</v>
      </c>
      <c r="N181" s="93">
        <v>42596</v>
      </c>
      <c r="O181" s="29" t="s">
        <v>233</v>
      </c>
    </row>
    <row r="182" spans="1:17" x14ac:dyDescent="0.25">
      <c r="B182" s="91" t="s">
        <v>22</v>
      </c>
      <c r="C182">
        <v>20827</v>
      </c>
      <c r="D182">
        <v>2656</v>
      </c>
      <c r="E182">
        <v>23</v>
      </c>
      <c r="F182" s="26">
        <f t="shared" si="10"/>
        <v>0.66736684734680729</v>
      </c>
      <c r="G182" s="24">
        <f>IF(GroteHoogte!D182&gt;0,Grafiek_kalibratiemetingen!$R$13*GroteHoogte!D182+Grafiek_kalibratiemetingen!$R$14,TRIM(""))</f>
        <v>10.142633152653193</v>
      </c>
      <c r="H182">
        <v>10.81</v>
      </c>
      <c r="I182" s="2">
        <f>IF(IF(GroteHoogte!D182&gt;0,1,0)+IF(GroteHoogte!H182&gt;0,1,0)=2,1,0)</f>
        <v>1</v>
      </c>
      <c r="J182" s="29" t="s">
        <v>222</v>
      </c>
      <c r="K182" s="29">
        <v>1820</v>
      </c>
      <c r="L182" s="29" t="s">
        <v>15</v>
      </c>
      <c r="M182" s="29" t="s">
        <v>16</v>
      </c>
      <c r="N182" s="93">
        <v>42596</v>
      </c>
      <c r="O182" s="29" t="s">
        <v>233</v>
      </c>
    </row>
    <row r="183" spans="1:17" x14ac:dyDescent="0.25">
      <c r="A183">
        <v>545</v>
      </c>
      <c r="B183" s="91" t="s">
        <v>49</v>
      </c>
      <c r="D183">
        <v>3308</v>
      </c>
      <c r="E183">
        <v>23</v>
      </c>
      <c r="F183" s="26">
        <f t="shared" si="10"/>
        <v>1.6999999999999993</v>
      </c>
      <c r="G183" s="24">
        <v>9.3000000000000007</v>
      </c>
      <c r="H183">
        <v>11</v>
      </c>
      <c r="I183" s="2">
        <f>IF(IF(GroteHoogte!D183&gt;0,1,0)+IF(GroteHoogte!H183&gt;0,1,0)=2,1,0)</f>
        <v>1</v>
      </c>
      <c r="J183" s="29" t="s">
        <v>222</v>
      </c>
      <c r="K183" s="29">
        <v>1820</v>
      </c>
      <c r="L183" s="29" t="s">
        <v>15</v>
      </c>
      <c r="M183" s="29" t="s">
        <v>16</v>
      </c>
      <c r="N183" s="93">
        <v>42596</v>
      </c>
      <c r="O183" s="29" t="s">
        <v>233</v>
      </c>
      <c r="P183" s="29" t="s">
        <v>249</v>
      </c>
    </row>
    <row r="184" spans="1:17" x14ac:dyDescent="0.25">
      <c r="B184" s="91" t="s">
        <v>41</v>
      </c>
      <c r="D184">
        <v>3390</v>
      </c>
      <c r="E184">
        <v>23</v>
      </c>
      <c r="F184" s="26">
        <f t="shared" si="10"/>
        <v>1.6999999999999993</v>
      </c>
      <c r="G184" s="24">
        <v>9.3000000000000007</v>
      </c>
      <c r="H184">
        <v>11</v>
      </c>
      <c r="I184" s="2">
        <f>IF(IF(GroteHoogte!D184&gt;0,1,0)+IF(GroteHoogte!H184&gt;0,1,0)=2,1,0)</f>
        <v>1</v>
      </c>
      <c r="J184" s="29" t="s">
        <v>222</v>
      </c>
      <c r="K184" s="29">
        <v>1820</v>
      </c>
      <c r="L184" s="29" t="s">
        <v>15</v>
      </c>
      <c r="M184" s="29" t="s">
        <v>16</v>
      </c>
      <c r="N184" s="93">
        <v>42596</v>
      </c>
      <c r="O184" s="29" t="s">
        <v>233</v>
      </c>
      <c r="P184" s="29" t="s">
        <v>251</v>
      </c>
    </row>
    <row r="185" spans="1:17" x14ac:dyDescent="0.25">
      <c r="B185" s="91" t="s">
        <v>22</v>
      </c>
      <c r="C185">
        <v>20830</v>
      </c>
      <c r="D185">
        <v>3150</v>
      </c>
      <c r="E185">
        <v>23</v>
      </c>
      <c r="F185" s="26">
        <f t="shared" si="10"/>
        <v>0.15210558112741701</v>
      </c>
      <c r="G185" s="24">
        <f>IF(GroteHoogte!D185&gt;0,Grafiek_kalibratiemetingen!$R$13*GroteHoogte!D185+Grafiek_kalibratiemetingen!$R$14,TRIM(""))</f>
        <v>10.847894418872583</v>
      </c>
      <c r="H185">
        <v>11</v>
      </c>
      <c r="I185" s="2">
        <f>IF(IF(GroteHoogte!D185&gt;0,1,0)+IF(GroteHoogte!H185&gt;0,1,0)=2,1,0)</f>
        <v>1</v>
      </c>
      <c r="J185" s="29" t="s">
        <v>222</v>
      </c>
      <c r="K185" s="29">
        <v>1820</v>
      </c>
      <c r="L185" s="29" t="s">
        <v>15</v>
      </c>
      <c r="M185" s="29" t="s">
        <v>16</v>
      </c>
      <c r="N185" s="93">
        <v>42596</v>
      </c>
      <c r="O185" s="29" t="s">
        <v>233</v>
      </c>
      <c r="P185" s="29" t="s">
        <v>252</v>
      </c>
    </row>
    <row r="186" spans="1:17" ht="45" x14ac:dyDescent="0.25">
      <c r="A186" s="20" t="s">
        <v>0</v>
      </c>
      <c r="B186" s="23" t="s">
        <v>3</v>
      </c>
      <c r="C186" s="19" t="s">
        <v>4</v>
      </c>
      <c r="D186" s="19" t="s">
        <v>5</v>
      </c>
      <c r="E186" s="19" t="s">
        <v>6</v>
      </c>
      <c r="F186" s="25" t="s">
        <v>107</v>
      </c>
      <c r="G186" s="22" t="s">
        <v>83</v>
      </c>
      <c r="H186" s="21" t="s">
        <v>219</v>
      </c>
      <c r="I186" s="21" t="s">
        <v>253</v>
      </c>
      <c r="J186" s="21" t="s">
        <v>108</v>
      </c>
      <c r="K186" s="23" t="s">
        <v>7</v>
      </c>
      <c r="L186" s="23" t="s">
        <v>8</v>
      </c>
      <c r="M186" s="23" t="s">
        <v>9</v>
      </c>
      <c r="N186" s="23" t="s">
        <v>10</v>
      </c>
      <c r="O186" s="23" t="s">
        <v>11</v>
      </c>
      <c r="P186" s="23" t="s">
        <v>12</v>
      </c>
      <c r="Q186" s="23" t="s">
        <v>13</v>
      </c>
    </row>
    <row r="187" spans="1:17" x14ac:dyDescent="0.25">
      <c r="A187">
        <v>10526</v>
      </c>
      <c r="B187" s="91" t="s">
        <v>49</v>
      </c>
      <c r="D187" s="13">
        <v>5487</v>
      </c>
      <c r="E187" s="13">
        <v>33</v>
      </c>
      <c r="F187" s="26">
        <f t="shared" ref="F187:F213" si="11">IF(J187,H187-G187,TRIM(""))</f>
        <v>-1</v>
      </c>
      <c r="G187" s="24">
        <v>13.7</v>
      </c>
      <c r="H187" s="12">
        <v>12.7</v>
      </c>
      <c r="I187" s="12">
        <v>13.2</v>
      </c>
      <c r="J187" s="2">
        <f>IF(IF(GroteHoogte!D187&gt;0,1,0)+IF(GroteHoogte!H187&gt;0,1,0)=2,1,0)</f>
        <v>1</v>
      </c>
      <c r="K187" s="29" t="s">
        <v>14</v>
      </c>
      <c r="L187" s="29">
        <v>729</v>
      </c>
      <c r="M187" s="29" t="s">
        <v>15</v>
      </c>
      <c r="N187" s="29" t="s">
        <v>16</v>
      </c>
      <c r="O187" s="93">
        <v>42597</v>
      </c>
      <c r="P187" s="29" t="s">
        <v>19</v>
      </c>
      <c r="Q187" s="29" t="s">
        <v>254</v>
      </c>
    </row>
    <row r="188" spans="1:17" x14ac:dyDescent="0.25">
      <c r="B188" s="91" t="s">
        <v>41</v>
      </c>
      <c r="D188" s="13">
        <v>5676</v>
      </c>
      <c r="E188" s="13">
        <v>31</v>
      </c>
      <c r="F188" s="26">
        <f t="shared" si="11"/>
        <v>-1.2000000000000011</v>
      </c>
      <c r="G188" s="24">
        <v>13.9</v>
      </c>
      <c r="H188" s="12">
        <v>12.7</v>
      </c>
      <c r="I188" s="12">
        <v>13.2</v>
      </c>
      <c r="J188" s="2">
        <f>IF(IF(GroteHoogte!D188&gt;0,1,0)+IF(GroteHoogte!H188&gt;0,1,0)=2,1,0)</f>
        <v>1</v>
      </c>
      <c r="K188" s="29" t="s">
        <v>14</v>
      </c>
      <c r="L188" s="29">
        <v>729</v>
      </c>
      <c r="M188" s="29" t="s">
        <v>15</v>
      </c>
      <c r="N188" s="29" t="s">
        <v>16</v>
      </c>
      <c r="O188" s="93">
        <v>42597</v>
      </c>
      <c r="P188" s="29" t="s">
        <v>19</v>
      </c>
      <c r="Q188" s="29" t="s">
        <v>255</v>
      </c>
    </row>
    <row r="189" spans="1:17" x14ac:dyDescent="0.25">
      <c r="B189" s="91" t="s">
        <v>22</v>
      </c>
      <c r="C189">
        <v>21054</v>
      </c>
      <c r="D189">
        <v>5073</v>
      </c>
      <c r="E189">
        <v>31</v>
      </c>
      <c r="F189" s="26">
        <f t="shared" si="11"/>
        <v>-0.8932738013419943</v>
      </c>
      <c r="G189" s="24">
        <f>IF(GroteHoogte!D189&gt;0,Grafiek_kalibratiemetingen!$R$13*GroteHoogte!D189+Grafiek_kalibratiemetingen!$R$14,TRIM(""))</f>
        <v>13.593273801341994</v>
      </c>
      <c r="H189" s="12">
        <v>12.7</v>
      </c>
      <c r="I189" s="12">
        <v>13.2</v>
      </c>
      <c r="J189" s="2">
        <f>IF(IF(GroteHoogte!D189&gt;0,1,0)+IF(GroteHoogte!H189&gt;0,1,0)=2,1,0)</f>
        <v>1</v>
      </c>
      <c r="K189" s="29" t="s">
        <v>14</v>
      </c>
      <c r="L189" s="29">
        <v>729</v>
      </c>
      <c r="M189" s="29" t="s">
        <v>15</v>
      </c>
      <c r="N189" s="29" t="s">
        <v>16</v>
      </c>
      <c r="O189" s="93">
        <v>42597</v>
      </c>
      <c r="P189" s="29" t="s">
        <v>19</v>
      </c>
    </row>
    <row r="190" spans="1:17" x14ac:dyDescent="0.25">
      <c r="A190" s="88">
        <v>10525</v>
      </c>
      <c r="B190" s="91" t="s">
        <v>49</v>
      </c>
      <c r="D190">
        <v>5415</v>
      </c>
      <c r="E190">
        <v>34</v>
      </c>
      <c r="F190" s="26">
        <f t="shared" si="11"/>
        <v>-0.16000000000000014</v>
      </c>
      <c r="G190" s="24">
        <v>13.6</v>
      </c>
      <c r="H190" s="12">
        <v>13.44</v>
      </c>
      <c r="I190" s="12">
        <v>13.8</v>
      </c>
      <c r="J190" s="2">
        <f>IF(IF(GroteHoogte!D190&gt;0,1,0)+IF(GroteHoogte!H190&gt;0,1,0)=2,1,0)</f>
        <v>1</v>
      </c>
      <c r="K190" s="29" t="s">
        <v>14</v>
      </c>
      <c r="L190" s="29">
        <v>729</v>
      </c>
      <c r="M190" s="29" t="s">
        <v>15</v>
      </c>
      <c r="N190" s="29" t="s">
        <v>16</v>
      </c>
      <c r="O190" s="93">
        <v>42597</v>
      </c>
      <c r="P190" s="29" t="s">
        <v>19</v>
      </c>
      <c r="Q190" s="29" t="s">
        <v>256</v>
      </c>
    </row>
    <row r="191" spans="1:17" x14ac:dyDescent="0.25">
      <c r="B191" s="91" t="s">
        <v>41</v>
      </c>
      <c r="D191">
        <v>5431</v>
      </c>
      <c r="E191">
        <v>31</v>
      </c>
      <c r="F191" s="26">
        <f t="shared" si="11"/>
        <v>3.9999999999999147E-2</v>
      </c>
      <c r="G191" s="24">
        <v>13.4</v>
      </c>
      <c r="H191" s="12">
        <v>13.44</v>
      </c>
      <c r="I191" s="12">
        <v>13.8</v>
      </c>
      <c r="J191" s="2">
        <f>IF(IF(GroteHoogte!D191&gt;0,1,0)+IF(GroteHoogte!H191&gt;0,1,0)=2,1,0)</f>
        <v>1</v>
      </c>
      <c r="K191" s="29" t="s">
        <v>14</v>
      </c>
      <c r="L191" s="29">
        <v>729</v>
      </c>
      <c r="M191" s="29" t="s">
        <v>15</v>
      </c>
      <c r="N191" s="29" t="s">
        <v>16</v>
      </c>
      <c r="O191" s="93">
        <v>42597</v>
      </c>
      <c r="P191" s="29" t="s">
        <v>19</v>
      </c>
      <c r="Q191" s="29" t="s">
        <v>257</v>
      </c>
    </row>
    <row r="192" spans="1:17" x14ac:dyDescent="0.25">
      <c r="B192" s="91" t="s">
        <v>22</v>
      </c>
      <c r="C192">
        <v>21033</v>
      </c>
      <c r="D192">
        <v>5181</v>
      </c>
      <c r="E192">
        <v>31</v>
      </c>
      <c r="F192" s="26">
        <f t="shared" si="11"/>
        <v>-0.30746047492841733</v>
      </c>
      <c r="G192" s="24">
        <f>IF(GroteHoogte!D192&gt;0,Grafiek_kalibratiemetingen!$R$13*GroteHoogte!D192+Grafiek_kalibratiemetingen!$R$14,TRIM(""))</f>
        <v>13.747460474928417</v>
      </c>
      <c r="H192" s="12">
        <v>13.44</v>
      </c>
      <c r="I192" s="12">
        <v>13.8</v>
      </c>
      <c r="J192" s="2">
        <f>IF(IF(GroteHoogte!D192&gt;0,1,0)+IF(GroteHoogte!H192&gt;0,1,0)=2,1,0)</f>
        <v>1</v>
      </c>
      <c r="K192" s="29" t="s">
        <v>14</v>
      </c>
      <c r="L192" s="29">
        <v>729</v>
      </c>
      <c r="M192" s="29" t="s">
        <v>15</v>
      </c>
      <c r="N192" s="29" t="s">
        <v>16</v>
      </c>
      <c r="O192" s="93">
        <v>42597</v>
      </c>
      <c r="P192" s="29" t="s">
        <v>19</v>
      </c>
    </row>
    <row r="193" spans="1:17" x14ac:dyDescent="0.25">
      <c r="A193">
        <v>542</v>
      </c>
      <c r="B193" s="91" t="s">
        <v>49</v>
      </c>
      <c r="D193">
        <v>4440</v>
      </c>
      <c r="E193">
        <v>33</v>
      </c>
      <c r="F193" s="26">
        <f t="shared" si="11"/>
        <v>-0.88999999999999879</v>
      </c>
      <c r="G193" s="24">
        <v>11.6</v>
      </c>
      <c r="H193" s="12">
        <v>10.71</v>
      </c>
      <c r="I193" s="12">
        <v>11.5</v>
      </c>
      <c r="J193" s="2">
        <f>IF(IF(GroteHoogte!D193&gt;0,1,0)+IF(GroteHoogte!H193&gt;0,1,0)=2,1,0)</f>
        <v>1</v>
      </c>
      <c r="K193" s="29" t="s">
        <v>14</v>
      </c>
      <c r="L193" s="29">
        <v>729</v>
      </c>
      <c r="M193" s="29" t="s">
        <v>15</v>
      </c>
      <c r="N193" s="29" t="s">
        <v>16</v>
      </c>
      <c r="O193" s="93">
        <v>42597</v>
      </c>
      <c r="P193" s="29" t="s">
        <v>19</v>
      </c>
      <c r="Q193" s="29" t="s">
        <v>267</v>
      </c>
    </row>
    <row r="194" spans="1:17" x14ac:dyDescent="0.25">
      <c r="B194" s="91" t="s">
        <v>41</v>
      </c>
      <c r="D194">
        <v>4280</v>
      </c>
      <c r="E194">
        <v>32</v>
      </c>
      <c r="F194" s="26">
        <f t="shared" si="11"/>
        <v>-0.38999999999999879</v>
      </c>
      <c r="G194" s="24">
        <v>11.1</v>
      </c>
      <c r="H194" s="12">
        <v>10.71</v>
      </c>
      <c r="I194" s="12">
        <v>11.5</v>
      </c>
      <c r="J194" s="2">
        <f>IF(IF(GroteHoogte!D194&gt;0,1,0)+IF(GroteHoogte!H194&gt;0,1,0)=2,1,0)</f>
        <v>1</v>
      </c>
      <c r="K194" s="29" t="s">
        <v>14</v>
      </c>
      <c r="L194" s="29">
        <v>729</v>
      </c>
      <c r="M194" s="29" t="s">
        <v>15</v>
      </c>
      <c r="N194" s="29" t="s">
        <v>16</v>
      </c>
      <c r="O194" s="93">
        <v>42597</v>
      </c>
      <c r="P194" s="29" t="s">
        <v>19</v>
      </c>
      <c r="Q194" t="s">
        <v>257</v>
      </c>
    </row>
    <row r="195" spans="1:17" x14ac:dyDescent="0.25">
      <c r="B195" s="91" t="s">
        <v>22</v>
      </c>
      <c r="C195">
        <v>20967</v>
      </c>
      <c r="D195">
        <v>4071</v>
      </c>
      <c r="E195">
        <v>31</v>
      </c>
      <c r="F195" s="26">
        <f t="shared" si="11"/>
        <v>-1.4527641075123761</v>
      </c>
      <c r="G195" s="24">
        <f>IF(GroteHoogte!D195&gt;0,Grafiek_kalibratiemetingen!$R$13*GroteHoogte!D195+Grafiek_kalibratiemetingen!$R$14,TRIM(""))</f>
        <v>12.162764107512377</v>
      </c>
      <c r="H195" s="12">
        <v>10.71</v>
      </c>
      <c r="I195" s="12">
        <v>11.5</v>
      </c>
      <c r="J195" s="2">
        <f>IF(IF(GroteHoogte!D195&gt;0,1,0)+IF(GroteHoogte!H195&gt;0,1,0)=2,1,0)</f>
        <v>1</v>
      </c>
      <c r="K195" s="29" t="s">
        <v>14</v>
      </c>
      <c r="L195" s="29">
        <v>729</v>
      </c>
      <c r="M195" s="29" t="s">
        <v>15</v>
      </c>
      <c r="N195" s="29" t="s">
        <v>16</v>
      </c>
      <c r="O195" s="93">
        <v>42597</v>
      </c>
      <c r="P195" s="29" t="s">
        <v>19</v>
      </c>
      <c r="Q195" s="29" t="s">
        <v>258</v>
      </c>
    </row>
    <row r="196" spans="1:17" x14ac:dyDescent="0.25">
      <c r="A196">
        <v>540</v>
      </c>
      <c r="B196" s="91" t="s">
        <v>49</v>
      </c>
      <c r="D196">
        <v>3267</v>
      </c>
      <c r="E196">
        <v>32</v>
      </c>
      <c r="F196" s="26">
        <f t="shared" si="11"/>
        <v>0.65000000000000036</v>
      </c>
      <c r="G196" s="24">
        <v>9.1999999999999993</v>
      </c>
      <c r="H196" s="12">
        <v>9.85</v>
      </c>
      <c r="I196" s="12">
        <v>10.9</v>
      </c>
      <c r="J196" s="2">
        <f>IF(IF(GroteHoogte!D196&gt;0,1,0)+IF(GroteHoogte!H196&gt;0,1,0)=2,1,0)</f>
        <v>1</v>
      </c>
      <c r="K196" s="29" t="s">
        <v>14</v>
      </c>
      <c r="L196" s="29">
        <v>729</v>
      </c>
      <c r="M196" s="29" t="s">
        <v>15</v>
      </c>
      <c r="N196" s="29" t="s">
        <v>16</v>
      </c>
      <c r="O196" s="93">
        <v>42597</v>
      </c>
      <c r="P196" s="29" t="s">
        <v>19</v>
      </c>
      <c r="Q196" s="29" t="s">
        <v>259</v>
      </c>
    </row>
    <row r="197" spans="1:17" x14ac:dyDescent="0.25">
      <c r="B197" s="91" t="s">
        <v>41</v>
      </c>
      <c r="D197">
        <v>3258</v>
      </c>
      <c r="E197">
        <v>31</v>
      </c>
      <c r="F197" s="26">
        <f t="shared" si="11"/>
        <v>0.84999999999999964</v>
      </c>
      <c r="G197" s="24">
        <v>9</v>
      </c>
      <c r="H197" s="12">
        <v>9.85</v>
      </c>
      <c r="I197" s="12">
        <v>10.9</v>
      </c>
      <c r="J197" s="2">
        <f>IF(IF(GroteHoogte!D197&gt;0,1,0)+IF(GroteHoogte!H197&gt;0,1,0)=2,1,0)</f>
        <v>1</v>
      </c>
      <c r="K197" s="29" t="s">
        <v>14</v>
      </c>
      <c r="L197" s="29">
        <v>729</v>
      </c>
      <c r="M197" s="29" t="s">
        <v>15</v>
      </c>
      <c r="N197" s="29" t="s">
        <v>16</v>
      </c>
      <c r="O197" s="93">
        <v>42597</v>
      </c>
      <c r="P197" s="29" t="s">
        <v>19</v>
      </c>
      <c r="Q197" s="29" t="s">
        <v>260</v>
      </c>
    </row>
    <row r="198" spans="1:17" x14ac:dyDescent="0.25">
      <c r="B198" s="91" t="s">
        <v>22</v>
      </c>
      <c r="C198">
        <v>20958</v>
      </c>
      <c r="D198">
        <v>3109</v>
      </c>
      <c r="E198">
        <v>31</v>
      </c>
      <c r="F198" s="26">
        <f t="shared" si="11"/>
        <v>-0.93936058908514397</v>
      </c>
      <c r="G198" s="24">
        <f>IF(GroteHoogte!D198&gt;0,Grafiek_kalibratiemetingen!$R$13*GroteHoogte!D198+Grafiek_kalibratiemetingen!$R$14,TRIM(""))</f>
        <v>10.789360589085144</v>
      </c>
      <c r="H198" s="12">
        <v>9.85</v>
      </c>
      <c r="I198" s="12">
        <v>10.9</v>
      </c>
      <c r="J198" s="2">
        <f>IF(IF(GroteHoogte!D198&gt;0,1,0)+IF(GroteHoogte!H198&gt;0,1,0)=2,1,0)</f>
        <v>1</v>
      </c>
      <c r="K198" s="29" t="s">
        <v>14</v>
      </c>
      <c r="L198" s="29">
        <v>729</v>
      </c>
      <c r="M198" s="29" t="s">
        <v>15</v>
      </c>
      <c r="N198" s="29" t="s">
        <v>16</v>
      </c>
      <c r="O198" s="93">
        <v>42597</v>
      </c>
      <c r="P198" s="29" t="s">
        <v>19</v>
      </c>
      <c r="Q198" s="29" t="s">
        <v>261</v>
      </c>
    </row>
    <row r="199" spans="1:17" x14ac:dyDescent="0.25">
      <c r="A199">
        <v>10520</v>
      </c>
      <c r="B199" s="91" t="s">
        <v>49</v>
      </c>
      <c r="D199">
        <v>5133</v>
      </c>
      <c r="E199">
        <v>32</v>
      </c>
      <c r="F199" s="26">
        <f t="shared" si="11"/>
        <v>-1.2599999999999998</v>
      </c>
      <c r="G199" s="24">
        <v>13</v>
      </c>
      <c r="H199" s="12">
        <v>11.74</v>
      </c>
      <c r="I199" s="12">
        <v>12.4</v>
      </c>
      <c r="J199" s="2">
        <f>IF(IF(GroteHoogte!D199&gt;0,1,0)+IF(GroteHoogte!H199&gt;0,1,0)=2,1,0)</f>
        <v>1</v>
      </c>
      <c r="K199" s="29" t="s">
        <v>14</v>
      </c>
      <c r="L199" s="29">
        <v>729</v>
      </c>
      <c r="M199" s="29" t="s">
        <v>15</v>
      </c>
      <c r="N199" s="29" t="s">
        <v>16</v>
      </c>
      <c r="O199" s="93">
        <v>42597</v>
      </c>
      <c r="P199" s="29" t="s">
        <v>19</v>
      </c>
      <c r="Q199" s="29" t="s">
        <v>262</v>
      </c>
    </row>
    <row r="200" spans="1:17" x14ac:dyDescent="0.25">
      <c r="B200" s="91" t="s">
        <v>41</v>
      </c>
      <c r="D200">
        <v>5139</v>
      </c>
      <c r="E200">
        <v>31</v>
      </c>
      <c r="F200" s="26">
        <f t="shared" si="11"/>
        <v>-1.0600000000000005</v>
      </c>
      <c r="G200" s="24">
        <v>12.8</v>
      </c>
      <c r="H200" s="12">
        <v>11.74</v>
      </c>
      <c r="I200" s="12">
        <v>12.4</v>
      </c>
      <c r="J200" s="2">
        <f>IF(IF(GroteHoogte!D200&gt;0,1,0)+IF(GroteHoogte!H200&gt;0,1,0)=2,1,0)</f>
        <v>1</v>
      </c>
      <c r="K200" s="29" t="s">
        <v>14</v>
      </c>
      <c r="L200" s="29">
        <v>729</v>
      </c>
      <c r="M200" s="29" t="s">
        <v>15</v>
      </c>
      <c r="N200" s="29" t="s">
        <v>16</v>
      </c>
      <c r="O200" s="93">
        <v>42597</v>
      </c>
      <c r="P200" s="29" t="s">
        <v>19</v>
      </c>
      <c r="Q200" s="29" t="s">
        <v>263</v>
      </c>
    </row>
    <row r="201" spans="1:17" x14ac:dyDescent="0.25">
      <c r="B201" s="91" t="s">
        <v>22</v>
      </c>
      <c r="C201">
        <v>21036</v>
      </c>
      <c r="D201">
        <v>4775</v>
      </c>
      <c r="E201">
        <v>30</v>
      </c>
      <c r="F201" s="26">
        <f t="shared" si="11"/>
        <v>-1.4278327945942628</v>
      </c>
      <c r="G201" s="24">
        <f>IF(GroteHoogte!D201&gt;0,Grafiek_kalibratiemetingen!$R$13*GroteHoogte!D201+Grafiek_kalibratiemetingen!$R$14,TRIM(""))</f>
        <v>13.167832794594263</v>
      </c>
      <c r="H201" s="12">
        <v>11.74</v>
      </c>
      <c r="I201" s="12">
        <v>12.4</v>
      </c>
      <c r="J201" s="2">
        <f>IF(IF(GroteHoogte!D201&gt;0,1,0)+IF(GroteHoogte!H201&gt;0,1,0)=2,1,0)</f>
        <v>1</v>
      </c>
      <c r="K201" s="29" t="s">
        <v>14</v>
      </c>
      <c r="L201" s="29">
        <v>729</v>
      </c>
      <c r="M201" s="29" t="s">
        <v>15</v>
      </c>
      <c r="N201" s="29" t="s">
        <v>16</v>
      </c>
      <c r="O201" s="93">
        <v>42597</v>
      </c>
      <c r="P201" s="29" t="s">
        <v>19</v>
      </c>
    </row>
    <row r="202" spans="1:17" x14ac:dyDescent="0.25">
      <c r="A202">
        <v>10519</v>
      </c>
      <c r="B202" s="91" t="s">
        <v>49</v>
      </c>
      <c r="D202">
        <v>4535</v>
      </c>
      <c r="E202">
        <v>32</v>
      </c>
      <c r="F202" s="26">
        <f t="shared" si="11"/>
        <v>-0.39000000000000057</v>
      </c>
      <c r="G202" s="24">
        <v>11.8</v>
      </c>
      <c r="H202" s="12">
        <v>11.41</v>
      </c>
      <c r="I202" s="12">
        <v>11.9</v>
      </c>
      <c r="J202" s="2">
        <f>IF(IF(GroteHoogte!D202&gt;0,1,0)+IF(GroteHoogte!H202&gt;0,1,0)=2,1,0)</f>
        <v>1</v>
      </c>
      <c r="K202" s="29" t="s">
        <v>14</v>
      </c>
      <c r="L202" s="29">
        <v>729</v>
      </c>
      <c r="M202" s="29" t="s">
        <v>15</v>
      </c>
      <c r="N202" s="29" t="s">
        <v>16</v>
      </c>
      <c r="O202" s="93">
        <v>42597</v>
      </c>
      <c r="P202" s="29" t="s">
        <v>19</v>
      </c>
      <c r="Q202" s="29" t="s">
        <v>260</v>
      </c>
    </row>
    <row r="203" spans="1:17" x14ac:dyDescent="0.25">
      <c r="B203" s="91" t="s">
        <v>41</v>
      </c>
      <c r="D203">
        <v>4564</v>
      </c>
      <c r="E203">
        <v>31</v>
      </c>
      <c r="F203" s="26">
        <f t="shared" si="11"/>
        <v>-0.1899999999999995</v>
      </c>
      <c r="G203" s="24">
        <v>11.6</v>
      </c>
      <c r="H203" s="12">
        <v>11.41</v>
      </c>
      <c r="I203" s="12">
        <v>11.9</v>
      </c>
      <c r="J203" s="2">
        <f>IF(IF(GroteHoogte!D203&gt;0,1,0)+IF(GroteHoogte!H203&gt;0,1,0)=2,1,0)</f>
        <v>1</v>
      </c>
      <c r="K203" s="29" t="s">
        <v>14</v>
      </c>
      <c r="L203" s="29">
        <v>729</v>
      </c>
      <c r="M203" s="29" t="s">
        <v>15</v>
      </c>
      <c r="N203" s="29" t="s">
        <v>16</v>
      </c>
      <c r="O203" s="93">
        <v>42597</v>
      </c>
      <c r="P203" s="29" t="s">
        <v>19</v>
      </c>
      <c r="Q203" s="29" t="s">
        <v>264</v>
      </c>
    </row>
    <row r="204" spans="1:17" x14ac:dyDescent="0.25">
      <c r="B204" s="91" t="s">
        <v>22</v>
      </c>
      <c r="C204">
        <v>20988</v>
      </c>
      <c r="D204">
        <v>4257</v>
      </c>
      <c r="E204">
        <v>31</v>
      </c>
      <c r="F204" s="26">
        <f t="shared" si="11"/>
        <v>-1.0183078231334441</v>
      </c>
      <c r="G204" s="24">
        <f>IF(GroteHoogte!D204&gt;0,Grafiek_kalibratiemetingen!$R$13*GroteHoogte!D204+Grafiek_kalibratiemetingen!$R$14,TRIM(""))</f>
        <v>12.428307823133444</v>
      </c>
      <c r="H204" s="12">
        <v>11.41</v>
      </c>
      <c r="I204" s="12">
        <v>11.9</v>
      </c>
      <c r="J204" s="2">
        <f>IF(IF(GroteHoogte!D204&gt;0,1,0)+IF(GroteHoogte!H204&gt;0,1,0)=2,1,0)</f>
        <v>1</v>
      </c>
      <c r="K204" s="29" t="s">
        <v>14</v>
      </c>
      <c r="L204" s="29">
        <v>729</v>
      </c>
      <c r="M204" s="29" t="s">
        <v>15</v>
      </c>
      <c r="N204" s="29" t="s">
        <v>16</v>
      </c>
      <c r="O204" s="93">
        <v>42597</v>
      </c>
      <c r="P204" s="29" t="s">
        <v>19</v>
      </c>
    </row>
    <row r="205" spans="1:17" x14ac:dyDescent="0.25">
      <c r="A205">
        <v>547</v>
      </c>
      <c r="B205" s="91" t="s">
        <v>49</v>
      </c>
      <c r="D205">
        <v>4779</v>
      </c>
      <c r="E205">
        <v>32</v>
      </c>
      <c r="F205" s="26">
        <f t="shared" si="11"/>
        <v>-0.94000000000000128</v>
      </c>
      <c r="G205" s="24">
        <v>12.3</v>
      </c>
      <c r="H205" s="12">
        <v>11.36</v>
      </c>
      <c r="I205" s="12">
        <v>12</v>
      </c>
      <c r="J205" s="2">
        <f>IF(IF(GroteHoogte!D205&gt;0,1,0)+IF(GroteHoogte!H205&gt;0,1,0)=2,1,0)</f>
        <v>1</v>
      </c>
      <c r="K205" s="29" t="s">
        <v>14</v>
      </c>
      <c r="L205" s="29">
        <v>729</v>
      </c>
      <c r="M205" s="29" t="s">
        <v>15</v>
      </c>
      <c r="N205" s="29" t="s">
        <v>16</v>
      </c>
      <c r="O205" s="93">
        <v>42597</v>
      </c>
      <c r="P205" s="29" t="s">
        <v>19</v>
      </c>
      <c r="Q205" s="29" t="s">
        <v>265</v>
      </c>
    </row>
    <row r="206" spans="1:17" x14ac:dyDescent="0.25">
      <c r="B206" s="91" t="s">
        <v>41</v>
      </c>
      <c r="D206">
        <v>4574</v>
      </c>
      <c r="E206">
        <v>31</v>
      </c>
      <c r="F206" s="26">
        <f t="shared" si="11"/>
        <v>-0.33999999999999986</v>
      </c>
      <c r="G206" s="24">
        <v>11.7</v>
      </c>
      <c r="H206" s="12">
        <v>11.36</v>
      </c>
      <c r="I206" s="12">
        <v>12</v>
      </c>
      <c r="J206" s="2">
        <f>IF(IF(GroteHoogte!D206&gt;0,1,0)+IF(GroteHoogte!H206&gt;0,1,0)=2,1,0)</f>
        <v>1</v>
      </c>
      <c r="K206" s="29" t="s">
        <v>14</v>
      </c>
      <c r="L206" s="29">
        <v>729</v>
      </c>
      <c r="M206" s="29" t="s">
        <v>15</v>
      </c>
      <c r="N206" s="29" t="s">
        <v>16</v>
      </c>
      <c r="O206" s="93">
        <v>42597</v>
      </c>
      <c r="P206" s="29" t="s">
        <v>19</v>
      </c>
      <c r="Q206" s="29" t="s">
        <v>261</v>
      </c>
    </row>
    <row r="207" spans="1:17" x14ac:dyDescent="0.25">
      <c r="B207" s="91" t="s">
        <v>22</v>
      </c>
      <c r="C207">
        <v>20947</v>
      </c>
      <c r="D207">
        <v>4410</v>
      </c>
      <c r="E207">
        <v>31</v>
      </c>
      <c r="F207" s="26">
        <f t="shared" si="11"/>
        <v>-1.2867389440475474</v>
      </c>
      <c r="G207" s="24">
        <f>IF(GroteHoogte!D207&gt;0,Grafiek_kalibratiemetingen!$R$13*GroteHoogte!D207+Grafiek_kalibratiemetingen!$R$14,TRIM(""))</f>
        <v>12.646738944047547</v>
      </c>
      <c r="H207" s="12">
        <v>11.36</v>
      </c>
      <c r="I207" s="12">
        <v>12</v>
      </c>
      <c r="J207" s="2">
        <f>IF(IF(GroteHoogte!D207&gt;0,1,0)+IF(GroteHoogte!H207&gt;0,1,0)=2,1,0)</f>
        <v>1</v>
      </c>
      <c r="K207" s="29" t="s">
        <v>14</v>
      </c>
      <c r="L207" s="29">
        <v>729</v>
      </c>
      <c r="M207" s="29" t="s">
        <v>15</v>
      </c>
      <c r="N207" s="29" t="s">
        <v>16</v>
      </c>
      <c r="O207" s="93">
        <v>42597</v>
      </c>
      <c r="P207" s="29" t="s">
        <v>19</v>
      </c>
    </row>
    <row r="208" spans="1:17" x14ac:dyDescent="0.25">
      <c r="A208">
        <v>548</v>
      </c>
      <c r="B208" s="91" t="s">
        <v>49</v>
      </c>
      <c r="D208">
        <v>4098</v>
      </c>
      <c r="E208">
        <v>32</v>
      </c>
      <c r="F208" s="26">
        <f t="shared" si="11"/>
        <v>-0.24000000000000021</v>
      </c>
      <c r="G208" s="24">
        <v>10.9</v>
      </c>
      <c r="H208" s="12">
        <v>10.66</v>
      </c>
      <c r="I208" s="12">
        <v>11.4</v>
      </c>
      <c r="J208" s="2">
        <f>IF(IF(GroteHoogte!D208&gt;0,1,0)+IF(GroteHoogte!H208&gt;0,1,0)=2,1,0)</f>
        <v>1</v>
      </c>
      <c r="K208" s="29" t="s">
        <v>14</v>
      </c>
      <c r="L208" s="29">
        <v>729</v>
      </c>
      <c r="M208" s="29" t="s">
        <v>15</v>
      </c>
      <c r="N208" s="29" t="s">
        <v>16</v>
      </c>
      <c r="O208" s="93">
        <v>42597</v>
      </c>
      <c r="P208" s="29" t="s">
        <v>19</v>
      </c>
      <c r="Q208" s="29" t="s">
        <v>266</v>
      </c>
    </row>
    <row r="209" spans="1:17" x14ac:dyDescent="0.25">
      <c r="B209" s="91" t="s">
        <v>41</v>
      </c>
      <c r="D209">
        <v>3985</v>
      </c>
      <c r="E209">
        <v>31</v>
      </c>
      <c r="F209" s="26">
        <f t="shared" si="11"/>
        <v>0.16000000000000014</v>
      </c>
      <c r="G209" s="24">
        <v>10.5</v>
      </c>
      <c r="H209" s="12">
        <v>10.66</v>
      </c>
      <c r="I209" s="12">
        <v>11.4</v>
      </c>
      <c r="J209" s="2">
        <f>IF(IF(GroteHoogte!D209&gt;0,1,0)+IF(GroteHoogte!H209&gt;0,1,0)=2,1,0)</f>
        <v>1</v>
      </c>
      <c r="K209" s="29" t="s">
        <v>14</v>
      </c>
      <c r="L209" s="29">
        <v>729</v>
      </c>
      <c r="M209" s="29" t="s">
        <v>15</v>
      </c>
      <c r="N209" s="29" t="s">
        <v>16</v>
      </c>
      <c r="O209" s="93">
        <v>42597</v>
      </c>
      <c r="P209" s="29" t="s">
        <v>19</v>
      </c>
      <c r="Q209" s="29" t="s">
        <v>263</v>
      </c>
    </row>
    <row r="210" spans="1:17" x14ac:dyDescent="0.25">
      <c r="B210" s="91" t="s">
        <v>22</v>
      </c>
      <c r="C210">
        <v>20927</v>
      </c>
      <c r="D210">
        <v>3847</v>
      </c>
      <c r="E210">
        <v>31</v>
      </c>
      <c r="F210" s="26">
        <f t="shared" si="11"/>
        <v>-1.1829695252590504</v>
      </c>
      <c r="G210" s="24">
        <f>IF(GroteHoogte!D210&gt;0,Grafiek_kalibratiemetingen!$R$13*GroteHoogte!D210+Grafiek_kalibratiemetingen!$R$14,TRIM(""))</f>
        <v>11.842969525259051</v>
      </c>
      <c r="H210" s="12">
        <v>10.66</v>
      </c>
      <c r="I210" s="12">
        <v>11.4</v>
      </c>
      <c r="J210" s="2">
        <f>IF(IF(GroteHoogte!D210&gt;0,1,0)+IF(GroteHoogte!H210&gt;0,1,0)=2,1,0)</f>
        <v>1</v>
      </c>
      <c r="K210" s="29" t="s">
        <v>14</v>
      </c>
      <c r="L210" s="29">
        <v>729</v>
      </c>
      <c r="M210" s="29" t="s">
        <v>15</v>
      </c>
      <c r="N210" s="29" t="s">
        <v>16</v>
      </c>
      <c r="O210" s="93">
        <v>42597</v>
      </c>
      <c r="P210" s="29" t="s">
        <v>19</v>
      </c>
    </row>
    <row r="211" spans="1:17" x14ac:dyDescent="0.25">
      <c r="A211">
        <v>545</v>
      </c>
      <c r="B211" s="91" t="s">
        <v>49</v>
      </c>
      <c r="D211">
        <v>4477</v>
      </c>
      <c r="E211">
        <v>31</v>
      </c>
      <c r="F211" s="26">
        <f t="shared" si="11"/>
        <v>-0.51999999999999957</v>
      </c>
      <c r="G211" s="24">
        <v>11.5</v>
      </c>
      <c r="H211" s="12">
        <v>10.98</v>
      </c>
      <c r="I211" s="12">
        <v>11.9</v>
      </c>
      <c r="J211" s="2">
        <f>IF(IF(GroteHoogte!D211&gt;0,1,0)+IF(GroteHoogte!H211&gt;0,1,0)=2,1,0)</f>
        <v>1</v>
      </c>
      <c r="K211" s="29" t="s">
        <v>14</v>
      </c>
      <c r="L211" s="29">
        <v>729</v>
      </c>
      <c r="M211" s="29" t="s">
        <v>15</v>
      </c>
      <c r="N211" s="29" t="s">
        <v>16</v>
      </c>
      <c r="O211" s="93">
        <v>42597</v>
      </c>
      <c r="P211" s="29" t="s">
        <v>19</v>
      </c>
      <c r="Q211" s="29" t="s">
        <v>266</v>
      </c>
    </row>
    <row r="212" spans="1:17" x14ac:dyDescent="0.25">
      <c r="B212" s="91" t="s">
        <v>41</v>
      </c>
      <c r="D212">
        <v>4395</v>
      </c>
      <c r="E212">
        <v>31</v>
      </c>
      <c r="F212" s="26">
        <f t="shared" si="11"/>
        <v>-0.32000000000000028</v>
      </c>
      <c r="G212" s="24">
        <v>11.3</v>
      </c>
      <c r="H212" s="12">
        <v>10.98</v>
      </c>
      <c r="I212" s="12">
        <v>11.9</v>
      </c>
      <c r="J212" s="2">
        <f>IF(IF(GroteHoogte!D212&gt;0,1,0)+IF(GroteHoogte!H212&gt;0,1,0)=2,1,0)</f>
        <v>1</v>
      </c>
      <c r="K212" s="29" t="s">
        <v>14</v>
      </c>
      <c r="L212" s="29">
        <v>729</v>
      </c>
      <c r="M212" s="29" t="s">
        <v>15</v>
      </c>
      <c r="N212" s="29" t="s">
        <v>16</v>
      </c>
      <c r="O212" s="93">
        <v>42597</v>
      </c>
      <c r="P212" s="29" t="s">
        <v>19</v>
      </c>
      <c r="Q212" s="29" t="s">
        <v>264</v>
      </c>
    </row>
    <row r="213" spans="1:17" x14ac:dyDescent="0.25">
      <c r="B213" s="91" t="s">
        <v>22</v>
      </c>
      <c r="C213">
        <v>20939</v>
      </c>
      <c r="D213">
        <v>4103</v>
      </c>
      <c r="E213">
        <v>31</v>
      </c>
      <c r="F213" s="26">
        <f t="shared" si="11"/>
        <v>-1.2284490478342818</v>
      </c>
      <c r="G213" s="24">
        <f>IF(GroteHoogte!D213&gt;0,Grafiek_kalibratiemetingen!$R$13*GroteHoogte!D213+Grafiek_kalibratiemetingen!$R$14,TRIM(""))</f>
        <v>12.208449047834282</v>
      </c>
      <c r="H213" s="12">
        <v>10.98</v>
      </c>
      <c r="I213" s="12">
        <v>11.9</v>
      </c>
      <c r="J213" s="2">
        <f>IF(IF(GroteHoogte!D213&gt;0,1,0)+IF(GroteHoogte!H213&gt;0,1,0)=2,1,0)</f>
        <v>1</v>
      </c>
      <c r="K213" s="29" t="s">
        <v>14</v>
      </c>
      <c r="L213" s="29">
        <v>729</v>
      </c>
      <c r="M213" s="29" t="s">
        <v>15</v>
      </c>
      <c r="N213" s="29" t="s">
        <v>16</v>
      </c>
      <c r="O213" s="93">
        <v>42597</v>
      </c>
      <c r="P213" s="29" t="s">
        <v>19</v>
      </c>
      <c r="Q213" s="29"/>
    </row>
    <row r="214" spans="1:17" x14ac:dyDescent="0.25">
      <c r="G214" s="24" t="str">
        <f>IF(GroteHoogte!D214&gt;0,Grafiek_kalibratiemetingen!$R$13*GroteHoogte!D214+Grafiek_kalibratiemetingen!$R$14,TRIM(""))</f>
        <v/>
      </c>
      <c r="I214" s="2">
        <f>IF(IF(GroteHoogte!D214&gt;0,1,0)+IF(GroteHoogte!H214&gt;0,1,0)=2,1,0)</f>
        <v>0</v>
      </c>
    </row>
    <row r="215" spans="1:17" x14ac:dyDescent="0.25">
      <c r="G215" s="24" t="str">
        <f>IF(GroteHoogte!D215&gt;0,Grafiek_kalibratiemetingen!$R$13*GroteHoogte!D215+Grafiek_kalibratiemetingen!$R$14,TRIM(""))</f>
        <v/>
      </c>
      <c r="I215" s="2">
        <f>IF(IF(GroteHoogte!D215&gt;0,1,0)+IF(GroteHoogte!H215&gt;0,1,0)=2,1,0)</f>
        <v>0</v>
      </c>
    </row>
    <row r="216" spans="1:17" x14ac:dyDescent="0.25">
      <c r="G216" s="24" t="str">
        <f>IF(GroteHoogte!D216&gt;0,Grafiek_kalibratiemetingen!$R$13*GroteHoogte!D216+Grafiek_kalibratiemetingen!$R$14,TRIM(""))</f>
        <v/>
      </c>
      <c r="I216" s="2">
        <f>IF(IF(GroteHoogte!D216&gt;0,1,0)+IF(GroteHoogte!H216&gt;0,1,0)=2,1,0)</f>
        <v>0</v>
      </c>
    </row>
    <row r="217" spans="1:17" x14ac:dyDescent="0.25">
      <c r="G217" s="24" t="str">
        <f>IF(GroteHoogte!D217&gt;0,Grafiek_kalibratiemetingen!$R$13*GroteHoogte!D217+Grafiek_kalibratiemetingen!$R$14,TRIM(""))</f>
        <v/>
      </c>
      <c r="I217" s="2">
        <f>IF(IF(GroteHoogte!D217&gt;0,1,0)+IF(GroteHoogte!H217&gt;0,1,0)=2,1,0)</f>
        <v>0</v>
      </c>
    </row>
    <row r="218" spans="1:17" x14ac:dyDescent="0.25">
      <c r="G218" s="24" t="str">
        <f>IF(GroteHoogte!D218&gt;0,Grafiek_kalibratiemetingen!$R$13*GroteHoogte!D218+Grafiek_kalibratiemetingen!$R$14,TRIM(""))</f>
        <v/>
      </c>
      <c r="I218" s="2">
        <f>IF(IF(GroteHoogte!D218&gt;0,1,0)+IF(GroteHoogte!H218&gt;0,1,0)=2,1,0)</f>
        <v>0</v>
      </c>
    </row>
    <row r="219" spans="1:17" x14ac:dyDescent="0.25">
      <c r="G219" s="24" t="str">
        <f>IF(GroteHoogte!D219&gt;0,Grafiek_kalibratiemetingen!$R$13*GroteHoogte!D219+Grafiek_kalibratiemetingen!$R$14,TRIM(""))</f>
        <v/>
      </c>
      <c r="I219" s="2">
        <f>IF(IF(GroteHoogte!D219&gt;0,1,0)+IF(GroteHoogte!H219&gt;0,1,0)=2,1,0)</f>
        <v>0</v>
      </c>
    </row>
    <row r="220" spans="1:17" x14ac:dyDescent="0.25">
      <c r="G220" s="24" t="str">
        <f>IF(GroteHoogte!D220&gt;0,Grafiek_kalibratiemetingen!$R$13*GroteHoogte!D220+Grafiek_kalibratiemetingen!$R$14,TRIM(""))</f>
        <v/>
      </c>
      <c r="I220" s="2">
        <f>IF(IF(GroteHoogte!D220&gt;0,1,0)+IF(GroteHoogte!H220&gt;0,1,0)=2,1,0)</f>
        <v>0</v>
      </c>
    </row>
    <row r="221" spans="1:17" x14ac:dyDescent="0.25">
      <c r="G221" s="24" t="str">
        <f>IF(GroteHoogte!D221&gt;0,Grafiek_kalibratiemetingen!$R$13*GroteHoogte!D221+Grafiek_kalibratiemetingen!$R$14,TRIM(""))</f>
        <v/>
      </c>
      <c r="I221" s="2">
        <f>IF(IF(GroteHoogte!D221&gt;0,1,0)+IF(GroteHoogte!H221&gt;0,1,0)=2,1,0)</f>
        <v>0</v>
      </c>
    </row>
    <row r="222" spans="1:17" x14ac:dyDescent="0.25">
      <c r="G222" s="24" t="str">
        <f>IF(GroteHoogte!D222&gt;0,Grafiek_kalibratiemetingen!$R$13*GroteHoogte!D222+Grafiek_kalibratiemetingen!$R$14,TRIM(""))</f>
        <v/>
      </c>
      <c r="I222" s="2">
        <f>IF(IF(GroteHoogte!D222&gt;0,1,0)+IF(GroteHoogte!H222&gt;0,1,0)=2,1,0)</f>
        <v>0</v>
      </c>
    </row>
    <row r="223" spans="1:17" x14ac:dyDescent="0.25">
      <c r="G223" s="24" t="str">
        <f>IF(GroteHoogte!D223&gt;0,Grafiek_kalibratiemetingen!$R$13*GroteHoogte!D223+Grafiek_kalibratiemetingen!$R$14,TRIM(""))</f>
        <v/>
      </c>
      <c r="I223" s="2">
        <f>IF(IF(GroteHoogte!D223&gt;0,1,0)+IF(GroteHoogte!H223&gt;0,1,0)=2,1,0)</f>
        <v>0</v>
      </c>
    </row>
    <row r="224" spans="1:17"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63 H65:I65 I65:I91 H66:H91 H93:I129 H214:I1048576 H187:J213">
    <cfRule type="notContainsBlanks" dxfId="56" priority="61">
      <formula>LEN(TRIM(H4))&gt;0</formula>
    </cfRule>
  </conditionalFormatting>
  <conditionalFormatting sqref="C4:E63 C65:E91 C93:E129 C214:E1048576 C159:E166 D167:E167">
    <cfRule type="notContainsBlanks" dxfId="55" priority="60">
      <formula>LEN(TRIM(C4))&gt;0</formula>
    </cfRule>
  </conditionalFormatting>
  <conditionalFormatting sqref="G4:G63 G65:G91 G94:G129 G214:G1048576">
    <cfRule type="notContainsBlanks" dxfId="54" priority="58">
      <formula>LEN(TRIM(G4))&gt;0</formula>
    </cfRule>
  </conditionalFormatting>
  <conditionalFormatting sqref="C91:H91 C4:I63 G65:I65 G89:H90 G86:H86 G83:H83 G80:H80 G77:H77 G74:H74 G71:H71 G68:H68 I65:I91 H87:H88 H84:H85 H81:H82 H78:H79 H75:H76 H72:H73 H69:H70 H66:H67 C65:G91 C93:C94 H93:I93 D94:I94 I94:I111 F93:F108 D93:E93 C95:I129 C214:I1048576 C161:I166 D167:E167 C189:E194 D188:E188 C196:E213 G188:H213 H187:J213">
    <cfRule type="containsBlanks" dxfId="53" priority="55">
      <formula>LEN(TRIM(C4))=0</formula>
    </cfRule>
  </conditionalFormatting>
  <conditionalFormatting sqref="F4:F63 F65:F91 F93:F129 F214:F1048576">
    <cfRule type="notContainsBlanks" dxfId="52" priority="57">
      <formula>LEN(TRIM(F4))&gt;0</formula>
    </cfRule>
  </conditionalFormatting>
  <conditionalFormatting sqref="I4:I63 I65:I91 I93:I129 I214:I1048576">
    <cfRule type="cellIs" dxfId="51" priority="59" operator="equal">
      <formula>0</formula>
    </cfRule>
  </conditionalFormatting>
  <conditionalFormatting sqref="G67">
    <cfRule type="notContainsBlanks" dxfId="50" priority="54">
      <formula>LEN(TRIM(G67))&gt;0</formula>
    </cfRule>
  </conditionalFormatting>
  <conditionalFormatting sqref="G67">
    <cfRule type="containsBlanks" dxfId="49" priority="53">
      <formula>LEN(TRIM(G67))=0</formula>
    </cfRule>
  </conditionalFormatting>
  <conditionalFormatting sqref="G88">
    <cfRule type="notContainsBlanks" dxfId="48" priority="52">
      <formula>LEN(TRIM(G88))&gt;0</formula>
    </cfRule>
  </conditionalFormatting>
  <conditionalFormatting sqref="G88">
    <cfRule type="containsBlanks" dxfId="47" priority="51">
      <formula>LEN(TRIM(G88))=0</formula>
    </cfRule>
  </conditionalFormatting>
  <conditionalFormatting sqref="G85">
    <cfRule type="notContainsBlanks" dxfId="46" priority="50">
      <formula>LEN(TRIM(G85))&gt;0</formula>
    </cfRule>
  </conditionalFormatting>
  <conditionalFormatting sqref="G85">
    <cfRule type="containsBlanks" dxfId="45" priority="49">
      <formula>LEN(TRIM(G85))=0</formula>
    </cfRule>
  </conditionalFormatting>
  <conditionalFormatting sqref="G82">
    <cfRule type="notContainsBlanks" dxfId="44" priority="48">
      <formula>LEN(TRIM(G82))&gt;0</formula>
    </cfRule>
  </conditionalFormatting>
  <conditionalFormatting sqref="G82">
    <cfRule type="containsBlanks" dxfId="43" priority="47">
      <formula>LEN(TRIM(G82))=0</formula>
    </cfRule>
  </conditionalFormatting>
  <conditionalFormatting sqref="G79">
    <cfRule type="notContainsBlanks" dxfId="42" priority="46">
      <formula>LEN(TRIM(G79))&gt;0</formula>
    </cfRule>
  </conditionalFormatting>
  <conditionalFormatting sqref="G79">
    <cfRule type="containsBlanks" dxfId="41" priority="45">
      <formula>LEN(TRIM(G79))=0</formula>
    </cfRule>
  </conditionalFormatting>
  <conditionalFormatting sqref="G76">
    <cfRule type="notContainsBlanks" dxfId="40" priority="44">
      <formula>LEN(TRIM(G76))&gt;0</formula>
    </cfRule>
  </conditionalFormatting>
  <conditionalFormatting sqref="G76">
    <cfRule type="containsBlanks" dxfId="39" priority="43">
      <formula>LEN(TRIM(G76))=0</formula>
    </cfRule>
  </conditionalFormatting>
  <conditionalFormatting sqref="G73">
    <cfRule type="notContainsBlanks" dxfId="38" priority="42">
      <formula>LEN(TRIM(G73))&gt;0</formula>
    </cfRule>
  </conditionalFormatting>
  <conditionalFormatting sqref="G73">
    <cfRule type="containsBlanks" dxfId="37" priority="41">
      <formula>LEN(TRIM(G73))=0</formula>
    </cfRule>
  </conditionalFormatting>
  <conditionalFormatting sqref="G70">
    <cfRule type="notContainsBlanks" dxfId="36" priority="40">
      <formula>LEN(TRIM(G70))&gt;0</formula>
    </cfRule>
  </conditionalFormatting>
  <conditionalFormatting sqref="G70">
    <cfRule type="containsBlanks" dxfId="35" priority="39">
      <formula>LEN(TRIM(G70))=0</formula>
    </cfRule>
  </conditionalFormatting>
  <conditionalFormatting sqref="G67">
    <cfRule type="notContainsBlanks" dxfId="34" priority="38">
      <formula>LEN(TRIM(G67))&gt;0</formula>
    </cfRule>
  </conditionalFormatting>
  <conditionalFormatting sqref="G67">
    <cfRule type="containsBlanks" dxfId="33" priority="37">
      <formula>LEN(TRIM(G67))=0</formula>
    </cfRule>
  </conditionalFormatting>
  <conditionalFormatting sqref="H131:I157">
    <cfRule type="notContainsBlanks" dxfId="32" priority="36">
      <formula>LEN(TRIM(H131))&gt;0</formula>
    </cfRule>
  </conditionalFormatting>
  <conditionalFormatting sqref="C131:E157">
    <cfRule type="notContainsBlanks" dxfId="31" priority="35">
      <formula>LEN(TRIM(C131))&gt;0</formula>
    </cfRule>
  </conditionalFormatting>
  <conditionalFormatting sqref="G131:G157">
    <cfRule type="notContainsBlanks" dxfId="30" priority="33">
      <formula>LEN(TRIM(G131))&gt;0</formula>
    </cfRule>
  </conditionalFormatting>
  <conditionalFormatting sqref="C131:C132 H131:I131 D132:I132 D131:F131 C133:I157 G131:G157">
    <cfRule type="containsBlanks" dxfId="29" priority="30">
      <formula>LEN(TRIM(C131))=0</formula>
    </cfRule>
  </conditionalFormatting>
  <conditionalFormatting sqref="F131:F157">
    <cfRule type="notContainsBlanks" dxfId="28" priority="32">
      <formula>LEN(TRIM(F131))&gt;0</formula>
    </cfRule>
  </conditionalFormatting>
  <conditionalFormatting sqref="I131:I157">
    <cfRule type="cellIs" dxfId="27" priority="34" operator="equal">
      <formula>0</formula>
    </cfRule>
  </conditionalFormatting>
  <conditionalFormatting sqref="H159:I185">
    <cfRule type="notContainsBlanks" dxfId="26" priority="29">
      <formula>LEN(TRIM(H159))&gt;0</formula>
    </cfRule>
  </conditionalFormatting>
  <conditionalFormatting sqref="C168:E185 C167">
    <cfRule type="notContainsBlanks" dxfId="25" priority="28">
      <formula>LEN(TRIM(C167))&gt;0</formula>
    </cfRule>
  </conditionalFormatting>
  <conditionalFormatting sqref="G160:G185">
    <cfRule type="notContainsBlanks" dxfId="24" priority="26">
      <formula>LEN(TRIM(G160))&gt;0</formula>
    </cfRule>
  </conditionalFormatting>
  <conditionalFormatting sqref="C159:C160 H159:I159 D160:I160 D159:F159 C167 F167:I167 C168:I185">
    <cfRule type="containsBlanks" dxfId="23" priority="23">
      <formula>LEN(TRIM(C159))=0</formula>
    </cfRule>
  </conditionalFormatting>
  <conditionalFormatting sqref="F159:F185">
    <cfRule type="notContainsBlanks" dxfId="22" priority="25">
      <formula>LEN(TRIM(F159))&gt;0</formula>
    </cfRule>
  </conditionalFormatting>
  <conditionalFormatting sqref="I159:I185">
    <cfRule type="cellIs" dxfId="21" priority="27" operator="equal">
      <formula>0</formula>
    </cfRule>
  </conditionalFormatting>
  <conditionalFormatting sqref="G159">
    <cfRule type="notContainsBlanks" dxfId="20" priority="22">
      <formula>LEN(TRIM(G159))&gt;0</formula>
    </cfRule>
  </conditionalFormatting>
  <conditionalFormatting sqref="G159">
    <cfRule type="containsBlanks" dxfId="19" priority="21">
      <formula>LEN(TRIM(G159))=0</formula>
    </cfRule>
  </conditionalFormatting>
  <conditionalFormatting sqref="F167">
    <cfRule type="containsBlanks" dxfId="18" priority="20">
      <formula>LEN(TRIM(F167))=0</formula>
    </cfRule>
  </conditionalFormatting>
  <conditionalFormatting sqref="I167">
    <cfRule type="containsBlanks" dxfId="17" priority="19">
      <formula>LEN(TRIM(I167))=0</formula>
    </cfRule>
  </conditionalFormatting>
  <conditionalFormatting sqref="G167">
    <cfRule type="containsBlanks" dxfId="16" priority="18">
      <formula>LEN(TRIM(G167))=0</formula>
    </cfRule>
  </conditionalFormatting>
  <conditionalFormatting sqref="C187:E194 D195:E195">
    <cfRule type="notContainsBlanks" dxfId="15" priority="17">
      <formula>LEN(TRIM(C187))&gt;0</formula>
    </cfRule>
  </conditionalFormatting>
  <conditionalFormatting sqref="D195:E195">
    <cfRule type="containsBlanks" dxfId="14" priority="16">
      <formula>LEN(TRIM(D195))=0</formula>
    </cfRule>
  </conditionalFormatting>
  <conditionalFormatting sqref="C196:E213 C195">
    <cfRule type="notContainsBlanks" dxfId="13" priority="14">
      <formula>LEN(TRIM(C195))&gt;0</formula>
    </cfRule>
  </conditionalFormatting>
  <conditionalFormatting sqref="G188:G213">
    <cfRule type="notContainsBlanks" dxfId="12" priority="12">
      <formula>LEN(TRIM(G188))&gt;0</formula>
    </cfRule>
  </conditionalFormatting>
  <conditionalFormatting sqref="C187:C188 D187:E187 C195">
    <cfRule type="containsBlanks" dxfId="11" priority="9">
      <formula>LEN(TRIM(C187))=0</formula>
    </cfRule>
  </conditionalFormatting>
  <conditionalFormatting sqref="J187:J213">
    <cfRule type="cellIs" dxfId="10" priority="13" operator="equal">
      <formula>0</formula>
    </cfRule>
  </conditionalFormatting>
  <conditionalFormatting sqref="G187">
    <cfRule type="notContainsBlanks" dxfId="9" priority="8">
      <formula>LEN(TRIM(G187))&gt;0</formula>
    </cfRule>
  </conditionalFormatting>
  <conditionalFormatting sqref="G187">
    <cfRule type="containsBlanks" dxfId="8" priority="7">
      <formula>LEN(TRIM(G187))=0</formula>
    </cfRule>
  </conditionalFormatting>
  <conditionalFormatting sqref="J195">
    <cfRule type="containsBlanks" dxfId="7" priority="5">
      <formula>LEN(TRIM(J195))=0</formula>
    </cfRule>
  </conditionalFormatting>
  <conditionalFormatting sqref="G195">
    <cfRule type="containsBlanks" dxfId="6" priority="4">
      <formula>LEN(TRIM(G195))=0</formula>
    </cfRule>
  </conditionalFormatting>
  <conditionalFormatting sqref="F187:F213">
    <cfRule type="containsBlanks" dxfId="5" priority="1">
      <formula>LEN(TRIM(F187))=0</formula>
    </cfRule>
  </conditionalFormatting>
  <conditionalFormatting sqref="F187:F213">
    <cfRule type="notContainsBlanks" dxfId="4" priority="3">
      <formula>LEN(TRIM(F187))&gt;0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56"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F4:F63 F65:F91 F93:F129 F214:F49994</xm:sqref>
        </x14:conditionalFormatting>
        <x14:conditionalFormatting xmlns:xm="http://schemas.microsoft.com/office/excel/2006/main">
          <x14:cfRule type="cellIs" priority="31" operator="notBetween" id="{320B7893-36C6-46F0-AE82-3879FEC15F69}">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F131:F157</xm:sqref>
        </x14:conditionalFormatting>
        <x14:conditionalFormatting xmlns:xm="http://schemas.microsoft.com/office/excel/2006/main">
          <x14:cfRule type="cellIs" priority="24" operator="notBetween" id="{ECC0D9CD-D0CC-41F9-9C92-4AC3A92F253C}">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F159:F185</xm:sqref>
        </x14:conditionalFormatting>
        <x14:conditionalFormatting xmlns:xm="http://schemas.microsoft.com/office/excel/2006/main">
          <x14:cfRule type="cellIs" priority="2" operator="notBetween" id="{6971CC7B-CADE-4B35-938E-381B44B5D2BA}">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F187:F213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tabSelected="1" workbookViewId="0">
      <selection activeCell="R15" sqref="Q13:R15"/>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110</v>
      </c>
    </row>
    <row r="2" spans="17:29" x14ac:dyDescent="0.25">
      <c r="Q2" t="s">
        <v>87</v>
      </c>
      <c r="R2" s="18">
        <f>-SUM(W3:W50000)</f>
        <v>-6736622.5999999996</v>
      </c>
      <c r="T2" t="s">
        <v>92</v>
      </c>
      <c r="U2" t="s">
        <v>88</v>
      </c>
      <c r="V2" t="s">
        <v>90</v>
      </c>
      <c r="W2" t="s">
        <v>91</v>
      </c>
      <c r="X2" t="s">
        <v>98</v>
      </c>
      <c r="Z2" s="17" t="s">
        <v>102</v>
      </c>
      <c r="AA2" s="17" t="s">
        <v>103</v>
      </c>
      <c r="AB2" s="17" t="s">
        <v>104</v>
      </c>
      <c r="AC2">
        <f>MAX(AA3:AA50000)</f>
        <v>2.4921132822015544</v>
      </c>
    </row>
    <row r="3" spans="17:29" x14ac:dyDescent="0.25">
      <c r="Q3" t="s">
        <v>94</v>
      </c>
      <c r="R3">
        <f>AVERAGEIF(V3:V50000,"=1",T3:T50000)</f>
        <v>12.968181818181806</v>
      </c>
      <c r="T3">
        <f>Kalibratiemetingen!G19</f>
        <v>9.8000000000000007</v>
      </c>
      <c r="U3">
        <f>Kalibratiemetingen!C19</f>
        <v>1680</v>
      </c>
      <c r="V3">
        <f t="shared" ref="V3:V66" si="0">IF(IF(T3&gt;0,1,0)+IF(U3&gt;0,1,0)=2,1,0)</f>
        <v>1</v>
      </c>
      <c r="W3">
        <f>T3*U3</f>
        <v>16464</v>
      </c>
      <c r="X3">
        <f>U3*U3</f>
        <v>2822400</v>
      </c>
      <c r="Z3">
        <f>IF(V3,$R$13*U3+$R$14)</f>
        <v>8.7492424728351246</v>
      </c>
      <c r="AA3">
        <f>ABS(T3-Z3)</f>
        <v>1.0507575271648761</v>
      </c>
      <c r="AB3" s="17" t="s">
        <v>105</v>
      </c>
      <c r="AC3">
        <f>MIN(AA3:AA50000)</f>
        <v>8.7854204401391911E-3</v>
      </c>
    </row>
    <row r="4" spans="17:29" x14ac:dyDescent="0.25">
      <c r="Q4" t="s">
        <v>95</v>
      </c>
      <c r="R4">
        <f>AVERAGEIF(V3:V50000,"=1",U3:U50000)</f>
        <v>4635.1545454545458</v>
      </c>
      <c r="T4">
        <f>Kalibratiemetingen!G85</f>
        <v>10.6</v>
      </c>
      <c r="U4">
        <f>Kalibratiemetingen!C85</f>
        <v>2721</v>
      </c>
      <c r="V4">
        <f t="shared" si="0"/>
        <v>1</v>
      </c>
      <c r="W4">
        <f t="shared" ref="W4:W67" si="1">T4*U4</f>
        <v>28842.6</v>
      </c>
      <c r="X4">
        <f t="shared" ref="X4:X67" si="2">U4*U4</f>
        <v>7403841</v>
      </c>
      <c r="Z4">
        <f t="shared" ref="Z4:Z67" si="3">IF(V4,$R$13*U4+$R$14)</f>
        <v>10.23543068768206</v>
      </c>
      <c r="AA4">
        <f t="shared" ref="AA4:AA67" si="4">ABS(T4-Z4)</f>
        <v>0.36456931231793988</v>
      </c>
      <c r="AB4" s="17" t="s">
        <v>106</v>
      </c>
      <c r="AC4">
        <f>AVERAGEIF(V3:V50000,"=1",AA3:AA50000)</f>
        <v>0.51465036577991596</v>
      </c>
    </row>
    <row r="5" spans="17:29" x14ac:dyDescent="0.25">
      <c r="Q5" t="s">
        <v>93</v>
      </c>
      <c r="R5">
        <f>SUMIF(V3:V50000,"=1",U3:U50000)/R1</f>
        <v>4635.1545454545458</v>
      </c>
      <c r="T5">
        <f>Kalibratiemetingen!G26</f>
        <v>10.8</v>
      </c>
      <c r="U5">
        <f>Kalibratiemetingen!C26</f>
        <v>3339</v>
      </c>
      <c r="V5">
        <f t="shared" si="0"/>
        <v>1</v>
      </c>
      <c r="W5">
        <f t="shared" si="1"/>
        <v>36061.200000000004</v>
      </c>
      <c r="X5">
        <f t="shared" si="2"/>
        <v>11148921</v>
      </c>
      <c r="Z5">
        <f t="shared" si="3"/>
        <v>11.117721097648827</v>
      </c>
      <c r="AA5">
        <f t="shared" si="4"/>
        <v>0.3177210976488265</v>
      </c>
      <c r="AB5" s="17" t="s">
        <v>109</v>
      </c>
      <c r="AC5">
        <f>_xlfn.STDEV.P(AA3:AA50000)</f>
        <v>0.39355413840093456</v>
      </c>
    </row>
    <row r="6" spans="17:29" x14ac:dyDescent="0.25">
      <c r="Q6" t="s">
        <v>96</v>
      </c>
      <c r="R6">
        <f>SUMIF(V3:V50000,"=1",U3:U50000)</f>
        <v>509867</v>
      </c>
      <c r="T6">
        <f>Kalibratiemetingen!G23</f>
        <v>10.8</v>
      </c>
      <c r="U6">
        <f>Kalibratiemetingen!C23</f>
        <v>3097</v>
      </c>
      <c r="V6">
        <f t="shared" si="0"/>
        <v>1</v>
      </c>
      <c r="W6">
        <f t="shared" si="1"/>
        <v>33447.600000000006</v>
      </c>
      <c r="X6">
        <f t="shared" si="2"/>
        <v>9591409</v>
      </c>
      <c r="Z6">
        <f t="shared" si="3"/>
        <v>10.772228736464429</v>
      </c>
      <c r="AA6">
        <f t="shared" si="4"/>
        <v>2.7771263535571578E-2</v>
      </c>
      <c r="AB6" s="17" t="s">
        <v>110</v>
      </c>
      <c r="AC6">
        <f>_xlfn.STDEV.S(AA3:AA50000)</f>
        <v>0.39588979177505756</v>
      </c>
    </row>
    <row r="7" spans="17:29" x14ac:dyDescent="0.25">
      <c r="Q7" t="s">
        <v>97</v>
      </c>
      <c r="R7">
        <f>SUMIF(V3:V50000,"=1",T3:T50000)</f>
        <v>1426.4999999999986</v>
      </c>
      <c r="T7">
        <f>Kalibratiemetingen!G27</f>
        <v>10.8</v>
      </c>
      <c r="U7">
        <f>Kalibratiemetingen!C27</f>
        <v>3076</v>
      </c>
      <c r="V7">
        <f t="shared" si="0"/>
        <v>1</v>
      </c>
      <c r="W7">
        <f t="shared" si="1"/>
        <v>33220.800000000003</v>
      </c>
      <c r="X7">
        <f t="shared" si="2"/>
        <v>9461776</v>
      </c>
      <c r="Z7">
        <f t="shared" si="3"/>
        <v>10.742247994378181</v>
      </c>
      <c r="AA7">
        <f t="shared" si="4"/>
        <v>5.7752005621820146E-2</v>
      </c>
    </row>
    <row r="8" spans="17:29" x14ac:dyDescent="0.25">
      <c r="Q8" t="s">
        <v>99</v>
      </c>
      <c r="R8">
        <f>SUMIF(V3:V50000,"=1",X3:X500000)</f>
        <v>2450570605</v>
      </c>
      <c r="T8">
        <f>Kalibratiemetingen!G25</f>
        <v>10.8</v>
      </c>
      <c r="U8">
        <f>Kalibratiemetingen!C25</f>
        <v>2723</v>
      </c>
      <c r="V8">
        <f t="shared" si="0"/>
        <v>1</v>
      </c>
      <c r="W8">
        <f t="shared" si="1"/>
        <v>29408.400000000001</v>
      </c>
      <c r="X8">
        <f t="shared" si="2"/>
        <v>7414729</v>
      </c>
      <c r="Z8">
        <f t="shared" si="3"/>
        <v>10.238285996452179</v>
      </c>
      <c r="AA8">
        <f t="shared" si="4"/>
        <v>0.56171400354782186</v>
      </c>
    </row>
    <row r="9" spans="17:29" x14ac:dyDescent="0.25">
      <c r="T9">
        <f>Kalibratiemetingen!G71</f>
        <v>10.9</v>
      </c>
      <c r="U9">
        <f>Kalibratiemetingen!C71</f>
        <v>3469</v>
      </c>
      <c r="V9">
        <f t="shared" si="0"/>
        <v>1</v>
      </c>
      <c r="W9">
        <f t="shared" si="1"/>
        <v>37812.1</v>
      </c>
      <c r="X9">
        <f t="shared" si="2"/>
        <v>12033961</v>
      </c>
      <c r="Z9">
        <f t="shared" si="3"/>
        <v>11.303316167706562</v>
      </c>
      <c r="AA9">
        <f t="shared" si="4"/>
        <v>0.40331616770656176</v>
      </c>
    </row>
    <row r="10" spans="17:29" x14ac:dyDescent="0.25">
      <c r="Q10" t="s">
        <v>100</v>
      </c>
      <c r="R10">
        <f>R2+R3*R6</f>
        <v>-124574.64090909623</v>
      </c>
      <c r="T10">
        <f>Kalibratiemetingen!G20</f>
        <v>11</v>
      </c>
      <c r="U10">
        <f>Kalibratiemetingen!C20</f>
        <v>3546</v>
      </c>
      <c r="V10">
        <f t="shared" si="0"/>
        <v>1</v>
      </c>
      <c r="W10">
        <f t="shared" si="1"/>
        <v>39006</v>
      </c>
      <c r="X10">
        <f t="shared" si="2"/>
        <v>12574116</v>
      </c>
      <c r="Z10">
        <f t="shared" si="3"/>
        <v>11.413245555356143</v>
      </c>
      <c r="AA10">
        <f t="shared" si="4"/>
        <v>0.41324555535614316</v>
      </c>
    </row>
    <row r="11" spans="17:29" x14ac:dyDescent="0.25">
      <c r="Q11" t="s">
        <v>101</v>
      </c>
      <c r="R11">
        <f>-R8+(R6*R6)/R1</f>
        <v>-87258262.372727394</v>
      </c>
      <c r="T11">
        <f>Kalibratiemetingen!G81</f>
        <v>11</v>
      </c>
      <c r="U11">
        <f>Kalibratiemetingen!C81</f>
        <v>3045</v>
      </c>
      <c r="V11">
        <f t="shared" si="0"/>
        <v>1</v>
      </c>
      <c r="W11">
        <f t="shared" si="1"/>
        <v>33495</v>
      </c>
      <c r="X11">
        <f t="shared" si="2"/>
        <v>9272025</v>
      </c>
      <c r="Z11">
        <f t="shared" si="3"/>
        <v>10.697990708441335</v>
      </c>
      <c r="AA11">
        <f t="shared" si="4"/>
        <v>0.30200929155866518</v>
      </c>
    </row>
    <row r="12" spans="17:29" x14ac:dyDescent="0.25">
      <c r="T12">
        <f>Kalibratiemetingen!G84</f>
        <v>11.1</v>
      </c>
      <c r="U12">
        <f>Kalibratiemetingen!C84</f>
        <v>3347</v>
      </c>
      <c r="V12">
        <f t="shared" si="0"/>
        <v>1</v>
      </c>
      <c r="W12">
        <f t="shared" si="1"/>
        <v>37151.699999999997</v>
      </c>
      <c r="X12">
        <f t="shared" si="2"/>
        <v>11202409</v>
      </c>
      <c r="Z12">
        <f t="shared" si="3"/>
        <v>11.129142332729304</v>
      </c>
      <c r="AA12">
        <f t="shared" si="4"/>
        <v>2.9142332729303888E-2</v>
      </c>
    </row>
    <row r="13" spans="17:29" x14ac:dyDescent="0.25">
      <c r="Q13" t="s">
        <v>85</v>
      </c>
      <c r="R13">
        <f>R10/R11</f>
        <v>1.4276543850594953E-3</v>
      </c>
      <c r="T13">
        <f>Kalibratiemetingen!G17</f>
        <v>11.2</v>
      </c>
      <c r="U13">
        <f>Kalibratiemetingen!C17</f>
        <v>3713</v>
      </c>
      <c r="V13">
        <f t="shared" si="0"/>
        <v>1</v>
      </c>
      <c r="W13">
        <f t="shared" si="1"/>
        <v>41585.599999999999</v>
      </c>
      <c r="X13">
        <f t="shared" si="2"/>
        <v>13786369</v>
      </c>
      <c r="Z13">
        <f t="shared" si="3"/>
        <v>11.651663837661079</v>
      </c>
      <c r="AA13">
        <f t="shared" si="4"/>
        <v>0.45166383766107998</v>
      </c>
    </row>
    <row r="14" spans="17:29" x14ac:dyDescent="0.25">
      <c r="Q14" t="s">
        <v>86</v>
      </c>
      <c r="R14">
        <f>R3-R13*R4</f>
        <v>6.3507831059351725</v>
      </c>
      <c r="T14">
        <f>Kalibratiemetingen!G16</f>
        <v>11.2</v>
      </c>
      <c r="U14">
        <f>Kalibratiemetingen!C16</f>
        <v>3614</v>
      </c>
      <c r="V14">
        <f t="shared" si="0"/>
        <v>1</v>
      </c>
      <c r="W14">
        <f t="shared" si="1"/>
        <v>40476.799999999996</v>
      </c>
      <c r="X14">
        <f t="shared" si="2"/>
        <v>13060996</v>
      </c>
      <c r="Z14">
        <f t="shared" si="3"/>
        <v>11.510326053540188</v>
      </c>
      <c r="AA14">
        <f t="shared" si="4"/>
        <v>0.31032605354018905</v>
      </c>
    </row>
    <row r="15" spans="17:29" x14ac:dyDescent="0.25">
      <c r="T15">
        <f>Kalibratiemetingen!G38</f>
        <v>11.4</v>
      </c>
      <c r="U15">
        <f>Kalibratiemetingen!C38</f>
        <v>3899</v>
      </c>
      <c r="V15">
        <f t="shared" si="0"/>
        <v>1</v>
      </c>
      <c r="W15">
        <f t="shared" si="1"/>
        <v>44448.6</v>
      </c>
      <c r="X15">
        <f t="shared" si="2"/>
        <v>15202201</v>
      </c>
      <c r="Z15">
        <f t="shared" si="3"/>
        <v>11.917207553282145</v>
      </c>
      <c r="AA15">
        <f t="shared" si="4"/>
        <v>0.51720755328214452</v>
      </c>
    </row>
    <row r="16" spans="17:29" x14ac:dyDescent="0.25">
      <c r="T16">
        <f>Kalibratiemetingen!G73</f>
        <v>11.4</v>
      </c>
      <c r="U16">
        <f>Kalibratiemetingen!C73</f>
        <v>3842</v>
      </c>
      <c r="V16">
        <f t="shared" si="0"/>
        <v>1</v>
      </c>
      <c r="W16">
        <f t="shared" si="1"/>
        <v>43798.8</v>
      </c>
      <c r="X16">
        <f t="shared" si="2"/>
        <v>14760964</v>
      </c>
      <c r="Z16">
        <f t="shared" si="3"/>
        <v>11.835831253333755</v>
      </c>
      <c r="AA16">
        <f t="shared" si="4"/>
        <v>0.43583125333375428</v>
      </c>
    </row>
    <row r="17" spans="20:27" x14ac:dyDescent="0.25">
      <c r="T17">
        <f>Kalibratiemetingen!G92</f>
        <v>11.5</v>
      </c>
      <c r="U17">
        <f>Kalibratiemetingen!C92</f>
        <v>3995</v>
      </c>
      <c r="V17">
        <f t="shared" si="0"/>
        <v>1</v>
      </c>
      <c r="W17">
        <f t="shared" si="1"/>
        <v>45942.5</v>
      </c>
      <c r="X17">
        <f t="shared" si="2"/>
        <v>15960025</v>
      </c>
      <c r="Z17">
        <f t="shared" si="3"/>
        <v>12.054262374247855</v>
      </c>
      <c r="AA17">
        <f t="shared" si="4"/>
        <v>0.5542623742478554</v>
      </c>
    </row>
    <row r="18" spans="20:27" x14ac:dyDescent="0.25">
      <c r="T18">
        <f>Kalibratiemetingen!G93</f>
        <v>11.6</v>
      </c>
      <c r="U18">
        <f>Kalibratiemetingen!C93</f>
        <v>4108</v>
      </c>
      <c r="V18">
        <f t="shared" si="0"/>
        <v>1</v>
      </c>
      <c r="W18">
        <f t="shared" si="1"/>
        <v>47652.799999999996</v>
      </c>
      <c r="X18">
        <f t="shared" si="2"/>
        <v>16875664</v>
      </c>
      <c r="Z18">
        <f t="shared" si="3"/>
        <v>12.215587319759578</v>
      </c>
      <c r="AA18">
        <f t="shared" si="4"/>
        <v>0.61558731975957848</v>
      </c>
    </row>
    <row r="19" spans="20:27" x14ac:dyDescent="0.25">
      <c r="T19">
        <f>Kalibratiemetingen!G40</f>
        <v>11.6</v>
      </c>
      <c r="U19">
        <f>Kalibratiemetingen!C40</f>
        <v>4076</v>
      </c>
      <c r="V19">
        <f t="shared" si="0"/>
        <v>1</v>
      </c>
      <c r="W19">
        <f t="shared" si="1"/>
        <v>47281.599999999999</v>
      </c>
      <c r="X19">
        <f t="shared" si="2"/>
        <v>16613776</v>
      </c>
      <c r="Z19">
        <f t="shared" si="3"/>
        <v>12.169902379437676</v>
      </c>
      <c r="AA19">
        <f t="shared" si="4"/>
        <v>0.56990237943767674</v>
      </c>
    </row>
    <row r="20" spans="20:27" x14ac:dyDescent="0.25">
      <c r="T20">
        <f>Kalibratiemetingen!G48</f>
        <v>11.6</v>
      </c>
      <c r="U20">
        <f>Kalibratiemetingen!C48</f>
        <v>3902</v>
      </c>
      <c r="V20">
        <f t="shared" si="0"/>
        <v>1</v>
      </c>
      <c r="W20">
        <f t="shared" si="1"/>
        <v>45263.199999999997</v>
      </c>
      <c r="X20">
        <f t="shared" si="2"/>
        <v>15225604</v>
      </c>
      <c r="Z20">
        <f t="shared" si="3"/>
        <v>11.921490516437323</v>
      </c>
      <c r="AA20">
        <f t="shared" si="4"/>
        <v>0.32149051643732385</v>
      </c>
    </row>
    <row r="21" spans="20:27" x14ac:dyDescent="0.25">
      <c r="T21">
        <f>Kalibratiemetingen!G66</f>
        <v>11.7</v>
      </c>
      <c r="U21">
        <f>Kalibratiemetingen!C66</f>
        <v>4255</v>
      </c>
      <c r="V21">
        <f t="shared" si="0"/>
        <v>1</v>
      </c>
      <c r="W21">
        <f t="shared" si="1"/>
        <v>49783.5</v>
      </c>
      <c r="X21">
        <f t="shared" si="2"/>
        <v>18105025</v>
      </c>
      <c r="Z21">
        <f t="shared" si="3"/>
        <v>12.425452514363325</v>
      </c>
      <c r="AA21">
        <f t="shared" si="4"/>
        <v>0.72545251436332592</v>
      </c>
    </row>
    <row r="22" spans="20:27" x14ac:dyDescent="0.25">
      <c r="T22">
        <f>Kalibratiemetingen!G22</f>
        <v>11.8</v>
      </c>
      <c r="U22">
        <f>Kalibratiemetingen!C22</f>
        <v>4329</v>
      </c>
      <c r="V22">
        <f t="shared" si="0"/>
        <v>1</v>
      </c>
      <c r="W22">
        <f t="shared" si="1"/>
        <v>51082.200000000004</v>
      </c>
      <c r="X22">
        <f t="shared" si="2"/>
        <v>18740241</v>
      </c>
      <c r="Z22">
        <f t="shared" si="3"/>
        <v>12.531098938857728</v>
      </c>
      <c r="AA22">
        <f t="shared" si="4"/>
        <v>0.73109893885772692</v>
      </c>
    </row>
    <row r="23" spans="20:27" x14ac:dyDescent="0.25">
      <c r="T23">
        <f>Kalibratiemetingen!G82</f>
        <v>11.8</v>
      </c>
      <c r="U23">
        <f>Kalibratiemetingen!C82</f>
        <v>4323</v>
      </c>
      <c r="V23">
        <f t="shared" si="0"/>
        <v>1</v>
      </c>
      <c r="W23">
        <f t="shared" si="1"/>
        <v>51011.4</v>
      </c>
      <c r="X23">
        <f t="shared" si="2"/>
        <v>18688329</v>
      </c>
      <c r="Z23">
        <f t="shared" si="3"/>
        <v>12.52253301254737</v>
      </c>
      <c r="AA23">
        <f t="shared" si="4"/>
        <v>0.72253301254736968</v>
      </c>
    </row>
    <row r="24" spans="20:27" x14ac:dyDescent="0.25">
      <c r="T24">
        <f>Kalibratiemetingen!G33</f>
        <v>11.8</v>
      </c>
      <c r="U24">
        <f>Kalibratiemetingen!C33</f>
        <v>4007</v>
      </c>
      <c r="V24">
        <f t="shared" si="0"/>
        <v>1</v>
      </c>
      <c r="W24">
        <f t="shared" si="1"/>
        <v>47282.600000000006</v>
      </c>
      <c r="X24">
        <f t="shared" si="2"/>
        <v>16056049</v>
      </c>
      <c r="Z24">
        <f t="shared" si="3"/>
        <v>12.07139422686857</v>
      </c>
      <c r="AA24">
        <f t="shared" si="4"/>
        <v>0.27139422686856918</v>
      </c>
    </row>
    <row r="25" spans="20:27" x14ac:dyDescent="0.25">
      <c r="T25">
        <f>Kalibratiemetingen!G70</f>
        <v>11.9</v>
      </c>
      <c r="U25">
        <f>Kalibratiemetingen!C70</f>
        <v>4643</v>
      </c>
      <c r="V25">
        <f t="shared" si="0"/>
        <v>1</v>
      </c>
      <c r="W25">
        <f t="shared" si="1"/>
        <v>55251.700000000004</v>
      </c>
      <c r="X25">
        <f t="shared" si="2"/>
        <v>21557449</v>
      </c>
      <c r="Z25">
        <f t="shared" si="3"/>
        <v>12.979382415766409</v>
      </c>
      <c r="AA25">
        <f t="shared" si="4"/>
        <v>1.0793824157664087</v>
      </c>
    </row>
    <row r="26" spans="20:27" x14ac:dyDescent="0.25">
      <c r="T26">
        <f>Kalibratiemetingen!G57</f>
        <v>12</v>
      </c>
      <c r="U26">
        <f>Kalibratiemetingen!C57</f>
        <v>4691</v>
      </c>
      <c r="V26">
        <f t="shared" si="0"/>
        <v>1</v>
      </c>
      <c r="W26">
        <f t="shared" si="1"/>
        <v>56292</v>
      </c>
      <c r="X26">
        <f t="shared" si="2"/>
        <v>22005481</v>
      </c>
      <c r="Z26">
        <f t="shared" si="3"/>
        <v>13.047909826249265</v>
      </c>
      <c r="AA26">
        <f t="shared" si="4"/>
        <v>1.0479098262492652</v>
      </c>
    </row>
    <row r="27" spans="20:27" x14ac:dyDescent="0.25">
      <c r="T27">
        <f>Kalibratiemetingen!G47</f>
        <v>12</v>
      </c>
      <c r="U27">
        <f>Kalibratiemetingen!C47</f>
        <v>4106</v>
      </c>
      <c r="V27">
        <f t="shared" si="0"/>
        <v>1</v>
      </c>
      <c r="W27">
        <f t="shared" si="1"/>
        <v>49272</v>
      </c>
      <c r="X27">
        <f t="shared" si="2"/>
        <v>16859236</v>
      </c>
      <c r="Z27">
        <f t="shared" si="3"/>
        <v>12.212732010989459</v>
      </c>
      <c r="AA27">
        <f t="shared" si="4"/>
        <v>0.21273201098945904</v>
      </c>
    </row>
    <row r="28" spans="20:27" x14ac:dyDescent="0.25">
      <c r="T28">
        <f>Kalibratiemetingen!G11</f>
        <v>12</v>
      </c>
      <c r="U28">
        <f>Kalibratiemetingen!C11</f>
        <v>3935</v>
      </c>
      <c r="V28">
        <f t="shared" si="0"/>
        <v>1</v>
      </c>
      <c r="W28">
        <f t="shared" si="1"/>
        <v>47220</v>
      </c>
      <c r="X28">
        <f t="shared" si="2"/>
        <v>15484225</v>
      </c>
      <c r="Z28">
        <f t="shared" si="3"/>
        <v>11.968603111144287</v>
      </c>
      <c r="AA28">
        <f t="shared" si="4"/>
        <v>3.1396888855713456E-2</v>
      </c>
    </row>
    <row r="29" spans="20:27" x14ac:dyDescent="0.25">
      <c r="T29">
        <f>Kalibratiemetingen!G7</f>
        <v>12</v>
      </c>
      <c r="U29">
        <f>Kalibratiemetingen!C7</f>
        <v>3728</v>
      </c>
      <c r="V29">
        <f t="shared" si="0"/>
        <v>1</v>
      </c>
      <c r="W29">
        <f t="shared" si="1"/>
        <v>44736</v>
      </c>
      <c r="X29">
        <f t="shared" si="2"/>
        <v>13897984</v>
      </c>
      <c r="Z29">
        <f t="shared" si="3"/>
        <v>11.673078653436971</v>
      </c>
      <c r="AA29">
        <f t="shared" si="4"/>
        <v>0.3269213465630294</v>
      </c>
    </row>
    <row r="30" spans="20:27" x14ac:dyDescent="0.25">
      <c r="T30">
        <f>Kalibratiemetingen!G14</f>
        <v>12.1</v>
      </c>
      <c r="U30">
        <f>Kalibratiemetingen!C14</f>
        <v>4834</v>
      </c>
      <c r="V30">
        <f t="shared" si="0"/>
        <v>1</v>
      </c>
      <c r="W30">
        <f t="shared" si="1"/>
        <v>58491.4</v>
      </c>
      <c r="X30">
        <f t="shared" si="2"/>
        <v>23367556</v>
      </c>
      <c r="Z30">
        <f t="shared" si="3"/>
        <v>13.252064403312772</v>
      </c>
      <c r="AA30">
        <f t="shared" si="4"/>
        <v>1.1520644033127727</v>
      </c>
    </row>
    <row r="31" spans="20:27" x14ac:dyDescent="0.25">
      <c r="T31">
        <f>Kalibratiemetingen!G63</f>
        <v>12.3</v>
      </c>
      <c r="U31">
        <f>Kalibratiemetingen!C63</f>
        <v>4731</v>
      </c>
      <c r="V31">
        <f t="shared" si="0"/>
        <v>1</v>
      </c>
      <c r="W31">
        <f t="shared" si="1"/>
        <v>58191.3</v>
      </c>
      <c r="X31">
        <f t="shared" si="2"/>
        <v>22382361</v>
      </c>
      <c r="Z31">
        <f t="shared" si="3"/>
        <v>13.105016001651645</v>
      </c>
      <c r="AA31">
        <f t="shared" si="4"/>
        <v>0.80501600165164433</v>
      </c>
    </row>
    <row r="32" spans="20:27" x14ac:dyDescent="0.25">
      <c r="T32">
        <f>Kalibratiemetingen!G78</f>
        <v>12.3</v>
      </c>
      <c r="U32">
        <f>Kalibratiemetingen!C78</f>
        <v>4628</v>
      </c>
      <c r="V32">
        <f t="shared" si="0"/>
        <v>1</v>
      </c>
      <c r="W32">
        <f t="shared" si="1"/>
        <v>56924.4</v>
      </c>
      <c r="X32">
        <f t="shared" si="2"/>
        <v>21418384</v>
      </c>
      <c r="Z32">
        <f t="shared" si="3"/>
        <v>12.957967599990518</v>
      </c>
      <c r="AA32">
        <f t="shared" si="4"/>
        <v>0.65796759999051702</v>
      </c>
    </row>
    <row r="33" spans="20:27" x14ac:dyDescent="0.25">
      <c r="T33">
        <f>Kalibratiemetingen!G86</f>
        <v>12.3</v>
      </c>
      <c r="U33">
        <f>Kalibratiemetingen!C86</f>
        <v>4369</v>
      </c>
      <c r="V33">
        <f t="shared" si="0"/>
        <v>1</v>
      </c>
      <c r="W33">
        <f t="shared" si="1"/>
        <v>53738.700000000004</v>
      </c>
      <c r="X33">
        <f t="shared" si="2"/>
        <v>19088161</v>
      </c>
      <c r="Z33">
        <f t="shared" si="3"/>
        <v>12.588205114260107</v>
      </c>
      <c r="AA33">
        <f t="shared" si="4"/>
        <v>0.28820511426010675</v>
      </c>
    </row>
    <row r="34" spans="20:27" x14ac:dyDescent="0.25">
      <c r="T34">
        <f>Kalibratiemetingen!G52</f>
        <v>12.5</v>
      </c>
      <c r="U34">
        <f>Kalibratiemetingen!C52</f>
        <v>4960</v>
      </c>
      <c r="V34">
        <f t="shared" si="0"/>
        <v>1</v>
      </c>
      <c r="W34">
        <f t="shared" si="1"/>
        <v>62000</v>
      </c>
      <c r="X34">
        <f t="shared" si="2"/>
        <v>24601600</v>
      </c>
      <c r="Z34">
        <f t="shared" si="3"/>
        <v>13.431948855830269</v>
      </c>
      <c r="AA34">
        <f t="shared" si="4"/>
        <v>0.9319488558302691</v>
      </c>
    </row>
    <row r="35" spans="20:27" x14ac:dyDescent="0.25">
      <c r="T35">
        <f>Kalibratiemetingen!G90</f>
        <v>12.5</v>
      </c>
      <c r="U35">
        <f>Kalibratiemetingen!C90</f>
        <v>4657</v>
      </c>
      <c r="V35">
        <f t="shared" si="0"/>
        <v>1</v>
      </c>
      <c r="W35">
        <f t="shared" si="1"/>
        <v>58212.5</v>
      </c>
      <c r="X35">
        <f t="shared" si="2"/>
        <v>21687649</v>
      </c>
      <c r="Z35">
        <f t="shared" si="3"/>
        <v>12.999369577157243</v>
      </c>
      <c r="AA35">
        <f t="shared" si="4"/>
        <v>0.49936957715724262</v>
      </c>
    </row>
    <row r="36" spans="20:27" x14ac:dyDescent="0.25">
      <c r="T36">
        <f>Kalibratiemetingen!G46</f>
        <v>12.5</v>
      </c>
      <c r="U36">
        <f>Kalibratiemetingen!C46</f>
        <v>4590</v>
      </c>
      <c r="V36">
        <f t="shared" si="0"/>
        <v>1</v>
      </c>
      <c r="W36">
        <f t="shared" si="1"/>
        <v>57375</v>
      </c>
      <c r="X36">
        <f t="shared" si="2"/>
        <v>21068100</v>
      </c>
      <c r="Z36">
        <f t="shared" si="3"/>
        <v>12.903716733358255</v>
      </c>
      <c r="AA36">
        <f t="shared" si="4"/>
        <v>0.4037167333582552</v>
      </c>
    </row>
    <row r="37" spans="20:27" x14ac:dyDescent="0.25">
      <c r="T37">
        <f>Kalibratiemetingen!G91</f>
        <v>12.6</v>
      </c>
      <c r="U37">
        <f>Kalibratiemetingen!C91</f>
        <v>4885</v>
      </c>
      <c r="V37">
        <f t="shared" si="0"/>
        <v>1</v>
      </c>
      <c r="W37">
        <f t="shared" si="1"/>
        <v>61551</v>
      </c>
      <c r="X37">
        <f t="shared" si="2"/>
        <v>23863225</v>
      </c>
      <c r="Z37">
        <f t="shared" si="3"/>
        <v>13.324874776950807</v>
      </c>
      <c r="AA37">
        <f t="shared" si="4"/>
        <v>0.72487477695080749</v>
      </c>
    </row>
    <row r="38" spans="20:27" x14ac:dyDescent="0.25">
      <c r="T38">
        <f>Kalibratiemetingen!G32</f>
        <v>12.6</v>
      </c>
      <c r="U38">
        <f>Kalibratiemetingen!C32</f>
        <v>4857</v>
      </c>
      <c r="V38">
        <f t="shared" si="0"/>
        <v>1</v>
      </c>
      <c r="W38">
        <f t="shared" si="1"/>
        <v>61198.2</v>
      </c>
      <c r="X38">
        <f t="shared" si="2"/>
        <v>23590449</v>
      </c>
      <c r="Z38">
        <f t="shared" si="3"/>
        <v>13.284900454169142</v>
      </c>
      <c r="AA38">
        <f t="shared" si="4"/>
        <v>0.68490045416914214</v>
      </c>
    </row>
    <row r="39" spans="20:27" x14ac:dyDescent="0.25">
      <c r="T39">
        <f>Kalibratiemetingen!G44</f>
        <v>12.6</v>
      </c>
      <c r="U39">
        <f>Kalibratiemetingen!C44</f>
        <v>4788</v>
      </c>
      <c r="V39">
        <f t="shared" si="0"/>
        <v>1</v>
      </c>
      <c r="W39">
        <f t="shared" si="1"/>
        <v>60328.799999999996</v>
      </c>
      <c r="X39">
        <f t="shared" si="2"/>
        <v>22924944</v>
      </c>
      <c r="Z39">
        <f t="shared" si="3"/>
        <v>13.186392301600037</v>
      </c>
      <c r="AA39">
        <f t="shared" si="4"/>
        <v>0.58639230160003741</v>
      </c>
    </row>
    <row r="40" spans="20:27" x14ac:dyDescent="0.25">
      <c r="T40">
        <f>Kalibratiemetingen!G76</f>
        <v>12.7</v>
      </c>
      <c r="U40">
        <f>Kalibratiemetingen!C76</f>
        <v>4795</v>
      </c>
      <c r="V40">
        <f t="shared" si="0"/>
        <v>1</v>
      </c>
      <c r="W40">
        <f t="shared" si="1"/>
        <v>60896.5</v>
      </c>
      <c r="X40">
        <f t="shared" si="2"/>
        <v>22992025</v>
      </c>
      <c r="Z40">
        <f t="shared" si="3"/>
        <v>13.196385882295452</v>
      </c>
      <c r="AA40">
        <f t="shared" si="4"/>
        <v>0.49638588229545277</v>
      </c>
    </row>
    <row r="41" spans="20:27" x14ac:dyDescent="0.25">
      <c r="T41">
        <f>Kalibratiemetingen!G42</f>
        <v>12.7</v>
      </c>
      <c r="U41">
        <f>Kalibratiemetingen!C42</f>
        <v>4731</v>
      </c>
      <c r="V41">
        <f t="shared" si="0"/>
        <v>1</v>
      </c>
      <c r="W41">
        <f t="shared" si="1"/>
        <v>60083.7</v>
      </c>
      <c r="X41">
        <f t="shared" si="2"/>
        <v>22382361</v>
      </c>
      <c r="Z41">
        <f t="shared" si="3"/>
        <v>13.105016001651645</v>
      </c>
      <c r="AA41">
        <f t="shared" si="4"/>
        <v>0.40501600165164575</v>
      </c>
    </row>
    <row r="42" spans="20:27" x14ac:dyDescent="0.25">
      <c r="T42">
        <f>Kalibratiemetingen!G60</f>
        <v>12.8</v>
      </c>
      <c r="U42">
        <f>Kalibratiemetingen!C60</f>
        <v>5089</v>
      </c>
      <c r="V42">
        <f t="shared" si="0"/>
        <v>1</v>
      </c>
      <c r="W42">
        <f t="shared" si="1"/>
        <v>65139.200000000004</v>
      </c>
      <c r="X42">
        <f t="shared" si="2"/>
        <v>25897921</v>
      </c>
      <c r="Z42">
        <f t="shared" si="3"/>
        <v>13.616116271502944</v>
      </c>
      <c r="AA42">
        <f t="shared" si="4"/>
        <v>0.81611627150294375</v>
      </c>
    </row>
    <row r="43" spans="20:27" x14ac:dyDescent="0.25">
      <c r="T43">
        <f>Kalibratiemetingen!G37</f>
        <v>12.8</v>
      </c>
      <c r="U43">
        <f>Kalibratiemetingen!C37</f>
        <v>4876</v>
      </c>
      <c r="V43">
        <f t="shared" si="0"/>
        <v>1</v>
      </c>
      <c r="W43">
        <f t="shared" si="1"/>
        <v>62412.800000000003</v>
      </c>
      <c r="X43">
        <f t="shared" si="2"/>
        <v>23775376</v>
      </c>
      <c r="Z43">
        <f t="shared" si="3"/>
        <v>13.312025887485273</v>
      </c>
      <c r="AA43">
        <f t="shared" si="4"/>
        <v>0.51202588748527234</v>
      </c>
    </row>
    <row r="44" spans="20:27" x14ac:dyDescent="0.25">
      <c r="T44">
        <f>Kalibratiemetingen!G65</f>
        <v>12.9</v>
      </c>
      <c r="U44">
        <f>Kalibratiemetingen!C65</f>
        <v>5180</v>
      </c>
      <c r="V44">
        <f t="shared" si="0"/>
        <v>1</v>
      </c>
      <c r="W44">
        <f t="shared" si="1"/>
        <v>66822</v>
      </c>
      <c r="X44">
        <f t="shared" si="2"/>
        <v>26832400</v>
      </c>
      <c r="Z44">
        <f t="shared" si="3"/>
        <v>13.746032820543359</v>
      </c>
      <c r="AA44">
        <f t="shared" si="4"/>
        <v>0.84603282054335871</v>
      </c>
    </row>
    <row r="45" spans="20:27" x14ac:dyDescent="0.25">
      <c r="T45">
        <f>Kalibratiemetingen!G51</f>
        <v>12.9</v>
      </c>
      <c r="U45">
        <f>Kalibratiemetingen!C51</f>
        <v>5110</v>
      </c>
      <c r="V45">
        <f t="shared" si="0"/>
        <v>1</v>
      </c>
      <c r="W45">
        <f t="shared" si="1"/>
        <v>65919</v>
      </c>
      <c r="X45">
        <f t="shared" si="2"/>
        <v>26112100</v>
      </c>
      <c r="Z45">
        <f t="shared" si="3"/>
        <v>13.646097013589195</v>
      </c>
      <c r="AA45">
        <f t="shared" si="4"/>
        <v>0.74609701358919445</v>
      </c>
    </row>
    <row r="46" spans="20:27" x14ac:dyDescent="0.25">
      <c r="T46">
        <f>Kalibratiemetingen!G83</f>
        <v>12.9</v>
      </c>
      <c r="U46">
        <f>Kalibratiemetingen!C83</f>
        <v>4994</v>
      </c>
      <c r="V46">
        <f t="shared" si="0"/>
        <v>1</v>
      </c>
      <c r="W46">
        <f t="shared" si="1"/>
        <v>64422.6</v>
      </c>
      <c r="X46">
        <f t="shared" si="2"/>
        <v>24940036</v>
      </c>
      <c r="Z46">
        <f t="shared" si="3"/>
        <v>13.480489104922292</v>
      </c>
      <c r="AA46">
        <f t="shared" si="4"/>
        <v>0.58048910492229133</v>
      </c>
    </row>
    <row r="47" spans="20:27" x14ac:dyDescent="0.25">
      <c r="T47">
        <f>Kalibratiemetingen!G50</f>
        <v>12.9</v>
      </c>
      <c r="U47">
        <f>Kalibratiemetingen!C50</f>
        <v>4844</v>
      </c>
      <c r="V47">
        <f t="shared" si="0"/>
        <v>1</v>
      </c>
      <c r="W47">
        <f t="shared" si="1"/>
        <v>62487.6</v>
      </c>
      <c r="X47">
        <f t="shared" si="2"/>
        <v>23464336</v>
      </c>
      <c r="Z47">
        <f t="shared" si="3"/>
        <v>13.266340947163368</v>
      </c>
      <c r="AA47">
        <f t="shared" si="4"/>
        <v>0.3663409471633674</v>
      </c>
    </row>
    <row r="48" spans="20:27" x14ac:dyDescent="0.25">
      <c r="T48">
        <f>Kalibratiemetingen!G64</f>
        <v>13</v>
      </c>
      <c r="U48">
        <f>Kalibratiemetingen!C64</f>
        <v>5212</v>
      </c>
      <c r="V48">
        <f t="shared" si="0"/>
        <v>1</v>
      </c>
      <c r="W48">
        <f t="shared" si="1"/>
        <v>67756</v>
      </c>
      <c r="X48">
        <f t="shared" si="2"/>
        <v>27164944</v>
      </c>
      <c r="Z48">
        <f t="shared" si="3"/>
        <v>13.791717760865263</v>
      </c>
      <c r="AA48">
        <f t="shared" si="4"/>
        <v>0.79171776086526258</v>
      </c>
    </row>
    <row r="49" spans="20:27" x14ac:dyDescent="0.25">
      <c r="T49">
        <f>Kalibratiemetingen!G62</f>
        <v>13</v>
      </c>
      <c r="U49">
        <f>Kalibratiemetingen!C62</f>
        <v>5037</v>
      </c>
      <c r="V49">
        <f t="shared" si="0"/>
        <v>1</v>
      </c>
      <c r="W49">
        <f t="shared" si="1"/>
        <v>65481</v>
      </c>
      <c r="X49">
        <f t="shared" si="2"/>
        <v>25371369</v>
      </c>
      <c r="Z49">
        <f t="shared" si="3"/>
        <v>13.54187824347985</v>
      </c>
      <c r="AA49">
        <f t="shared" si="4"/>
        <v>0.54187824347985014</v>
      </c>
    </row>
    <row r="50" spans="20:27" x14ac:dyDescent="0.25">
      <c r="T50">
        <f>Kalibratiemetingen!G35</f>
        <v>13.1</v>
      </c>
      <c r="U50">
        <f>Kalibratiemetingen!C35</f>
        <v>5386</v>
      </c>
      <c r="V50">
        <f t="shared" si="0"/>
        <v>1</v>
      </c>
      <c r="W50">
        <f t="shared" si="1"/>
        <v>70556.599999999991</v>
      </c>
      <c r="X50">
        <f t="shared" si="2"/>
        <v>29008996</v>
      </c>
      <c r="Z50">
        <f t="shared" si="3"/>
        <v>14.040129623865614</v>
      </c>
      <c r="AA50">
        <f t="shared" si="4"/>
        <v>0.94012962386561405</v>
      </c>
    </row>
    <row r="51" spans="20:27" x14ac:dyDescent="0.25">
      <c r="T51">
        <f>Kalibratiemetingen!G34</f>
        <v>13.1</v>
      </c>
      <c r="U51">
        <f>Kalibratiemetingen!C34</f>
        <v>5068</v>
      </c>
      <c r="V51">
        <f t="shared" si="0"/>
        <v>1</v>
      </c>
      <c r="W51">
        <f t="shared" si="1"/>
        <v>66390.8</v>
      </c>
      <c r="X51">
        <f t="shared" si="2"/>
        <v>25684624</v>
      </c>
      <c r="Z51">
        <f t="shared" si="3"/>
        <v>13.586135529416694</v>
      </c>
      <c r="AA51">
        <f t="shared" si="4"/>
        <v>0.48613552941669447</v>
      </c>
    </row>
    <row r="52" spans="20:27" x14ac:dyDescent="0.25">
      <c r="T52">
        <f>Kalibratiemetingen!G30</f>
        <v>13.1</v>
      </c>
      <c r="U52">
        <f>Kalibratiemetingen!C30</f>
        <v>4905</v>
      </c>
      <c r="V52">
        <f t="shared" si="0"/>
        <v>1</v>
      </c>
      <c r="W52">
        <f t="shared" si="1"/>
        <v>64255.5</v>
      </c>
      <c r="X52">
        <f t="shared" si="2"/>
        <v>24059025</v>
      </c>
      <c r="Z52">
        <f t="shared" si="3"/>
        <v>13.353427864651998</v>
      </c>
      <c r="AA52">
        <f t="shared" si="4"/>
        <v>0.25342786465199829</v>
      </c>
    </row>
    <row r="53" spans="20:27" x14ac:dyDescent="0.25">
      <c r="T53">
        <f>Kalibratiemetingen!G59</f>
        <v>13.2</v>
      </c>
      <c r="U53">
        <f>Kalibratiemetingen!C59</f>
        <v>5260</v>
      </c>
      <c r="V53">
        <f t="shared" si="0"/>
        <v>1</v>
      </c>
      <c r="W53">
        <f t="shared" si="1"/>
        <v>69432</v>
      </c>
      <c r="X53">
        <f t="shared" si="2"/>
        <v>27667600</v>
      </c>
      <c r="Z53">
        <f t="shared" si="3"/>
        <v>13.860245171348119</v>
      </c>
      <c r="AA53">
        <f t="shared" si="4"/>
        <v>0.66024517134811944</v>
      </c>
    </row>
    <row r="54" spans="20:27" x14ac:dyDescent="0.25">
      <c r="T54">
        <f>Kalibratiemetingen!G55</f>
        <v>13.2</v>
      </c>
      <c r="U54">
        <f>Kalibratiemetingen!C55</f>
        <v>5216</v>
      </c>
      <c r="V54">
        <f t="shared" si="0"/>
        <v>1</v>
      </c>
      <c r="W54">
        <f t="shared" si="1"/>
        <v>68851.199999999997</v>
      </c>
      <c r="X54">
        <f t="shared" si="2"/>
        <v>27206656</v>
      </c>
      <c r="Z54">
        <f t="shared" si="3"/>
        <v>13.797428378405499</v>
      </c>
      <c r="AA54">
        <f t="shared" si="4"/>
        <v>0.59742837840549967</v>
      </c>
    </row>
    <row r="55" spans="20:27" x14ac:dyDescent="0.25">
      <c r="T55">
        <f>Kalibratiemetingen!G74</f>
        <v>13.2</v>
      </c>
      <c r="U55">
        <f>Kalibratiemetingen!C74</f>
        <v>5114</v>
      </c>
      <c r="V55">
        <f t="shared" si="0"/>
        <v>1</v>
      </c>
      <c r="W55">
        <f t="shared" si="1"/>
        <v>67504.800000000003</v>
      </c>
      <c r="X55">
        <f t="shared" si="2"/>
        <v>26152996</v>
      </c>
      <c r="Z55">
        <f t="shared" si="3"/>
        <v>13.651807631129433</v>
      </c>
      <c r="AA55">
        <f t="shared" si="4"/>
        <v>0.45180763112943367</v>
      </c>
    </row>
    <row r="56" spans="20:27" x14ac:dyDescent="0.25">
      <c r="T56">
        <f>Kalibratiemetingen!G61</f>
        <v>13.2</v>
      </c>
      <c r="U56">
        <f>Kalibratiemetingen!C61</f>
        <v>4814</v>
      </c>
      <c r="V56">
        <f t="shared" si="0"/>
        <v>1</v>
      </c>
      <c r="W56">
        <f t="shared" si="1"/>
        <v>63544.799999999996</v>
      </c>
      <c r="X56">
        <f t="shared" si="2"/>
        <v>23174596</v>
      </c>
      <c r="Z56">
        <f t="shared" si="3"/>
        <v>13.223511315611583</v>
      </c>
      <c r="AA56">
        <f t="shared" si="4"/>
        <v>2.3511315611584038E-2</v>
      </c>
    </row>
    <row r="57" spans="20:27" x14ac:dyDescent="0.25">
      <c r="T57">
        <f>Kalibratiemetingen!G58</f>
        <v>13.3</v>
      </c>
      <c r="U57">
        <f>Kalibratiemetingen!C58</f>
        <v>5522</v>
      </c>
      <c r="V57">
        <f t="shared" si="0"/>
        <v>1</v>
      </c>
      <c r="W57">
        <f t="shared" si="1"/>
        <v>73442.600000000006</v>
      </c>
      <c r="X57">
        <f t="shared" si="2"/>
        <v>30492484</v>
      </c>
      <c r="Z57">
        <f t="shared" si="3"/>
        <v>14.234290620233706</v>
      </c>
      <c r="AA57">
        <f t="shared" si="4"/>
        <v>0.93429062023370513</v>
      </c>
    </row>
    <row r="58" spans="20:27" x14ac:dyDescent="0.25">
      <c r="T58">
        <f>Kalibratiemetingen!G56</f>
        <v>13.3</v>
      </c>
      <c r="U58">
        <f>Kalibratiemetingen!C56</f>
        <v>5427</v>
      </c>
      <c r="V58">
        <f t="shared" si="0"/>
        <v>1</v>
      </c>
      <c r="W58">
        <f t="shared" si="1"/>
        <v>72179.100000000006</v>
      </c>
      <c r="X58">
        <f t="shared" si="2"/>
        <v>29452329</v>
      </c>
      <c r="Z58">
        <f t="shared" si="3"/>
        <v>14.098663453653053</v>
      </c>
      <c r="AA58">
        <f t="shared" si="4"/>
        <v>0.79866345365305236</v>
      </c>
    </row>
    <row r="59" spans="20:27" x14ac:dyDescent="0.25">
      <c r="T59">
        <f>Kalibratiemetingen!G72</f>
        <v>13.3</v>
      </c>
      <c r="U59">
        <f>Kalibratiemetingen!C72</f>
        <v>5365</v>
      </c>
      <c r="V59">
        <f t="shared" si="0"/>
        <v>1</v>
      </c>
      <c r="W59">
        <f t="shared" si="1"/>
        <v>71354.5</v>
      </c>
      <c r="X59">
        <f t="shared" si="2"/>
        <v>28783225</v>
      </c>
      <c r="Z59">
        <f t="shared" si="3"/>
        <v>14.010148881779365</v>
      </c>
      <c r="AA59">
        <f t="shared" si="4"/>
        <v>0.71014888177936442</v>
      </c>
    </row>
    <row r="60" spans="20:27" x14ac:dyDescent="0.25">
      <c r="T60">
        <f>Kalibratiemetingen!G24</f>
        <v>13.4</v>
      </c>
      <c r="U60">
        <f>Kalibratiemetingen!C24</f>
        <v>5232</v>
      </c>
      <c r="V60">
        <f t="shared" si="0"/>
        <v>1</v>
      </c>
      <c r="W60">
        <f t="shared" si="1"/>
        <v>70108.800000000003</v>
      </c>
      <c r="X60">
        <f t="shared" si="2"/>
        <v>27373824</v>
      </c>
      <c r="Z60">
        <f t="shared" si="3"/>
        <v>13.820270848566452</v>
      </c>
      <c r="AA60">
        <f t="shared" si="4"/>
        <v>0.42027084856645125</v>
      </c>
    </row>
    <row r="61" spans="20:27" x14ac:dyDescent="0.25">
      <c r="T61">
        <f>Kalibratiemetingen!G67</f>
        <v>13.5</v>
      </c>
      <c r="U61">
        <f>Kalibratiemetingen!C67</f>
        <v>5477</v>
      </c>
      <c r="V61">
        <f t="shared" si="0"/>
        <v>1</v>
      </c>
      <c r="W61">
        <f t="shared" si="1"/>
        <v>73939.5</v>
      </c>
      <c r="X61">
        <f t="shared" si="2"/>
        <v>29997529</v>
      </c>
      <c r="Z61">
        <f t="shared" si="3"/>
        <v>14.170046172906028</v>
      </c>
      <c r="AA61">
        <f t="shared" si="4"/>
        <v>0.6700461729060283</v>
      </c>
    </row>
    <row r="62" spans="20:27" x14ac:dyDescent="0.25">
      <c r="T62">
        <f>Kalibratiemetingen!G68</f>
        <v>13.5</v>
      </c>
      <c r="U62">
        <f>Kalibratiemetingen!C68</f>
        <v>5282</v>
      </c>
      <c r="V62">
        <f t="shared" si="0"/>
        <v>1</v>
      </c>
      <c r="W62">
        <f t="shared" si="1"/>
        <v>71307</v>
      </c>
      <c r="X62">
        <f t="shared" si="2"/>
        <v>27899524</v>
      </c>
      <c r="Z62">
        <f t="shared" si="3"/>
        <v>13.891653567819427</v>
      </c>
      <c r="AA62">
        <f t="shared" si="4"/>
        <v>0.39165356781942684</v>
      </c>
    </row>
    <row r="63" spans="20:27" x14ac:dyDescent="0.25">
      <c r="T63">
        <f>Kalibratiemetingen!G79</f>
        <v>13.5</v>
      </c>
      <c r="U63">
        <f>Kalibratiemetingen!C79</f>
        <v>5260</v>
      </c>
      <c r="V63">
        <f t="shared" si="0"/>
        <v>1</v>
      </c>
      <c r="W63">
        <f t="shared" si="1"/>
        <v>71010</v>
      </c>
      <c r="X63">
        <f t="shared" si="2"/>
        <v>27667600</v>
      </c>
      <c r="Z63">
        <f t="shared" si="3"/>
        <v>13.860245171348119</v>
      </c>
      <c r="AA63">
        <f t="shared" si="4"/>
        <v>0.36024517134811873</v>
      </c>
    </row>
    <row r="64" spans="20:27" x14ac:dyDescent="0.25">
      <c r="T64">
        <f>Kalibratiemetingen!G87</f>
        <v>13.5</v>
      </c>
      <c r="U64">
        <f>Kalibratiemetingen!C87</f>
        <v>5078</v>
      </c>
      <c r="V64">
        <f t="shared" si="0"/>
        <v>1</v>
      </c>
      <c r="W64">
        <f t="shared" si="1"/>
        <v>68553</v>
      </c>
      <c r="X64">
        <f t="shared" si="2"/>
        <v>25786084</v>
      </c>
      <c r="Z64">
        <f t="shared" si="3"/>
        <v>13.60041207326729</v>
      </c>
      <c r="AA64">
        <f t="shared" si="4"/>
        <v>0.10041207326728951</v>
      </c>
    </row>
    <row r="65" spans="20:27" x14ac:dyDescent="0.25">
      <c r="T65">
        <f>Kalibratiemetingen!G88</f>
        <v>13.6</v>
      </c>
      <c r="U65">
        <f>Kalibratiemetingen!C88</f>
        <v>5183</v>
      </c>
      <c r="V65">
        <f t="shared" si="0"/>
        <v>1</v>
      </c>
      <c r="W65">
        <f t="shared" si="1"/>
        <v>70488.800000000003</v>
      </c>
      <c r="X65">
        <f t="shared" si="2"/>
        <v>26863489</v>
      </c>
      <c r="Z65">
        <f t="shared" si="3"/>
        <v>13.750315783698536</v>
      </c>
      <c r="AA65">
        <f t="shared" si="4"/>
        <v>0.15031578369853626</v>
      </c>
    </row>
    <row r="66" spans="20:27" x14ac:dyDescent="0.25">
      <c r="T66">
        <f>Kalibratiemetingen!G89</f>
        <v>13.6</v>
      </c>
      <c r="U66">
        <f>Kalibratiemetingen!C89</f>
        <v>5123</v>
      </c>
      <c r="V66">
        <f t="shared" si="0"/>
        <v>1</v>
      </c>
      <c r="W66">
        <f t="shared" si="1"/>
        <v>69672.800000000003</v>
      </c>
      <c r="X66">
        <f t="shared" si="2"/>
        <v>26245129</v>
      </c>
      <c r="Z66">
        <f t="shared" si="3"/>
        <v>13.664656520594967</v>
      </c>
      <c r="AA66">
        <f t="shared" si="4"/>
        <v>6.4656520594967404E-2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13.467640215456758</v>
      </c>
      <c r="AA67">
        <f t="shared" si="4"/>
        <v>0.13235978454324204</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14.030136043170199</v>
      </c>
      <c r="AA68">
        <f t="shared" ref="AA68:AA87" si="9">ABS(T68-Z68)</f>
        <v>0.3301360431701994</v>
      </c>
    </row>
    <row r="69" spans="20:27" x14ac:dyDescent="0.25">
      <c r="T69">
        <f>Kalibratiemetingen!G29</f>
        <v>13.7</v>
      </c>
      <c r="U69">
        <f>Kalibratiemetingen!C29</f>
        <v>5222</v>
      </c>
      <c r="V69">
        <f t="shared" si="5"/>
        <v>1</v>
      </c>
      <c r="W69">
        <f t="shared" si="6"/>
        <v>71541.399999999994</v>
      </c>
      <c r="X69">
        <f t="shared" si="7"/>
        <v>27269284</v>
      </c>
      <c r="Z69">
        <f t="shared" si="8"/>
        <v>13.805994304715856</v>
      </c>
      <c r="AA69">
        <f t="shared" si="9"/>
        <v>0.10599430471585691</v>
      </c>
    </row>
    <row r="70" spans="20:27" x14ac:dyDescent="0.25">
      <c r="T70">
        <f>Kalibratiemetingen!G6</f>
        <v>13.7</v>
      </c>
      <c r="U70">
        <f>Kalibratiemetingen!C6</f>
        <v>4577</v>
      </c>
      <c r="V70">
        <f t="shared" si="5"/>
        <v>1</v>
      </c>
      <c r="W70">
        <f t="shared" si="6"/>
        <v>62704.899999999994</v>
      </c>
      <c r="X70">
        <f t="shared" si="7"/>
        <v>20948929</v>
      </c>
      <c r="Z70">
        <f t="shared" si="8"/>
        <v>12.885157226352483</v>
      </c>
      <c r="AA70">
        <f t="shared" si="9"/>
        <v>0.81484277364751634</v>
      </c>
    </row>
    <row r="71" spans="20:27" x14ac:dyDescent="0.25">
      <c r="T71">
        <f>Kalibratiemetingen!G21</f>
        <v>13.8</v>
      </c>
      <c r="U71">
        <f>Kalibratiemetingen!C21</f>
        <v>5720</v>
      </c>
      <c r="V71">
        <f t="shared" si="5"/>
        <v>1</v>
      </c>
      <c r="W71">
        <f t="shared" si="6"/>
        <v>78936</v>
      </c>
      <c r="X71">
        <f t="shared" si="7"/>
        <v>32718400</v>
      </c>
      <c r="Z71">
        <f t="shared" si="8"/>
        <v>14.516966188475486</v>
      </c>
      <c r="AA71">
        <f t="shared" si="9"/>
        <v>0.71696618847548521</v>
      </c>
    </row>
    <row r="72" spans="20:27" x14ac:dyDescent="0.25">
      <c r="T72">
        <f>Kalibratiemetingen!G36</f>
        <v>13.9</v>
      </c>
      <c r="U72">
        <f>Kalibratiemetingen!C36</f>
        <v>5589</v>
      </c>
      <c r="V72">
        <f t="shared" si="5"/>
        <v>1</v>
      </c>
      <c r="W72">
        <f t="shared" si="6"/>
        <v>77687.100000000006</v>
      </c>
      <c r="X72">
        <f t="shared" si="7"/>
        <v>31236921</v>
      </c>
      <c r="Z72">
        <f t="shared" si="8"/>
        <v>14.329943464032691</v>
      </c>
      <c r="AA72">
        <f t="shared" si="9"/>
        <v>0.42994346403269112</v>
      </c>
    </row>
    <row r="73" spans="20:27" x14ac:dyDescent="0.25">
      <c r="T73">
        <f>Kalibratiemetingen!G75</f>
        <v>13.9</v>
      </c>
      <c r="U73">
        <f>Kalibratiemetingen!C75</f>
        <v>5420</v>
      </c>
      <c r="V73">
        <f t="shared" si="5"/>
        <v>1</v>
      </c>
      <c r="W73">
        <f t="shared" si="6"/>
        <v>75338</v>
      </c>
      <c r="X73">
        <f t="shared" si="7"/>
        <v>29376400</v>
      </c>
      <c r="Z73">
        <f t="shared" si="8"/>
        <v>14.088669872957638</v>
      </c>
      <c r="AA73">
        <f t="shared" si="9"/>
        <v>0.18866987295763771</v>
      </c>
    </row>
    <row r="74" spans="20:27" x14ac:dyDescent="0.25">
      <c r="T74">
        <f>Kalibratiemetingen!G54</f>
        <v>13.9</v>
      </c>
      <c r="U74">
        <f>Kalibratiemetingen!C54</f>
        <v>5348</v>
      </c>
      <c r="V74">
        <f t="shared" si="5"/>
        <v>1</v>
      </c>
      <c r="W74">
        <f t="shared" si="6"/>
        <v>74337.2</v>
      </c>
      <c r="X74">
        <f t="shared" si="7"/>
        <v>28601104</v>
      </c>
      <c r="Z74">
        <f t="shared" si="8"/>
        <v>13.985878757233355</v>
      </c>
      <c r="AA74">
        <f t="shared" si="9"/>
        <v>8.5878757233354364E-2</v>
      </c>
    </row>
    <row r="75" spans="20:27" x14ac:dyDescent="0.25">
      <c r="T75">
        <f>Kalibratiemetingen!G39</f>
        <v>13.9</v>
      </c>
      <c r="U75">
        <f>Kalibratiemetingen!C39</f>
        <v>5294</v>
      </c>
      <c r="V75">
        <f t="shared" si="5"/>
        <v>1</v>
      </c>
      <c r="W75">
        <f t="shared" si="6"/>
        <v>73586.600000000006</v>
      </c>
      <c r="X75">
        <f t="shared" si="7"/>
        <v>28026436</v>
      </c>
      <c r="Z75">
        <f t="shared" si="8"/>
        <v>13.90878542044014</v>
      </c>
      <c r="AA75">
        <f t="shared" si="9"/>
        <v>8.7854204401391911E-3</v>
      </c>
    </row>
    <row r="76" spans="20:27" x14ac:dyDescent="0.25">
      <c r="T76">
        <f>Kalibratiemetingen!G10</f>
        <v>13.9</v>
      </c>
      <c r="U76">
        <f>Kalibratiemetingen!C10</f>
        <v>5081</v>
      </c>
      <c r="V76">
        <f t="shared" si="5"/>
        <v>1</v>
      </c>
      <c r="W76">
        <f t="shared" si="6"/>
        <v>70625.900000000009</v>
      </c>
      <c r="X76">
        <f t="shared" si="7"/>
        <v>25816561</v>
      </c>
      <c r="Z76">
        <f t="shared" si="8"/>
        <v>13.604695036422468</v>
      </c>
      <c r="AA76">
        <f t="shared" si="9"/>
        <v>0.29530496357753222</v>
      </c>
    </row>
    <row r="77" spans="20:27" x14ac:dyDescent="0.25">
      <c r="T77">
        <f>Kalibratiemetingen!G53</f>
        <v>14</v>
      </c>
      <c r="U77">
        <f>Kalibratiemetingen!C53</f>
        <v>5283</v>
      </c>
      <c r="V77">
        <f t="shared" si="5"/>
        <v>1</v>
      </c>
      <c r="W77">
        <f t="shared" si="6"/>
        <v>73962</v>
      </c>
      <c r="X77">
        <f t="shared" si="7"/>
        <v>27910089</v>
      </c>
      <c r="Z77">
        <f t="shared" si="8"/>
        <v>13.893081222204486</v>
      </c>
      <c r="AA77">
        <f t="shared" si="9"/>
        <v>0.10691877779551362</v>
      </c>
    </row>
    <row r="78" spans="20:27" x14ac:dyDescent="0.25">
      <c r="T78">
        <f>Kalibratiemetingen!G28</f>
        <v>14.1</v>
      </c>
      <c r="U78">
        <f>Kalibratiemetingen!C28</f>
        <v>5479</v>
      </c>
      <c r="V78">
        <f t="shared" si="5"/>
        <v>1</v>
      </c>
      <c r="W78">
        <f t="shared" si="6"/>
        <v>77253.899999999994</v>
      </c>
      <c r="X78">
        <f t="shared" si="7"/>
        <v>30019441</v>
      </c>
      <c r="Z78">
        <f t="shared" si="8"/>
        <v>14.172901481676147</v>
      </c>
      <c r="AA78">
        <f t="shared" si="9"/>
        <v>7.2901481676147739E-2</v>
      </c>
    </row>
    <row r="79" spans="20:27" x14ac:dyDescent="0.25">
      <c r="T79">
        <f>Kalibratiemetingen!G69</f>
        <v>14.4</v>
      </c>
      <c r="U79">
        <f>Kalibratiemetingen!C69</f>
        <v>5525</v>
      </c>
      <c r="V79">
        <f t="shared" si="5"/>
        <v>1</v>
      </c>
      <c r="W79">
        <f t="shared" si="6"/>
        <v>79560</v>
      </c>
      <c r="X79">
        <f t="shared" si="7"/>
        <v>30525625</v>
      </c>
      <c r="Z79">
        <f t="shared" si="8"/>
        <v>14.238573583388884</v>
      </c>
      <c r="AA79">
        <f t="shared" si="9"/>
        <v>0.1614264166111159</v>
      </c>
    </row>
    <row r="80" spans="20:27" x14ac:dyDescent="0.25">
      <c r="T80">
        <f>Kalibratiemetingen!G49</f>
        <v>14.5</v>
      </c>
      <c r="U80">
        <f>Kalibratiemetingen!C49</f>
        <v>5646</v>
      </c>
      <c r="V80">
        <f t="shared" si="5"/>
        <v>1</v>
      </c>
      <c r="W80">
        <f t="shared" si="6"/>
        <v>81867</v>
      </c>
      <c r="X80">
        <f t="shared" si="7"/>
        <v>31877316</v>
      </c>
      <c r="Z80">
        <f t="shared" si="8"/>
        <v>14.411319763981083</v>
      </c>
      <c r="AA80">
        <f t="shared" si="9"/>
        <v>8.8680236018916503E-2</v>
      </c>
    </row>
    <row r="81" spans="20:27" x14ac:dyDescent="0.25">
      <c r="T81">
        <f>Kalibratiemetingen!G18</f>
        <v>14.5</v>
      </c>
      <c r="U81">
        <f>Kalibratiemetingen!C18</f>
        <v>4436</v>
      </c>
      <c r="V81">
        <f t="shared" si="5"/>
        <v>1</v>
      </c>
      <c r="W81">
        <f t="shared" si="6"/>
        <v>64322</v>
      </c>
      <c r="X81">
        <f t="shared" si="7"/>
        <v>19678096</v>
      </c>
      <c r="Z81">
        <f t="shared" si="8"/>
        <v>12.683857958059093</v>
      </c>
      <c r="AA81">
        <f t="shared" si="9"/>
        <v>1.8161420419409069</v>
      </c>
    </row>
    <row r="82" spans="20:27" x14ac:dyDescent="0.25">
      <c r="T82">
        <f>Kalibratiemetingen!G5</f>
        <v>14.6</v>
      </c>
      <c r="U82">
        <f>Kalibratiemetingen!C5</f>
        <v>5635</v>
      </c>
      <c r="V82">
        <f t="shared" si="5"/>
        <v>1</v>
      </c>
      <c r="W82">
        <f t="shared" si="6"/>
        <v>82271</v>
      </c>
      <c r="X82">
        <f t="shared" si="7"/>
        <v>31753225</v>
      </c>
      <c r="Z82">
        <f t="shared" si="8"/>
        <v>14.39561556574543</v>
      </c>
      <c r="AA82">
        <f t="shared" si="9"/>
        <v>0.20438443425456931</v>
      </c>
    </row>
    <row r="83" spans="20:27" x14ac:dyDescent="0.25">
      <c r="T83">
        <f>Kalibratiemetingen!G8</f>
        <v>14.6</v>
      </c>
      <c r="U83">
        <f>Kalibratiemetingen!C8</f>
        <v>5617</v>
      </c>
      <c r="V83">
        <f t="shared" si="5"/>
        <v>1</v>
      </c>
      <c r="W83">
        <f t="shared" si="6"/>
        <v>82008.2</v>
      </c>
      <c r="X83">
        <f t="shared" si="7"/>
        <v>31550689</v>
      </c>
      <c r="Z83">
        <f t="shared" si="8"/>
        <v>14.369917786814359</v>
      </c>
      <c r="AA83">
        <f t="shared" si="9"/>
        <v>0.23008221318564104</v>
      </c>
    </row>
    <row r="84" spans="20:27" x14ac:dyDescent="0.25">
      <c r="T84">
        <f>Kalibratiemetingen!G12</f>
        <v>14.8</v>
      </c>
      <c r="U84">
        <f>Kalibratiemetingen!C12</f>
        <v>5546</v>
      </c>
      <c r="V84">
        <f t="shared" si="5"/>
        <v>1</v>
      </c>
      <c r="W84">
        <f t="shared" si="6"/>
        <v>82080.800000000003</v>
      </c>
      <c r="X84">
        <f t="shared" si="7"/>
        <v>30758116</v>
      </c>
      <c r="Z84">
        <f t="shared" si="8"/>
        <v>14.268554325475133</v>
      </c>
      <c r="AA84">
        <f t="shared" si="9"/>
        <v>0.53144567452486768</v>
      </c>
    </row>
    <row r="85" spans="20:27" x14ac:dyDescent="0.25">
      <c r="T85">
        <f>Kalibratiemetingen!G15</f>
        <v>15.1</v>
      </c>
      <c r="U85">
        <f>Kalibratiemetingen!C15</f>
        <v>5908</v>
      </c>
      <c r="V85">
        <f t="shared" si="5"/>
        <v>1</v>
      </c>
      <c r="W85">
        <f t="shared" si="6"/>
        <v>89210.8</v>
      </c>
      <c r="X85">
        <f t="shared" si="7"/>
        <v>34904464</v>
      </c>
      <c r="Z85">
        <f t="shared" si="8"/>
        <v>14.785365212866672</v>
      </c>
      <c r="AA85">
        <f t="shared" si="9"/>
        <v>0.31463478713332726</v>
      </c>
    </row>
    <row r="86" spans="20:27" x14ac:dyDescent="0.25">
      <c r="T86">
        <f>Kalibratiemetingen!G9</f>
        <v>16.100000000000001</v>
      </c>
      <c r="U86">
        <f>Kalibratiemetingen!C9</f>
        <v>5908</v>
      </c>
      <c r="V86">
        <f t="shared" si="5"/>
        <v>1</v>
      </c>
      <c r="W86">
        <f t="shared" si="6"/>
        <v>95118.8</v>
      </c>
      <c r="X86">
        <f t="shared" si="7"/>
        <v>34904464</v>
      </c>
      <c r="Z86">
        <f t="shared" si="8"/>
        <v>14.785365212866672</v>
      </c>
      <c r="AA86">
        <f t="shared" si="9"/>
        <v>1.314634787133329</v>
      </c>
    </row>
    <row r="87" spans="20:27" x14ac:dyDescent="0.25">
      <c r="T87">
        <f>Kalibratiemetingen!G4</f>
        <v>17.8</v>
      </c>
      <c r="U87">
        <f>Kalibratiemetingen!C4</f>
        <v>6274</v>
      </c>
      <c r="V87">
        <f t="shared" si="5"/>
        <v>1</v>
      </c>
      <c r="W87">
        <f t="shared" si="6"/>
        <v>111677.20000000001</v>
      </c>
      <c r="X87">
        <f t="shared" si="7"/>
        <v>39363076</v>
      </c>
      <c r="Z87">
        <f t="shared" si="8"/>
        <v>15.307886717798446</v>
      </c>
      <c r="AA87">
        <f t="shared" si="9"/>
        <v>2.4921132822015544</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13.31488119625539</v>
      </c>
    </row>
    <row r="93" spans="20:27" x14ac:dyDescent="0.25">
      <c r="T93">
        <f>Kalibratiemetingen!G95</f>
        <v>12.3</v>
      </c>
      <c r="U93">
        <f>Kalibratiemetingen!C95</f>
        <v>4673</v>
      </c>
      <c r="V93">
        <f t="shared" si="5"/>
        <v>1</v>
      </c>
      <c r="W93">
        <f t="shared" si="6"/>
        <v>57477.9</v>
      </c>
      <c r="X93">
        <f t="shared" si="7"/>
        <v>21836929</v>
      </c>
      <c r="Z93">
        <f t="shared" si="8"/>
        <v>13.022212047318195</v>
      </c>
    </row>
    <row r="94" spans="20:27" x14ac:dyDescent="0.25">
      <c r="T94">
        <f>Kalibratiemetingen!G96</f>
        <v>11.6</v>
      </c>
      <c r="U94">
        <f>Kalibratiemetingen!C96</f>
        <v>4147</v>
      </c>
      <c r="V94">
        <f t="shared" si="5"/>
        <v>1</v>
      </c>
      <c r="W94">
        <f t="shared" si="6"/>
        <v>48105.2</v>
      </c>
      <c r="X94">
        <f t="shared" si="7"/>
        <v>17197609</v>
      </c>
      <c r="Z94">
        <f t="shared" si="8"/>
        <v>12.271265840776898</v>
      </c>
    </row>
    <row r="95" spans="20:27" x14ac:dyDescent="0.25">
      <c r="T95">
        <f>Kalibratiemetingen!G97</f>
        <v>12.1</v>
      </c>
      <c r="U95">
        <f>Kalibratiemetingen!C97</f>
        <v>4097</v>
      </c>
      <c r="V95">
        <f t="shared" si="5"/>
        <v>1</v>
      </c>
      <c r="W95">
        <f t="shared" si="6"/>
        <v>49573.7</v>
      </c>
      <c r="X95">
        <f t="shared" si="7"/>
        <v>16785409</v>
      </c>
      <c r="Z95">
        <f t="shared" si="8"/>
        <v>12.199883121523925</v>
      </c>
    </row>
    <row r="96" spans="20:27" x14ac:dyDescent="0.25">
      <c r="T96">
        <f>Kalibratiemetingen!G98</f>
        <v>15.6</v>
      </c>
      <c r="U96">
        <f>Kalibratiemetingen!C98</f>
        <v>5529</v>
      </c>
      <c r="V96">
        <f t="shared" si="5"/>
        <v>1</v>
      </c>
      <c r="W96">
        <f t="shared" si="6"/>
        <v>86252.4</v>
      </c>
      <c r="X96">
        <f t="shared" si="7"/>
        <v>30569841</v>
      </c>
      <c r="Z96">
        <f t="shared" si="8"/>
        <v>14.244284200929123</v>
      </c>
    </row>
    <row r="97" spans="20:26" x14ac:dyDescent="0.25">
      <c r="T97">
        <f>Kalibratiemetingen!G99</f>
        <v>15.6</v>
      </c>
      <c r="U97">
        <f>Kalibratiemetingen!C99</f>
        <v>5622</v>
      </c>
      <c r="V97">
        <f t="shared" si="5"/>
        <v>1</v>
      </c>
      <c r="W97">
        <f t="shared" si="6"/>
        <v>87703.2</v>
      </c>
      <c r="X97">
        <f t="shared" si="7"/>
        <v>31606884</v>
      </c>
      <c r="Z97">
        <f t="shared" si="8"/>
        <v>14.377056058739655</v>
      </c>
    </row>
    <row r="98" spans="20:26" x14ac:dyDescent="0.25">
      <c r="T98">
        <f>Kalibratiemetingen!G100</f>
        <v>15.6</v>
      </c>
      <c r="U98">
        <f>Kalibratiemetingen!C100</f>
        <v>5539</v>
      </c>
      <c r="V98">
        <f t="shared" si="5"/>
        <v>1</v>
      </c>
      <c r="W98">
        <f t="shared" si="6"/>
        <v>86408.4</v>
      </c>
      <c r="X98">
        <f t="shared" si="7"/>
        <v>30680521</v>
      </c>
      <c r="Z98">
        <f t="shared" si="8"/>
        <v>14.258560744779718</v>
      </c>
    </row>
    <row r="99" spans="20:26" x14ac:dyDescent="0.25">
      <c r="T99">
        <f>Kalibratiemetingen!G101</f>
        <v>15.6</v>
      </c>
      <c r="U99">
        <f>Kalibratiemetingen!C101</f>
        <v>5526</v>
      </c>
      <c r="V99">
        <f t="shared" si="5"/>
        <v>1</v>
      </c>
      <c r="W99">
        <f t="shared" si="6"/>
        <v>86205.599999999991</v>
      </c>
      <c r="X99">
        <f t="shared" si="7"/>
        <v>30536676</v>
      </c>
      <c r="Z99">
        <f t="shared" si="8"/>
        <v>14.240001237773944</v>
      </c>
    </row>
    <row r="100" spans="20:26" x14ac:dyDescent="0.25">
      <c r="T100">
        <f>Kalibratiemetingen!G102</f>
        <v>12.2</v>
      </c>
      <c r="U100">
        <f>Kalibratiemetingen!C102</f>
        <v>4579</v>
      </c>
      <c r="V100">
        <f t="shared" si="5"/>
        <v>1</v>
      </c>
      <c r="W100">
        <f t="shared" si="6"/>
        <v>55863.799999999996</v>
      </c>
      <c r="X100">
        <f t="shared" si="7"/>
        <v>20967241</v>
      </c>
      <c r="Z100">
        <f t="shared" si="8"/>
        <v>12.888012535122602</v>
      </c>
    </row>
    <row r="101" spans="20:26" x14ac:dyDescent="0.25">
      <c r="T101">
        <f>Kalibratiemetingen!G103</f>
        <v>12.2</v>
      </c>
      <c r="U101">
        <f>Kalibratiemetingen!C103</f>
        <v>3844</v>
      </c>
      <c r="V101">
        <f t="shared" si="5"/>
        <v>1</v>
      </c>
      <c r="W101">
        <f t="shared" si="6"/>
        <v>46896.799999999996</v>
      </c>
      <c r="X101">
        <f t="shared" si="7"/>
        <v>14776336</v>
      </c>
      <c r="Z101">
        <f t="shared" si="8"/>
        <v>11.838686562103874</v>
      </c>
    </row>
    <row r="102" spans="20:26" x14ac:dyDescent="0.25">
      <c r="T102">
        <f>Kalibratiemetingen!G104</f>
        <v>11.1</v>
      </c>
      <c r="U102">
        <f>Kalibratiemetingen!C104</f>
        <v>3203</v>
      </c>
      <c r="V102">
        <f t="shared" si="5"/>
        <v>1</v>
      </c>
      <c r="W102">
        <f t="shared" si="6"/>
        <v>35553.299999999996</v>
      </c>
      <c r="X102">
        <f t="shared" si="7"/>
        <v>10259209</v>
      </c>
      <c r="Z102">
        <f t="shared" si="8"/>
        <v>10.923560101280735</v>
      </c>
    </row>
    <row r="103" spans="20:26" x14ac:dyDescent="0.25">
      <c r="T103">
        <f>Kalibratiemetingen!G105</f>
        <v>11.1</v>
      </c>
      <c r="U103">
        <f>Kalibratiemetingen!C105</f>
        <v>2225</v>
      </c>
      <c r="V103">
        <f t="shared" si="5"/>
        <v>1</v>
      </c>
      <c r="W103">
        <f t="shared" si="6"/>
        <v>24697.5</v>
      </c>
      <c r="X103">
        <f t="shared" si="7"/>
        <v>4950625</v>
      </c>
      <c r="Z103">
        <f t="shared" si="8"/>
        <v>9.5273141126925491</v>
      </c>
    </row>
    <row r="104" spans="20:26" x14ac:dyDescent="0.25">
      <c r="T104">
        <f>Kalibratiemetingen!G106</f>
        <v>11.1</v>
      </c>
      <c r="U104">
        <f>Kalibratiemetingen!C106</f>
        <v>2853</v>
      </c>
      <c r="V104">
        <f t="shared" si="5"/>
        <v>1</v>
      </c>
      <c r="W104">
        <f t="shared" si="6"/>
        <v>31668.3</v>
      </c>
      <c r="X104">
        <f t="shared" si="7"/>
        <v>8139609</v>
      </c>
      <c r="Z104">
        <f t="shared" si="8"/>
        <v>10.423881066509914</v>
      </c>
    </row>
    <row r="105" spans="20:26" x14ac:dyDescent="0.25">
      <c r="T105">
        <f>Kalibratiemetingen!G107</f>
        <v>11.1</v>
      </c>
      <c r="U105">
        <f>Kalibratiemetingen!C107</f>
        <v>2915</v>
      </c>
      <c r="V105">
        <f t="shared" si="5"/>
        <v>1</v>
      </c>
      <c r="W105">
        <f t="shared" si="6"/>
        <v>32356.5</v>
      </c>
      <c r="X105">
        <f t="shared" si="7"/>
        <v>8497225</v>
      </c>
      <c r="Z105">
        <f t="shared" si="8"/>
        <v>10.512395638383602</v>
      </c>
    </row>
    <row r="106" spans="20:26" x14ac:dyDescent="0.25">
      <c r="T106">
        <f>Kalibratiemetingen!G108</f>
        <v>11.1</v>
      </c>
      <c r="U106">
        <f>Kalibratiemetingen!C108</f>
        <v>3072</v>
      </c>
      <c r="V106">
        <f t="shared" si="5"/>
        <v>1</v>
      </c>
      <c r="W106">
        <f t="shared" si="6"/>
        <v>34099.199999999997</v>
      </c>
      <c r="X106">
        <f t="shared" si="7"/>
        <v>9437184</v>
      </c>
      <c r="Z106">
        <f t="shared" si="8"/>
        <v>10.736537376837942</v>
      </c>
    </row>
    <row r="107" spans="20:26" x14ac:dyDescent="0.25">
      <c r="T107">
        <f>Kalibratiemetingen!G109</f>
        <v>11.1</v>
      </c>
      <c r="U107">
        <f>Kalibratiemetingen!C109</f>
        <v>3376</v>
      </c>
      <c r="V107">
        <f t="shared" si="5"/>
        <v>1</v>
      </c>
      <c r="W107">
        <f t="shared" si="6"/>
        <v>37473.599999999999</v>
      </c>
      <c r="X107">
        <f t="shared" si="7"/>
        <v>11397376</v>
      </c>
      <c r="Z107">
        <f t="shared" si="8"/>
        <v>11.170544309896028</v>
      </c>
    </row>
    <row r="108" spans="20:26" x14ac:dyDescent="0.25">
      <c r="T108">
        <f>Kalibratiemetingen!G110</f>
        <v>13.3</v>
      </c>
      <c r="U108">
        <f>Kalibratiemetingen!C110</f>
        <v>4890</v>
      </c>
      <c r="V108">
        <f t="shared" si="5"/>
        <v>1</v>
      </c>
      <c r="W108">
        <f t="shared" si="6"/>
        <v>65037</v>
      </c>
      <c r="X108">
        <f t="shared" si="7"/>
        <v>23912100</v>
      </c>
      <c r="Z108">
        <f t="shared" si="8"/>
        <v>13.332013048876105</v>
      </c>
    </row>
    <row r="109" spans="20:26" x14ac:dyDescent="0.25">
      <c r="T109">
        <f>Kalibratiemetingen!G111</f>
        <v>15.9</v>
      </c>
      <c r="U109">
        <f>Kalibratiemetingen!C111</f>
        <v>5706</v>
      </c>
      <c r="V109">
        <f t="shared" si="5"/>
        <v>1</v>
      </c>
      <c r="W109">
        <f t="shared" si="6"/>
        <v>90725.400000000009</v>
      </c>
      <c r="X109">
        <f t="shared" si="7"/>
        <v>32558436</v>
      </c>
      <c r="Z109">
        <f t="shared" si="8"/>
        <v>14.496979027084652</v>
      </c>
    </row>
    <row r="110" spans="20:26" x14ac:dyDescent="0.25">
      <c r="T110">
        <f>Kalibratiemetingen!G112</f>
        <v>15.8</v>
      </c>
      <c r="U110">
        <f>Kalibratiemetingen!C112</f>
        <v>5666</v>
      </c>
      <c r="V110">
        <f t="shared" si="5"/>
        <v>1</v>
      </c>
      <c r="W110">
        <f t="shared" si="6"/>
        <v>89522.8</v>
      </c>
      <c r="X110">
        <f t="shared" si="7"/>
        <v>32103556</v>
      </c>
      <c r="Z110">
        <f t="shared" si="8"/>
        <v>14.439872851682274</v>
      </c>
    </row>
    <row r="111" spans="20:26" x14ac:dyDescent="0.25">
      <c r="T111">
        <f>Kalibratiemetingen!G113</f>
        <v>15.8</v>
      </c>
      <c r="U111">
        <f>Kalibratiemetingen!C113</f>
        <v>4763</v>
      </c>
      <c r="V111">
        <f t="shared" si="5"/>
        <v>1</v>
      </c>
      <c r="W111">
        <f t="shared" si="6"/>
        <v>75255.400000000009</v>
      </c>
      <c r="X111">
        <f t="shared" si="7"/>
        <v>22686169</v>
      </c>
      <c r="Z111">
        <f t="shared" si="8"/>
        <v>13.150700941973549</v>
      </c>
    </row>
    <row r="112" spans="20:26" x14ac:dyDescent="0.25">
      <c r="T112">
        <f>Kalibratiemetingen!G114</f>
        <v>15.8</v>
      </c>
      <c r="U112">
        <f>Kalibratiemetingen!C114</f>
        <v>4626</v>
      </c>
      <c r="V112">
        <f t="shared" si="5"/>
        <v>1</v>
      </c>
      <c r="W112">
        <f t="shared" si="6"/>
        <v>73090.8</v>
      </c>
      <c r="X112">
        <f t="shared" si="7"/>
        <v>21399876</v>
      </c>
      <c r="Z112">
        <f t="shared" si="8"/>
        <v>12.955112291220399</v>
      </c>
    </row>
    <row r="113" spans="20:26" x14ac:dyDescent="0.25">
      <c r="T113">
        <f>Kalibratiemetingen!G115</f>
        <v>15.8</v>
      </c>
      <c r="U113">
        <f>Kalibratiemetingen!C115</f>
        <v>4891</v>
      </c>
      <c r="V113">
        <f t="shared" si="5"/>
        <v>1</v>
      </c>
      <c r="W113">
        <f t="shared" si="6"/>
        <v>77277.8</v>
      </c>
      <c r="X113">
        <f t="shared" si="7"/>
        <v>23921881</v>
      </c>
      <c r="Z113">
        <f t="shared" si="8"/>
        <v>13.333440703261164</v>
      </c>
    </row>
    <row r="114" spans="20:26" x14ac:dyDescent="0.25">
      <c r="T114">
        <f>Kalibratiemetingen!G116</f>
        <v>15.8</v>
      </c>
      <c r="U114">
        <f>Kalibratiemetingen!C116</f>
        <v>4849</v>
      </c>
      <c r="V114">
        <f t="shared" si="5"/>
        <v>1</v>
      </c>
      <c r="W114">
        <f t="shared" si="6"/>
        <v>76614.2</v>
      </c>
      <c r="X114">
        <f t="shared" si="7"/>
        <v>23512801</v>
      </c>
      <c r="Z114">
        <f t="shared" si="8"/>
        <v>13.273479219088665</v>
      </c>
    </row>
    <row r="115" spans="20:26" x14ac:dyDescent="0.25">
      <c r="T115">
        <f>Kalibratiemetingen!G117</f>
        <v>15.8</v>
      </c>
      <c r="U115">
        <f>Kalibratiemetingen!C117</f>
        <v>5505</v>
      </c>
      <c r="V115">
        <f t="shared" si="5"/>
        <v>1</v>
      </c>
      <c r="W115">
        <f t="shared" si="6"/>
        <v>86979</v>
      </c>
      <c r="X115">
        <f t="shared" si="7"/>
        <v>30305025</v>
      </c>
      <c r="Z115">
        <f t="shared" si="8"/>
        <v>14.210020495687694</v>
      </c>
    </row>
    <row r="116" spans="20:26" x14ac:dyDescent="0.25">
      <c r="T116">
        <f>Kalibratiemetingen!G118</f>
        <v>11.7</v>
      </c>
      <c r="U116">
        <f>Kalibratiemetingen!C118</f>
        <v>3933</v>
      </c>
      <c r="V116">
        <f t="shared" si="5"/>
        <v>1</v>
      </c>
      <c r="W116">
        <f t="shared" si="6"/>
        <v>46016.1</v>
      </c>
      <c r="X116">
        <f t="shared" si="7"/>
        <v>15468489</v>
      </c>
      <c r="Z116">
        <f t="shared" si="8"/>
        <v>11.965747802374167</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92" priority="1" operator="equal">
      <formula>0</formula>
    </cfRule>
    <cfRule type="cellIs" dxfId="91"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6" t="s">
        <v>160</v>
      </c>
      <c r="C1" s="96"/>
      <c r="D1" s="96"/>
      <c r="E1" s="96"/>
      <c r="F1" s="96"/>
      <c r="G1" s="96"/>
      <c r="H1" s="96"/>
      <c r="I1" s="96"/>
      <c r="J1" s="96"/>
      <c r="K1" s="96"/>
      <c r="L1" s="96"/>
      <c r="M1" s="96"/>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7" t="s">
        <v>75</v>
      </c>
      <c r="C1" s="97"/>
      <c r="D1" s="97"/>
      <c r="E1" s="97"/>
      <c r="F1" s="97"/>
      <c r="G1" s="97"/>
      <c r="H1" s="97"/>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opLeftCell="A39"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94" t="s">
        <v>111</v>
      </c>
      <c r="G2" s="94"/>
      <c r="H2" s="94"/>
      <c r="I2" s="94"/>
      <c r="J2" s="94"/>
      <c r="N2" s="95" t="s">
        <v>112</v>
      </c>
      <c r="O2" s="95"/>
      <c r="P2" s="95"/>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3.5407672450869399E-2</v>
      </c>
      <c r="G6" s="24">
        <f>D6*Grafiek_kalibratiemetingen!$R$13+Grafiek_kalibratiemetingen!$R$14</f>
        <v>13.764592327549131</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-0.20872122739430488</v>
      </c>
      <c r="G9" s="24">
        <f>D9*Grafiek_kalibratiemetingen!$R$13+Grafiek_kalibratiemetingen!$R$14</f>
        <v>14.008721227394306</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0.4761189334900866</v>
      </c>
      <c r="G12" s="24">
        <f>D12*Grafiek_kalibratiemetingen!$R$13+Grafiek_kalibratiemetingen!$R$14</f>
        <v>10.423881066509914</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-0.449786831955171</v>
      </c>
      <c r="G15" s="24">
        <f>D15*Grafiek_kalibratiemetingen!$R$13+Grafiek_kalibratiemetingen!$R$14</f>
        <v>12.349786831955171</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0.47674545657175749</v>
      </c>
      <c r="G18" s="24">
        <f>D18*Grafiek_kalibratiemetingen!$R$13+Grafiek_kalibratiemetingen!$R$14</f>
        <v>13.623254543428242</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-0.43135571104106951</v>
      </c>
      <c r="G21" s="24">
        <f>D21*Grafiek_kalibratiemetingen!$R$13+Grafiek_kalibratiemetingen!$R$14</f>
        <v>12.131355711041069</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-0.4882693073059432</v>
      </c>
      <c r="G24" s="24">
        <f>D24*Grafiek_kalibratiemetingen!$R$13+Grafiek_kalibratiemetingen!$R$14</f>
        <v>12.488269307305943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-0.66095129485230686</v>
      </c>
      <c r="G27" s="24">
        <f>D27*Grafiek_kalibratiemetingen!$R$13+Grafiek_kalibratiemetingen!$R$14</f>
        <v>12.760951294852307</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-6.6084174980026944E-2</v>
      </c>
      <c r="G30" s="24">
        <f>D30*Grafiek_kalibratiemetingen!$R$13+Grafiek_kalibratiemetingen!$R$14</f>
        <v>13.666084174980027</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1.3479312308293245E-2</v>
      </c>
      <c r="G33" s="24">
        <f>D33*Grafiek_kalibratiemetingen!$R$13+Grafiek_kalibratiemetingen!$R$14</f>
        <v>12.986520687691707</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-3.0606945226689657</v>
      </c>
      <c r="G36" s="24">
        <f>D36*Grafiek_kalibratiemetingen!$R$13+Grafiek_kalibratiemetingen!$R$14</f>
        <v>13.160694522668965</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-1.7015033550464906</v>
      </c>
      <c r="G39" s="24">
        <f>D39*Grafiek_kalibratiemetingen!$R$13+Grafiek_kalibratiemetingen!$R$14</f>
        <v>11.90150335504649</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-1.7231903503824064</v>
      </c>
      <c r="G42" s="24">
        <f>D42*Grafiek_kalibratiemetingen!$R$13+Grafiek_kalibratiemetingen!$R$14</f>
        <v>13.723190350382406</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-1.2527063337711262</v>
      </c>
      <c r="G45" s="24">
        <f>D45*Grafiek_kalibratiemetingen!$R$13+Grafiek_kalibratiemetingen!$R$14</f>
        <v>12.252706333771126</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-1.3817883732156808</v>
      </c>
      <c r="G48" s="24">
        <f>D48*Grafiek_kalibratiemetingen!$R$13+Grafiek_kalibratiemetingen!$R$14</f>
        <v>13.681788373215682</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-1.6060584977616923</v>
      </c>
      <c r="G51" s="24">
        <f>D51*Grafiek_kalibratiemetingen!$R$13+Grafiek_kalibratiemetingen!$R$14</f>
        <v>13.706058497761692</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-2.0058659186241865</v>
      </c>
      <c r="G54" s="24">
        <f>D54*Grafiek_kalibratiemetingen!$R$13+Grafiek_kalibratiemetingen!$R$14</f>
        <v>14.005865918624187</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-1.5304570083993738</v>
      </c>
      <c r="G57" s="24">
        <f>D57*Grafiek_kalibratiemetingen!$R$13+Grafiek_kalibratiemetingen!$R$14</f>
        <v>13.530457008399374</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-1.5960007240204419</v>
      </c>
      <c r="G60" s="24">
        <f>D60*Grafiek_kalibratiemetingen!$R$13+Grafiek_kalibratiemetingen!$R$14</f>
        <v>13.796000724020441</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-1.348759743221807</v>
      </c>
      <c r="G63" s="59">
        <f>D63*Grafiek_kalibratiemetingen!$R$13+Grafiek_kalibratiemetingen!$R$14</f>
        <v>13.948759743221807</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90" priority="7">
      <formula>LEN(TRIM(H4))&gt;0</formula>
    </cfRule>
  </conditionalFormatting>
  <conditionalFormatting sqref="C4:E1048576">
    <cfRule type="notContainsBlanks" dxfId="89" priority="6">
      <formula>LEN(TRIM(C4))&gt;0</formula>
    </cfRule>
  </conditionalFormatting>
  <conditionalFormatting sqref="G4:G1048576">
    <cfRule type="notContainsBlanks" dxfId="88" priority="4">
      <formula>LEN(TRIM(G4))&gt;0</formula>
    </cfRule>
  </conditionalFormatting>
  <conditionalFormatting sqref="C4:J1048576">
    <cfRule type="containsBlanks" dxfId="87" priority="1">
      <formula>LEN(TRIM(C4))=0</formula>
    </cfRule>
  </conditionalFormatting>
  <conditionalFormatting sqref="F4:F1048576">
    <cfRule type="notContainsBlanks" dxfId="86" priority="3">
      <formula>LEN(TRIM(F4))&gt;0</formula>
    </cfRule>
  </conditionalFormatting>
  <conditionalFormatting sqref="J4:J1048576">
    <cfRule type="cellIs" dxfId="85"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8" t="s">
        <v>128</v>
      </c>
      <c r="D1" s="98"/>
      <c r="E1" s="98" t="s">
        <v>127</v>
      </c>
      <c r="F1" s="98"/>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H5" sqref="H5"/>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OudeMeter</vt:lpstr>
      <vt:lpstr>PergaBooster</vt:lpstr>
      <vt:lpstr>LeegHoogtes</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2016-08-16T23:22:25Z</dcterms:modified>
  <dc:language>en-US</dc:language>
</cp:coreProperties>
</file>