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silviculture\"/>
    </mc:Choice>
  </mc:AlternateContent>
  <xr:revisionPtr revIDLastSave="0" documentId="13_ncr:1_{DBFC800E-0188-4DB7-9B6A-DF1A51ADAA04}" xr6:coauthVersionLast="46" xr6:coauthVersionMax="46" xr10:uidLastSave="{00000000-0000-0000-0000-000000000000}"/>
  <bookViews>
    <workbookView xWindow="828" yWindow="-108" windowWidth="22320" windowHeight="13176" tabRatio="725" firstSheet="3" activeTab="4" xr2:uid="{1E81D065-865C-4E4F-B119-59A43652556F}"/>
  </bookViews>
  <sheets>
    <sheet name="Readme" sheetId="10" r:id="rId1"/>
    <sheet name="Manufacturing Emissions" sheetId="6" r:id="rId2"/>
    <sheet name="Transport Emissions" sheetId="9" r:id="rId3"/>
    <sheet name="N2O Emissions" sheetId="2" r:id="rId4"/>
    <sheet name="Footprint Response" sheetId="4" r:id="rId5"/>
    <sheet name="Soil C Response" sheetId="8" r:id="rId6"/>
    <sheet name="Economics" sheetId="7" r:id="rId7"/>
    <sheet name="Canadian N Us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4" l="1"/>
  <c r="B20" i="4" l="1"/>
  <c r="B23" i="2" l="1"/>
  <c r="B22" i="2"/>
  <c r="B15" i="2"/>
  <c r="B21" i="2"/>
  <c r="B21" i="4"/>
  <c r="B13" i="4"/>
  <c r="B12" i="4"/>
  <c r="B12" i="11"/>
  <c r="B14" i="11" s="1"/>
  <c r="B11" i="11"/>
  <c r="B13" i="11" s="1"/>
  <c r="D7" i="11"/>
  <c r="C7" i="11"/>
  <c r="D6" i="11"/>
  <c r="D5" i="11"/>
  <c r="D4" i="11"/>
  <c r="D3" i="11"/>
  <c r="B7" i="11"/>
  <c r="B6" i="11"/>
  <c r="B5" i="11"/>
  <c r="B4" i="11"/>
  <c r="B3" i="11"/>
  <c r="A25" i="7" l="1"/>
  <c r="F19" i="7"/>
  <c r="F15" i="7"/>
  <c r="F10" i="7"/>
  <c r="F9" i="7"/>
  <c r="F5" i="7"/>
  <c r="F20" i="7" l="1"/>
  <c r="B27" i="4"/>
  <c r="B19" i="4"/>
  <c r="B18" i="4"/>
  <c r="B11" i="6" l="1"/>
  <c r="B10" i="6"/>
  <c r="B25" i="6" l="1"/>
  <c r="B21" i="6"/>
  <c r="B13" i="6"/>
  <c r="B14" i="6" s="1"/>
  <c r="B8" i="6"/>
  <c r="B44" i="9" l="1"/>
  <c r="B43" i="9"/>
  <c r="B42" i="9"/>
  <c r="B41" i="9"/>
  <c r="B35" i="9"/>
  <c r="B34" i="9"/>
  <c r="B29" i="9"/>
  <c r="B23" i="9"/>
  <c r="B24" i="9" s="1"/>
  <c r="B30" i="9"/>
  <c r="B28" i="9"/>
  <c r="B15" i="9"/>
  <c r="B16" i="9" s="1"/>
  <c r="B17" i="9" s="1"/>
  <c r="B10" i="9"/>
  <c r="B11" i="9" s="1"/>
  <c r="B47" i="9" l="1"/>
  <c r="B33" i="4"/>
  <c r="C30" i="8" l="1"/>
  <c r="B30" i="8"/>
  <c r="C29" i="8"/>
  <c r="B29" i="8"/>
  <c r="C28" i="8"/>
  <c r="B28" i="8"/>
  <c r="B19" i="7" l="1"/>
  <c r="B20" i="7" s="1"/>
  <c r="B21" i="7" s="1"/>
  <c r="B12" i="7" l="1"/>
  <c r="B6" i="7"/>
  <c r="B8" i="7" s="1"/>
  <c r="B10" i="7" s="1"/>
  <c r="B11" i="7" s="1"/>
  <c r="B13" i="7" l="1"/>
  <c r="B14" i="7" s="1"/>
  <c r="B15" i="7" s="1"/>
  <c r="B26" i="4" l="1"/>
  <c r="B6" i="4" l="1"/>
  <c r="B28" i="4" l="1"/>
  <c r="E28" i="6"/>
  <c r="B5" i="6"/>
  <c r="B4" i="6"/>
  <c r="B6" i="6" s="1"/>
  <c r="E31" i="6"/>
  <c r="E30" i="6"/>
  <c r="E29" i="6"/>
  <c r="D31" i="6"/>
  <c r="D30" i="6"/>
  <c r="D29" i="6"/>
  <c r="D28" i="6"/>
  <c r="B22" i="6"/>
  <c r="B23" i="6" s="1"/>
  <c r="B8" i="2"/>
  <c r="B9" i="2" s="1"/>
  <c r="B4" i="2"/>
  <c r="B16" i="2" s="1"/>
  <c r="B17" i="2" s="1"/>
  <c r="B10" i="2" l="1"/>
  <c r="B11" i="2" s="1"/>
  <c r="B22" i="4" l="1"/>
  <c r="B29" i="4" l="1"/>
  <c r="B30" i="4" l="1"/>
  <c r="B41" i="4" s="1"/>
  <c r="B38" i="4"/>
  <c r="B40" i="4" s="1"/>
  <c r="B34" i="4" l="1"/>
</calcChain>
</file>

<file path=xl/sharedStrings.xml><?xml version="1.0" encoding="utf-8"?>
<sst xmlns="http://schemas.openxmlformats.org/spreadsheetml/2006/main" count="295" uniqueCount="191">
  <si>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</si>
  <si>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</si>
  <si>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</si>
  <si>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</si>
  <si>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</si>
  <si>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</si>
  <si>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</si>
  <si>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</si>
  <si>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</si>
  <si>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</si>
  <si>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</si>
  <si>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</si>
  <si>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</si>
  <si>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</si>
  <si>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</si>
  <si>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</si>
  <si>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</si>
  <si>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</si>
  <si>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</si>
  <si>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</si>
  <si>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</si>
  <si>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</si>
  <si>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</si>
  <si>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 ha-1)</t>
  </si>
  <si>
    <t>Variable</t>
  </si>
  <si>
    <t>Mass of NH3</t>
  </si>
  <si>
    <t>Mass of Urea</t>
  </si>
  <si>
    <t>Emissions from ammonia production (tCO2 tNH3)</t>
  </si>
  <si>
    <t>Emissions from ammonia production (tCO2 tUrea)</t>
  </si>
  <si>
    <t>Results from Wood and Cowy 2004</t>
  </si>
  <si>
    <t>Emission factor (g CO2 kg N)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</si>
  <si>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</si>
  <si>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</si>
  <si>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</si>
  <si>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</si>
  <si>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</si>
  <si>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</si>
  <si>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</si>
  <si>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</si>
  <si>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</si>
  <si>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</si>
  <si>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</si>
  <si>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</si>
  <si>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</si>
  <si>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</si>
  <si>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</si>
  <si>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</si>
  <si>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</si>
  <si>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</si>
  <si>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</si>
  <si>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Cost ($/ha)</t>
  </si>
  <si>
    <t>Total merch volume production (m3)</t>
  </si>
  <si>
    <t>Log prices ($ per 1000 bd ft)</t>
  </si>
  <si>
    <t>Bd ft per m3</t>
  </si>
  <si>
    <t>Total merch volume production (bd ft)</t>
  </si>
  <si>
    <t>Utilization ratio</t>
  </si>
  <si>
    <t>Total area treated (ha)</t>
  </si>
  <si>
    <t>Gross revenue ($)</t>
  </si>
  <si>
    <t>Net revenue ($M)</t>
  </si>
  <si>
    <t>Cost ($M)</t>
  </si>
  <si>
    <t>Gross revenue ($M)</t>
  </si>
  <si>
    <t>Profit ratio</t>
  </si>
  <si>
    <t>GHG Benefit</t>
  </si>
  <si>
    <t>Mitigation cost ($/tCO2e)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</si>
  <si>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</si>
  <si>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</si>
  <si>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</si>
  <si>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</si>
  <si>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</si>
  <si>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</si>
  <si>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</si>
  <si>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</si>
  <si>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</si>
  <si>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</si>
  <si>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</si>
  <si>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</si>
  <si>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</si>
  <si>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</si>
  <si>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</si>
  <si>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</si>
  <si>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</si>
  <si>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</si>
  <si>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</si>
  <si>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</si>
  <si>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</si>
  <si>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t>GHG benefit from volatilization losses / footprint N deposition:</t>
  </si>
  <si>
    <t>GHG benefit of interior region:</t>
  </si>
  <si>
    <t>GHG benefit of coastal region:</t>
  </si>
  <si>
    <t>GHG benefit (total):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</si>
  <si>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</si>
  <si>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</si>
  <si>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</si>
  <si>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</si>
  <si>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</si>
  <si>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Actual response (MgC/ha)</t>
  </si>
  <si>
    <t>Relative response (%)</t>
  </si>
  <si>
    <t>Particulate fraction</t>
  </si>
  <si>
    <t>Distance (km)</t>
  </si>
  <si>
    <t>Notes</t>
  </si>
  <si>
    <t>Emissions per standard application (tCO2e/ha)</t>
  </si>
  <si>
    <t>Emissions factor for specified distance (tCO2e per t shipped by rail)</t>
  </si>
  <si>
    <t>Mass of standard application (t/ha)</t>
  </si>
  <si>
    <r>
      <rPr>
        <b/>
        <sz val="11"/>
        <color theme="1"/>
        <rFont val="Calibri"/>
        <family val="2"/>
        <scheme val="minor"/>
      </rPr>
      <t>Leg A:</t>
    </r>
    <r>
      <rPr>
        <sz val="11"/>
        <color theme="1"/>
        <rFont val="Calibri"/>
        <family val="2"/>
        <scheme val="minor"/>
      </rPr>
      <t xml:space="preserve"> Rail shipping of fertilizer from Saskatoon to Vancouver.</t>
    </r>
  </si>
  <si>
    <r>
      <rPr>
        <b/>
        <sz val="11"/>
        <color theme="1"/>
        <rFont val="Calibri"/>
        <family val="2"/>
        <scheme val="minor"/>
      </rPr>
      <t>Leg B:</t>
    </r>
    <r>
      <rPr>
        <sz val="11"/>
        <color theme="1"/>
        <rFont val="Calibri"/>
        <family val="2"/>
        <scheme val="minor"/>
      </rPr>
      <t xml:space="preserve"> Rail shipping of fertilizer from Vancouver to Prince George.</t>
    </r>
  </si>
  <si>
    <t>CN emissions calculator (www.cn.ca/en/delivering-responsibly/environment/emissions/carbon-calculator/)</t>
  </si>
  <si>
    <t>Staff</t>
  </si>
  <si>
    <t>Fraction of interior projects</t>
  </si>
  <si>
    <t>Fraction of Vancouver Island projects</t>
  </si>
  <si>
    <t>Fraction nof barge projects</t>
  </si>
  <si>
    <t>Emissions per standard app adjusted to reflect fraction of interior projects (tCO2e/ha)</t>
  </si>
  <si>
    <t>Distance (nautical miles)</t>
  </si>
  <si>
    <t>Emissions per standard app adjusted to reflect fraction of coast projects (tCO2e/ha)</t>
  </si>
  <si>
    <t>Emissions factor for specified distance (tCO2e per t shipped by vessel)</t>
  </si>
  <si>
    <r>
      <rPr>
        <b/>
        <sz val="11"/>
        <color theme="1"/>
        <rFont val="Calibri"/>
        <family val="2"/>
        <scheme val="minor"/>
      </rPr>
      <t>Leg C:</t>
    </r>
    <r>
      <rPr>
        <sz val="11"/>
        <color theme="1"/>
        <rFont val="Calibri"/>
        <family val="2"/>
        <scheme val="minor"/>
      </rPr>
      <t xml:space="preserve"> Vessel shipping of fertilizer from Vancouver to Nanaimo.</t>
    </r>
  </si>
  <si>
    <t>Guestimation</t>
  </si>
  <si>
    <t>Distance (Vancouver to Liverpool) (Nautical miles)</t>
  </si>
  <si>
    <t>Mass (t)</t>
  </si>
  <si>
    <t>Emissions (tCO2e)</t>
  </si>
  <si>
    <t>Emissions (tCO2e per tonne shipped)</t>
  </si>
  <si>
    <t>Emissions (tCO2e per tonne shipped and per nautical mile)</t>
  </si>
  <si>
    <r>
      <rPr>
        <b/>
        <sz val="11"/>
        <color theme="1"/>
        <rFont val="Calibri"/>
        <family val="2"/>
        <scheme val="minor"/>
      </rPr>
      <t>Leg E:</t>
    </r>
    <r>
      <rPr>
        <sz val="11"/>
        <color theme="1"/>
        <rFont val="Calibri"/>
        <family val="2"/>
        <scheme val="minor"/>
      </rPr>
      <t xml:space="preserve"> Trucking from freight hub to staging sites.</t>
    </r>
  </si>
  <si>
    <r>
      <rPr>
        <b/>
        <sz val="11"/>
        <color theme="1"/>
        <rFont val="Calibri"/>
        <family val="2"/>
        <scheme val="minor"/>
      </rPr>
      <t>Leg D:</t>
    </r>
    <r>
      <rPr>
        <sz val="11"/>
        <color theme="1"/>
        <rFont val="Calibri"/>
        <family val="2"/>
        <scheme val="minor"/>
      </rPr>
      <t xml:space="preserve"> Vessel shipping of fertilizer from Nanaimo to Barge staging sites.</t>
    </r>
  </si>
  <si>
    <r>
      <t xml:space="preserve">Vessel emission factors: </t>
    </r>
    <r>
      <rPr>
        <sz val="11"/>
        <color theme="1"/>
        <rFont val="Calibri"/>
        <family val="2"/>
        <scheme val="minor"/>
      </rPr>
      <t>The CN calculator doesn’t allow you to specify an exact distance so it must be inferred from a specified example (Vancouver to Liverpool)</t>
    </r>
  </si>
  <si>
    <t>Distance, average Vancouver Island (km)</t>
  </si>
  <si>
    <t>Distance, average barge (km)</t>
  </si>
  <si>
    <t>Emission factor (tCO2e per tonne per km)</t>
  </si>
  <si>
    <t>Distance, average Interior (km)</t>
  </si>
  <si>
    <t>Total:</t>
  </si>
  <si>
    <t>Transport to staging sites (tCO2e/ha)</t>
  </si>
  <si>
    <t>Emissions, Barge (tCO2e/ha)</t>
  </si>
  <si>
    <t>Emissions, Vancouver Island (tCO2e/ha)</t>
  </si>
  <si>
    <t>Emissions, Interior (tCO2e/ha)</t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</si>
  <si>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Greenhouse gas emissions from transport of fertilizer, expressed per standard application.</t>
    </r>
  </si>
  <si>
    <r>
      <t xml:space="preserve">Table 3. </t>
    </r>
    <r>
      <rPr>
        <sz val="11"/>
        <color theme="1"/>
        <rFont val="Calibri"/>
        <family val="2"/>
        <scheme val="minor"/>
      </rPr>
      <t>Denitrification N2O emissions, expressed per standard application.</t>
    </r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</si>
  <si>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GHG balance response over the footprint of treatment areas, expressed per standard application.</t>
    </r>
  </si>
  <si>
    <r>
      <t>Figure 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</si>
  <si>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r>
      <rPr>
        <b/>
        <sz val="11"/>
        <color theme="1"/>
        <rFont val="Calibri"/>
        <family val="2"/>
        <scheme val="minor"/>
      </rPr>
      <t xml:space="preserve">Table 6. </t>
    </r>
    <r>
      <rPr>
        <sz val="11"/>
        <color theme="1"/>
        <rFont val="Calibri"/>
        <family val="2"/>
        <scheme val="minor"/>
      </rPr>
      <t>Economics.</t>
    </r>
  </si>
  <si>
    <t>Liu et al. (2020)</t>
  </si>
  <si>
    <t>t NH3 per t Urea-1</t>
  </si>
  <si>
    <t>Standard dose of nitrogen (t Urea ha-1)</t>
  </si>
  <si>
    <t>Standard dose of nitrogen (kg N ha-1)</t>
  </si>
  <si>
    <t>NRCAN (2007) Canada ranks most efficient of all other regions</t>
  </si>
  <si>
    <t>Scott and Perry (2008)</t>
  </si>
  <si>
    <t>Applied NUE for ecosystem (kgC/kgN)</t>
  </si>
  <si>
    <t>Utilized NUE for ecosystem (kgC/kgN)</t>
  </si>
  <si>
    <t>Percent increase in GHG benefit (cumu. 2050) from including footprint responses:</t>
  </si>
  <si>
    <t>Interior w/o footprint (tCO2e/ha)</t>
  </si>
  <si>
    <t>Coastal w/o footprint (tCO2e/ha)</t>
  </si>
  <si>
    <t>Interior w footprint (tCO2e/ha)</t>
  </si>
  <si>
    <t>Coastal w footprint (tCO2e/ha)</t>
  </si>
  <si>
    <t>Interior change (%)</t>
  </si>
  <si>
    <t>Coastal change (%)</t>
  </si>
  <si>
    <t>NPV</t>
  </si>
  <si>
    <t>t</t>
  </si>
  <si>
    <t>Age at fert</t>
  </si>
  <si>
    <t>Age at harvest</t>
  </si>
  <si>
    <t>Discount rate</t>
  </si>
  <si>
    <t>Costs</t>
  </si>
  <si>
    <t>Gross revenue</t>
  </si>
  <si>
    <t>Net revenue</t>
  </si>
  <si>
    <t>Name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</si>
  <si>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Greenhouse gas emissions from manufacture of urea, expressed per standard application.</t>
    </r>
  </si>
  <si>
    <t>Readme:</t>
  </si>
  <si>
    <t>2021-04-28: This workbook provides example calculations for procresses that are represented in the nutrient_application module of fcgadgets. It is supplementary material for the study, "The greenhouse gas benefit from aerial nutrient application on Crown forest lands in British Columbia, Canada."</t>
  </si>
  <si>
    <t>Metric tonnes x 1000</t>
  </si>
  <si>
    <t>Urea</t>
  </si>
  <si>
    <t>Ammonia</t>
  </si>
  <si>
    <t>Urea ammonium nitrate</t>
  </si>
  <si>
    <t>N content</t>
  </si>
  <si>
    <t>Table 1. Fertilizer shipments to Canadian agriculture and export markets, by product type and fertilizer year, cumulative data (x 1,000), 2019-2020 (CANSIM 001-0068).</t>
  </si>
  <si>
    <t>Product</t>
  </si>
  <si>
    <t>Ammonium sulphate</t>
  </si>
  <si>
    <t>Total</t>
  </si>
  <si>
    <t>N weighted</t>
  </si>
  <si>
    <t>FLNR treatment area (ha/yr)</t>
  </si>
  <si>
    <t>N (t/yr)</t>
  </si>
  <si>
    <t>Urea (t/yr)</t>
  </si>
  <si>
    <t>Percent of Urea used by FLNR</t>
  </si>
  <si>
    <t>Percent of N used by FLNR</t>
  </si>
  <si>
    <t>FLNR operations:</t>
  </si>
  <si>
    <t>Applied NUE from NGT+T config (kgC/kgN)</t>
  </si>
  <si>
    <t>Utilized NUE from NGT+T config (kgC/kgN)</t>
  </si>
  <si>
    <t>Quantified by running NM demo with NGT+T specification (Aug 2021)</t>
  </si>
  <si>
    <t>Quantified by running NM demo with NGT+T+D specification (Aug 2021)</t>
  </si>
  <si>
    <t>Results from Liue and Greaver ()</t>
  </si>
  <si>
    <r>
      <t>kg N</t>
    </r>
    <r>
      <rPr>
        <vertAlign val="sub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 xml:space="preserve">O-N per kg of N applied </t>
    </r>
  </si>
  <si>
    <t>Liu and Greaver (2009)</t>
  </si>
  <si>
    <r>
      <t>kg N</t>
    </r>
    <r>
      <rPr>
        <vertAlign val="sub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>O-N</t>
    </r>
  </si>
  <si>
    <r>
      <t>kg N</t>
    </r>
    <r>
      <rPr>
        <vertAlign val="sub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>O</t>
    </r>
  </si>
  <si>
    <t>tCO2e</t>
  </si>
  <si>
    <t>From demo (Aug 14,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</si>
</sst>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505050"/>
      <name val="Arial"/>
      <family val="2"/>
    </font>
    <font>
      <sz val="10"/>
      <color rgb="FF000000"/>
      <name val="Arial"/>
      <family val="2"/>
    </font>
    <font>
      <sz val="13"/>
      <color theme="1"/>
      <name val="Calibri"/>
      <family val="2"/>
      <scheme val="minor"/>
    </font>
    <font>
      <vertAlign val="subscript"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/>
    </xf>
    <xf numFmtId="4" fontId="0" fillId="0" borderId="0" xfId="0" applyNumberFormat="1"/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2" borderId="0" xfId="0" applyFont="1" applyFill="1"/>
    <xf numFmtId="0" fontId="9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vertical="top" wrapText="1"/>
    </xf>
    <xf numFmtId="0" fontId="0" fillId="4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2" fontId="0" fillId="2" borderId="0" xfId="0" applyNumberFormat="1" applyFill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5" borderId="0" xfId="0" applyFill="1" applyAlignment="1">
      <alignment vertical="top"/>
    </xf>
    <xf numFmtId="164" fontId="0" fillId="5" borderId="0" xfId="0" applyNumberFormat="1" applyFill="1" applyAlignment="1">
      <alignment vertical="top"/>
    </xf>
    <xf numFmtId="0" fontId="1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10C3-3333-445B-AB82-7630BB380BCD}">
  <dimension ref="A1:A19"/>
  <sheetViews>
    <sheetView workbookViewId="0">
      <selection activeCell="A3" sqref="A3"/>
    </sheetView>
  </sheetViews>
  <sheetFormatPr defaultRowHeight="14.4" x14ac:dyDescent="0.3"/>
  <cols>
    <col min="1" max="1" width="87.77734375" customWidth="1"/>
  </cols>
  <sheetData>
    <row r="1" spans="1:1" ht="17.399999999999999" customHeight="1" x14ac:dyDescent="0.3">
      <c r="A1" s="37" t="s">
        <v>162</v>
      </c>
    </row>
    <row r="2" spans="1:1" ht="43.2" x14ac:dyDescent="0.3">
      <c r="A2" s="50" t="s">
        <v>163</v>
      </c>
    </row>
    <row r="3" spans="1:1" x14ac:dyDescent="0.3">
      <c r="A3" s="50"/>
    </row>
    <row r="4" spans="1:1" x14ac:dyDescent="0.3">
      <c r="A4" s="50"/>
    </row>
    <row r="5" spans="1:1" x14ac:dyDescent="0.3">
      <c r="A5" s="50"/>
    </row>
    <row r="6" spans="1:1" x14ac:dyDescent="0.3">
      <c r="A6" s="50"/>
    </row>
    <row r="7" spans="1:1" x14ac:dyDescent="0.3">
      <c r="A7" s="50"/>
    </row>
    <row r="8" spans="1:1" x14ac:dyDescent="0.3">
      <c r="A8" s="50"/>
    </row>
    <row r="9" spans="1:1" x14ac:dyDescent="0.3">
      <c r="A9" s="50"/>
    </row>
    <row r="10" spans="1:1" x14ac:dyDescent="0.3">
      <c r="A10" s="50"/>
    </row>
    <row r="11" spans="1:1" x14ac:dyDescent="0.3">
      <c r="A11" s="50"/>
    </row>
    <row r="12" spans="1:1" x14ac:dyDescent="0.3">
      <c r="A12" s="50"/>
    </row>
    <row r="13" spans="1:1" x14ac:dyDescent="0.3">
      <c r="A13" s="50"/>
    </row>
    <row r="14" spans="1:1" x14ac:dyDescent="0.3">
      <c r="A14" s="50"/>
    </row>
    <row r="15" spans="1:1" x14ac:dyDescent="0.3">
      <c r="A15" s="50"/>
    </row>
    <row r="16" spans="1:1" x14ac:dyDescent="0.3">
      <c r="A16" s="50"/>
    </row>
    <row r="17" spans="1:1" x14ac:dyDescent="0.3">
      <c r="A17" s="50"/>
    </row>
    <row r="18" spans="1:1" x14ac:dyDescent="0.3">
      <c r="A18" s="50"/>
    </row>
    <row r="19" spans="1:1" x14ac:dyDescent="0.3">
      <c r="A19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L31"/>
  <sheetViews>
    <sheetView workbookViewId="0"/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8" t="s">
        <v>161</v>
      </c>
      <c r="B1" s="28"/>
      <c r="C1" s="28"/>
      <c r="D1" s="28"/>
      <c r="E1" s="28"/>
    </row>
    <row r="2" spans="1:5" s="17" customFormat="1" x14ac:dyDescent="0.3">
      <c r="A2" s="2" t="s">
        <v>24</v>
      </c>
      <c r="B2" s="21" t="s">
        <v>19</v>
      </c>
      <c r="C2" s="21" t="s">
        <v>10</v>
      </c>
      <c r="D2"/>
      <c r="E2"/>
    </row>
    <row r="3" spans="1:5" x14ac:dyDescent="0.3">
      <c r="A3" s="18" t="s">
        <v>41</v>
      </c>
      <c r="B3" s="19"/>
      <c r="C3" s="19"/>
      <c r="D3" s="19"/>
      <c r="E3" s="19"/>
    </row>
    <row r="4" spans="1:5" x14ac:dyDescent="0.3">
      <c r="A4" t="s">
        <v>25</v>
      </c>
      <c r="B4">
        <f>14+3</f>
        <v>17</v>
      </c>
    </row>
    <row r="5" spans="1:5" x14ac:dyDescent="0.3">
      <c r="A5" t="s">
        <v>26</v>
      </c>
      <c r="B5">
        <f>2*14+4*1+1*12+1*16</f>
        <v>60</v>
      </c>
    </row>
    <row r="6" spans="1:5" x14ac:dyDescent="0.3">
      <c r="A6" t="s">
        <v>138</v>
      </c>
      <c r="B6">
        <f>2*B4/B5</f>
        <v>0.56666666666666665</v>
      </c>
    </row>
    <row r="7" spans="1:5" x14ac:dyDescent="0.3">
      <c r="A7" t="s">
        <v>140</v>
      </c>
      <c r="B7">
        <v>200</v>
      </c>
    </row>
    <row r="8" spans="1:5" x14ac:dyDescent="0.3">
      <c r="A8" t="s">
        <v>139</v>
      </c>
      <c r="B8">
        <f>B7/0.46/1000</f>
        <v>0.43478260869565211</v>
      </c>
    </row>
    <row r="9" spans="1:5" x14ac:dyDescent="0.3">
      <c r="A9" t="s">
        <v>27</v>
      </c>
      <c r="B9">
        <v>1.81</v>
      </c>
      <c r="C9" t="s">
        <v>141</v>
      </c>
    </row>
    <row r="10" spans="1:5" x14ac:dyDescent="0.3">
      <c r="A10" t="s">
        <v>28</v>
      </c>
      <c r="B10">
        <f>B$6*B9</f>
        <v>1.0256666666666667</v>
      </c>
    </row>
    <row r="11" spans="1:5" x14ac:dyDescent="0.3">
      <c r="A11" t="s">
        <v>31</v>
      </c>
      <c r="B11">
        <f>B10*B$8</f>
        <v>0.44594202898550722</v>
      </c>
      <c r="C11" t="s">
        <v>141</v>
      </c>
    </row>
    <row r="12" spans="1:5" x14ac:dyDescent="0.3">
      <c r="A12" t="s">
        <v>27</v>
      </c>
      <c r="B12">
        <v>2.6</v>
      </c>
      <c r="C12" t="s">
        <v>137</v>
      </c>
    </row>
    <row r="13" spans="1:5" x14ac:dyDescent="0.3">
      <c r="A13" t="s">
        <v>28</v>
      </c>
      <c r="B13">
        <f>B$6*B12</f>
        <v>1.4733333333333334</v>
      </c>
    </row>
    <row r="14" spans="1:5" x14ac:dyDescent="0.3">
      <c r="A14" t="s">
        <v>31</v>
      </c>
      <c r="B14">
        <f>B13*B$8</f>
        <v>0.64057971014492743</v>
      </c>
      <c r="C14" t="s">
        <v>137</v>
      </c>
    </row>
    <row r="15" spans="1:5" x14ac:dyDescent="0.3">
      <c r="A15" t="s">
        <v>31</v>
      </c>
      <c r="B15">
        <v>0.8</v>
      </c>
      <c r="C15" t="s">
        <v>142</v>
      </c>
    </row>
    <row r="17" spans="1:12" x14ac:dyDescent="0.3">
      <c r="A17" s="18" t="s">
        <v>40</v>
      </c>
      <c r="B17" s="19"/>
      <c r="C17" s="19"/>
      <c r="D17" s="19"/>
      <c r="E17" s="19"/>
    </row>
    <row r="18" spans="1:12" x14ac:dyDescent="0.3">
      <c r="A18" s="4" t="s">
        <v>32</v>
      </c>
      <c r="B18">
        <v>5.3E-3</v>
      </c>
      <c r="C18" t="s">
        <v>33</v>
      </c>
    </row>
    <row r="19" spans="1:12" s="17" customFormat="1" x14ac:dyDescent="0.3">
      <c r="A19" t="s">
        <v>34</v>
      </c>
      <c r="B19">
        <v>0.1</v>
      </c>
      <c r="C19" t="s">
        <v>33</v>
      </c>
      <c r="D19"/>
      <c r="E19"/>
      <c r="F19"/>
      <c r="G19"/>
      <c r="H19"/>
      <c r="I19"/>
      <c r="J19"/>
      <c r="K19"/>
      <c r="L19"/>
    </row>
    <row r="20" spans="1:12" x14ac:dyDescent="0.3">
      <c r="A20" t="s">
        <v>35</v>
      </c>
      <c r="B20">
        <v>5.2</v>
      </c>
      <c r="C20" t="s">
        <v>42</v>
      </c>
      <c r="F20" s="17"/>
      <c r="G20" s="17"/>
      <c r="H20" s="17"/>
      <c r="I20" s="17"/>
      <c r="J20" s="17"/>
      <c r="K20" s="17"/>
      <c r="L20" s="17"/>
    </row>
    <row r="21" spans="1:12" x14ac:dyDescent="0.3">
      <c r="A21" t="s">
        <v>36</v>
      </c>
      <c r="B21">
        <f>B8*B20</f>
        <v>2.2608695652173911</v>
      </c>
    </row>
    <row r="22" spans="1:12" x14ac:dyDescent="0.3">
      <c r="A22" t="s">
        <v>37</v>
      </c>
      <c r="B22">
        <f>B21/B19</f>
        <v>22.60869565217391</v>
      </c>
    </row>
    <row r="23" spans="1:12" x14ac:dyDescent="0.3">
      <c r="A23" t="s">
        <v>31</v>
      </c>
      <c r="B23">
        <f>B22*B18</f>
        <v>0.11982608695652172</v>
      </c>
    </row>
    <row r="25" spans="1:12" x14ac:dyDescent="0.3">
      <c r="B25">
        <f>B23+B14</f>
        <v>0.76040579710144918</v>
      </c>
    </row>
    <row r="27" spans="1:12" x14ac:dyDescent="0.3">
      <c r="A27" s="18" t="s">
        <v>29</v>
      </c>
      <c r="B27" s="19"/>
      <c r="C27" s="20" t="s">
        <v>84</v>
      </c>
      <c r="D27" s="20" t="s">
        <v>38</v>
      </c>
      <c r="E27" s="20" t="s">
        <v>39</v>
      </c>
    </row>
    <row r="28" spans="1:12" x14ac:dyDescent="0.3">
      <c r="A28" t="s">
        <v>30</v>
      </c>
      <c r="B28">
        <v>4019</v>
      </c>
      <c r="C28">
        <v>200</v>
      </c>
      <c r="D28">
        <f>B28*C28/1000000</f>
        <v>0.80379999999999996</v>
      </c>
      <c r="E28">
        <f>B28/1000</f>
        <v>4.0190000000000001</v>
      </c>
    </row>
    <row r="29" spans="1:12" x14ac:dyDescent="0.3">
      <c r="A29" t="s">
        <v>30</v>
      </c>
      <c r="B29">
        <v>1316</v>
      </c>
      <c r="C29">
        <v>200</v>
      </c>
      <c r="D29">
        <f>B29*C29/1000000</f>
        <v>0.26319999999999999</v>
      </c>
      <c r="E29">
        <f>B29/1000</f>
        <v>1.3160000000000001</v>
      </c>
    </row>
    <row r="30" spans="1:12" x14ac:dyDescent="0.3">
      <c r="A30" t="s">
        <v>30</v>
      </c>
      <c r="B30">
        <v>913</v>
      </c>
      <c r="C30">
        <v>200</v>
      </c>
      <c r="D30">
        <f>B30*C30/1000000</f>
        <v>0.18260000000000001</v>
      </c>
      <c r="E30">
        <f>B30/1000</f>
        <v>0.91300000000000003</v>
      </c>
    </row>
    <row r="31" spans="1:12" x14ac:dyDescent="0.3">
      <c r="A31" t="s">
        <v>30</v>
      </c>
      <c r="B31">
        <v>1707</v>
      </c>
      <c r="C31">
        <v>200</v>
      </c>
      <c r="D31">
        <f>B31*C31/1000000</f>
        <v>0.34139999999999998</v>
      </c>
      <c r="E31">
        <f>B31/1000</f>
        <v>1.7070000000000001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6F1-226E-4D2B-813A-223DF1078A35}">
  <dimension ref="A1:F47"/>
  <sheetViews>
    <sheetView workbookViewId="0">
      <selection activeCell="B47" sqref="B47"/>
    </sheetView>
  </sheetViews>
  <sheetFormatPr defaultRowHeight="14.4" x14ac:dyDescent="0.3"/>
  <cols>
    <col min="1" max="1" width="72.33203125" customWidth="1"/>
    <col min="2" max="2" width="15.5546875" style="3" customWidth="1"/>
    <col min="3" max="3" width="12.77734375" customWidth="1"/>
    <col min="5" max="6" width="8.88671875" style="17"/>
  </cols>
  <sheetData>
    <row r="1" spans="1:4" x14ac:dyDescent="0.3">
      <c r="A1" s="28" t="s">
        <v>132</v>
      </c>
      <c r="B1" s="29"/>
      <c r="C1" s="28"/>
      <c r="D1" s="28"/>
    </row>
    <row r="2" spans="1:4" x14ac:dyDescent="0.3">
      <c r="A2" s="5" t="s">
        <v>24</v>
      </c>
      <c r="B2" s="33" t="s">
        <v>19</v>
      </c>
      <c r="C2" s="5" t="s">
        <v>10</v>
      </c>
      <c r="D2" s="5" t="s">
        <v>98</v>
      </c>
    </row>
    <row r="3" spans="1:4" x14ac:dyDescent="0.3">
      <c r="A3" t="s">
        <v>101</v>
      </c>
      <c r="B3" s="3">
        <v>0.435</v>
      </c>
      <c r="C3" t="s">
        <v>105</v>
      </c>
    </row>
    <row r="4" spans="1:4" x14ac:dyDescent="0.3">
      <c r="A4" t="s">
        <v>106</v>
      </c>
      <c r="B4" s="3">
        <v>0.45</v>
      </c>
      <c r="C4" t="s">
        <v>105</v>
      </c>
    </row>
    <row r="5" spans="1:4" x14ac:dyDescent="0.3">
      <c r="A5" t="s">
        <v>107</v>
      </c>
      <c r="B5" s="3">
        <v>0.5</v>
      </c>
      <c r="C5" t="s">
        <v>105</v>
      </c>
    </row>
    <row r="6" spans="1:4" x14ac:dyDescent="0.3">
      <c r="A6" t="s">
        <v>108</v>
      </c>
      <c r="B6" s="3">
        <v>0.05</v>
      </c>
      <c r="C6" t="s">
        <v>105</v>
      </c>
    </row>
    <row r="8" spans="1:4" x14ac:dyDescent="0.3">
      <c r="A8" s="6" t="s">
        <v>102</v>
      </c>
      <c r="B8" s="34"/>
      <c r="C8" s="6"/>
      <c r="D8" s="6"/>
    </row>
    <row r="9" spans="1:4" x14ac:dyDescent="0.3">
      <c r="A9" t="s">
        <v>97</v>
      </c>
      <c r="B9" s="3">
        <v>1198</v>
      </c>
    </row>
    <row r="10" spans="1:4" x14ac:dyDescent="0.3">
      <c r="A10" t="s">
        <v>100</v>
      </c>
      <c r="B10" s="3">
        <f>17/1000</f>
        <v>1.7000000000000001E-2</v>
      </c>
      <c r="C10" t="s">
        <v>104</v>
      </c>
    </row>
    <row r="11" spans="1:4" x14ac:dyDescent="0.3">
      <c r="A11" t="s">
        <v>99</v>
      </c>
      <c r="B11" s="3">
        <f>B10*B3</f>
        <v>7.3950000000000005E-3</v>
      </c>
    </row>
    <row r="13" spans="1:4" x14ac:dyDescent="0.3">
      <c r="A13" s="6" t="s">
        <v>103</v>
      </c>
      <c r="B13" s="34"/>
      <c r="C13" s="6"/>
      <c r="D13" s="6"/>
    </row>
    <row r="14" spans="1:4" x14ac:dyDescent="0.3">
      <c r="A14" t="s">
        <v>97</v>
      </c>
      <c r="B14" s="3">
        <v>516</v>
      </c>
    </row>
    <row r="15" spans="1:4" x14ac:dyDescent="0.3">
      <c r="A15" t="s">
        <v>100</v>
      </c>
      <c r="B15" s="3">
        <f>7/1000</f>
        <v>7.0000000000000001E-3</v>
      </c>
      <c r="C15" t="s">
        <v>104</v>
      </c>
    </row>
    <row r="16" spans="1:4" x14ac:dyDescent="0.3">
      <c r="A16" t="s">
        <v>99</v>
      </c>
      <c r="B16" s="3">
        <f>B3*B15</f>
        <v>3.045E-3</v>
      </c>
    </row>
    <row r="17" spans="1:4" x14ac:dyDescent="0.3">
      <c r="A17" t="s">
        <v>109</v>
      </c>
      <c r="B17" s="3">
        <f>B4*B16</f>
        <v>1.3702499999999999E-3</v>
      </c>
    </row>
    <row r="19" spans="1:4" x14ac:dyDescent="0.3">
      <c r="A19" s="5" t="s">
        <v>122</v>
      </c>
      <c r="B19" s="34"/>
      <c r="C19" s="6"/>
      <c r="D19" s="6"/>
    </row>
    <row r="20" spans="1:4" x14ac:dyDescent="0.3">
      <c r="A20" t="s">
        <v>116</v>
      </c>
      <c r="B20" s="3">
        <v>1000</v>
      </c>
    </row>
    <row r="21" spans="1:4" x14ac:dyDescent="0.3">
      <c r="A21" t="s">
        <v>115</v>
      </c>
      <c r="B21" s="3">
        <v>11374</v>
      </c>
    </row>
    <row r="22" spans="1:4" x14ac:dyDescent="0.3">
      <c r="A22" t="s">
        <v>117</v>
      </c>
      <c r="B22" s="3">
        <v>84</v>
      </c>
      <c r="C22" t="s">
        <v>104</v>
      </c>
    </row>
    <row r="23" spans="1:4" x14ac:dyDescent="0.3">
      <c r="A23" t="s">
        <v>118</v>
      </c>
      <c r="B23" s="3">
        <f>B22/B20</f>
        <v>8.4000000000000005E-2</v>
      </c>
      <c r="C23" t="s">
        <v>104</v>
      </c>
    </row>
    <row r="24" spans="1:4" x14ac:dyDescent="0.3">
      <c r="A24" t="s">
        <v>119</v>
      </c>
      <c r="B24" s="3">
        <f>B23/B21</f>
        <v>7.3852646386495524E-6</v>
      </c>
      <c r="C24" t="s">
        <v>104</v>
      </c>
    </row>
    <row r="26" spans="1:4" x14ac:dyDescent="0.3">
      <c r="A26" s="6" t="s">
        <v>113</v>
      </c>
      <c r="B26" s="34"/>
      <c r="C26" s="6"/>
      <c r="D26" s="6"/>
    </row>
    <row r="27" spans="1:4" x14ac:dyDescent="0.3">
      <c r="A27" t="s">
        <v>97</v>
      </c>
      <c r="B27" s="3">
        <v>72</v>
      </c>
    </row>
    <row r="28" spans="1:4" x14ac:dyDescent="0.3">
      <c r="A28" t="s">
        <v>110</v>
      </c>
      <c r="B28" s="3">
        <f>0.539957*B27</f>
        <v>38.876904000000003</v>
      </c>
    </row>
    <row r="29" spans="1:4" x14ac:dyDescent="0.3">
      <c r="A29" t="s">
        <v>112</v>
      </c>
      <c r="B29" s="3">
        <f>B24*B28</f>
        <v>2.8711622437137334E-4</v>
      </c>
      <c r="C29" t="s">
        <v>104</v>
      </c>
    </row>
    <row r="30" spans="1:4" x14ac:dyDescent="0.3">
      <c r="A30" t="s">
        <v>111</v>
      </c>
      <c r="B30" s="3">
        <f>B29*B3*(B5+B6)</f>
        <v>6.8692556680851073E-5</v>
      </c>
    </row>
    <row r="32" spans="1:4" x14ac:dyDescent="0.3">
      <c r="A32" s="6" t="s">
        <v>121</v>
      </c>
      <c r="B32" s="34"/>
      <c r="C32" s="6"/>
      <c r="D32" s="6"/>
    </row>
    <row r="33" spans="1:4" x14ac:dyDescent="0.3">
      <c r="A33" t="s">
        <v>110</v>
      </c>
      <c r="B33" s="3">
        <v>100</v>
      </c>
      <c r="C33" t="s">
        <v>114</v>
      </c>
    </row>
    <row r="34" spans="1:4" x14ac:dyDescent="0.3">
      <c r="A34" t="s">
        <v>112</v>
      </c>
      <c r="B34" s="3">
        <f>B33*B24</f>
        <v>7.3852646386495522E-4</v>
      </c>
      <c r="C34" t="s">
        <v>104</v>
      </c>
    </row>
    <row r="35" spans="1:4" x14ac:dyDescent="0.3">
      <c r="A35" t="s">
        <v>111</v>
      </c>
      <c r="B35" s="3">
        <f>B34*B3*B6</f>
        <v>1.6062950589062777E-5</v>
      </c>
    </row>
    <row r="37" spans="1:4" x14ac:dyDescent="0.3">
      <c r="A37" s="6" t="s">
        <v>120</v>
      </c>
      <c r="B37" s="34"/>
      <c r="C37" s="6"/>
      <c r="D37" s="6"/>
    </row>
    <row r="38" spans="1:4" x14ac:dyDescent="0.3">
      <c r="A38" t="s">
        <v>126</v>
      </c>
      <c r="B38" s="3">
        <v>300</v>
      </c>
    </row>
    <row r="39" spans="1:4" x14ac:dyDescent="0.3">
      <c r="A39" t="s">
        <v>123</v>
      </c>
      <c r="B39" s="3">
        <v>300</v>
      </c>
    </row>
    <row r="40" spans="1:4" x14ac:dyDescent="0.3">
      <c r="A40" t="s">
        <v>124</v>
      </c>
      <c r="B40" s="3">
        <v>80</v>
      </c>
    </row>
    <row r="41" spans="1:4" x14ac:dyDescent="0.3">
      <c r="A41" t="s">
        <v>125</v>
      </c>
      <c r="B41" s="3">
        <f>64/1000/1000</f>
        <v>6.3999999999999997E-5</v>
      </c>
      <c r="C41" t="s">
        <v>104</v>
      </c>
    </row>
    <row r="42" spans="1:4" x14ac:dyDescent="0.3">
      <c r="A42" t="s">
        <v>131</v>
      </c>
      <c r="B42" s="3">
        <f>B41*B38*B3*B4</f>
        <v>3.7584000000000003E-3</v>
      </c>
    </row>
    <row r="43" spans="1:4" x14ac:dyDescent="0.3">
      <c r="A43" t="s">
        <v>130</v>
      </c>
      <c r="B43" s="3">
        <f>B41*B39*B3*B5</f>
        <v>4.176E-3</v>
      </c>
    </row>
    <row r="44" spans="1:4" x14ac:dyDescent="0.3">
      <c r="A44" t="s">
        <v>129</v>
      </c>
      <c r="B44" s="3">
        <f>B41*B40*B3*B6</f>
        <v>1.1136E-4</v>
      </c>
    </row>
    <row r="46" spans="1:4" x14ac:dyDescent="0.3">
      <c r="A46" s="5" t="s">
        <v>127</v>
      </c>
      <c r="B46" s="34"/>
      <c r="C46" s="6"/>
      <c r="D46" s="6"/>
    </row>
    <row r="47" spans="1:4" x14ac:dyDescent="0.3">
      <c r="A47" t="s">
        <v>128</v>
      </c>
      <c r="B47" s="3">
        <f>B11+B17+B30+B35+B42+B43+B44</f>
        <v>1.6895765507269917E-2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29"/>
  <sheetViews>
    <sheetView workbookViewId="0">
      <selection activeCell="A24" sqref="A24"/>
    </sheetView>
  </sheetViews>
  <sheetFormatPr defaultRowHeight="14.4" x14ac:dyDescent="0.3"/>
  <cols>
    <col min="1" max="1" width="31.5546875" customWidth="1"/>
    <col min="2" max="2" width="15.109375" customWidth="1"/>
    <col min="3" max="3" width="40.88671875" customWidth="1"/>
  </cols>
  <sheetData>
    <row r="1" spans="1:13" s="17" customFormat="1" x14ac:dyDescent="0.3">
      <c r="A1" s="30" t="s">
        <v>133</v>
      </c>
      <c r="B1" s="28"/>
      <c r="C1" s="28"/>
    </row>
    <row r="2" spans="1:13" x14ac:dyDescent="0.3">
      <c r="A2" s="5" t="s">
        <v>12</v>
      </c>
      <c r="B2" s="33" t="s">
        <v>19</v>
      </c>
      <c r="C2" s="5" t="s">
        <v>10</v>
      </c>
    </row>
    <row r="3" spans="1:13" x14ac:dyDescent="0.3">
      <c r="A3" t="s">
        <v>7</v>
      </c>
      <c r="B3" s="3">
        <v>298</v>
      </c>
      <c r="C3" t="s">
        <v>22</v>
      </c>
      <c r="J3" s="1"/>
      <c r="L3" s="1"/>
    </row>
    <row r="4" spans="1:13" x14ac:dyDescent="0.3">
      <c r="A4" s="1" t="s">
        <v>8</v>
      </c>
      <c r="B4" s="36">
        <f>(2*14+16)/(2*14)</f>
        <v>1.5714285714285714</v>
      </c>
      <c r="J4" s="1"/>
      <c r="L4" s="1"/>
    </row>
    <row r="5" spans="1:13" x14ac:dyDescent="0.3">
      <c r="A5" t="s">
        <v>20</v>
      </c>
      <c r="B5" s="3">
        <v>0.01</v>
      </c>
      <c r="C5" t="s">
        <v>21</v>
      </c>
      <c r="J5" s="1"/>
      <c r="L5" s="1"/>
    </row>
    <row r="6" spans="1:13" x14ac:dyDescent="0.3">
      <c r="A6" s="35" t="s">
        <v>13</v>
      </c>
      <c r="B6" s="34"/>
      <c r="C6" s="6"/>
      <c r="J6" s="1"/>
      <c r="L6" s="1"/>
      <c r="M6" s="1"/>
    </row>
    <row r="7" spans="1:13" x14ac:dyDescent="0.3">
      <c r="A7" s="1" t="s">
        <v>15</v>
      </c>
      <c r="B7" s="3">
        <v>200</v>
      </c>
      <c r="L7" s="1"/>
    </row>
    <row r="8" spans="1:13" x14ac:dyDescent="0.3">
      <c r="A8" s="1" t="s">
        <v>16</v>
      </c>
      <c r="B8" s="3">
        <f>B5</f>
        <v>0.01</v>
      </c>
      <c r="L8" s="1"/>
    </row>
    <row r="9" spans="1:13" x14ac:dyDescent="0.3">
      <c r="A9" t="s">
        <v>18</v>
      </c>
      <c r="B9" s="3">
        <f>B8*B7</f>
        <v>2</v>
      </c>
      <c r="L9" s="1"/>
    </row>
    <row r="10" spans="1:13" x14ac:dyDescent="0.3">
      <c r="A10" t="s">
        <v>17</v>
      </c>
      <c r="B10" s="36">
        <f>B9*B4</f>
        <v>3.1428571428571428</v>
      </c>
      <c r="J10" s="1"/>
      <c r="L10" s="1"/>
      <c r="M10" s="1"/>
    </row>
    <row r="11" spans="1:13" x14ac:dyDescent="0.3">
      <c r="A11" s="1" t="s">
        <v>23</v>
      </c>
      <c r="B11" s="36">
        <f>B10/1000*B3</f>
        <v>0.93657142857142861</v>
      </c>
      <c r="D11" s="7"/>
      <c r="L11" s="1"/>
      <c r="M11" s="1"/>
    </row>
    <row r="12" spans="1:13" x14ac:dyDescent="0.3">
      <c r="A12" s="35" t="s">
        <v>14</v>
      </c>
      <c r="B12" s="34"/>
      <c r="C12" s="6"/>
      <c r="L12" s="1"/>
      <c r="M12" s="1"/>
    </row>
    <row r="13" spans="1:13" x14ac:dyDescent="0.3">
      <c r="A13" s="1" t="s">
        <v>15</v>
      </c>
      <c r="B13">
        <v>200</v>
      </c>
      <c r="C13" t="s">
        <v>83</v>
      </c>
      <c r="J13" s="1"/>
      <c r="L13" s="1"/>
    </row>
    <row r="14" spans="1:13" x14ac:dyDescent="0.3">
      <c r="A14" t="s">
        <v>9</v>
      </c>
      <c r="B14" s="3">
        <v>16</v>
      </c>
      <c r="C14" t="s">
        <v>83</v>
      </c>
      <c r="L14" s="1"/>
    </row>
    <row r="15" spans="1:13" x14ac:dyDescent="0.3">
      <c r="A15" s="1" t="s">
        <v>11</v>
      </c>
      <c r="B15" s="36">
        <f>B14/1000*B3</f>
        <v>4.7679999999999998</v>
      </c>
      <c r="L15" s="1"/>
    </row>
    <row r="16" spans="1:13" x14ac:dyDescent="0.3">
      <c r="A16" t="s">
        <v>18</v>
      </c>
      <c r="B16" s="7">
        <f>B14/B4</f>
        <v>10.181818181818182</v>
      </c>
      <c r="L16" s="1"/>
    </row>
    <row r="17" spans="1:12" x14ac:dyDescent="0.3">
      <c r="A17" s="1" t="s">
        <v>16</v>
      </c>
      <c r="B17" s="36">
        <f>B16/B13</f>
        <v>5.0909090909090911E-2</v>
      </c>
      <c r="D17" s="1"/>
      <c r="L17" s="1"/>
    </row>
    <row r="18" spans="1:12" x14ac:dyDescent="0.3">
      <c r="A18" s="5" t="s">
        <v>184</v>
      </c>
      <c r="B18" s="33"/>
      <c r="C18" s="5"/>
      <c r="L18" s="1"/>
    </row>
    <row r="19" spans="1:12" ht="19.8" x14ac:dyDescent="0.45">
      <c r="A19" s="58" t="s">
        <v>185</v>
      </c>
      <c r="B19" s="58">
        <v>8.6999999999999994E-3</v>
      </c>
      <c r="C19" t="s">
        <v>186</v>
      </c>
    </row>
    <row r="20" spans="1:12" x14ac:dyDescent="0.3">
      <c r="A20" s="1" t="s">
        <v>15</v>
      </c>
      <c r="B20" s="3">
        <v>200</v>
      </c>
    </row>
    <row r="21" spans="1:12" ht="19.8" x14ac:dyDescent="0.45">
      <c r="A21" s="58" t="s">
        <v>187</v>
      </c>
      <c r="B21" s="3">
        <f>B19*B20</f>
        <v>1.7399999999999998</v>
      </c>
    </row>
    <row r="22" spans="1:12" ht="19.8" x14ac:dyDescent="0.45">
      <c r="A22" s="58" t="s">
        <v>188</v>
      </c>
      <c r="B22">
        <f>B21*B4</f>
        <v>2.734285714285714</v>
      </c>
      <c r="D22" s="1"/>
    </row>
    <row r="23" spans="1:12" ht="17.399999999999999" x14ac:dyDescent="0.35">
      <c r="A23" s="58" t="s">
        <v>189</v>
      </c>
      <c r="B23">
        <f>B22/1000*B3</f>
        <v>0.81481714285714268</v>
      </c>
      <c r="D23" s="1"/>
    </row>
    <row r="24" spans="1:12" x14ac:dyDescent="0.3">
      <c r="D24" s="1"/>
    </row>
    <row r="25" spans="1:12" x14ac:dyDescent="0.3">
      <c r="D25" s="1"/>
    </row>
    <row r="26" spans="1:12" x14ac:dyDescent="0.3">
      <c r="D26" s="1"/>
    </row>
    <row r="27" spans="1:12" x14ac:dyDescent="0.3">
      <c r="D27" s="1"/>
    </row>
    <row r="28" spans="1:12" x14ac:dyDescent="0.3">
      <c r="D28" s="1"/>
    </row>
    <row r="29" spans="1:12" x14ac:dyDescent="0.3">
      <c r="D29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41"/>
  <sheetViews>
    <sheetView tabSelected="1" topLeftCell="A4" zoomScaleNormal="100" workbookViewId="0">
      <selection activeCell="E30" sqref="E30"/>
    </sheetView>
  </sheetViews>
  <sheetFormatPr defaultRowHeight="14.4" x14ac:dyDescent="0.3"/>
  <cols>
    <col min="1" max="1" width="44.109375" customWidth="1"/>
    <col min="2" max="2" width="11.5546875" customWidth="1"/>
    <col min="3" max="3" width="60.6640625" customWidth="1"/>
    <col min="4" max="4" width="11.109375" customWidth="1"/>
    <col min="5" max="5" width="18" customWidth="1"/>
    <col min="10" max="12" width="8.88671875" style="1"/>
    <col min="13" max="13" width="3.6640625" style="1" customWidth="1"/>
    <col min="14" max="16" width="8.88671875" style="1"/>
    <col min="17" max="17" width="2.77734375" style="1" customWidth="1"/>
    <col min="18" max="21" width="8.88671875" style="1"/>
  </cols>
  <sheetData>
    <row r="1" spans="1:7" x14ac:dyDescent="0.3">
      <c r="A1" s="38" t="s">
        <v>134</v>
      </c>
      <c r="B1" s="38"/>
      <c r="C1" s="38"/>
      <c r="D1" s="22"/>
    </row>
    <row r="2" spans="1:7" x14ac:dyDescent="0.3">
      <c r="A2" s="39" t="s">
        <v>24</v>
      </c>
      <c r="B2" s="40" t="s">
        <v>19</v>
      </c>
      <c r="C2" s="39" t="s">
        <v>10</v>
      </c>
      <c r="D2" s="22"/>
    </row>
    <row r="3" spans="1:7" x14ac:dyDescent="0.3">
      <c r="A3" s="41" t="s">
        <v>85</v>
      </c>
      <c r="B3" s="42"/>
      <c r="C3" s="42"/>
      <c r="E3" s="16"/>
      <c r="F3" s="17"/>
      <c r="G3" s="17"/>
    </row>
    <row r="4" spans="1:7" x14ac:dyDescent="0.3">
      <c r="A4" s="43" t="s">
        <v>43</v>
      </c>
      <c r="B4" s="43">
        <v>200</v>
      </c>
      <c r="C4" s="43" t="s">
        <v>91</v>
      </c>
      <c r="E4" s="17"/>
      <c r="F4" s="17"/>
      <c r="G4" s="17"/>
    </row>
    <row r="5" spans="1:7" x14ac:dyDescent="0.3">
      <c r="A5" s="43" t="s">
        <v>44</v>
      </c>
      <c r="B5" s="43">
        <v>0.25</v>
      </c>
      <c r="C5" s="43"/>
      <c r="E5" s="17"/>
      <c r="F5" s="17"/>
      <c r="G5" s="17"/>
    </row>
    <row r="6" spans="1:7" x14ac:dyDescent="0.3">
      <c r="A6" s="43" t="s">
        <v>0</v>
      </c>
      <c r="B6" s="43">
        <f>B5*B4</f>
        <v>50</v>
      </c>
      <c r="C6" s="43"/>
      <c r="E6" s="23"/>
      <c r="F6" s="23"/>
      <c r="G6" s="23"/>
    </row>
    <row r="7" spans="1:7" x14ac:dyDescent="0.3">
      <c r="A7" s="43" t="s">
        <v>3</v>
      </c>
      <c r="B7" s="43">
        <v>0.71</v>
      </c>
      <c r="C7" s="43" t="s">
        <v>90</v>
      </c>
      <c r="E7" s="23"/>
      <c r="F7" s="23"/>
      <c r="G7" s="23"/>
    </row>
    <row r="8" spans="1:7" x14ac:dyDescent="0.3">
      <c r="A8" s="43" t="s">
        <v>96</v>
      </c>
      <c r="B8" s="44">
        <v>0.1</v>
      </c>
      <c r="C8" s="43"/>
      <c r="E8" s="17"/>
      <c r="F8" s="17"/>
      <c r="G8" s="17"/>
    </row>
    <row r="9" spans="1:7" x14ac:dyDescent="0.3">
      <c r="A9" s="43" t="s">
        <v>1</v>
      </c>
      <c r="B9" s="44">
        <v>0.8</v>
      </c>
      <c r="C9" s="43"/>
      <c r="E9" s="17"/>
      <c r="F9" s="17"/>
      <c r="G9" s="17"/>
    </row>
    <row r="10" spans="1:7" x14ac:dyDescent="0.3">
      <c r="A10" s="43" t="s">
        <v>2</v>
      </c>
      <c r="B10" s="44">
        <v>0.1</v>
      </c>
      <c r="C10" s="43"/>
      <c r="E10" s="17"/>
      <c r="F10" s="23"/>
      <c r="G10" s="23"/>
    </row>
    <row r="11" spans="1:7" x14ac:dyDescent="0.3">
      <c r="A11" s="43" t="s">
        <v>4</v>
      </c>
      <c r="B11" s="44">
        <v>0.2</v>
      </c>
      <c r="C11" s="43"/>
      <c r="E11" s="17"/>
      <c r="F11" s="23"/>
      <c r="G11" s="17"/>
    </row>
    <row r="12" spans="1:7" x14ac:dyDescent="0.3">
      <c r="A12" s="43" t="s">
        <v>5</v>
      </c>
      <c r="B12" s="44">
        <f>B7*B6*B9</f>
        <v>28.400000000000002</v>
      </c>
      <c r="C12" s="43"/>
      <c r="E12" s="17"/>
      <c r="F12" s="24"/>
      <c r="G12" s="17"/>
    </row>
    <row r="13" spans="1:7" x14ac:dyDescent="0.3">
      <c r="A13" s="43" t="s">
        <v>6</v>
      </c>
      <c r="B13" s="44">
        <f>B7*B6*B10*B11</f>
        <v>0.71000000000000008</v>
      </c>
      <c r="C13" s="43"/>
      <c r="E13" s="17"/>
      <c r="F13" s="17"/>
      <c r="G13" s="17"/>
    </row>
    <row r="14" spans="1:7" x14ac:dyDescent="0.3">
      <c r="A14" s="43" t="s">
        <v>45</v>
      </c>
      <c r="B14" s="43">
        <v>9</v>
      </c>
      <c r="C14" s="43"/>
    </row>
    <row r="15" spans="1:7" x14ac:dyDescent="0.3">
      <c r="A15" s="41" t="s">
        <v>86</v>
      </c>
      <c r="B15" s="42"/>
      <c r="C15" s="42"/>
    </row>
    <row r="16" spans="1:7" x14ac:dyDescent="0.3">
      <c r="A16" s="43" t="s">
        <v>143</v>
      </c>
      <c r="B16" s="56">
        <v>30</v>
      </c>
      <c r="C16" s="56" t="s">
        <v>183</v>
      </c>
    </row>
    <row r="17" spans="1:6" x14ac:dyDescent="0.3">
      <c r="A17" s="43" t="s">
        <v>180</v>
      </c>
      <c r="B17" s="56">
        <v>19</v>
      </c>
      <c r="C17" s="56" t="s">
        <v>182</v>
      </c>
      <c r="E17" s="1"/>
      <c r="F17" s="1"/>
    </row>
    <row r="18" spans="1:6" x14ac:dyDescent="0.3">
      <c r="A18" s="43" t="s">
        <v>144</v>
      </c>
      <c r="B18" s="43">
        <f>B16/B11</f>
        <v>150</v>
      </c>
      <c r="C18" s="43"/>
      <c r="E18" s="1"/>
      <c r="F18" s="1"/>
    </row>
    <row r="19" spans="1:6" x14ac:dyDescent="0.3">
      <c r="A19" s="43" t="s">
        <v>181</v>
      </c>
      <c r="B19" s="43">
        <f>B17/B11</f>
        <v>95</v>
      </c>
      <c r="C19" s="43"/>
      <c r="E19" s="1"/>
      <c r="F19" s="1"/>
    </row>
    <row r="20" spans="1:6" x14ac:dyDescent="0.3">
      <c r="A20" s="43" t="s">
        <v>46</v>
      </c>
      <c r="B20" s="45">
        <f>B19*B12/1000*3.667</f>
        <v>9.8935659999999999</v>
      </c>
      <c r="C20" s="43"/>
      <c r="E20" s="1"/>
      <c r="F20" s="1"/>
    </row>
    <row r="21" spans="1:6" x14ac:dyDescent="0.3">
      <c r="A21" s="43" t="s">
        <v>47</v>
      </c>
      <c r="B21" s="45">
        <f>B16*B13/1000*3.667</f>
        <v>7.8107099999999999E-2</v>
      </c>
      <c r="C21" s="43"/>
      <c r="E21" s="1"/>
      <c r="F21" s="1"/>
    </row>
    <row r="22" spans="1:6" x14ac:dyDescent="0.3">
      <c r="A22" s="43" t="s">
        <v>48</v>
      </c>
      <c r="B22" s="57">
        <f>B21+B20</f>
        <v>9.9716731000000003</v>
      </c>
      <c r="C22" s="43"/>
      <c r="E22" s="1"/>
      <c r="F22" s="1"/>
    </row>
    <row r="23" spans="1:6" x14ac:dyDescent="0.3">
      <c r="A23" s="46" t="s">
        <v>87</v>
      </c>
      <c r="B23" s="47"/>
      <c r="C23" s="47"/>
    </row>
    <row r="24" spans="1:6" x14ac:dyDescent="0.3">
      <c r="A24" s="43" t="s">
        <v>143</v>
      </c>
      <c r="B24" s="56">
        <v>65</v>
      </c>
      <c r="C24" s="56" t="s">
        <v>183</v>
      </c>
    </row>
    <row r="25" spans="1:6" x14ac:dyDescent="0.3">
      <c r="A25" s="43" t="s">
        <v>180</v>
      </c>
      <c r="B25" s="56">
        <v>36</v>
      </c>
      <c r="C25" s="56" t="s">
        <v>182</v>
      </c>
    </row>
    <row r="26" spans="1:6" x14ac:dyDescent="0.3">
      <c r="A26" s="43" t="s">
        <v>144</v>
      </c>
      <c r="B26" s="43">
        <f>B24/B11</f>
        <v>325</v>
      </c>
      <c r="C26" s="43"/>
    </row>
    <row r="27" spans="1:6" x14ac:dyDescent="0.3">
      <c r="A27" s="43" t="s">
        <v>181</v>
      </c>
      <c r="B27" s="43">
        <f>B25/B11</f>
        <v>180</v>
      </c>
      <c r="C27" s="43"/>
    </row>
    <row r="28" spans="1:6" x14ac:dyDescent="0.3">
      <c r="A28" s="43" t="s">
        <v>46</v>
      </c>
      <c r="B28" s="45">
        <f>B27*B12/1000*3.667</f>
        <v>18.745704</v>
      </c>
      <c r="C28" s="43"/>
    </row>
    <row r="29" spans="1:6" x14ac:dyDescent="0.3">
      <c r="A29" s="43" t="s">
        <v>47</v>
      </c>
      <c r="B29" s="45">
        <f>B24*B13/1000*4.667</f>
        <v>0.21538205000000002</v>
      </c>
      <c r="C29" s="43"/>
      <c r="E29" s="7"/>
    </row>
    <row r="30" spans="1:6" x14ac:dyDescent="0.3">
      <c r="A30" s="43" t="s">
        <v>48</v>
      </c>
      <c r="B30" s="57">
        <f>B29+B28</f>
        <v>18.961086049999999</v>
      </c>
      <c r="C30" s="43"/>
      <c r="E30" s="59"/>
    </row>
    <row r="31" spans="1:6" x14ac:dyDescent="0.3">
      <c r="A31" s="41" t="s">
        <v>88</v>
      </c>
      <c r="B31" s="48"/>
      <c r="C31" s="42"/>
    </row>
    <row r="32" spans="1:6" x14ac:dyDescent="0.3">
      <c r="A32" s="43" t="s">
        <v>92</v>
      </c>
      <c r="B32" s="43">
        <v>0.49</v>
      </c>
      <c r="C32" s="43" t="s">
        <v>89</v>
      </c>
    </row>
    <row r="33" spans="1:3" x14ac:dyDescent="0.3">
      <c r="A33" s="43" t="s">
        <v>93</v>
      </c>
      <c r="B33" s="43">
        <f>1-B32</f>
        <v>0.51</v>
      </c>
      <c r="C33" s="43" t="s">
        <v>89</v>
      </c>
    </row>
    <row r="34" spans="1:3" x14ac:dyDescent="0.3">
      <c r="A34" s="43" t="s">
        <v>49</v>
      </c>
      <c r="B34" s="45">
        <f>B32*B22+B33*B30</f>
        <v>14.556273704500001</v>
      </c>
      <c r="C34" s="43"/>
    </row>
    <row r="35" spans="1:3" x14ac:dyDescent="0.3">
      <c r="A35" s="41" t="s">
        <v>145</v>
      </c>
      <c r="B35" s="42"/>
      <c r="C35" s="42"/>
    </row>
    <row r="36" spans="1:3" x14ac:dyDescent="0.3">
      <c r="A36" s="43" t="s">
        <v>146</v>
      </c>
      <c r="B36" s="43">
        <v>27</v>
      </c>
      <c r="C36" s="43" t="s">
        <v>190</v>
      </c>
    </row>
    <row r="37" spans="1:3" x14ac:dyDescent="0.3">
      <c r="A37" s="43" t="s">
        <v>147</v>
      </c>
      <c r="B37" s="43">
        <v>49</v>
      </c>
      <c r="C37" s="43" t="s">
        <v>190</v>
      </c>
    </row>
    <row r="38" spans="1:3" x14ac:dyDescent="0.3">
      <c r="A38" s="43" t="s">
        <v>148</v>
      </c>
      <c r="B38" s="45">
        <f>B36+B22</f>
        <v>36.971673100000004</v>
      </c>
      <c r="C38" s="43"/>
    </row>
    <row r="39" spans="1:3" x14ac:dyDescent="0.3">
      <c r="A39" s="43" t="s">
        <v>149</v>
      </c>
      <c r="B39" s="45">
        <f>B37+B30</f>
        <v>67.961086050000006</v>
      </c>
      <c r="C39" s="43"/>
    </row>
    <row r="40" spans="1:3" x14ac:dyDescent="0.3">
      <c r="A40" s="43" t="s">
        <v>150</v>
      </c>
      <c r="B40" s="49">
        <f>B38/B36*100-100</f>
        <v>36.932122592592606</v>
      </c>
      <c r="C40" s="43"/>
    </row>
    <row r="41" spans="1:3" x14ac:dyDescent="0.3">
      <c r="A41" s="43" t="s">
        <v>151</v>
      </c>
      <c r="B41" s="49">
        <f>B39/B37*100-100</f>
        <v>38.696093979591836</v>
      </c>
      <c r="C41" s="43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zoomScale="130" zoomScaleNormal="130" workbookViewId="0">
      <selection activeCell="A2" sqref="A2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31" t="s">
        <v>135</v>
      </c>
      <c r="B1" s="32"/>
      <c r="C1" s="32"/>
      <c r="D1" s="32"/>
    </row>
    <row r="2" spans="1:4" x14ac:dyDescent="0.3">
      <c r="A2" s="25" t="s">
        <v>82</v>
      </c>
      <c r="B2" s="25" t="s">
        <v>94</v>
      </c>
      <c r="C2" s="25" t="s">
        <v>95</v>
      </c>
      <c r="D2" s="25" t="s">
        <v>10</v>
      </c>
    </row>
    <row r="3" spans="1:4" x14ac:dyDescent="0.3">
      <c r="A3" s="14" t="s">
        <v>65</v>
      </c>
      <c r="B3" s="14">
        <v>-9.1999999999999993</v>
      </c>
      <c r="C3" s="14">
        <v>-10.9</v>
      </c>
      <c r="D3" s="15" t="s">
        <v>64</v>
      </c>
    </row>
    <row r="4" spans="1:4" x14ac:dyDescent="0.3">
      <c r="A4" s="14" t="s">
        <v>65</v>
      </c>
      <c r="B4" s="14">
        <v>38.200000000000003</v>
      </c>
      <c r="C4" s="14">
        <v>51.5</v>
      </c>
      <c r="D4" s="15" t="s">
        <v>64</v>
      </c>
    </row>
    <row r="5" spans="1:4" x14ac:dyDescent="0.3">
      <c r="A5" s="14" t="s">
        <v>65</v>
      </c>
      <c r="B5" s="14">
        <v>246.6</v>
      </c>
      <c r="C5" s="14">
        <v>155.4</v>
      </c>
      <c r="D5" s="15" t="s">
        <v>64</v>
      </c>
    </row>
    <row r="6" spans="1:4" x14ac:dyDescent="0.3">
      <c r="A6" s="14" t="s">
        <v>65</v>
      </c>
      <c r="B6" s="14">
        <v>59</v>
      </c>
      <c r="C6" s="14">
        <v>15.4</v>
      </c>
      <c r="D6" s="15" t="s">
        <v>64</v>
      </c>
    </row>
    <row r="7" spans="1:4" x14ac:dyDescent="0.3">
      <c r="A7" s="14" t="s">
        <v>67</v>
      </c>
      <c r="B7" s="14">
        <v>-0.1</v>
      </c>
      <c r="C7" s="14">
        <v>-0.2</v>
      </c>
      <c r="D7" s="14" t="s">
        <v>66</v>
      </c>
    </row>
    <row r="8" spans="1:4" x14ac:dyDescent="0.3">
      <c r="A8" s="14" t="s">
        <v>67</v>
      </c>
      <c r="B8" s="14">
        <v>1.9</v>
      </c>
      <c r="C8" s="14">
        <v>3.3</v>
      </c>
      <c r="D8" s="14" t="s">
        <v>66</v>
      </c>
    </row>
    <row r="9" spans="1:4" x14ac:dyDescent="0.3">
      <c r="A9" s="14" t="s">
        <v>67</v>
      </c>
      <c r="B9" s="14">
        <v>6.4</v>
      </c>
      <c r="C9" s="14">
        <v>11.3</v>
      </c>
      <c r="D9" s="14" t="s">
        <v>66</v>
      </c>
    </row>
    <row r="10" spans="1:4" x14ac:dyDescent="0.3">
      <c r="A10" s="14" t="s">
        <v>67</v>
      </c>
      <c r="B10" s="14">
        <v>18.7</v>
      </c>
      <c r="C10" s="14">
        <v>32.9</v>
      </c>
      <c r="D10" s="14" t="s">
        <v>66</v>
      </c>
    </row>
    <row r="11" spans="1:4" x14ac:dyDescent="0.3">
      <c r="A11" s="14" t="s">
        <v>67</v>
      </c>
      <c r="B11" s="14">
        <v>17.3</v>
      </c>
      <c r="C11" s="14">
        <v>30.5</v>
      </c>
      <c r="D11" s="14" t="s">
        <v>66</v>
      </c>
    </row>
    <row r="12" spans="1:4" x14ac:dyDescent="0.3">
      <c r="A12" s="14" t="s">
        <v>68</v>
      </c>
      <c r="B12" s="14">
        <v>7.3</v>
      </c>
      <c r="C12" s="14">
        <v>12.8</v>
      </c>
      <c r="D12" s="14" t="s">
        <v>66</v>
      </c>
    </row>
    <row r="13" spans="1:4" x14ac:dyDescent="0.3">
      <c r="A13" s="14" t="s">
        <v>68</v>
      </c>
      <c r="B13" s="14">
        <v>0.2</v>
      </c>
      <c r="C13" s="14">
        <v>0.4</v>
      </c>
      <c r="D13" s="14" t="s">
        <v>66</v>
      </c>
    </row>
    <row r="14" spans="1:4" x14ac:dyDescent="0.3">
      <c r="A14" s="14" t="s">
        <v>68</v>
      </c>
      <c r="B14" s="14">
        <v>0</v>
      </c>
      <c r="C14" s="14">
        <v>0</v>
      </c>
      <c r="D14" s="14" t="s">
        <v>66</v>
      </c>
    </row>
    <row r="15" spans="1:4" x14ac:dyDescent="0.3">
      <c r="A15" s="14" t="s">
        <v>68</v>
      </c>
      <c r="B15" s="14">
        <v>3.7</v>
      </c>
      <c r="C15" s="14">
        <v>6.5</v>
      </c>
      <c r="D15" s="14" t="s">
        <v>66</v>
      </c>
    </row>
    <row r="16" spans="1:4" x14ac:dyDescent="0.3">
      <c r="A16" s="14" t="s">
        <v>68</v>
      </c>
      <c r="B16" s="14">
        <v>8.5</v>
      </c>
      <c r="C16" s="14">
        <v>14.9</v>
      </c>
      <c r="D16" s="14" t="s">
        <v>66</v>
      </c>
    </row>
    <row r="17" spans="1:4" x14ac:dyDescent="0.3">
      <c r="A17" s="14" t="s">
        <v>65</v>
      </c>
      <c r="B17" s="14">
        <v>3</v>
      </c>
      <c r="C17" s="14">
        <v>2.9</v>
      </c>
      <c r="D17" s="14" t="s">
        <v>69</v>
      </c>
    </row>
    <row r="18" spans="1:4" x14ac:dyDescent="0.3">
      <c r="A18" s="14" t="s">
        <v>71</v>
      </c>
      <c r="B18" s="14">
        <v>17.5</v>
      </c>
      <c r="C18" s="14">
        <v>14.3</v>
      </c>
      <c r="D18" s="14" t="s">
        <v>70</v>
      </c>
    </row>
    <row r="19" spans="1:4" x14ac:dyDescent="0.3">
      <c r="A19" s="14" t="s">
        <v>71</v>
      </c>
      <c r="B19" s="14">
        <v>87.5</v>
      </c>
      <c r="C19" s="14">
        <v>71.400000000000006</v>
      </c>
      <c r="D19" s="14" t="s">
        <v>70</v>
      </c>
    </row>
    <row r="20" spans="1:4" x14ac:dyDescent="0.3">
      <c r="A20" s="14" t="s">
        <v>72</v>
      </c>
      <c r="B20" s="14">
        <v>10</v>
      </c>
      <c r="C20" s="14">
        <v>6.3</v>
      </c>
      <c r="D20" s="14" t="s">
        <v>70</v>
      </c>
    </row>
    <row r="21" spans="1:4" x14ac:dyDescent="0.3">
      <c r="A21" s="14" t="s">
        <v>72</v>
      </c>
      <c r="B21" s="14">
        <v>5</v>
      </c>
      <c r="C21" s="14">
        <v>3.1</v>
      </c>
      <c r="D21" s="14" t="s">
        <v>70</v>
      </c>
    </row>
    <row r="22" spans="1:4" x14ac:dyDescent="0.3">
      <c r="A22" s="14" t="s">
        <v>74</v>
      </c>
      <c r="B22" s="14">
        <v>3.4</v>
      </c>
      <c r="C22" s="14">
        <v>9.8000000000000007</v>
      </c>
      <c r="D22" s="14" t="s">
        <v>73</v>
      </c>
    </row>
    <row r="23" spans="1:4" x14ac:dyDescent="0.3">
      <c r="A23" s="14" t="s">
        <v>74</v>
      </c>
      <c r="B23" s="14">
        <v>6.8</v>
      </c>
      <c r="C23" s="14">
        <v>19.600000000000001</v>
      </c>
      <c r="D23" s="14" t="s">
        <v>73</v>
      </c>
    </row>
    <row r="24" spans="1:4" x14ac:dyDescent="0.3">
      <c r="A24" s="14" t="s">
        <v>76</v>
      </c>
      <c r="B24" s="14">
        <v>-9.1999999999999993</v>
      </c>
      <c r="C24" s="14">
        <v>-14.2</v>
      </c>
      <c r="D24" s="15" t="s">
        <v>75</v>
      </c>
    </row>
    <row r="25" spans="1:4" x14ac:dyDescent="0.3">
      <c r="A25" s="14" t="s">
        <v>76</v>
      </c>
      <c r="B25" s="14">
        <v>0.6</v>
      </c>
      <c r="C25" s="14">
        <v>1.4</v>
      </c>
      <c r="D25" s="15" t="s">
        <v>75</v>
      </c>
    </row>
    <row r="26" spans="1:4" x14ac:dyDescent="0.3">
      <c r="A26" s="14" t="s">
        <v>71</v>
      </c>
      <c r="B26" s="14">
        <v>38.9</v>
      </c>
      <c r="C26" s="14">
        <v>11.8</v>
      </c>
      <c r="D26" s="14" t="s">
        <v>77</v>
      </c>
    </row>
    <row r="27" spans="1:4" x14ac:dyDescent="0.3">
      <c r="A27" s="14" t="s">
        <v>65</v>
      </c>
      <c r="B27" s="14">
        <v>-3.96</v>
      </c>
      <c r="C27" s="14">
        <v>-4.5</v>
      </c>
      <c r="D27" s="14" t="s">
        <v>78</v>
      </c>
    </row>
    <row r="28" spans="1:4" x14ac:dyDescent="0.3">
      <c r="A28" s="26" t="s">
        <v>79</v>
      </c>
      <c r="B28" s="27">
        <f>AVERAGE(B3:B27)</f>
        <v>22.321599999999993</v>
      </c>
      <c r="C28" s="27">
        <f>AVERAGE(C3:C27)</f>
        <v>17.828000000000003</v>
      </c>
      <c r="D28" s="6"/>
    </row>
    <row r="29" spans="1:4" x14ac:dyDescent="0.3">
      <c r="A29" s="26" t="s">
        <v>80</v>
      </c>
      <c r="B29" s="27">
        <f>MEDIAN(B3:B27)</f>
        <v>6.4</v>
      </c>
      <c r="C29" s="27">
        <f>MEDIAN(C3:C27)</f>
        <v>9.8000000000000007</v>
      </c>
      <c r="D29" s="6"/>
    </row>
    <row r="30" spans="1:4" x14ac:dyDescent="0.3">
      <c r="A30" s="26" t="s">
        <v>81</v>
      </c>
      <c r="B30" s="27">
        <f>STDEV(B3:B27)/SQRT(COUNT(B3:B27))</f>
        <v>10.326431776110597</v>
      </c>
      <c r="C30" s="27">
        <f>STDEV(C3:C27)/SQRT(COUNT(C3:C27))</f>
        <v>6.8306210552189182</v>
      </c>
      <c r="D30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44-DA86-46C3-9325-6709E921F8CA}">
  <dimension ref="A1:F25"/>
  <sheetViews>
    <sheetView workbookViewId="0">
      <selection activeCell="A25" sqref="A25"/>
    </sheetView>
  </sheetViews>
  <sheetFormatPr defaultRowHeight="14.4" x14ac:dyDescent="0.3"/>
  <cols>
    <col min="1" max="1" width="33.88671875" customWidth="1"/>
    <col min="2" max="2" width="23.109375" customWidth="1"/>
    <col min="3" max="3" width="16.33203125" customWidth="1"/>
    <col min="5" max="5" width="10.88671875" customWidth="1"/>
  </cols>
  <sheetData>
    <row r="1" spans="1:6" x14ac:dyDescent="0.3">
      <c r="A1" s="28" t="s">
        <v>136</v>
      </c>
      <c r="B1" s="28"/>
      <c r="C1" s="28"/>
    </row>
    <row r="2" spans="1:6" x14ac:dyDescent="0.3">
      <c r="A2" s="5" t="s">
        <v>24</v>
      </c>
      <c r="B2" s="5" t="s">
        <v>19</v>
      </c>
      <c r="C2" s="5" t="s">
        <v>10</v>
      </c>
      <c r="E2" s="5" t="s">
        <v>160</v>
      </c>
      <c r="F2" s="5" t="s">
        <v>19</v>
      </c>
    </row>
    <row r="3" spans="1:6" x14ac:dyDescent="0.3">
      <c r="A3" t="s">
        <v>56</v>
      </c>
      <c r="B3" s="8">
        <v>404760</v>
      </c>
      <c r="E3" t="s">
        <v>154</v>
      </c>
      <c r="F3">
        <v>33</v>
      </c>
    </row>
    <row r="4" spans="1:6" x14ac:dyDescent="0.3">
      <c r="A4" t="s">
        <v>51</v>
      </c>
      <c r="B4" s="12">
        <v>4000000</v>
      </c>
      <c r="E4" t="s">
        <v>155</v>
      </c>
      <c r="F4">
        <v>85</v>
      </c>
    </row>
    <row r="5" spans="1:6" x14ac:dyDescent="0.3">
      <c r="A5" t="s">
        <v>55</v>
      </c>
      <c r="B5">
        <v>0.75</v>
      </c>
      <c r="E5" t="s">
        <v>153</v>
      </c>
      <c r="F5">
        <f>F4-F3</f>
        <v>52</v>
      </c>
    </row>
    <row r="6" spans="1:6" x14ac:dyDescent="0.3">
      <c r="A6" t="s">
        <v>51</v>
      </c>
      <c r="B6" s="12">
        <f>B5*B4</f>
        <v>3000000</v>
      </c>
      <c r="E6" t="s">
        <v>156</v>
      </c>
      <c r="F6">
        <v>0.04</v>
      </c>
    </row>
    <row r="7" spans="1:6" x14ac:dyDescent="0.3">
      <c r="A7" t="s">
        <v>53</v>
      </c>
      <c r="B7" s="10">
        <v>423.77600000000001</v>
      </c>
      <c r="E7" t="s">
        <v>157</v>
      </c>
      <c r="F7">
        <v>585</v>
      </c>
    </row>
    <row r="8" spans="1:6" x14ac:dyDescent="0.3">
      <c r="A8" t="s">
        <v>54</v>
      </c>
      <c r="B8" s="8">
        <f>B7*B6</f>
        <v>1271328000</v>
      </c>
      <c r="E8" t="s">
        <v>158</v>
      </c>
      <c r="F8">
        <v>800</v>
      </c>
    </row>
    <row r="9" spans="1:6" x14ac:dyDescent="0.3">
      <c r="A9" t="s">
        <v>52</v>
      </c>
      <c r="B9" s="10">
        <v>900</v>
      </c>
      <c r="E9" t="s">
        <v>159</v>
      </c>
      <c r="F9">
        <f>F8-F7</f>
        <v>215</v>
      </c>
    </row>
    <row r="10" spans="1:6" x14ac:dyDescent="0.3">
      <c r="A10" t="s">
        <v>57</v>
      </c>
      <c r="B10" s="11">
        <f>B9*B8/1000</f>
        <v>1144195200</v>
      </c>
      <c r="E10" t="s">
        <v>152</v>
      </c>
      <c r="F10">
        <f>F9/(1+F6)^F5</f>
        <v>27.970795392609531</v>
      </c>
    </row>
    <row r="11" spans="1:6" x14ac:dyDescent="0.3">
      <c r="A11" t="s">
        <v>60</v>
      </c>
      <c r="B11" s="8">
        <f>B10/1000000</f>
        <v>1144.1952000000001</v>
      </c>
    </row>
    <row r="12" spans="1:6" x14ac:dyDescent="0.3">
      <c r="A12" t="s">
        <v>50</v>
      </c>
      <c r="B12" s="13">
        <f>535+0.1*535</f>
        <v>588.5</v>
      </c>
      <c r="C12" s="11"/>
    </row>
    <row r="13" spans="1:6" x14ac:dyDescent="0.3">
      <c r="A13" t="s">
        <v>59</v>
      </c>
      <c r="B13" s="12">
        <f>B3*B12/1000000</f>
        <v>238.20125999999999</v>
      </c>
      <c r="E13" t="s">
        <v>154</v>
      </c>
      <c r="F13">
        <v>33</v>
      </c>
    </row>
    <row r="14" spans="1:6" x14ac:dyDescent="0.3">
      <c r="A14" t="s">
        <v>58</v>
      </c>
      <c r="B14" s="11">
        <f>B11-B13</f>
        <v>905.99394000000007</v>
      </c>
      <c r="E14" t="s">
        <v>155</v>
      </c>
      <c r="F14">
        <v>71</v>
      </c>
    </row>
    <row r="15" spans="1:6" x14ac:dyDescent="0.3">
      <c r="A15" t="s">
        <v>61</v>
      </c>
      <c r="B15" s="9">
        <f>B14/B13</f>
        <v>3.8034808883882483</v>
      </c>
      <c r="E15" t="s">
        <v>153</v>
      </c>
      <c r="F15">
        <f>F14-F13</f>
        <v>38</v>
      </c>
    </row>
    <row r="16" spans="1:6" x14ac:dyDescent="0.3">
      <c r="B16" s="9"/>
      <c r="E16" t="s">
        <v>156</v>
      </c>
      <c r="F16">
        <v>0.04</v>
      </c>
    </row>
    <row r="17" spans="1:6" x14ac:dyDescent="0.3">
      <c r="A17" t="s">
        <v>56</v>
      </c>
      <c r="B17" s="8">
        <v>404760</v>
      </c>
      <c r="E17" t="s">
        <v>157</v>
      </c>
      <c r="F17">
        <v>60000</v>
      </c>
    </row>
    <row r="18" spans="1:6" x14ac:dyDescent="0.3">
      <c r="A18" t="s">
        <v>62</v>
      </c>
      <c r="B18" s="8">
        <v>12000000</v>
      </c>
      <c r="E18" t="s">
        <v>158</v>
      </c>
      <c r="F18">
        <v>120000</v>
      </c>
    </row>
    <row r="19" spans="1:6" x14ac:dyDescent="0.3">
      <c r="A19" t="s">
        <v>50</v>
      </c>
      <c r="B19" s="13">
        <f>535+0.1*535</f>
        <v>588.5</v>
      </c>
      <c r="E19" t="s">
        <v>159</v>
      </c>
      <c r="F19">
        <f>F18-F17</f>
        <v>60000</v>
      </c>
    </row>
    <row r="20" spans="1:6" x14ac:dyDescent="0.3">
      <c r="A20" t="s">
        <v>59</v>
      </c>
      <c r="B20" s="12">
        <f>B19*B17</f>
        <v>238201260</v>
      </c>
      <c r="E20" t="s">
        <v>152</v>
      </c>
      <c r="F20">
        <f>F19/(1+F16)^F15</f>
        <v>13517.125842446225</v>
      </c>
    </row>
    <row r="21" spans="1:6" x14ac:dyDescent="0.3">
      <c r="A21" t="s">
        <v>63</v>
      </c>
      <c r="B21">
        <f>B20/B18</f>
        <v>19.850104999999999</v>
      </c>
    </row>
    <row r="25" spans="1:6" x14ac:dyDescent="0.3">
      <c r="A25">
        <f>14*5</f>
        <v>70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0C34-96DC-4A55-9AF8-528092271EF1}">
  <dimension ref="A1:E14"/>
  <sheetViews>
    <sheetView workbookViewId="0"/>
  </sheetViews>
  <sheetFormatPr defaultRowHeight="14.4" x14ac:dyDescent="0.3"/>
  <cols>
    <col min="1" max="1" width="25.21875" customWidth="1"/>
    <col min="2" max="2" width="19" customWidth="1"/>
  </cols>
  <sheetData>
    <row r="1" spans="1:5" x14ac:dyDescent="0.3">
      <c r="A1" s="28" t="s">
        <v>169</v>
      </c>
      <c r="B1" s="28"/>
      <c r="C1" s="28"/>
      <c r="D1" s="28"/>
      <c r="E1" s="51"/>
    </row>
    <row r="2" spans="1:5" x14ac:dyDescent="0.3">
      <c r="A2" s="55" t="s">
        <v>170</v>
      </c>
      <c r="B2" s="55" t="s">
        <v>164</v>
      </c>
      <c r="C2" s="55" t="s">
        <v>168</v>
      </c>
      <c r="D2" s="55" t="s">
        <v>173</v>
      </c>
      <c r="E2" s="51"/>
    </row>
    <row r="3" spans="1:5" x14ac:dyDescent="0.3">
      <c r="A3" s="51" t="s">
        <v>165</v>
      </c>
      <c r="B3" s="51">
        <f>714+1570+2155+2979</f>
        <v>7418</v>
      </c>
      <c r="C3" s="51">
        <v>0.46</v>
      </c>
      <c r="D3" s="51">
        <f>C4*B3</f>
        <v>6082.7599999999993</v>
      </c>
      <c r="E3" s="51"/>
    </row>
    <row r="4" spans="1:5" x14ac:dyDescent="0.3">
      <c r="A4" s="51" t="s">
        <v>166</v>
      </c>
      <c r="B4" s="51">
        <f>26+185+211+488</f>
        <v>910</v>
      </c>
      <c r="C4" s="51">
        <v>0.82</v>
      </c>
      <c r="D4" s="51">
        <f>C3*B4</f>
        <v>418.6</v>
      </c>
      <c r="E4" s="51"/>
    </row>
    <row r="5" spans="1:5" x14ac:dyDescent="0.3">
      <c r="A5" s="53" t="s">
        <v>167</v>
      </c>
      <c r="B5" s="51">
        <f>315+677+943+1438</f>
        <v>3373</v>
      </c>
      <c r="C5" s="51">
        <v>0.28000000000000003</v>
      </c>
      <c r="D5" s="51">
        <f>C5*B5</f>
        <v>944.44</v>
      </c>
      <c r="E5" s="51"/>
    </row>
    <row r="6" spans="1:5" x14ac:dyDescent="0.3">
      <c r="A6" s="51" t="s">
        <v>171</v>
      </c>
      <c r="B6" s="51">
        <f>150+378+562+872</f>
        <v>1962</v>
      </c>
      <c r="C6" s="51">
        <v>0.2</v>
      </c>
      <c r="D6" s="51">
        <f>C6*B6</f>
        <v>392.40000000000003</v>
      </c>
      <c r="E6" s="51"/>
    </row>
    <row r="7" spans="1:5" x14ac:dyDescent="0.3">
      <c r="A7" s="51" t="s">
        <v>172</v>
      </c>
      <c r="B7" s="51">
        <f>SUM(B3:B6)*1000</f>
        <v>13663000</v>
      </c>
      <c r="C7" s="51">
        <f>SUM(C3:C6)</f>
        <v>1.76</v>
      </c>
      <c r="D7" s="51">
        <f>SUM(D3:D6)/C7*1000</f>
        <v>4453522.7272727266</v>
      </c>
      <c r="E7" s="51"/>
    </row>
    <row r="8" spans="1:5" x14ac:dyDescent="0.3">
      <c r="A8" s="51"/>
      <c r="C8" s="51"/>
      <c r="D8" s="51"/>
      <c r="E8" s="51"/>
    </row>
    <row r="9" spans="1:5" x14ac:dyDescent="0.3">
      <c r="A9" s="55" t="s">
        <v>179</v>
      </c>
      <c r="C9" s="51"/>
      <c r="D9" s="51"/>
      <c r="E9" s="51"/>
    </row>
    <row r="10" spans="1:5" x14ac:dyDescent="0.3">
      <c r="A10" s="51" t="s">
        <v>174</v>
      </c>
      <c r="B10" s="51">
        <v>80000</v>
      </c>
      <c r="C10" s="51"/>
      <c r="D10" s="51"/>
      <c r="E10" s="51"/>
    </row>
    <row r="11" spans="1:5" x14ac:dyDescent="0.3">
      <c r="A11" s="51" t="s">
        <v>176</v>
      </c>
      <c r="B11" s="51">
        <f>B10*0.435</f>
        <v>34800</v>
      </c>
      <c r="C11" s="51"/>
      <c r="D11" s="51"/>
      <c r="E11" s="51"/>
    </row>
    <row r="12" spans="1:5" ht="15.6" x14ac:dyDescent="0.3">
      <c r="A12" s="52" t="s">
        <v>175</v>
      </c>
      <c r="B12">
        <f>B10*0.2</f>
        <v>16000</v>
      </c>
    </row>
    <row r="13" spans="1:5" x14ac:dyDescent="0.3">
      <c r="A13" s="51" t="s">
        <v>177</v>
      </c>
      <c r="B13" s="54">
        <f>B11/B7*100</f>
        <v>0.25470248115348021</v>
      </c>
      <c r="C13" s="54"/>
    </row>
    <row r="14" spans="1:5" x14ac:dyDescent="0.3">
      <c r="A14" s="51" t="s">
        <v>178</v>
      </c>
      <c r="B14" s="7">
        <f>B12/D7*100</f>
        <v>0.35926615804649031</v>
      </c>
      <c r="C14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Manufacturing Emissions</vt:lpstr>
      <vt:lpstr>Transport Emissions</vt:lpstr>
      <vt:lpstr>N2O Emissions</vt:lpstr>
      <vt:lpstr>Footprint Response</vt:lpstr>
      <vt:lpstr>Soil C Response</vt:lpstr>
      <vt:lpstr>Economics</vt:lpstr>
      <vt:lpstr>Canadian N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2021-08-17T02:32:13Z</dcterms:modified>
</cp:coreProperties>
</file>