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actions\"/>
    </mc:Choice>
  </mc:AlternateContent>
  <xr:revisionPtr revIDLastSave="0" documentId="13_ncr:1_{E5C9185A-F0FC-46B0-8F60-201E9571D58B}" xr6:coauthVersionLast="44" xr6:coauthVersionMax="44" xr10:uidLastSave="{00000000-0000-0000-0000-000000000000}"/>
  <bookViews>
    <workbookView xWindow="840" yWindow="-108" windowWidth="22308" windowHeight="13176" firstSheet="1" activeTab="3" xr2:uid="{1E81D065-865C-4E4F-B119-59A43652556F}"/>
  </bookViews>
  <sheets>
    <sheet name="Urea Production" sheetId="6" r:id="rId1"/>
    <sheet name="N2O Emissions" sheetId="2" r:id="rId2"/>
    <sheet name="CO2 from Urea Hydrolysis" sheetId="5" r:id="rId3"/>
    <sheet name="Volatilization of NH3" sheetId="4" r:id="rId4"/>
    <sheet name="Soil C Response" sheetId="8" r:id="rId5"/>
    <sheet name="Econom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4" l="1"/>
  <c r="C30" i="8" l="1"/>
  <c r="B30" i="8"/>
  <c r="C29" i="8"/>
  <c r="B29" i="8"/>
  <c r="C28" i="8"/>
  <c r="B28" i="8"/>
  <c r="B19" i="7" l="1"/>
  <c r="B20" i="7" s="1"/>
  <c r="B21" i="7" s="1"/>
  <c r="B12" i="7" l="1"/>
  <c r="B6" i="7"/>
  <c r="B8" i="7" s="1"/>
  <c r="B10" i="7" s="1"/>
  <c r="B11" i="7" s="1"/>
  <c r="B13" i="7" l="1"/>
  <c r="B14" i="7" s="1"/>
  <c r="B15" i="7" s="1"/>
  <c r="B34" i="4"/>
  <c r="B35" i="4" s="1"/>
  <c r="B23" i="4" l="1"/>
  <c r="B17" i="4"/>
  <c r="B6" i="4" l="1"/>
  <c r="B12" i="4" s="1"/>
  <c r="E14" i="6" l="1"/>
  <c r="B6" i="6"/>
  <c r="B5" i="6"/>
  <c r="B7" i="6" s="1"/>
  <c r="B8" i="6" s="1"/>
  <c r="E17" i="6"/>
  <c r="E16" i="6"/>
  <c r="E15" i="6"/>
  <c r="D17" i="6"/>
  <c r="D16" i="6"/>
  <c r="D15" i="6"/>
  <c r="D14" i="6"/>
  <c r="B11" i="6"/>
  <c r="B22" i="6" s="1"/>
  <c r="B23" i="6" s="1"/>
  <c r="B24" i="6" s="1"/>
  <c r="B8" i="5"/>
  <c r="B7" i="5"/>
  <c r="B6" i="5"/>
  <c r="B8" i="2"/>
  <c r="B9" i="2" s="1"/>
  <c r="B15" i="2"/>
  <c r="B4" i="2"/>
  <c r="B16" i="2" s="1"/>
  <c r="B17" i="2" s="1"/>
  <c r="B9" i="6" l="1"/>
  <c r="B12" i="6"/>
  <c r="B10" i="2"/>
  <c r="B11" i="2" s="1"/>
  <c r="B13" i="4" l="1"/>
  <c r="B19" i="4" s="1"/>
  <c r="B18" i="4"/>
  <c r="B24" i="4" l="1"/>
  <c r="B25" i="4"/>
  <c r="B26" i="4" l="1"/>
  <c r="B20" i="4"/>
  <c r="B30" i="4" l="1"/>
  <c r="B33" i="4" s="1"/>
  <c r="B36" i="4" s="1"/>
</calcChain>
</file>

<file path=xl/sharedStrings.xml><?xml version="1.0" encoding="utf-8"?>
<sst xmlns="http://schemas.openxmlformats.org/spreadsheetml/2006/main" count="193" uniqueCount="123">
  <si>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</si>
  <si>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</si>
  <si>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</si>
  <si>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</si>
  <si>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</si>
  <si>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</si>
  <si>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</si>
  <si>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</si>
  <si>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</si>
  <si>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</si>
  <si>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</si>
  <si>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</si>
  <si>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</si>
  <si>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</si>
  <si>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</si>
  <si>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</si>
  <si>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</si>
  <si>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</si>
  <si>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</si>
  <si>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</si>
  <si>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</si>
  <si>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</si>
  <si>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</si>
  <si>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(tCO2e/ha)</t>
  </si>
  <si>
    <t>GHG emission (tCO2e ha-1)</t>
  </si>
  <si>
    <t>Variable</t>
  </si>
  <si>
    <t>Standard Urea application (kg Urea ha-1)</t>
  </si>
  <si>
    <t>Standard dose of N (kg N ha-1)</t>
  </si>
  <si>
    <t>Ratio of N to Urea</t>
  </si>
  <si>
    <t>Emission factor for Urea (tC per tUrea-1)</t>
  </si>
  <si>
    <t>Ratio of C to CO2</t>
  </si>
  <si>
    <t>NRCAN 2007</t>
  </si>
  <si>
    <t>Mass of NH3</t>
  </si>
  <si>
    <t>Mass of Urea</t>
  </si>
  <si>
    <t>Emissions from ammonia production (tCO2 tNH3)</t>
  </si>
  <si>
    <t>Ratio of Urea to NH3</t>
  </si>
  <si>
    <t>Emissions from ammonia production (tCO2 tUrea)</t>
  </si>
  <si>
    <t>Standard dose of nitrogne (kg N ha-1)</t>
  </si>
  <si>
    <t>Standard dose of nitrogne (kg Urea ha-1)</t>
  </si>
  <si>
    <t>Results from Wood and Cowy 2004</t>
  </si>
  <si>
    <t>Emission factor (g CO2 kg N)</t>
  </si>
  <si>
    <t>Emissions from ammonia production (tCO2 tN-1)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</si>
  <si>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</si>
  <si>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</si>
  <si>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</si>
  <si>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</si>
  <si>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</si>
  <si>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</si>
  <si>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</si>
  <si>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</si>
  <si>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</si>
  <si>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</si>
  <si>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</si>
  <si>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</si>
  <si>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</si>
  <si>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</si>
  <si>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</si>
  <si>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</si>
  <si>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</si>
  <si>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</si>
  <si>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</si>
  <si>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GHG benefit (MtCO2e/yr)</t>
  </si>
  <si>
    <t>Cost ($/ha)</t>
  </si>
  <si>
    <t>Mitigation cost</t>
  </si>
  <si>
    <t>Applied NUE (kgC/kgN)</t>
  </si>
  <si>
    <t>Utilized NUE (kgC/kgN)</t>
  </si>
  <si>
    <t>Cost ($M/yr)</t>
  </si>
  <si>
    <t>Total merch volume production (m3)</t>
  </si>
  <si>
    <t>Log prices ($ per 1000 bd ft)</t>
  </si>
  <si>
    <t>Bd ft per m3</t>
  </si>
  <si>
    <t>Total merch volume production (bd ft)</t>
  </si>
  <si>
    <t>Utilization ratio</t>
  </si>
  <si>
    <t>Total area treated (ha)</t>
  </si>
  <si>
    <t>Gross revenue ($)</t>
  </si>
  <si>
    <t>Net revenue ($M)</t>
  </si>
  <si>
    <t>Cost ($M)</t>
  </si>
  <si>
    <t>Gross revenue ($M)</t>
  </si>
  <si>
    <t>Profit ratio</t>
  </si>
  <si>
    <t>GHG Benefit</t>
  </si>
  <si>
    <t>Mitigation cost ($/tCO2e)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</si>
  <si>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</si>
  <si>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</si>
  <si>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</si>
  <si>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</si>
  <si>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</si>
  <si>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</si>
  <si>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</si>
  <si>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</si>
  <si>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</si>
  <si>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</si>
  <si>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</si>
  <si>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</si>
  <si>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</si>
  <si>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</si>
  <si>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</si>
  <si>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</si>
  <si>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</si>
  <si>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</si>
  <si>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</si>
  <si>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</si>
  <si>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</si>
  <si>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r>
      <t xml:space="preserve">Table S2. </t>
    </r>
    <r>
      <rPr>
        <sz val="11"/>
        <color theme="1"/>
        <rFont val="Calibri"/>
        <family val="2"/>
        <scheme val="minor"/>
      </rPr>
      <t>Denitrification N2O emissions following a standard application.</t>
    </r>
  </si>
  <si>
    <r>
      <rPr>
        <b/>
        <sz val="11"/>
        <color theme="1"/>
        <rFont val="Calibri"/>
        <family val="2"/>
        <scheme val="minor"/>
      </rPr>
      <t>Table S1.</t>
    </r>
    <r>
      <rPr>
        <sz val="11"/>
        <color theme="1"/>
        <rFont val="Calibri"/>
        <family val="2"/>
        <scheme val="minor"/>
      </rPr>
      <t xml:space="preserve"> CO2 emissions from production of urea (per standard application).</t>
    </r>
  </si>
  <si>
    <r>
      <t xml:space="preserve">Table S3. </t>
    </r>
    <r>
      <rPr>
        <sz val="11"/>
        <color theme="1"/>
        <rFont val="Calibri"/>
        <family val="2"/>
        <scheme val="minor"/>
      </rPr>
      <t>CO2 emissions from hydrolysis of Urea following a standard application.</t>
    </r>
  </si>
  <si>
    <t>Forest carbon advisors, FFT</t>
  </si>
  <si>
    <r>
      <rPr>
        <b/>
        <sz val="11"/>
        <color theme="1"/>
        <rFont val="Calibri"/>
        <family val="2"/>
        <scheme val="minor"/>
      </rPr>
      <t xml:space="preserve">Table S4. </t>
    </r>
    <r>
      <rPr>
        <sz val="11"/>
        <color theme="1"/>
        <rFont val="Calibri"/>
        <family val="2"/>
        <scheme val="minor"/>
      </rPr>
      <t>GHG balance response over the footprint of treatment areas.</t>
    </r>
  </si>
  <si>
    <t>GHG benefit from volatilization losses / footprint N deposition:</t>
  </si>
  <si>
    <t>GHG benefit of interior region:</t>
  </si>
  <si>
    <t>GHG benefit of coastal region:</t>
  </si>
  <si>
    <t>GHG benefit (total):</t>
  </si>
  <si>
    <t>FCI demo 10-year response (Nov 2020)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</si>
  <si>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</si>
  <si>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</si>
  <si>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</si>
  <si>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</si>
  <si>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</si>
  <si>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Example calculation of area-integrated GHG benefit:</t>
  </si>
  <si>
    <t>Hypothetical area treated (ha/year)</t>
  </si>
  <si>
    <r>
      <t>Figure S5.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</si>
  <si>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t>Actual response (MgC/ha)</t>
  </si>
  <si>
    <t>Relative response (%)</t>
  </si>
  <si>
    <r>
      <rPr>
        <b/>
        <sz val="11"/>
        <color theme="1"/>
        <rFont val="Calibri"/>
        <family val="2"/>
        <scheme val="minor"/>
      </rPr>
      <t xml:space="preserve">Table S6. </t>
    </r>
    <r>
      <rPr>
        <sz val="11"/>
        <color theme="1"/>
        <rFont val="Calibri"/>
        <family val="2"/>
        <scheme val="minor"/>
      </rPr>
      <t>Economics.</t>
    </r>
  </si>
  <si>
    <t>Particulate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</si>
</sst>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/>
    </xf>
    <xf numFmtId="4" fontId="0" fillId="0" borderId="0" xfId="0" applyNumberFormat="1"/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2" borderId="0" xfId="0" applyFont="1" applyFill="1"/>
    <xf numFmtId="0" fontId="6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8" fillId="0" borderId="0" xfId="0" applyFont="1" applyFill="1"/>
    <xf numFmtId="0" fontId="10" fillId="5" borderId="0" xfId="0" applyFont="1" applyFill="1"/>
    <xf numFmtId="0" fontId="11" fillId="5" borderId="0" xfId="0" applyFont="1" applyFill="1"/>
    <xf numFmtId="2" fontId="0" fillId="5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1" fillId="2" borderId="0" xfId="0" applyFont="1" applyFill="1" applyAlignment="1">
      <alignment horizontal="right"/>
    </xf>
    <xf numFmtId="0" fontId="7" fillId="3" borderId="0" xfId="0" applyFont="1" applyFill="1"/>
    <xf numFmtId="0" fontId="9" fillId="3" borderId="0" xfId="0" applyFont="1" applyFill="1" applyAlignment="1">
      <alignment horizontal="left" vertical="center"/>
    </xf>
    <xf numFmtId="164" fontId="7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E24"/>
  <sheetViews>
    <sheetView workbookViewId="0">
      <selection activeCell="A2" sqref="A2"/>
    </sheetView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3" t="s">
        <v>102</v>
      </c>
      <c r="B1" s="23"/>
      <c r="C1" s="23"/>
      <c r="D1" s="23"/>
      <c r="E1" s="23"/>
    </row>
    <row r="2" spans="1:5" s="22" customFormat="1" x14ac:dyDescent="0.3">
      <c r="A2" s="25" t="s">
        <v>52</v>
      </c>
      <c r="B2" s="26"/>
      <c r="C2" s="26"/>
      <c r="D2" s="26"/>
      <c r="E2" s="26"/>
    </row>
    <row r="3" spans="1:5" x14ac:dyDescent="0.3">
      <c r="A3" s="3" t="s">
        <v>25</v>
      </c>
      <c r="B3" s="28" t="s">
        <v>19</v>
      </c>
      <c r="C3" s="28" t="s">
        <v>10</v>
      </c>
    </row>
    <row r="4" spans="1:5" x14ac:dyDescent="0.3">
      <c r="A4" t="s">
        <v>34</v>
      </c>
      <c r="B4">
        <v>1.68</v>
      </c>
      <c r="C4" t="s">
        <v>31</v>
      </c>
    </row>
    <row r="5" spans="1:5" x14ac:dyDescent="0.3">
      <c r="A5" t="s">
        <v>32</v>
      </c>
      <c r="B5">
        <f>14+3</f>
        <v>17</v>
      </c>
    </row>
    <row r="6" spans="1:5" x14ac:dyDescent="0.3">
      <c r="A6" t="s">
        <v>33</v>
      </c>
      <c r="B6">
        <f>2*14+4*1+1*12+1*16</f>
        <v>60</v>
      </c>
    </row>
    <row r="7" spans="1:5" x14ac:dyDescent="0.3">
      <c r="A7" t="s">
        <v>35</v>
      </c>
      <c r="B7">
        <f>B6/B5</f>
        <v>3.5294117647058822</v>
      </c>
    </row>
    <row r="8" spans="1:5" x14ac:dyDescent="0.3">
      <c r="A8" t="s">
        <v>36</v>
      </c>
      <c r="B8">
        <f>B4/B7</f>
        <v>0.47599999999999998</v>
      </c>
    </row>
    <row r="9" spans="1:5" x14ac:dyDescent="0.3">
      <c r="A9" t="s">
        <v>41</v>
      </c>
      <c r="B9">
        <f>B8/0.46</f>
        <v>1.034782608695652</v>
      </c>
    </row>
    <row r="10" spans="1:5" x14ac:dyDescent="0.3">
      <c r="A10" t="s">
        <v>37</v>
      </c>
      <c r="B10">
        <v>200</v>
      </c>
    </row>
    <row r="11" spans="1:5" x14ac:dyDescent="0.3">
      <c r="A11" t="s">
        <v>38</v>
      </c>
      <c r="B11">
        <f>B10/0.46</f>
        <v>434.78260869565213</v>
      </c>
    </row>
    <row r="12" spans="1:5" x14ac:dyDescent="0.3">
      <c r="A12" t="s">
        <v>42</v>
      </c>
      <c r="B12">
        <f>B8*B11/1000</f>
        <v>0.2069565217391304</v>
      </c>
    </row>
    <row r="13" spans="1:5" x14ac:dyDescent="0.3">
      <c r="A13" s="25" t="s">
        <v>39</v>
      </c>
      <c r="B13" s="26"/>
      <c r="C13" s="27" t="s">
        <v>100</v>
      </c>
      <c r="D13" s="27" t="s">
        <v>49</v>
      </c>
      <c r="E13" s="27" t="s">
        <v>50</v>
      </c>
    </row>
    <row r="14" spans="1:5" x14ac:dyDescent="0.3">
      <c r="A14" t="s">
        <v>40</v>
      </c>
      <c r="B14">
        <v>4019</v>
      </c>
      <c r="C14">
        <v>200</v>
      </c>
      <c r="D14">
        <f>B14*C14/1000000</f>
        <v>0.80379999999999996</v>
      </c>
      <c r="E14">
        <f>B14/1000</f>
        <v>4.0190000000000001</v>
      </c>
    </row>
    <row r="15" spans="1:5" x14ac:dyDescent="0.3">
      <c r="A15" t="s">
        <v>40</v>
      </c>
      <c r="B15">
        <v>1316</v>
      </c>
      <c r="C15">
        <v>200</v>
      </c>
      <c r="D15">
        <f>B15*C15/1000000</f>
        <v>0.26319999999999999</v>
      </c>
      <c r="E15">
        <f>B15/1000</f>
        <v>1.3160000000000001</v>
      </c>
    </row>
    <row r="16" spans="1:5" x14ac:dyDescent="0.3">
      <c r="A16" t="s">
        <v>40</v>
      </c>
      <c r="B16">
        <v>913</v>
      </c>
      <c r="C16">
        <v>200</v>
      </c>
      <c r="D16">
        <f>B16*C16/1000000</f>
        <v>0.18260000000000001</v>
      </c>
      <c r="E16">
        <f>B16/1000</f>
        <v>0.91300000000000003</v>
      </c>
    </row>
    <row r="17" spans="1:5" x14ac:dyDescent="0.3">
      <c r="A17" t="s">
        <v>40</v>
      </c>
      <c r="B17">
        <v>1707</v>
      </c>
      <c r="C17">
        <v>200</v>
      </c>
      <c r="D17">
        <f>B17*C17/1000000</f>
        <v>0.34139999999999998</v>
      </c>
      <c r="E17">
        <f>B17/1000</f>
        <v>1.7070000000000001</v>
      </c>
    </row>
    <row r="18" spans="1:5" s="22" customFormat="1" x14ac:dyDescent="0.3">
      <c r="A18" s="25" t="s">
        <v>51</v>
      </c>
      <c r="B18" s="26"/>
      <c r="C18" s="26"/>
      <c r="D18" s="26"/>
      <c r="E18" s="26"/>
    </row>
    <row r="19" spans="1:5" x14ac:dyDescent="0.3">
      <c r="A19" s="5" t="s">
        <v>43</v>
      </c>
      <c r="B19">
        <v>5.3E-3</v>
      </c>
      <c r="C19" t="s">
        <v>44</v>
      </c>
    </row>
    <row r="20" spans="1:5" x14ac:dyDescent="0.3">
      <c r="A20" t="s">
        <v>45</v>
      </c>
      <c r="B20">
        <v>0.1</v>
      </c>
      <c r="C20" t="s">
        <v>44</v>
      </c>
    </row>
    <row r="21" spans="1:5" x14ac:dyDescent="0.3">
      <c r="A21" t="s">
        <v>46</v>
      </c>
      <c r="B21">
        <v>5.2</v>
      </c>
      <c r="C21" t="s">
        <v>53</v>
      </c>
    </row>
    <row r="22" spans="1:5" x14ac:dyDescent="0.3">
      <c r="A22" t="s">
        <v>47</v>
      </c>
      <c r="B22">
        <f>B11/1000*B21</f>
        <v>2.2608695652173911</v>
      </c>
    </row>
    <row r="23" spans="1:5" x14ac:dyDescent="0.3">
      <c r="A23" t="s">
        <v>48</v>
      </c>
      <c r="B23">
        <f>B22/B20</f>
        <v>22.60869565217391</v>
      </c>
    </row>
    <row r="24" spans="1:5" x14ac:dyDescent="0.3">
      <c r="A24" t="s">
        <v>42</v>
      </c>
      <c r="B24">
        <f>B23*B19</f>
        <v>0.11982608695652172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29"/>
  <sheetViews>
    <sheetView workbookViewId="0">
      <selection activeCell="C17" sqref="C17"/>
    </sheetView>
  </sheetViews>
  <sheetFormatPr defaultRowHeight="14.4" x14ac:dyDescent="0.3"/>
  <cols>
    <col min="1" max="1" width="26.77734375" customWidth="1"/>
    <col min="2" max="2" width="11.88671875" customWidth="1"/>
    <col min="3" max="3" width="40.88671875" customWidth="1"/>
  </cols>
  <sheetData>
    <row r="1" spans="1:13" s="22" customFormat="1" x14ac:dyDescent="0.3">
      <c r="A1" s="24" t="s">
        <v>101</v>
      </c>
      <c r="B1" s="23"/>
      <c r="C1" s="23"/>
    </row>
    <row r="2" spans="1:13" x14ac:dyDescent="0.3">
      <c r="A2" s="25" t="s">
        <v>12</v>
      </c>
      <c r="B2" s="27" t="s">
        <v>19</v>
      </c>
      <c r="C2" s="25" t="s">
        <v>10</v>
      </c>
    </row>
    <row r="3" spans="1:13" x14ac:dyDescent="0.3">
      <c r="A3" t="s">
        <v>7</v>
      </c>
      <c r="B3" s="4">
        <v>298</v>
      </c>
      <c r="C3" t="s">
        <v>22</v>
      </c>
      <c r="J3" s="2"/>
      <c r="L3" s="2"/>
    </row>
    <row r="4" spans="1:13" x14ac:dyDescent="0.3">
      <c r="A4" s="2" t="s">
        <v>8</v>
      </c>
      <c r="B4" s="4">
        <f>(2*14+16)/(2*14)</f>
        <v>1.5714285714285714</v>
      </c>
      <c r="J4" s="2"/>
      <c r="L4" s="2"/>
    </row>
    <row r="5" spans="1:13" x14ac:dyDescent="0.3">
      <c r="A5" t="s">
        <v>20</v>
      </c>
      <c r="B5" s="4">
        <v>0.01</v>
      </c>
      <c r="C5" t="s">
        <v>21</v>
      </c>
      <c r="J5" s="2"/>
      <c r="L5" s="2"/>
    </row>
    <row r="6" spans="1:13" x14ac:dyDescent="0.3">
      <c r="A6" s="29" t="s">
        <v>13</v>
      </c>
      <c r="B6" s="30"/>
      <c r="C6" s="26"/>
      <c r="J6" s="2"/>
      <c r="L6" s="2"/>
      <c r="M6" s="2"/>
    </row>
    <row r="7" spans="1:13" x14ac:dyDescent="0.3">
      <c r="A7" s="2" t="s">
        <v>15</v>
      </c>
      <c r="B7" s="4">
        <v>200</v>
      </c>
      <c r="L7" s="2"/>
    </row>
    <row r="8" spans="1:13" x14ac:dyDescent="0.3">
      <c r="A8" s="2" t="s">
        <v>16</v>
      </c>
      <c r="B8" s="4">
        <f>B5</f>
        <v>0.01</v>
      </c>
      <c r="L8" s="2"/>
    </row>
    <row r="9" spans="1:13" x14ac:dyDescent="0.3">
      <c r="A9" t="s">
        <v>18</v>
      </c>
      <c r="B9" s="4">
        <f>B8*B7</f>
        <v>2</v>
      </c>
      <c r="L9" s="2"/>
    </row>
    <row r="10" spans="1:13" x14ac:dyDescent="0.3">
      <c r="A10" t="s">
        <v>17</v>
      </c>
      <c r="B10" s="4">
        <f>B9*B4</f>
        <v>3.1428571428571428</v>
      </c>
      <c r="J10" s="2"/>
      <c r="L10" s="2"/>
      <c r="M10" s="2"/>
    </row>
    <row r="11" spans="1:13" x14ac:dyDescent="0.3">
      <c r="A11" s="2" t="s">
        <v>24</v>
      </c>
      <c r="B11" s="4">
        <f>B10/1000*B3</f>
        <v>0.93657142857142861</v>
      </c>
      <c r="L11" s="2"/>
      <c r="M11" s="2"/>
    </row>
    <row r="12" spans="1:13" x14ac:dyDescent="0.3">
      <c r="A12" s="29" t="s">
        <v>14</v>
      </c>
      <c r="B12" s="30"/>
      <c r="C12" s="26"/>
      <c r="L12" s="2"/>
      <c r="M12" s="2"/>
    </row>
    <row r="13" spans="1:13" x14ac:dyDescent="0.3">
      <c r="A13" s="2" t="s">
        <v>15</v>
      </c>
      <c r="B13">
        <v>200</v>
      </c>
      <c r="C13" t="s">
        <v>99</v>
      </c>
      <c r="J13" s="2"/>
      <c r="L13" s="2"/>
    </row>
    <row r="14" spans="1:13" x14ac:dyDescent="0.3">
      <c r="A14" t="s">
        <v>9</v>
      </c>
      <c r="B14" s="4">
        <v>16</v>
      </c>
      <c r="C14" t="s">
        <v>99</v>
      </c>
      <c r="L14" s="2"/>
    </row>
    <row r="15" spans="1:13" x14ac:dyDescent="0.3">
      <c r="A15" s="2" t="s">
        <v>11</v>
      </c>
      <c r="B15" s="4">
        <f>B14/1000*B3</f>
        <v>4.7679999999999998</v>
      </c>
      <c r="L15" s="2"/>
    </row>
    <row r="16" spans="1:13" x14ac:dyDescent="0.3">
      <c r="A16" t="s">
        <v>18</v>
      </c>
      <c r="B16">
        <f>B14/B4</f>
        <v>10.181818181818182</v>
      </c>
      <c r="L16" s="2"/>
    </row>
    <row r="17" spans="1:12" x14ac:dyDescent="0.3">
      <c r="A17" s="2" t="s">
        <v>16</v>
      </c>
      <c r="B17" s="4">
        <f>B16/B13</f>
        <v>5.0909090909090911E-2</v>
      </c>
      <c r="D17" s="2"/>
      <c r="L17" s="2"/>
    </row>
    <row r="18" spans="1:12" x14ac:dyDescent="0.3">
      <c r="B18" s="4"/>
      <c r="L18" s="2"/>
    </row>
    <row r="19" spans="1:12" x14ac:dyDescent="0.3">
      <c r="B19" s="4"/>
    </row>
    <row r="20" spans="1:12" x14ac:dyDescent="0.3">
      <c r="B20" s="4"/>
    </row>
    <row r="21" spans="1:12" x14ac:dyDescent="0.3">
      <c r="B21" s="4"/>
    </row>
    <row r="22" spans="1:12" x14ac:dyDescent="0.3">
      <c r="D22" s="2"/>
    </row>
    <row r="23" spans="1:12" x14ac:dyDescent="0.3">
      <c r="D23" s="2"/>
    </row>
    <row r="24" spans="1:12" x14ac:dyDescent="0.3">
      <c r="D24" s="2"/>
    </row>
    <row r="25" spans="1:12" x14ac:dyDescent="0.3">
      <c r="D25" s="2"/>
    </row>
    <row r="26" spans="1:12" x14ac:dyDescent="0.3">
      <c r="D26" s="2"/>
    </row>
    <row r="27" spans="1:12" x14ac:dyDescent="0.3">
      <c r="D27" s="2"/>
    </row>
    <row r="28" spans="1:12" x14ac:dyDescent="0.3">
      <c r="D28" s="2"/>
    </row>
    <row r="29" spans="1:12" x14ac:dyDescent="0.3">
      <c r="D2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C5F-8879-488C-B532-3749D2A8845C}">
  <dimension ref="A1:C8"/>
  <sheetViews>
    <sheetView workbookViewId="0">
      <selection activeCell="C11" sqref="C11"/>
    </sheetView>
  </sheetViews>
  <sheetFormatPr defaultRowHeight="14.4" x14ac:dyDescent="0.3"/>
  <cols>
    <col min="1" max="1" width="37.21875" customWidth="1"/>
    <col min="2" max="2" width="11.44140625" customWidth="1"/>
    <col min="3" max="3" width="23.6640625" customWidth="1"/>
  </cols>
  <sheetData>
    <row r="1" spans="1:3" s="22" customFormat="1" x14ac:dyDescent="0.3">
      <c r="A1" s="24" t="s">
        <v>103</v>
      </c>
      <c r="B1" s="23"/>
      <c r="C1" s="23"/>
    </row>
    <row r="2" spans="1:3" x14ac:dyDescent="0.3">
      <c r="A2" s="25" t="s">
        <v>25</v>
      </c>
      <c r="B2" s="27" t="s">
        <v>19</v>
      </c>
      <c r="C2" s="25" t="s">
        <v>10</v>
      </c>
    </row>
    <row r="3" spans="1:3" x14ac:dyDescent="0.3">
      <c r="A3" t="s">
        <v>29</v>
      </c>
      <c r="B3">
        <v>0.2</v>
      </c>
      <c r="C3" t="s">
        <v>21</v>
      </c>
    </row>
    <row r="4" spans="1:3" x14ac:dyDescent="0.3">
      <c r="A4" t="s">
        <v>28</v>
      </c>
      <c r="B4">
        <v>0.46</v>
      </c>
      <c r="C4" t="s">
        <v>21</v>
      </c>
    </row>
    <row r="5" spans="1:3" x14ac:dyDescent="0.3">
      <c r="A5" t="s">
        <v>27</v>
      </c>
      <c r="B5">
        <v>200</v>
      </c>
      <c r="C5" t="s">
        <v>104</v>
      </c>
    </row>
    <row r="6" spans="1:3" x14ac:dyDescent="0.3">
      <c r="A6" t="s">
        <v>26</v>
      </c>
      <c r="B6" s="10">
        <f>B5/B4</f>
        <v>434.78260869565213</v>
      </c>
    </row>
    <row r="7" spans="1:3" x14ac:dyDescent="0.3">
      <c r="A7" t="s">
        <v>30</v>
      </c>
      <c r="B7" s="10">
        <f>44/12</f>
        <v>3.6666666666666665</v>
      </c>
    </row>
    <row r="8" spans="1:3" x14ac:dyDescent="0.3">
      <c r="A8" t="s">
        <v>23</v>
      </c>
      <c r="B8" s="10">
        <f>B3*B6/1000*B7</f>
        <v>0.3188405797101449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36"/>
  <sheetViews>
    <sheetView tabSelected="1" topLeftCell="A13" zoomScale="145" zoomScaleNormal="145" workbookViewId="0">
      <selection activeCell="B23" sqref="B23"/>
    </sheetView>
  </sheetViews>
  <sheetFormatPr defaultRowHeight="14.4" x14ac:dyDescent="0.3"/>
  <cols>
    <col min="1" max="1" width="44.109375" customWidth="1"/>
    <col min="2" max="2" width="15.88671875" customWidth="1"/>
    <col min="3" max="3" width="60.6640625" customWidth="1"/>
    <col min="4" max="4" width="11.109375" customWidth="1"/>
    <col min="5" max="5" width="18" customWidth="1"/>
    <col min="10" max="12" width="8.88671875" style="2"/>
    <col min="13" max="13" width="3.6640625" style="2" customWidth="1"/>
    <col min="14" max="16" width="8.88671875" style="2"/>
    <col min="17" max="17" width="2.77734375" style="2" customWidth="1"/>
    <col min="18" max="21" width="8.88671875" style="2"/>
  </cols>
  <sheetData>
    <row r="1" spans="1:7" x14ac:dyDescent="0.3">
      <c r="A1" s="23" t="s">
        <v>105</v>
      </c>
      <c r="B1" s="23"/>
      <c r="C1" s="23"/>
      <c r="D1" s="31"/>
    </row>
    <row r="2" spans="1:7" x14ac:dyDescent="0.3">
      <c r="A2" s="6" t="s">
        <v>25</v>
      </c>
      <c r="B2" s="37" t="s">
        <v>19</v>
      </c>
      <c r="C2" s="6" t="s">
        <v>10</v>
      </c>
      <c r="D2" s="31"/>
    </row>
    <row r="3" spans="1:7" x14ac:dyDescent="0.3">
      <c r="A3" s="25" t="s">
        <v>106</v>
      </c>
      <c r="B3" s="26"/>
      <c r="C3" s="26"/>
      <c r="E3" s="21"/>
      <c r="F3" s="22"/>
      <c r="G3" s="22"/>
    </row>
    <row r="4" spans="1:7" x14ac:dyDescent="0.3">
      <c r="A4" t="s">
        <v>54</v>
      </c>
      <c r="B4">
        <v>200</v>
      </c>
      <c r="C4" t="s">
        <v>113</v>
      </c>
      <c r="E4" s="22"/>
      <c r="F4" s="22"/>
      <c r="G4" s="22"/>
    </row>
    <row r="5" spans="1:7" x14ac:dyDescent="0.3">
      <c r="A5" t="s">
        <v>55</v>
      </c>
      <c r="B5">
        <v>0.25</v>
      </c>
      <c r="E5" s="22"/>
      <c r="F5" s="22"/>
      <c r="G5" s="22"/>
    </row>
    <row r="6" spans="1:7" x14ac:dyDescent="0.3">
      <c r="A6" t="s">
        <v>0</v>
      </c>
      <c r="B6">
        <f>B5*B4</f>
        <v>50</v>
      </c>
      <c r="E6" s="35"/>
      <c r="F6" s="35"/>
      <c r="G6" s="35"/>
    </row>
    <row r="7" spans="1:7" x14ac:dyDescent="0.3">
      <c r="A7" t="s">
        <v>3</v>
      </c>
      <c r="B7">
        <v>0.71</v>
      </c>
      <c r="C7" t="s">
        <v>112</v>
      </c>
      <c r="E7" s="35"/>
      <c r="F7" s="35"/>
      <c r="G7" s="35"/>
    </row>
    <row r="8" spans="1:7" x14ac:dyDescent="0.3">
      <c r="A8" t="s">
        <v>122</v>
      </c>
      <c r="B8" s="10">
        <v>0.1</v>
      </c>
      <c r="E8" s="22"/>
      <c r="F8" s="22"/>
      <c r="G8" s="22"/>
    </row>
    <row r="9" spans="1:7" x14ac:dyDescent="0.3">
      <c r="A9" t="s">
        <v>1</v>
      </c>
      <c r="B9" s="10">
        <v>0.8</v>
      </c>
      <c r="E9" s="22"/>
      <c r="F9" s="22"/>
      <c r="G9" s="22"/>
    </row>
    <row r="10" spans="1:7" x14ac:dyDescent="0.3">
      <c r="A10" t="s">
        <v>2</v>
      </c>
      <c r="B10" s="10">
        <v>0.1</v>
      </c>
      <c r="E10" s="22"/>
      <c r="F10" s="35"/>
      <c r="G10" s="35"/>
    </row>
    <row r="11" spans="1:7" x14ac:dyDescent="0.3">
      <c r="A11" t="s">
        <v>4</v>
      </c>
      <c r="B11" s="10">
        <v>0.2</v>
      </c>
      <c r="E11" s="22"/>
      <c r="F11" s="35"/>
      <c r="G11" s="22"/>
    </row>
    <row r="12" spans="1:7" x14ac:dyDescent="0.3">
      <c r="A12" t="s">
        <v>5</v>
      </c>
      <c r="B12" s="10">
        <f>B7*B6*B9</f>
        <v>28.400000000000002</v>
      </c>
      <c r="E12" s="22"/>
      <c r="F12" s="36"/>
      <c r="G12" s="22"/>
    </row>
    <row r="13" spans="1:7" x14ac:dyDescent="0.3">
      <c r="A13" t="s">
        <v>6</v>
      </c>
      <c r="B13" s="10">
        <f>B7*B6*B10*B11</f>
        <v>0.71000000000000008</v>
      </c>
      <c r="E13" s="22"/>
      <c r="F13" s="22"/>
      <c r="G13" s="22"/>
    </row>
    <row r="14" spans="1:7" x14ac:dyDescent="0.3">
      <c r="A14" t="s">
        <v>56</v>
      </c>
      <c r="B14">
        <v>10</v>
      </c>
    </row>
    <row r="15" spans="1:7" x14ac:dyDescent="0.3">
      <c r="A15" s="25" t="s">
        <v>107</v>
      </c>
      <c r="B15" s="26"/>
      <c r="C15" s="26"/>
    </row>
    <row r="16" spans="1:7" x14ac:dyDescent="0.3">
      <c r="A16" t="s">
        <v>64</v>
      </c>
      <c r="B16">
        <v>25</v>
      </c>
      <c r="C16" t="s">
        <v>110</v>
      </c>
    </row>
    <row r="17" spans="1:6" x14ac:dyDescent="0.3">
      <c r="A17" t="s">
        <v>65</v>
      </c>
      <c r="B17">
        <f>B16/B11</f>
        <v>125</v>
      </c>
      <c r="E17" s="2"/>
      <c r="F17" s="2"/>
    </row>
    <row r="18" spans="1:6" x14ac:dyDescent="0.3">
      <c r="A18" t="s">
        <v>57</v>
      </c>
      <c r="B18" s="1">
        <f>B17*B12/1000*3.667</f>
        <v>13.017850000000001</v>
      </c>
      <c r="E18" s="2"/>
      <c r="F18" s="2"/>
    </row>
    <row r="19" spans="1:6" x14ac:dyDescent="0.3">
      <c r="A19" t="s">
        <v>58</v>
      </c>
      <c r="B19" s="1">
        <f>B16*B13/1000*3.667</f>
        <v>6.5089250000000001E-2</v>
      </c>
      <c r="E19" s="2"/>
      <c r="F19" s="2"/>
    </row>
    <row r="20" spans="1:6" x14ac:dyDescent="0.3">
      <c r="A20" t="s">
        <v>59</v>
      </c>
      <c r="B20" s="1">
        <f>B19+B18</f>
        <v>13.082939250000001</v>
      </c>
      <c r="E20" s="2"/>
      <c r="F20" s="2"/>
    </row>
    <row r="21" spans="1:6" x14ac:dyDescent="0.3">
      <c r="A21" s="32" t="s">
        <v>108</v>
      </c>
      <c r="B21" s="33"/>
      <c r="C21" s="33"/>
      <c r="E21" s="2"/>
      <c r="F21" s="2"/>
    </row>
    <row r="22" spans="1:6" x14ac:dyDescent="0.3">
      <c r="A22" t="s">
        <v>64</v>
      </c>
      <c r="B22">
        <v>62</v>
      </c>
      <c r="C22" t="s">
        <v>110</v>
      </c>
      <c r="E22" s="2"/>
      <c r="F22" s="2"/>
    </row>
    <row r="23" spans="1:6" x14ac:dyDescent="0.3">
      <c r="A23" t="s">
        <v>65</v>
      </c>
      <c r="B23">
        <f>B22/B11</f>
        <v>310</v>
      </c>
    </row>
    <row r="24" spans="1:6" x14ac:dyDescent="0.3">
      <c r="A24" t="s">
        <v>57</v>
      </c>
      <c r="B24" s="1">
        <f>B23*B12/1000*3.667</f>
        <v>32.284267999999997</v>
      </c>
    </row>
    <row r="25" spans="1:6" x14ac:dyDescent="0.3">
      <c r="A25" t="s">
        <v>58</v>
      </c>
      <c r="B25" s="1">
        <f>B22*B13/1000*4.667</f>
        <v>0.20544134</v>
      </c>
    </row>
    <row r="26" spans="1:6" x14ac:dyDescent="0.3">
      <c r="A26" t="s">
        <v>59</v>
      </c>
      <c r="B26" s="1">
        <f>B25+B24</f>
        <v>32.489709339999997</v>
      </c>
    </row>
    <row r="27" spans="1:6" x14ac:dyDescent="0.3">
      <c r="A27" s="25" t="s">
        <v>109</v>
      </c>
      <c r="B27" s="34"/>
      <c r="C27" s="26"/>
    </row>
    <row r="28" spans="1:6" x14ac:dyDescent="0.3">
      <c r="A28" t="s">
        <v>114</v>
      </c>
      <c r="B28">
        <v>0.49</v>
      </c>
      <c r="C28" t="s">
        <v>111</v>
      </c>
    </row>
    <row r="29" spans="1:6" x14ac:dyDescent="0.3">
      <c r="A29" t="s">
        <v>115</v>
      </c>
      <c r="B29">
        <f>1-B28</f>
        <v>0.51</v>
      </c>
      <c r="C29" t="s">
        <v>111</v>
      </c>
      <c r="E29" s="10"/>
    </row>
    <row r="30" spans="1:6" x14ac:dyDescent="0.3">
      <c r="A30" t="s">
        <v>60</v>
      </c>
      <c r="B30" s="10">
        <f>B28*B20+B29*B26</f>
        <v>22.9803919959</v>
      </c>
    </row>
    <row r="31" spans="1:6" x14ac:dyDescent="0.3">
      <c r="A31" s="25" t="s">
        <v>116</v>
      </c>
      <c r="B31" s="26"/>
      <c r="C31" s="26"/>
    </row>
    <row r="32" spans="1:6" x14ac:dyDescent="0.3">
      <c r="A32" t="s">
        <v>117</v>
      </c>
      <c r="B32" s="11">
        <v>20000</v>
      </c>
    </row>
    <row r="33" spans="1:2" x14ac:dyDescent="0.3">
      <c r="A33" t="s">
        <v>61</v>
      </c>
      <c r="B33" s="1">
        <f>B30*B32/1000000</f>
        <v>0.45960783991799997</v>
      </c>
    </row>
    <row r="34" spans="1:2" x14ac:dyDescent="0.3">
      <c r="A34" t="s">
        <v>62</v>
      </c>
      <c r="B34">
        <f>250+25</f>
        <v>275</v>
      </c>
    </row>
    <row r="35" spans="1:2" x14ac:dyDescent="0.3">
      <c r="A35" t="s">
        <v>66</v>
      </c>
      <c r="B35" s="11">
        <f>B34*B32/1000000</f>
        <v>5.5</v>
      </c>
    </row>
    <row r="36" spans="1:2" x14ac:dyDescent="0.3">
      <c r="A36" t="s">
        <v>63</v>
      </c>
      <c r="B36" s="10">
        <f>B35/B33</f>
        <v>11.966723633307195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topLeftCell="A16" zoomScale="130" zoomScaleNormal="130" workbookViewId="0">
      <selection activeCell="C34" sqref="C34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19" t="s">
        <v>118</v>
      </c>
      <c r="B1" s="20"/>
      <c r="C1" s="20"/>
      <c r="D1" s="20"/>
    </row>
    <row r="2" spans="1:4" x14ac:dyDescent="0.3">
      <c r="A2" s="38" t="s">
        <v>98</v>
      </c>
      <c r="B2" s="38" t="s">
        <v>119</v>
      </c>
      <c r="C2" s="38" t="s">
        <v>120</v>
      </c>
      <c r="D2" s="38" t="s">
        <v>10</v>
      </c>
    </row>
    <row r="3" spans="1:4" x14ac:dyDescent="0.3">
      <c r="A3" s="17" t="s">
        <v>81</v>
      </c>
      <c r="B3" s="17">
        <v>-9.1999999999999993</v>
      </c>
      <c r="C3" s="17">
        <v>-10.9</v>
      </c>
      <c r="D3" s="18" t="s">
        <v>80</v>
      </c>
    </row>
    <row r="4" spans="1:4" x14ac:dyDescent="0.3">
      <c r="A4" s="17" t="s">
        <v>81</v>
      </c>
      <c r="B4" s="17">
        <v>38.200000000000003</v>
      </c>
      <c r="C4" s="17">
        <v>51.5</v>
      </c>
      <c r="D4" s="18" t="s">
        <v>80</v>
      </c>
    </row>
    <row r="5" spans="1:4" x14ac:dyDescent="0.3">
      <c r="A5" s="17" t="s">
        <v>81</v>
      </c>
      <c r="B5" s="17">
        <v>246.6</v>
      </c>
      <c r="C5" s="17">
        <v>155.4</v>
      </c>
      <c r="D5" s="18" t="s">
        <v>80</v>
      </c>
    </row>
    <row r="6" spans="1:4" x14ac:dyDescent="0.3">
      <c r="A6" s="17" t="s">
        <v>81</v>
      </c>
      <c r="B6" s="17">
        <v>59</v>
      </c>
      <c r="C6" s="17">
        <v>15.4</v>
      </c>
      <c r="D6" s="18" t="s">
        <v>80</v>
      </c>
    </row>
    <row r="7" spans="1:4" x14ac:dyDescent="0.3">
      <c r="A7" s="17" t="s">
        <v>83</v>
      </c>
      <c r="B7" s="17">
        <v>-0.1</v>
      </c>
      <c r="C7" s="17">
        <v>-0.2</v>
      </c>
      <c r="D7" s="17" t="s">
        <v>82</v>
      </c>
    </row>
    <row r="8" spans="1:4" x14ac:dyDescent="0.3">
      <c r="A8" s="17" t="s">
        <v>83</v>
      </c>
      <c r="B8" s="17">
        <v>1.9</v>
      </c>
      <c r="C8" s="17">
        <v>3.3</v>
      </c>
      <c r="D8" s="17" t="s">
        <v>82</v>
      </c>
    </row>
    <row r="9" spans="1:4" x14ac:dyDescent="0.3">
      <c r="A9" s="17" t="s">
        <v>83</v>
      </c>
      <c r="B9" s="17">
        <v>6.4</v>
      </c>
      <c r="C9" s="17">
        <v>11.3</v>
      </c>
      <c r="D9" s="17" t="s">
        <v>82</v>
      </c>
    </row>
    <row r="10" spans="1:4" x14ac:dyDescent="0.3">
      <c r="A10" s="17" t="s">
        <v>83</v>
      </c>
      <c r="B10" s="17">
        <v>18.7</v>
      </c>
      <c r="C10" s="17">
        <v>32.9</v>
      </c>
      <c r="D10" s="17" t="s">
        <v>82</v>
      </c>
    </row>
    <row r="11" spans="1:4" x14ac:dyDescent="0.3">
      <c r="A11" s="17" t="s">
        <v>83</v>
      </c>
      <c r="B11" s="17">
        <v>17.3</v>
      </c>
      <c r="C11" s="17">
        <v>30.5</v>
      </c>
      <c r="D11" s="17" t="s">
        <v>82</v>
      </c>
    </row>
    <row r="12" spans="1:4" x14ac:dyDescent="0.3">
      <c r="A12" s="17" t="s">
        <v>84</v>
      </c>
      <c r="B12" s="17">
        <v>7.3</v>
      </c>
      <c r="C12" s="17">
        <v>12.8</v>
      </c>
      <c r="D12" s="17" t="s">
        <v>82</v>
      </c>
    </row>
    <row r="13" spans="1:4" x14ac:dyDescent="0.3">
      <c r="A13" s="17" t="s">
        <v>84</v>
      </c>
      <c r="B13" s="17">
        <v>0.2</v>
      </c>
      <c r="C13" s="17">
        <v>0.4</v>
      </c>
      <c r="D13" s="17" t="s">
        <v>82</v>
      </c>
    </row>
    <row r="14" spans="1:4" x14ac:dyDescent="0.3">
      <c r="A14" s="17" t="s">
        <v>84</v>
      </c>
      <c r="B14" s="17">
        <v>0</v>
      </c>
      <c r="C14" s="17">
        <v>0</v>
      </c>
      <c r="D14" s="17" t="s">
        <v>82</v>
      </c>
    </row>
    <row r="15" spans="1:4" x14ac:dyDescent="0.3">
      <c r="A15" s="17" t="s">
        <v>84</v>
      </c>
      <c r="B15" s="17">
        <v>3.7</v>
      </c>
      <c r="C15" s="17">
        <v>6.5</v>
      </c>
      <c r="D15" s="17" t="s">
        <v>82</v>
      </c>
    </row>
    <row r="16" spans="1:4" x14ac:dyDescent="0.3">
      <c r="A16" s="17" t="s">
        <v>84</v>
      </c>
      <c r="B16" s="17">
        <v>8.5</v>
      </c>
      <c r="C16" s="17">
        <v>14.9</v>
      </c>
      <c r="D16" s="17" t="s">
        <v>82</v>
      </c>
    </row>
    <row r="17" spans="1:4" x14ac:dyDescent="0.3">
      <c r="A17" s="17" t="s">
        <v>81</v>
      </c>
      <c r="B17" s="17">
        <v>3</v>
      </c>
      <c r="C17" s="17">
        <v>2.9</v>
      </c>
      <c r="D17" s="17" t="s">
        <v>85</v>
      </c>
    </row>
    <row r="18" spans="1:4" x14ac:dyDescent="0.3">
      <c r="A18" s="17" t="s">
        <v>87</v>
      </c>
      <c r="B18" s="17">
        <v>17.5</v>
      </c>
      <c r="C18" s="17">
        <v>14.3</v>
      </c>
      <c r="D18" s="17" t="s">
        <v>86</v>
      </c>
    </row>
    <row r="19" spans="1:4" x14ac:dyDescent="0.3">
      <c r="A19" s="17" t="s">
        <v>87</v>
      </c>
      <c r="B19" s="17">
        <v>87.5</v>
      </c>
      <c r="C19" s="17">
        <v>71.400000000000006</v>
      </c>
      <c r="D19" s="17" t="s">
        <v>86</v>
      </c>
    </row>
    <row r="20" spans="1:4" x14ac:dyDescent="0.3">
      <c r="A20" s="17" t="s">
        <v>88</v>
      </c>
      <c r="B20" s="17">
        <v>10</v>
      </c>
      <c r="C20" s="17">
        <v>6.3</v>
      </c>
      <c r="D20" s="17" t="s">
        <v>86</v>
      </c>
    </row>
    <row r="21" spans="1:4" x14ac:dyDescent="0.3">
      <c r="A21" s="17" t="s">
        <v>88</v>
      </c>
      <c r="B21" s="17">
        <v>5</v>
      </c>
      <c r="C21" s="17">
        <v>3.1</v>
      </c>
      <c r="D21" s="17" t="s">
        <v>86</v>
      </c>
    </row>
    <row r="22" spans="1:4" x14ac:dyDescent="0.3">
      <c r="A22" s="17" t="s">
        <v>90</v>
      </c>
      <c r="B22" s="17">
        <v>3.4</v>
      </c>
      <c r="C22" s="17">
        <v>9.8000000000000007</v>
      </c>
      <c r="D22" s="17" t="s">
        <v>89</v>
      </c>
    </row>
    <row r="23" spans="1:4" x14ac:dyDescent="0.3">
      <c r="A23" s="17" t="s">
        <v>90</v>
      </c>
      <c r="B23" s="17">
        <v>6.8</v>
      </c>
      <c r="C23" s="17">
        <v>19.600000000000001</v>
      </c>
      <c r="D23" s="17" t="s">
        <v>89</v>
      </c>
    </row>
    <row r="24" spans="1:4" x14ac:dyDescent="0.3">
      <c r="A24" s="17" t="s">
        <v>92</v>
      </c>
      <c r="B24" s="17">
        <v>-9.1999999999999993</v>
      </c>
      <c r="C24" s="17">
        <v>-14.2</v>
      </c>
      <c r="D24" s="18" t="s">
        <v>91</v>
      </c>
    </row>
    <row r="25" spans="1:4" x14ac:dyDescent="0.3">
      <c r="A25" s="17" t="s">
        <v>92</v>
      </c>
      <c r="B25" s="17">
        <v>0.6</v>
      </c>
      <c r="C25" s="17">
        <v>1.4</v>
      </c>
      <c r="D25" s="18" t="s">
        <v>91</v>
      </c>
    </row>
    <row r="26" spans="1:4" x14ac:dyDescent="0.3">
      <c r="A26" s="17" t="s">
        <v>87</v>
      </c>
      <c r="B26" s="17">
        <v>38.9</v>
      </c>
      <c r="C26" s="17">
        <v>11.8</v>
      </c>
      <c r="D26" s="17" t="s">
        <v>93</v>
      </c>
    </row>
    <row r="27" spans="1:4" x14ac:dyDescent="0.3">
      <c r="A27" s="17" t="s">
        <v>81</v>
      </c>
      <c r="B27" s="17">
        <v>-3.96</v>
      </c>
      <c r="C27" s="17">
        <v>-4.5</v>
      </c>
      <c r="D27" s="17" t="s">
        <v>94</v>
      </c>
    </row>
    <row r="28" spans="1:4" x14ac:dyDescent="0.3">
      <c r="A28" s="39" t="s">
        <v>95</v>
      </c>
      <c r="B28" s="40">
        <f>AVERAGE(B3:B27)</f>
        <v>22.321599999999993</v>
      </c>
      <c r="C28" s="40">
        <f>AVERAGE(C3:C27)</f>
        <v>17.828000000000003</v>
      </c>
      <c r="D28" s="9"/>
    </row>
    <row r="29" spans="1:4" x14ac:dyDescent="0.3">
      <c r="A29" s="39" t="s">
        <v>96</v>
      </c>
      <c r="B29" s="40">
        <f>MEDIAN(B3:B27)</f>
        <v>6.4</v>
      </c>
      <c r="C29" s="40">
        <f>MEDIAN(C3:C27)</f>
        <v>9.8000000000000007</v>
      </c>
      <c r="D29" s="9"/>
    </row>
    <row r="30" spans="1:4" x14ac:dyDescent="0.3">
      <c r="A30" s="39" t="s">
        <v>97</v>
      </c>
      <c r="B30" s="40">
        <f>STDEV(B3:B27)/SQRT(COUNT(B3:B27))</f>
        <v>10.326431776110597</v>
      </c>
      <c r="C30" s="40">
        <f>STDEV(C3:C27)/SQRT(COUNT(C3:C27))</f>
        <v>6.8306210552189182</v>
      </c>
      <c r="D30" s="9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44-DA86-46C3-9325-6709E921F8CA}">
  <dimension ref="A1:C21"/>
  <sheetViews>
    <sheetView workbookViewId="0">
      <selection activeCell="C12" sqref="C12"/>
    </sheetView>
  </sheetViews>
  <sheetFormatPr defaultRowHeight="14.4" x14ac:dyDescent="0.3"/>
  <cols>
    <col min="1" max="1" width="33.88671875" customWidth="1"/>
    <col min="2" max="2" width="23.109375" customWidth="1"/>
    <col min="3" max="3" width="16.33203125" customWidth="1"/>
  </cols>
  <sheetData>
    <row r="1" spans="1:3" x14ac:dyDescent="0.3">
      <c r="A1" s="7" t="s">
        <v>121</v>
      </c>
      <c r="B1" s="7"/>
      <c r="C1" s="7"/>
    </row>
    <row r="2" spans="1:3" x14ac:dyDescent="0.3">
      <c r="A2" s="8" t="s">
        <v>25</v>
      </c>
      <c r="B2" s="8" t="s">
        <v>19</v>
      </c>
      <c r="C2" s="8" t="s">
        <v>10</v>
      </c>
    </row>
    <row r="3" spans="1:3" x14ac:dyDescent="0.3">
      <c r="A3" t="s">
        <v>72</v>
      </c>
      <c r="B3" s="11">
        <v>404760</v>
      </c>
    </row>
    <row r="4" spans="1:3" x14ac:dyDescent="0.3">
      <c r="A4" t="s">
        <v>67</v>
      </c>
      <c r="B4" s="15">
        <v>4000000</v>
      </c>
    </row>
    <row r="5" spans="1:3" x14ac:dyDescent="0.3">
      <c r="A5" t="s">
        <v>71</v>
      </c>
      <c r="B5">
        <v>0.75</v>
      </c>
    </row>
    <row r="6" spans="1:3" x14ac:dyDescent="0.3">
      <c r="A6" t="s">
        <v>67</v>
      </c>
      <c r="B6" s="15">
        <f>B5*B4</f>
        <v>3000000</v>
      </c>
    </row>
    <row r="7" spans="1:3" x14ac:dyDescent="0.3">
      <c r="A7" t="s">
        <v>69</v>
      </c>
      <c r="B7" s="13">
        <v>423.77600000000001</v>
      </c>
    </row>
    <row r="8" spans="1:3" x14ac:dyDescent="0.3">
      <c r="A8" t="s">
        <v>70</v>
      </c>
      <c r="B8" s="11">
        <f>B7*B6</f>
        <v>1271328000</v>
      </c>
    </row>
    <row r="9" spans="1:3" x14ac:dyDescent="0.3">
      <c r="A9" t="s">
        <v>68</v>
      </c>
      <c r="B9" s="13">
        <v>900</v>
      </c>
    </row>
    <row r="10" spans="1:3" x14ac:dyDescent="0.3">
      <c r="A10" t="s">
        <v>73</v>
      </c>
      <c r="B10" s="14">
        <f>B9*B8/1000</f>
        <v>1144195200</v>
      </c>
    </row>
    <row r="11" spans="1:3" x14ac:dyDescent="0.3">
      <c r="A11" t="s">
        <v>76</v>
      </c>
      <c r="B11" s="11">
        <f>B10/1000000</f>
        <v>1144.1952000000001</v>
      </c>
    </row>
    <row r="12" spans="1:3" x14ac:dyDescent="0.3">
      <c r="A12" t="s">
        <v>62</v>
      </c>
      <c r="B12" s="16">
        <f>535+0.1*535</f>
        <v>588.5</v>
      </c>
      <c r="C12" s="14"/>
    </row>
    <row r="13" spans="1:3" x14ac:dyDescent="0.3">
      <c r="A13" t="s">
        <v>75</v>
      </c>
      <c r="B13" s="15">
        <f>B3*B12/1000000</f>
        <v>238.20125999999999</v>
      </c>
    </row>
    <row r="14" spans="1:3" x14ac:dyDescent="0.3">
      <c r="A14" t="s">
        <v>74</v>
      </c>
      <c r="B14" s="14">
        <f>B11-B13</f>
        <v>905.99394000000007</v>
      </c>
    </row>
    <row r="15" spans="1:3" x14ac:dyDescent="0.3">
      <c r="A15" t="s">
        <v>77</v>
      </c>
      <c r="B15" s="12">
        <f>B14/B13</f>
        <v>3.8034808883882483</v>
      </c>
    </row>
    <row r="16" spans="1:3" x14ac:dyDescent="0.3">
      <c r="B16" s="12"/>
    </row>
    <row r="17" spans="1:2" x14ac:dyDescent="0.3">
      <c r="A17" t="s">
        <v>72</v>
      </c>
      <c r="B17" s="11">
        <v>404760</v>
      </c>
    </row>
    <row r="18" spans="1:2" x14ac:dyDescent="0.3">
      <c r="A18" t="s">
        <v>78</v>
      </c>
      <c r="B18" s="11">
        <v>12000000</v>
      </c>
    </row>
    <row r="19" spans="1:2" x14ac:dyDescent="0.3">
      <c r="A19" t="s">
        <v>62</v>
      </c>
      <c r="B19" s="16">
        <f>535+0.1*535</f>
        <v>588.5</v>
      </c>
    </row>
    <row r="20" spans="1:2" x14ac:dyDescent="0.3">
      <c r="A20" t="s">
        <v>75</v>
      </c>
      <c r="B20" s="15">
        <f>B19*B17</f>
        <v>238201260</v>
      </c>
    </row>
    <row r="21" spans="1:2" x14ac:dyDescent="0.3">
      <c r="A21" t="s">
        <v>79</v>
      </c>
      <c r="B21">
        <f>B20/B18</f>
        <v>19.850104999999999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Urea Production</vt:lpstr>
      <vt:lpstr>N2O Emissions</vt:lpstr>
      <vt:lpstr>CO2 from Urea Hydrolysis</vt:lpstr>
      <vt:lpstr>Volatilization of NH3</vt:lpstr>
      <vt:lpstr>Soil C Response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2020-12-31T15:30:53Z</dcterms:modified>
</cp:coreProperties>
</file>