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CAD5BD11-5513-4DF1-982A-9B56264155A6}" xr6:coauthVersionLast="47" xr6:coauthVersionMax="47" xr10:uidLastSave="{00000000-0000-0000-0000-000000000000}"/>
  <bookViews>
    <workbookView xWindow="810" yWindow="-120" windowWidth="20910" windowHeight="13740" xr2:uid="{2BA4BFD9-F9F3-43CD-AE58-1F5FEB17B570}"/>
  </bookViews>
  <sheets>
    <sheet name="Time Se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F34" i="1" l="1"/>
  <c r="BF36" i="1" s="1"/>
  <c r="BF37" i="1" s="1"/>
  <c r="BF27" i="1"/>
  <c r="BF29" i="1" s="1"/>
  <c r="CC23" i="1"/>
  <c r="CB23" i="1"/>
  <c r="CA23" i="1"/>
  <c r="BZ23" i="1"/>
  <c r="BY18" i="1"/>
  <c r="BY17" i="1"/>
  <c r="BY16" i="1"/>
  <c r="BY15" i="1"/>
  <c r="BI19" i="1"/>
  <c r="BI23" i="1" s="1"/>
  <c r="CR16" i="1"/>
  <c r="CQ16" i="1"/>
  <c r="CO16" i="1"/>
  <c r="CP16" i="1"/>
  <c r="CJ19" i="1"/>
  <c r="CI19" i="1"/>
  <c r="CM19" i="1"/>
  <c r="CM16" i="1"/>
  <c r="CM23" i="1" s="1"/>
  <c r="CN16" i="1"/>
  <c r="CL16" i="1"/>
  <c r="CI16" i="1"/>
  <c r="CJ16" i="1"/>
  <c r="CK16" i="1"/>
  <c r="CN19" i="1"/>
  <c r="CK19" i="1"/>
  <c r="CH23" i="1" s="1"/>
  <c r="CL19" i="1"/>
  <c r="CQ19" i="1"/>
  <c r="CR19" i="1"/>
  <c r="CP19" i="1"/>
  <c r="CO19" i="1"/>
  <c r="BE15" i="1"/>
  <c r="BE16" i="1"/>
  <c r="BE17" i="1"/>
  <c r="BE18" i="1"/>
  <c r="BE19" i="1"/>
  <c r="BC17" i="1"/>
  <c r="BC18" i="1"/>
  <c r="CG23" i="1"/>
  <c r="CF23" i="1"/>
  <c r="CE23" i="1"/>
  <c r="CD23" i="1"/>
  <c r="BC12" i="1"/>
  <c r="BC7" i="1"/>
  <c r="BC2" i="1"/>
  <c r="BC16" i="1"/>
  <c r="BC15" i="1"/>
  <c r="CS23" i="1"/>
  <c r="BU23" i="1"/>
  <c r="BQ23" i="1"/>
  <c r="BK23" i="1"/>
  <c r="BH19" i="1"/>
  <c r="BH18" i="1"/>
  <c r="BH17" i="1"/>
  <c r="BG19" i="1"/>
  <c r="BG18" i="1"/>
  <c r="BG17" i="1"/>
  <c r="BF17" i="1"/>
  <c r="BF18" i="1"/>
  <c r="BF19" i="1"/>
  <c r="BD19" i="1"/>
  <c r="BD23" i="1" s="1"/>
  <c r="BC19" i="1"/>
  <c r="DY15" i="1"/>
  <c r="FI15" i="1"/>
  <c r="EF15" i="1"/>
  <c r="EE15" i="1"/>
  <c r="ED15" i="1"/>
  <c r="EC15" i="1"/>
  <c r="EB15" i="1"/>
  <c r="BF30" i="1" l="1"/>
  <c r="BF31" i="1"/>
  <c r="BY23" i="1"/>
  <c r="CJ23" i="1"/>
  <c r="CI23" i="1"/>
  <c r="CN23" i="1"/>
  <c r="CQ23" i="1"/>
  <c r="CO23" i="1"/>
  <c r="CR23" i="1"/>
  <c r="CP23" i="1"/>
  <c r="CL23" i="1"/>
  <c r="CK23" i="1"/>
  <c r="BE23" i="1"/>
  <c r="BG23" i="1"/>
  <c r="BF23" i="1"/>
  <c r="BH23" i="1"/>
  <c r="BC23" i="1"/>
  <c r="CT18" i="1"/>
  <c r="BV18" i="1"/>
  <c r="BR18" i="1"/>
  <c r="BJ18" i="1"/>
  <c r="CT15" i="1"/>
  <c r="BV15" i="1"/>
  <c r="BR15" i="1"/>
  <c r="BJ15" i="1"/>
  <c r="CT23" i="1" l="1"/>
  <c r="BV23" i="1"/>
  <c r="BJ23" i="1"/>
  <c r="BR23" i="1"/>
  <c r="FG15" i="1"/>
  <c r="FF15" i="1"/>
  <c r="FB15" i="1"/>
  <c r="FA15" i="1"/>
  <c r="EY15" i="1"/>
  <c r="EX15" i="1"/>
  <c r="EW15" i="1"/>
  <c r="ES15" i="1"/>
  <c r="ER15" i="1"/>
  <c r="EN15" i="1"/>
  <c r="EM15" i="1"/>
  <c r="FN15" i="1" s="1"/>
  <c r="EL15" i="1"/>
  <c r="FM15" i="1" s="1"/>
  <c r="EK15" i="1"/>
  <c r="FL15" i="1" s="1"/>
  <c r="EJ15" i="1"/>
  <c r="CZ15" i="1"/>
  <c r="EA15" i="1" s="1"/>
  <c r="EI15" i="1"/>
  <c r="CY15" i="1"/>
  <c r="DZ15" i="1" s="1"/>
  <c r="EG15" i="1"/>
  <c r="CW15" i="1"/>
  <c r="DX15" i="1" s="1"/>
  <c r="AW16" i="1"/>
  <c r="AT16" i="1"/>
  <c r="AW15" i="1"/>
  <c r="AT15" i="1"/>
  <c r="AW14" i="1"/>
  <c r="AT14" i="1"/>
  <c r="AW12" i="1"/>
  <c r="AT12" i="1"/>
  <c r="AT17" i="1"/>
  <c r="FH15" i="1" l="1"/>
  <c r="FJ15" i="1"/>
  <c r="FP15" i="1"/>
  <c r="FK15" i="1"/>
  <c r="FO15" i="1"/>
  <c r="AT23" i="1"/>
  <c r="J23" i="1"/>
  <c r="I23" i="1"/>
  <c r="H23" i="1"/>
  <c r="BB17" i="1" l="1"/>
  <c r="BA17" i="1"/>
  <c r="AZ23" i="1"/>
  <c r="AY23" i="1"/>
  <c r="AX23" i="1"/>
  <c r="D18" i="1"/>
  <c r="AE18" i="1" s="1"/>
  <c r="D17" i="1"/>
  <c r="AE17" i="1" s="1"/>
  <c r="D16" i="1"/>
  <c r="AE16" i="1" s="1"/>
  <c r="D15" i="1"/>
  <c r="AE15" i="1" s="1"/>
  <c r="D14" i="1"/>
  <c r="AE14" i="1" s="1"/>
  <c r="D13" i="1"/>
  <c r="AE13" i="1" s="1"/>
  <c r="D12" i="1"/>
  <c r="AE12" i="1" s="1"/>
  <c r="D11" i="1"/>
  <c r="AE11" i="1" s="1"/>
  <c r="D10" i="1"/>
  <c r="AE10" i="1" s="1"/>
  <c r="D9" i="1"/>
  <c r="AE9" i="1" s="1"/>
  <c r="D8" i="1"/>
  <c r="AE8" i="1" s="1"/>
  <c r="D7" i="1"/>
  <c r="AE7" i="1" s="1"/>
  <c r="D6" i="1"/>
  <c r="AE6" i="1" s="1"/>
  <c r="D5" i="1"/>
  <c r="AE5" i="1" s="1"/>
  <c r="D4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G23" i="1"/>
  <c r="F23" i="1"/>
  <c r="AE4" i="1" l="1"/>
  <c r="AE23" i="1" s="1"/>
  <c r="D23" i="1"/>
  <c r="K12" i="1"/>
  <c r="AU12" i="1" s="1"/>
  <c r="AV12" i="1" s="1"/>
  <c r="L12" i="1"/>
  <c r="O12" i="1"/>
  <c r="M12" i="1"/>
  <c r="O5" i="1"/>
  <c r="M5" i="1"/>
  <c r="L5" i="1"/>
  <c r="K5" i="1"/>
  <c r="AU5" i="1" s="1"/>
  <c r="O14" i="1"/>
  <c r="M14" i="1"/>
  <c r="L14" i="1"/>
  <c r="K14" i="1"/>
  <c r="AU14" i="1" s="1"/>
  <c r="AV14" i="1" s="1"/>
  <c r="O16" i="1"/>
  <c r="M16" i="1"/>
  <c r="L16" i="1"/>
  <c r="K16" i="1"/>
  <c r="AU16" i="1" s="1"/>
  <c r="AV16" i="1" s="1"/>
  <c r="K6" i="1"/>
  <c r="AU6" i="1" s="1"/>
  <c r="L6" i="1"/>
  <c r="M6" i="1"/>
  <c r="O6" i="1"/>
  <c r="K18" i="1"/>
  <c r="AU18" i="1" s="1"/>
  <c r="O18" i="1"/>
  <c r="M18" i="1"/>
  <c r="L18" i="1"/>
  <c r="O11" i="1"/>
  <c r="M11" i="1"/>
  <c r="L11" i="1"/>
  <c r="K11" i="1"/>
  <c r="AU11" i="1" s="1"/>
  <c r="K13" i="1"/>
  <c r="AU13" i="1" s="1"/>
  <c r="O13" i="1"/>
  <c r="M13" i="1"/>
  <c r="L13" i="1"/>
  <c r="K15" i="1"/>
  <c r="AU15" i="1" s="1"/>
  <c r="AV15" i="1" s="1"/>
  <c r="M15" i="1"/>
  <c r="L15" i="1"/>
  <c r="O15" i="1"/>
  <c r="K7" i="1"/>
  <c r="AU7" i="1" s="1"/>
  <c r="O7" i="1"/>
  <c r="M7" i="1"/>
  <c r="L7" i="1"/>
  <c r="O8" i="1"/>
  <c r="M8" i="1"/>
  <c r="L8" i="1"/>
  <c r="K8" i="1"/>
  <c r="AU8" i="1" s="1"/>
  <c r="K9" i="1"/>
  <c r="AU9" i="1" s="1"/>
  <c r="O9" i="1"/>
  <c r="M9" i="1"/>
  <c r="L9" i="1"/>
  <c r="O4" i="1"/>
  <c r="K4" i="1"/>
  <c r="M4" i="1"/>
  <c r="L4" i="1"/>
  <c r="O17" i="1"/>
  <c r="M17" i="1"/>
  <c r="L17" i="1"/>
  <c r="K17" i="1"/>
  <c r="AU17" i="1" s="1"/>
  <c r="AV17" i="1" s="1"/>
  <c r="K10" i="1"/>
  <c r="AU10" i="1" s="1"/>
  <c r="O10" i="1"/>
  <c r="M10" i="1"/>
  <c r="L10" i="1"/>
  <c r="AO23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C23" i="1"/>
  <c r="B23" i="1"/>
  <c r="AN23" i="1"/>
  <c r="AM23" i="1"/>
  <c r="AL23" i="1"/>
  <c r="N8" i="1" l="1"/>
  <c r="N13" i="1"/>
  <c r="N17" i="1"/>
  <c r="AW17" i="1" s="1"/>
  <c r="AW23" i="1" s="1"/>
  <c r="N10" i="1"/>
  <c r="N9" i="1"/>
  <c r="N18" i="1"/>
  <c r="N5" i="1"/>
  <c r="AV23" i="1"/>
  <c r="AU4" i="1"/>
  <c r="AU23" i="1" s="1"/>
  <c r="N4" i="1"/>
  <c r="N7" i="1"/>
  <c r="N12" i="1"/>
  <c r="N15" i="1"/>
  <c r="N14" i="1"/>
  <c r="N6" i="1"/>
  <c r="N11" i="1"/>
  <c r="N16" i="1"/>
  <c r="K23" i="1"/>
  <c r="L23" i="1"/>
  <c r="M23" i="1"/>
  <c r="O23" i="1"/>
  <c r="AQ23" i="1"/>
  <c r="V23" i="1"/>
  <c r="R23" i="1"/>
  <c r="W18" i="1"/>
  <c r="AA18" i="1" s="1"/>
  <c r="W17" i="1"/>
  <c r="AA17" i="1" s="1"/>
  <c r="W16" i="1"/>
  <c r="AA16" i="1" s="1"/>
  <c r="W15" i="1"/>
  <c r="AA15" i="1" s="1"/>
  <c r="W14" i="1"/>
  <c r="AA14" i="1" s="1"/>
  <c r="W13" i="1"/>
  <c r="AA13" i="1" s="1"/>
  <c r="W12" i="1"/>
  <c r="AA12" i="1" s="1"/>
  <c r="W11" i="1"/>
  <c r="AA11" i="1" s="1"/>
  <c r="W10" i="1"/>
  <c r="AA10" i="1" s="1"/>
  <c r="W9" i="1"/>
  <c r="AA9" i="1" s="1"/>
  <c r="W8" i="1"/>
  <c r="AA8" i="1" s="1"/>
  <c r="W7" i="1"/>
  <c r="AA7" i="1" s="1"/>
  <c r="W6" i="1"/>
  <c r="AA6" i="1" s="1"/>
  <c r="W5" i="1"/>
  <c r="AA5" i="1" s="1"/>
  <c r="W4" i="1"/>
  <c r="AA4" i="1" s="1"/>
  <c r="W3" i="1"/>
  <c r="AA3" i="1" s="1"/>
  <c r="W2" i="1"/>
  <c r="AA2" i="1" s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U18" i="1"/>
  <c r="Z18" i="1" s="1"/>
  <c r="U17" i="1"/>
  <c r="Z17" i="1" s="1"/>
  <c r="U16" i="1"/>
  <c r="Z16" i="1" s="1"/>
  <c r="U15" i="1"/>
  <c r="Z15" i="1" s="1"/>
  <c r="U14" i="1"/>
  <c r="Z14" i="1" s="1"/>
  <c r="U13" i="1"/>
  <c r="Z13" i="1" s="1"/>
  <c r="U12" i="1"/>
  <c r="Z12" i="1" s="1"/>
  <c r="U11" i="1"/>
  <c r="Z11" i="1" s="1"/>
  <c r="U10" i="1"/>
  <c r="Z10" i="1" s="1"/>
  <c r="U9" i="1"/>
  <c r="Z9" i="1" s="1"/>
  <c r="U8" i="1"/>
  <c r="Z8" i="1" s="1"/>
  <c r="U7" i="1"/>
  <c r="Z7" i="1" s="1"/>
  <c r="U6" i="1"/>
  <c r="Z6" i="1" s="1"/>
  <c r="U5" i="1"/>
  <c r="Z5" i="1" s="1"/>
  <c r="U4" i="1"/>
  <c r="Z4" i="1" s="1"/>
  <c r="U3" i="1"/>
  <c r="Z3" i="1" s="1"/>
  <c r="U2" i="1"/>
  <c r="Z2" i="1" s="1"/>
  <c r="AJ23" i="1"/>
  <c r="AI23" i="1"/>
  <c r="Q23" i="1"/>
  <c r="P23" i="1"/>
  <c r="E23" i="1"/>
  <c r="AH18" i="1"/>
  <c r="AG18" i="1"/>
  <c r="AF18" i="1"/>
  <c r="AH17" i="1"/>
  <c r="AG17" i="1"/>
  <c r="AF17" i="1"/>
  <c r="AH16" i="1"/>
  <c r="AG16" i="1"/>
  <c r="AF16" i="1"/>
  <c r="AH15" i="1"/>
  <c r="AG15" i="1"/>
  <c r="AF15" i="1"/>
  <c r="AH14" i="1"/>
  <c r="AG14" i="1"/>
  <c r="AF14" i="1"/>
  <c r="AH13" i="1"/>
  <c r="AG13" i="1"/>
  <c r="AF13" i="1"/>
  <c r="AH12" i="1"/>
  <c r="AG12" i="1"/>
  <c r="AF12" i="1"/>
  <c r="A12" i="1"/>
  <c r="A13" i="1" s="1"/>
  <c r="A14" i="1" s="1"/>
  <c r="A15" i="1" s="1"/>
  <c r="A16" i="1" s="1"/>
  <c r="A17" i="1" s="1"/>
  <c r="A18" i="1" s="1"/>
  <c r="AH11" i="1"/>
  <c r="AG11" i="1"/>
  <c r="AF11" i="1"/>
  <c r="AH10" i="1"/>
  <c r="AG10" i="1"/>
  <c r="AF10" i="1"/>
  <c r="AH9" i="1"/>
  <c r="AG9" i="1"/>
  <c r="AF9" i="1"/>
  <c r="AH8" i="1"/>
  <c r="AG8" i="1"/>
  <c r="AF8" i="1"/>
  <c r="AH7" i="1"/>
  <c r="AG7" i="1"/>
  <c r="AF7" i="1"/>
  <c r="AH6" i="1"/>
  <c r="AG6" i="1"/>
  <c r="AF6" i="1"/>
  <c r="AH5" i="1"/>
  <c r="AG5" i="1"/>
  <c r="AF5" i="1"/>
  <c r="AH4" i="1"/>
  <c r="AG4" i="1"/>
  <c r="AF4" i="1"/>
  <c r="AH3" i="1"/>
  <c r="AG3" i="1"/>
  <c r="AF3" i="1"/>
  <c r="AH2" i="1"/>
  <c r="AG2" i="1"/>
  <c r="AF2" i="1"/>
  <c r="N23" i="1" l="1"/>
  <c r="X6" i="1"/>
  <c r="AB6" i="1" s="1"/>
  <c r="X8" i="1"/>
  <c r="AB8" i="1" s="1"/>
  <c r="X16" i="1"/>
  <c r="AB16" i="1" s="1"/>
  <c r="X15" i="1"/>
  <c r="AB15" i="1" s="1"/>
  <c r="Z23" i="1"/>
  <c r="X9" i="1"/>
  <c r="AB9" i="1" s="1"/>
  <c r="X17" i="1"/>
  <c r="AB17" i="1" s="1"/>
  <c r="X2" i="1"/>
  <c r="AB2" i="1" s="1"/>
  <c r="X10" i="1"/>
  <c r="AB10" i="1" s="1"/>
  <c r="X18" i="1"/>
  <c r="AB18" i="1" s="1"/>
  <c r="X14" i="1"/>
  <c r="AB14" i="1" s="1"/>
  <c r="X3" i="1"/>
  <c r="AB3" i="1" s="1"/>
  <c r="X11" i="1"/>
  <c r="AB11" i="1" s="1"/>
  <c r="X4" i="1"/>
  <c r="AB4" i="1" s="1"/>
  <c r="X12" i="1"/>
  <c r="AB12" i="1" s="1"/>
  <c r="AA23" i="1"/>
  <c r="X5" i="1"/>
  <c r="AB5" i="1" s="1"/>
  <c r="Y2" i="1"/>
  <c r="AC2" i="1" s="1"/>
  <c r="Y3" i="1"/>
  <c r="Y5" i="1"/>
  <c r="AR5" i="1" s="1"/>
  <c r="AS5" i="1" s="1"/>
  <c r="Y17" i="1"/>
  <c r="AC17" i="1" s="1"/>
  <c r="Y6" i="1"/>
  <c r="AC6" i="1" s="1"/>
  <c r="Y8" i="1"/>
  <c r="AC8" i="1" s="1"/>
  <c r="Y10" i="1"/>
  <c r="AC10" i="1" s="1"/>
  <c r="Y18" i="1"/>
  <c r="AR18" i="1" s="1"/>
  <c r="AS18" i="1" s="1"/>
  <c r="Y11" i="1"/>
  <c r="Y14" i="1"/>
  <c r="AC14" i="1" s="1"/>
  <c r="Y13" i="1"/>
  <c r="AC13" i="1" s="1"/>
  <c r="Y12" i="1"/>
  <c r="AC12" i="1" s="1"/>
  <c r="U23" i="1"/>
  <c r="W23" i="1"/>
  <c r="Y16" i="1"/>
  <c r="AC16" i="1" s="1"/>
  <c r="T23" i="1"/>
  <c r="Y4" i="1"/>
  <c r="AC4" i="1" s="1"/>
  <c r="Y15" i="1"/>
  <c r="AC15" i="1" s="1"/>
  <c r="Y9" i="1"/>
  <c r="AC9" i="1" s="1"/>
  <c r="X13" i="1"/>
  <c r="AB13" i="1" s="1"/>
  <c r="X7" i="1"/>
  <c r="AB7" i="1" s="1"/>
  <c r="Y7" i="1"/>
  <c r="AC7" i="1" s="1"/>
  <c r="S23" i="1"/>
  <c r="AF23" i="1"/>
  <c r="AP23" i="1"/>
  <c r="AK14" i="1"/>
  <c r="AK18" i="1"/>
  <c r="AK8" i="1"/>
  <c r="AK12" i="1"/>
  <c r="AK16" i="1"/>
  <c r="AH23" i="1"/>
  <c r="AG23" i="1"/>
  <c r="AK2" i="1"/>
  <c r="AK7" i="1"/>
  <c r="AK5" i="1"/>
  <c r="AK13" i="1"/>
  <c r="AK15" i="1"/>
  <c r="AK9" i="1"/>
  <c r="AK4" i="1"/>
  <c r="AK6" i="1"/>
  <c r="AK17" i="1"/>
  <c r="AK10" i="1"/>
  <c r="AK3" i="1"/>
  <c r="AK11" i="1"/>
  <c r="AD2" i="1" l="1"/>
  <c r="AR17" i="1"/>
  <c r="AS17" i="1" s="1"/>
  <c r="AB23" i="1"/>
  <c r="AD3" i="1"/>
  <c r="AD8" i="1"/>
  <c r="AC3" i="1"/>
  <c r="AC11" i="1"/>
  <c r="AC18" i="1"/>
  <c r="AC5" i="1"/>
  <c r="AR11" i="1"/>
  <c r="AS11" i="1" s="1"/>
  <c r="AR8" i="1"/>
  <c r="AS8" i="1" s="1"/>
  <c r="AD16" i="1"/>
  <c r="AR13" i="1"/>
  <c r="AS13" i="1" s="1"/>
  <c r="AD17" i="1"/>
  <c r="AD10" i="1"/>
  <c r="AD14" i="1"/>
  <c r="AD15" i="1"/>
  <c r="AD12" i="1"/>
  <c r="AR6" i="1"/>
  <c r="AS6" i="1" s="1"/>
  <c r="AD9" i="1"/>
  <c r="AD18" i="1"/>
  <c r="AD5" i="1"/>
  <c r="AD4" i="1"/>
  <c r="AR7" i="1"/>
  <c r="AS7" i="1" s="1"/>
  <c r="AD11" i="1"/>
  <c r="AR12" i="1"/>
  <c r="AS12" i="1" s="1"/>
  <c r="AR10" i="1"/>
  <c r="AS10" i="1" s="1"/>
  <c r="AD6" i="1"/>
  <c r="AR4" i="1"/>
  <c r="AS4" i="1" s="1"/>
  <c r="AR15" i="1"/>
  <c r="AS15" i="1" s="1"/>
  <c r="AR9" i="1"/>
  <c r="AS9" i="1" s="1"/>
  <c r="AR14" i="1"/>
  <c r="AS14" i="1" s="1"/>
  <c r="AD13" i="1"/>
  <c r="AR16" i="1"/>
  <c r="AS16" i="1" s="1"/>
  <c r="X23" i="1"/>
  <c r="Y23" i="1"/>
  <c r="AD7" i="1"/>
  <c r="AK23" i="1"/>
  <c r="AC23" i="1" l="1"/>
  <c r="AD23" i="1"/>
  <c r="AS23" i="1"/>
  <c r="AR23" i="1"/>
</calcChain>
</file>

<file path=xl/sharedStrings.xml><?xml version="1.0" encoding="utf-8"?>
<sst xmlns="http://schemas.openxmlformats.org/spreadsheetml/2006/main" count="375" uniqueCount="226">
  <si>
    <t>Year</t>
  </si>
  <si>
    <t>HBS Summary</t>
  </si>
  <si>
    <t>Manual tabulation from annual export summary (https://www2.gov.bc.ca/gov/content/industry/forestry/competitive-forest-industry/forest-industry-economics/forest-product-exports)</t>
  </si>
  <si>
    <t>Area harvest (Mha)</t>
  </si>
  <si>
    <t>Area regen (Mha)</t>
  </si>
  <si>
    <t>Waste Sawlog (Mm3)</t>
  </si>
  <si>
    <t>Waste GradeY/4 (Mm3)</t>
  </si>
  <si>
    <t>Waste and Residue Summary script</t>
  </si>
  <si>
    <t>Waste Total (Mm3)</t>
  </si>
  <si>
    <t>Derived</t>
  </si>
  <si>
    <t>Waste rate HBS (%)</t>
  </si>
  <si>
    <t>Gross area minus reserves (RESULTS)</t>
  </si>
  <si>
    <t>See Harvest Area script</t>
  </si>
  <si>
    <t>Sand establishment from RESULTS</t>
  </si>
  <si>
    <t>See Harvest Area script; similar but not exact to NFD or CCDB</t>
  </si>
  <si>
    <t>Export summary indicates that 87% of lumber is exported</t>
  </si>
  <si>
    <t>BC Mill Survey Report</t>
  </si>
  <si>
    <t>Sawmill Lumber Recovery Ratio (%)</t>
  </si>
  <si>
    <t>Sawmill Bio-product Chips (%)</t>
  </si>
  <si>
    <t>Sawmill Sawdust and Shavings (%)</t>
  </si>
  <si>
    <t>Pellet Feedstock From Sawmill (%)</t>
  </si>
  <si>
    <t>Pellet Feedstock From Harvest Residuals (%)</t>
  </si>
  <si>
    <t>Volume HBS Waste (%)</t>
  </si>
  <si>
    <t>Forest to Sawmill (%)</t>
  </si>
  <si>
    <t>Forest Sawlog to Sawmill (%)</t>
  </si>
  <si>
    <t>Forest Non-sawlog to Sawmill (%)</t>
  </si>
  <si>
    <t>Forest Non-sawlog to Chipper (%)</t>
  </si>
  <si>
    <t>Production Petroleum NA (PJ/yr)</t>
  </si>
  <si>
    <t>Production Natural gas US (PJ/yr)</t>
  </si>
  <si>
    <t>Production Natural gas CA (PJ/yr)</t>
  </si>
  <si>
    <t>Production Natural gas NA (PJ/yr)</t>
  </si>
  <si>
    <t>Production Coal US (PJ/yr)</t>
  </si>
  <si>
    <t>Production Coal CA (PJ/yr)</t>
  </si>
  <si>
    <t>Production Coal NA (PJ/yr)</t>
  </si>
  <si>
    <t>Production Nuclear US (PJ/yr)</t>
  </si>
  <si>
    <t>Production Nuclear CA (PJ/yr)</t>
  </si>
  <si>
    <t>Production Nuclear NA (PJ/yr)</t>
  </si>
  <si>
    <t>Production Wind US (PJ/yr)</t>
  </si>
  <si>
    <t>Production Wind CA (PJ/yr)</t>
  </si>
  <si>
    <t>Production Wind NA (PJ/yr)</t>
  </si>
  <si>
    <t>Production Hydro US (PJ/yr)</t>
  </si>
  <si>
    <t>Production Hydro CA (PJ/yr)</t>
  </si>
  <si>
    <t>Production Hydro NA (PJ/yr)</t>
  </si>
  <si>
    <t>Production Biofuels and Waste US (PJ/yr)</t>
  </si>
  <si>
    <t>Production Biofuels and Waste CA (PJ/yr)</t>
  </si>
  <si>
    <t>Production Biofuels and Waste NA (PJ/yr)</t>
  </si>
  <si>
    <t>Import Petroleum NA (PJ/yr)</t>
  </si>
  <si>
    <t>Import Natural gas US (PJ/yr)</t>
  </si>
  <si>
    <t>Import Natural gas CA (PJ/yr)</t>
  </si>
  <si>
    <t>Import Natural gas NA (PJ/yr)</t>
  </si>
  <si>
    <t>Import Coal US (PJ/yr)</t>
  </si>
  <si>
    <t>Import Coal CA (PJ/yr)</t>
  </si>
  <si>
    <t>Import Coal NA (PJ/yr)</t>
  </si>
  <si>
    <t>Import Nuclear US (PJ/yr)</t>
  </si>
  <si>
    <t>Import Nuclear CA (PJ/yr)</t>
  </si>
  <si>
    <t>Import Nuclear NA (PJ/yr)</t>
  </si>
  <si>
    <t>Import Wind US (PJ/yr)</t>
  </si>
  <si>
    <t>Import Wind CA (PJ/yr)</t>
  </si>
  <si>
    <t>Import Wind NA (PJ/yr)</t>
  </si>
  <si>
    <t>Import Hydro US (PJ/yr)</t>
  </si>
  <si>
    <t>Import Hydro CA (PJ/yr)</t>
  </si>
  <si>
    <t>Import Hydro NA (PJ/yr)</t>
  </si>
  <si>
    <t>Import Biofuels and Waste US (PJ/yr)</t>
  </si>
  <si>
    <t>Import Biofuels and Waste CA (PJ/yr)</t>
  </si>
  <si>
    <t>Import Biofuels and Waste NA (PJ/yr)</t>
  </si>
  <si>
    <t>Import Electricity US (PJ/yr)</t>
  </si>
  <si>
    <t>Import Electricity CA (PJ/yr)</t>
  </si>
  <si>
    <t>Import Electricity NA (PJ/yr)</t>
  </si>
  <si>
    <t>Export Petroleum NA (PJ/yr)</t>
  </si>
  <si>
    <t>Export Natural gas US (PJ/yr)</t>
  </si>
  <si>
    <t>Export Natural gas CA (PJ/yr)</t>
  </si>
  <si>
    <t>Export Natural gas NA (PJ/yr)</t>
  </si>
  <si>
    <t>Export Coal US (PJ/yr)</t>
  </si>
  <si>
    <t>Export Coal CA (PJ/yr)</t>
  </si>
  <si>
    <t>Export Coal NA (PJ/yr)</t>
  </si>
  <si>
    <t>Export Nuclear US (PJ/yr)</t>
  </si>
  <si>
    <t>Export Nuclear CA (PJ/yr)</t>
  </si>
  <si>
    <t>Export Nuclear NA (PJ/yr)</t>
  </si>
  <si>
    <t>Export Wind US (PJ/yr)</t>
  </si>
  <si>
    <t>Export Wind CA (PJ/yr)</t>
  </si>
  <si>
    <t>Export Wind NA (PJ/yr)</t>
  </si>
  <si>
    <t>Export Hydro US (PJ/yr)</t>
  </si>
  <si>
    <t>Export Hydro CA (PJ/yr)</t>
  </si>
  <si>
    <t>Export Hydro NA (PJ/yr)</t>
  </si>
  <si>
    <t>Export Biofuels and Waste US (PJ/yr)</t>
  </si>
  <si>
    <t>Export Biofuels and Waste CA (PJ/yr)</t>
  </si>
  <si>
    <t>Export Biofuels and Waste NA (PJ/yr)</t>
  </si>
  <si>
    <t>Export Electricity US (PJ/yr)</t>
  </si>
  <si>
    <t>Export Electricity CA (PJ/yr)</t>
  </si>
  <si>
    <t>Export Electricity NA (PJ/yr)</t>
  </si>
  <si>
    <t>Consumption Petroleum NA (PJ/yr)</t>
  </si>
  <si>
    <t>Consumption Natural gas US (PJ/yr)</t>
  </si>
  <si>
    <t>Consumption Natural gas CA (PJ/yr)</t>
  </si>
  <si>
    <t>Consumption Natural gas NA (PJ/yr)</t>
  </si>
  <si>
    <t>Consumption Coal US (PJ/yr)</t>
  </si>
  <si>
    <t>Consumption Coal CA (PJ/yr)</t>
  </si>
  <si>
    <t>Consumption Coal NA (PJ/yr)</t>
  </si>
  <si>
    <t>Consumption Nuclear US (PJ/yr)</t>
  </si>
  <si>
    <t>Consumption Nuclear CA (PJ/yr)</t>
  </si>
  <si>
    <t>Consumption Nuclear NA (PJ/yr)</t>
  </si>
  <si>
    <t>Consumption Wind US (PJ/yr)</t>
  </si>
  <si>
    <t>Consumption Wind CA (PJ/yr)</t>
  </si>
  <si>
    <t>Consumption Wind NA (PJ/yr)</t>
  </si>
  <si>
    <t>Consumption Hydro US (PJ/yr)</t>
  </si>
  <si>
    <t>Consumption Hydro CA (PJ/yr)</t>
  </si>
  <si>
    <t>Consumption Hydro NA (PJ/yr)</t>
  </si>
  <si>
    <t>Consumption Biofuels and Waste US (PJ/yr)</t>
  </si>
  <si>
    <t>Consumption Biofuels and Waste CA (PJ/yr)</t>
  </si>
  <si>
    <t>Consumption Biofuels and Waste NA (PJ/yr)</t>
  </si>
  <si>
    <t>Consumption Electricity US (PJ/yr)</t>
  </si>
  <si>
    <t>Consumption Electricity CA (PJ/yr)</t>
  </si>
  <si>
    <t>Consumption Electricity NA (PJ/yr)</t>
  </si>
  <si>
    <t>Consumption Heat NA (PJ/yr)</t>
  </si>
  <si>
    <t>Production Volume HBS Total (Mm3/yr)</t>
  </si>
  <si>
    <t>Production Volume HBS Total W/O Waste (Mm3/yr)</t>
  </si>
  <si>
    <t>Production Volume HBS Waste (Mm3/yr)</t>
  </si>
  <si>
    <t>Production Volume HBS Hog+Chips (Mm3/yr)</t>
  </si>
  <si>
    <t>Production Volume HBS Sawlog (Mm3/yr)</t>
  </si>
  <si>
    <t>Production Volume HBS Pulplog (Mm3/yr)</t>
  </si>
  <si>
    <t>Production Volume HBS Firmwood Reject (Mm3/yr)</t>
  </si>
  <si>
    <t>Production Volume HBS Sawlog (%)</t>
  </si>
  <si>
    <t>Production Volume HBS Pulplog (%)</t>
  </si>
  <si>
    <t>Production Volume HBS Firmwood Reject (%)</t>
  </si>
  <si>
    <t>Production Volume HBS Pulplog+Firmwood Reject (%)</t>
  </si>
  <si>
    <t>Production Lumber Export (Mm3/yr)</t>
  </si>
  <si>
    <t>Production Log Export (Mm3/yr)</t>
  </si>
  <si>
    <t>Production Panel Export (Mm3/yr)</t>
  </si>
  <si>
    <t>Production Pulp Export (Mm3/yr)</t>
  </si>
  <si>
    <t>Production Pellet Export (Mm3/yr)</t>
  </si>
  <si>
    <t>Production Lumber Domestic (Mm3/yr)</t>
  </si>
  <si>
    <t>Production Log Domestic (Mm3/yr)</t>
  </si>
  <si>
    <t>Production Panel Domestic (Mm3/yr)</t>
  </si>
  <si>
    <t>Production Pulp Domestic (Mm3/yr)</t>
  </si>
  <si>
    <t>Production Pellet Domestic (Mm3/yr)</t>
  </si>
  <si>
    <t>Production Lumber Total (Mm3/yr)</t>
  </si>
  <si>
    <t>Production Panel Total (Mm3/yr)</t>
  </si>
  <si>
    <t>Production Pulp Total (Mm3/yr)</t>
  </si>
  <si>
    <t>Production Pellet Total (Mm3/yr)</t>
  </si>
  <si>
    <t>Production Volume Total From Sum Of Products (Mm3/yr)</t>
  </si>
  <si>
    <t>Production Log Export (%)</t>
  </si>
  <si>
    <t>Production Total Export (M ODT/yr)</t>
  </si>
  <si>
    <t>Production Pellet Export (M ODT/yr)</t>
  </si>
  <si>
    <t>Production Pulp Export (M ODT/yr)</t>
  </si>
  <si>
    <t>Production Lumber Export (M ODT/yr)</t>
  </si>
  <si>
    <t>Production Log Export (M ODT/yr)</t>
  </si>
  <si>
    <t>Production Panel Export (M ODT/yr)</t>
  </si>
  <si>
    <t>Production Volume Density HBS Total W/O Waste (m3/ha)</t>
  </si>
  <si>
    <t>Production Volume Density HBS Total With Waste (m3/ha)</t>
  </si>
  <si>
    <t>Production Volume Density Pellet Total (m3/ha)</t>
  </si>
  <si>
    <t>Production Volume Density Pellet Total (%)</t>
  </si>
  <si>
    <t>Source 2018 energy stats: https://www.iea.org/data-and-statistics/data-tools/energy-statistics-data-browser?country=CANADA&amp;energy=Balances&amp;year=2018</t>
  </si>
  <si>
    <t>Production Natural Gas BC (PJ/yr)</t>
  </si>
  <si>
    <t>Consumption Natural Gas BC (PJ/yr)</t>
  </si>
  <si>
    <t>Import Natural Gas BC (PJ/yr)</t>
  </si>
  <si>
    <t>Export Natural Gas BC (PJ/yr)</t>
  </si>
  <si>
    <t>From AB to SE BC (TransCanada BC System)</t>
  </si>
  <si>
    <t>https://www2.gov.bc.ca/gov/content/industry/natural-gas-oil/statistics; Wellhead production</t>
  </si>
  <si>
    <t>https://www2.gov.bc.ca/gov/content/industry/natural-gas-oil/statistics; Total Field and Plant Disposition + BC Consumption</t>
  </si>
  <si>
    <t>https://www2.gov.bc.ca/gov/content/industry/natural-gas-oil/statistics; Aliance + NGTL + Spectra</t>
  </si>
  <si>
    <t>Production Natural Gas BC (1000m3/yr)</t>
  </si>
  <si>
    <t>Import Natural Gas BC (1000m3/yr)</t>
  </si>
  <si>
    <t>Export Natural Gas BC (1000m3/yr)</t>
  </si>
  <si>
    <t>Consumption Natural Gas BC (1000m3/yr)</t>
  </si>
  <si>
    <t>https://www150.statcan.gc.ca/t1/tbl1/en/tv.action?pid=2510008402&amp;pickMembers%5B0%5D=1.11&amp;pickMembers%5B1%5D=2.1&amp;cubeTimeFrame.startYear=2020&amp;cubeTimeFrame.endYear=2022&amp;referencePeriods=20200101%2C20220101</t>
  </si>
  <si>
    <t>Production Electricity US (PJ/yr)</t>
  </si>
  <si>
    <t>Production Electricity CA (PJ/yr)</t>
  </si>
  <si>
    <t>Production Petroleum Products CA (PJ/yr)</t>
  </si>
  <si>
    <t>Import Petroleum Products CA (PJ/yr)</t>
  </si>
  <si>
    <t>Export Petroleum Products CA (PJ/yr)</t>
  </si>
  <si>
    <t>Consumption Petroleum Products CA (PJ/yr)</t>
  </si>
  <si>
    <t>Production Petroleum Products US (PJ/yr)</t>
  </si>
  <si>
    <t>Import Petroleum Products US (PJ/yr)</t>
  </si>
  <si>
    <t>Export Petroleum Products US (PJ/yr)</t>
  </si>
  <si>
    <t>Consumption Petroleum Products US (PJ/yr)</t>
  </si>
  <si>
    <t>Consumption Petroleum Crude US (PJ/yr)</t>
  </si>
  <si>
    <t>Production Petroleum Crude US (PJ/yr)</t>
  </si>
  <si>
    <t>Import Petroleum Crude US (PJ/yr)</t>
  </si>
  <si>
    <t>Export Petroleum Crude US (PJ/yr)</t>
  </si>
  <si>
    <t>Production Crude Petroleum CA (PJ/yr)</t>
  </si>
  <si>
    <t>Import Petroleum Crude CA (PJ/yr)</t>
  </si>
  <si>
    <t>Export Petroleum Crude CA (PJ/yr)</t>
  </si>
  <si>
    <t>Consumption Petroleum Crude CA (PJ/yr)</t>
  </si>
  <si>
    <t>Production Electricity Total BC (PJ/yr)</t>
  </si>
  <si>
    <t>Production Electricity Thermal Plants BC (PJ/yr)</t>
  </si>
  <si>
    <t>Production Electricity Wood BC (PJ/yr)</t>
  </si>
  <si>
    <t>Production Electricity Pulping Liquor BC (PJ/yr)</t>
  </si>
  <si>
    <t>Production Electricity Hydro BC (PJ/yr)</t>
  </si>
  <si>
    <t>Production Electricity hydro, tidal, wind, solar and other generation BC (PJ/yr)</t>
  </si>
  <si>
    <t>Consumption Refined Petrolium BC (PJ/yr)</t>
  </si>
  <si>
    <t>Consumption Electricity BC (PJ/yr)</t>
  </si>
  <si>
    <t>Consumption Biofuels BC (PJ/yr)</t>
  </si>
  <si>
    <t>https://www150.statcan.gc.ca/t1/tbl1/en/cv.action?pid=2510002901</t>
  </si>
  <si>
    <t>Primary and Secondary Energy Transformed to Refined Petrolium Products BC (PJ/yr)</t>
  </si>
  <si>
    <t>Primary and Secondary Energy Transformed to Electricity BC (PJ/yr)</t>
  </si>
  <si>
    <t>Consumption Electricity Total BC (PJ/yr)</t>
  </si>
  <si>
    <t>Feds Summary (only available for 2019)</t>
  </si>
  <si>
    <t>Consumption Electricity Residential BC (PJ/yr)</t>
  </si>
  <si>
    <t>Production Electricity Total Available For Use BC (PJ/yr)</t>
  </si>
  <si>
    <t>https://www150.statcan.gc.ca/t1/tbl1/en/tv.action?pid=2510002101&amp;pickMembers%5B0%5D=1.11&amp;cubeTimeFrame.startYear=2018&amp;cubeTimeFrame.endYear=2022&amp;referencePeriods=20180101%2C20220101</t>
  </si>
  <si>
    <t>https://oee.nrcan.gc.ca/corporate/statistics/neud/dpa/showTable.cfm?type=CP&amp;sector=res&amp;juris=bc&amp;year=2021&amp;rn=1&amp;page=0</t>
  </si>
  <si>
    <t>Consumption Electricity Commercial and Institutional BC (PJ/yr)</t>
  </si>
  <si>
    <t>Consumption Electricity Industrial BC (PJ/yr)</t>
  </si>
  <si>
    <t>Consumption Electricity Transportation BC (PJ/yr)</t>
  </si>
  <si>
    <t>Hydro supply 2021</t>
  </si>
  <si>
    <t>Allocated used 2021</t>
  </si>
  <si>
    <t>Transporation supplied by petrolium 2021</t>
  </si>
  <si>
    <t>Hydro supply with Site C</t>
  </si>
  <si>
    <t>Surplus</t>
  </si>
  <si>
    <t>Efficiency ICEs</t>
  </si>
  <si>
    <t>Efficiency ZEVs</t>
  </si>
  <si>
    <t>Ratio</t>
  </si>
  <si>
    <t>Transporation supplied by surplus accounting for efficiency (% of demand)</t>
  </si>
  <si>
    <t>Transporation electricity demand with ZEVs (PJ/yr)</t>
  </si>
  <si>
    <t>Deficit</t>
  </si>
  <si>
    <t>Consumption Primary and Secondary Energy Total BC (PJ/yr)</t>
  </si>
  <si>
    <t>Consumption Primary and Secondary Energy Net Supply BC (PJ/yr)</t>
  </si>
  <si>
    <t>Consumption Primary and Secondary Energy Transporation BC (PJ/yr)</t>
  </si>
  <si>
    <t>Consumption Primary and Secondary Energy Industiral BC (PJ/yr)</t>
  </si>
  <si>
    <t>Consumption Primary and Secondary Energy Commercial BC (PJ/yr)</t>
  </si>
  <si>
    <t>Consumption Primary and Secondary Energy Residential BC (PJ/yr)</t>
  </si>
  <si>
    <t>Consumption Primary and Secondary Non-energy Use BC (PJ/yr)</t>
  </si>
  <si>
    <t>Consumption Primary and Secondary Energy Use, Final Demand BC (PJ/yr)</t>
  </si>
  <si>
    <t>Consumption Primary and Secondary Energy Producer BC (PJ/yr)</t>
  </si>
  <si>
    <t>Production Petroleum Crude BC (PJ/yr)</t>
  </si>
  <si>
    <t>Production Petroleum Products BC (PJ/yr)</t>
  </si>
  <si>
    <t>Production Coal BC (PJ/yr)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</si>
</sst>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0"/>
      <color rgb="FF33333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4E7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2" fontId="0" fillId="0" borderId="0" xfId="0" applyNumberFormat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/>
    </xf>
    <xf numFmtId="4" fontId="0" fillId="0" borderId="0" xfId="0" applyNumberFormat="1"/>
    <xf numFmtId="164" fontId="2" fillId="0" borderId="0" xfId="1" applyNumberFormat="1" applyAlignment="1">
      <alignment horizontal="left" vertical="top"/>
    </xf>
    <xf numFmtId="0" fontId="3" fillId="0" borderId="0" xfId="0" applyFont="1" applyAlignment="1">
      <alignment vertical="top" wrapText="1"/>
    </xf>
    <xf numFmtId="3" fontId="0" fillId="0" borderId="0" xfId="0" applyNumberFormat="1" applyAlignment="1">
      <alignment horizontal="left" vertical="top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3" fontId="0" fillId="0" borderId="0" xfId="0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2" fontId="4" fillId="0" borderId="0" xfId="0" applyNumberFormat="1" applyFont="1" applyAlignment="1">
      <alignment horizontal="left" vertical="top" wrapText="1"/>
    </xf>
    <xf numFmtId="165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/>
    </xf>
    <xf numFmtId="0" fontId="4" fillId="0" borderId="0" xfId="0" applyFont="1"/>
    <xf numFmtId="3" fontId="4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" fontId="4" fillId="0" borderId="0" xfId="0" applyNumberFormat="1" applyFont="1" applyAlignment="1">
      <alignment horizontal="left" vertical="top" wrapText="1"/>
    </xf>
    <xf numFmtId="1" fontId="3" fillId="0" borderId="0" xfId="0" applyNumberFormat="1" applyFont="1" applyAlignment="1">
      <alignment vertical="top" wrapText="1"/>
    </xf>
    <xf numFmtId="3" fontId="6" fillId="0" borderId="0" xfId="0" applyNumberFormat="1" applyFont="1" applyAlignment="1">
      <alignment horizontal="left"/>
    </xf>
    <xf numFmtId="0" fontId="7" fillId="0" borderId="0" xfId="0" applyFont="1" applyAlignment="1">
      <alignment horizontal="right" vertical="top" wrapText="1"/>
    </xf>
    <xf numFmtId="0" fontId="7" fillId="0" borderId="0" xfId="0" applyFont="1" applyAlignment="1">
      <alignment horizontal="left" vertical="top" wrapText="1"/>
    </xf>
    <xf numFmtId="0" fontId="0" fillId="5" borderId="0" xfId="0" applyFill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4E7B2"/>
      <color rgb="FFF4F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Code_Python\fcgadgets\cbrunner\Parameters\Parameters_Biophysical.xlsx" TargetMode="External"/><Relationship Id="rId1" Type="http://schemas.openxmlformats.org/officeDocument/2006/relationships/externalLinkPath" Target="Parameters_Biophys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Literature Review"/>
      <sheetName val="Combustion Workbook"/>
    </sheetNames>
    <sheetDataSet>
      <sheetData sheetId="0">
        <row r="134">
          <cell r="B134">
            <v>3.73E-2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2.gov.bc.ca/gov/content/industry/natural-gas-oil/statistics;%20Aliance%20+%20NGTL%20+%20Spectra" TargetMode="External"/><Relationship Id="rId3" Type="http://schemas.openxmlformats.org/officeDocument/2006/relationships/hyperlink" Target="https://www2.gov.bc.ca/gov/content/industry/natural-gas-oil/statistics;%20Aliance%20+%20NGTL%20+%20Spectra" TargetMode="External"/><Relationship Id="rId7" Type="http://schemas.openxmlformats.org/officeDocument/2006/relationships/hyperlink" Target="https://www2.gov.bc.ca/gov/content/industry/natural-gas-oil/statistics;%20Total%20Field%20and%20Plant%20Disposition%20+%20BC%20Consumption" TargetMode="External"/><Relationship Id="rId2" Type="http://schemas.openxmlformats.org/officeDocument/2006/relationships/hyperlink" Target="https://www2.gov.bc.ca/gov/content/industry/natural-gas-oil/statistics;%20Total%20Field%20and%20Plant%20Disposition%20+%20BC%20Consumption" TargetMode="External"/><Relationship Id="rId1" Type="http://schemas.openxmlformats.org/officeDocument/2006/relationships/hyperlink" Target="https://www2.gov.bc.ca/gov/content/industry/natural-gas-oil/statistics;%20Wellhead%20production" TargetMode="External"/><Relationship Id="rId6" Type="http://schemas.openxmlformats.org/officeDocument/2006/relationships/hyperlink" Target="https://www2.gov.bc.ca/gov/content/industry/natural-gas-oil/statistics;%20Wellhead%20production" TargetMode="External"/><Relationship Id="rId5" Type="http://schemas.openxmlformats.org/officeDocument/2006/relationships/hyperlink" Target="https://www150.statcan.gc.ca/t1/tbl1/en/tv.action?pid=2510008402&amp;pickMembers%5B0%5D=1.11&amp;pickMembers%5B1%5D=2.1&amp;cubeTimeFrame.startYear=2020&amp;cubeTimeFrame.endYear=2022&amp;referencePeriods=20200101%2C2022010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150.statcan.gc.ca/t1/tbl1/en/tv.action?pid=2510008402&amp;pickMembers%5B0%5D=1.11&amp;pickMembers%5B1%5D=2.1&amp;cubeTimeFrame.startYear=2020&amp;cubeTimeFrame.endYear=2022&amp;referencePeriods=20200101%2C20220101" TargetMode="External"/><Relationship Id="rId9" Type="http://schemas.openxmlformats.org/officeDocument/2006/relationships/hyperlink" Target="https://www150.statcan.gc.ca/t1/tbl1/en/tv.action?pid=2510008402&amp;pickMembers%5B0%5D=1.11&amp;pickMembers%5B1%5D=2.1&amp;cubeTimeFrame.startYear=2020&amp;cubeTimeFrame.endYear=2022&amp;referencePeriods=20200101%2C20220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68DB-5605-4152-9FD3-1C1553CFC20E}">
  <dimension ref="A1:GX37"/>
  <sheetViews>
    <sheetView tabSelected="1" workbookViewId="0">
      <pane xSplit="1" ySplit="1" topLeftCell="BF10" activePane="bottomRight" state="frozenSplit"/>
      <selection pane="topRight" activeCell="B1" sqref="B1"/>
      <selection pane="bottomLeft" activeCell="A2" sqref="A2"/>
      <selection pane="bottomRight" activeCell="BL18" sqref="BL18"/>
    </sheetView>
  </sheetViews>
  <sheetFormatPr defaultRowHeight="15" x14ac:dyDescent="0.25"/>
  <cols>
    <col min="4" max="5" width="11.7109375" customWidth="1"/>
    <col min="6" max="15" width="11.28515625" customWidth="1"/>
    <col min="16" max="18" width="9.7109375" customWidth="1"/>
    <col min="19" max="19" width="9.7109375" style="1" customWidth="1"/>
    <col min="20" max="29" width="9.7109375" customWidth="1"/>
    <col min="30" max="31" width="12" customWidth="1"/>
    <col min="32" max="32" width="9.28515625" customWidth="1"/>
    <col min="33" max="37" width="11.28515625" customWidth="1"/>
    <col min="38" max="38" width="9.85546875" style="1" customWidth="1"/>
    <col min="39" max="41" width="11.28515625" style="1" customWidth="1"/>
    <col min="42" max="42" width="11.140625" style="1" customWidth="1"/>
    <col min="43" max="43" width="11.7109375" customWidth="1"/>
    <col min="44" max="44" width="11.28515625" style="1" customWidth="1"/>
    <col min="45" max="52" width="8.85546875" style="1"/>
    <col min="53" max="53" width="12" style="1" bestFit="1" customWidth="1"/>
    <col min="54" max="76" width="11.7109375" style="1" customWidth="1"/>
    <col min="77" max="85" width="13.7109375" style="1" customWidth="1"/>
    <col min="86" max="100" width="11.7109375" style="1" customWidth="1"/>
    <col min="101" max="104" width="10.42578125" style="1" customWidth="1"/>
    <col min="105" max="107" width="10.42578125" customWidth="1"/>
    <col min="108" max="109" width="11.7109375" customWidth="1"/>
    <col min="110" max="136" width="10.42578125" customWidth="1"/>
    <col min="137" max="139" width="10.42578125" style="1" customWidth="1"/>
    <col min="140" max="172" width="10.42578125" customWidth="1"/>
    <col min="173" max="173" width="10.42578125" style="1" customWidth="1"/>
    <col min="174" max="220" width="10.42578125" customWidth="1"/>
  </cols>
  <sheetData>
    <row r="1" spans="1:206" ht="122.45" customHeight="1" x14ac:dyDescent="0.25">
      <c r="A1" s="2" t="s">
        <v>0</v>
      </c>
      <c r="B1" s="8" t="s">
        <v>3</v>
      </c>
      <c r="C1" s="8" t="s">
        <v>4</v>
      </c>
      <c r="D1" s="9" t="s">
        <v>113</v>
      </c>
      <c r="E1" s="9" t="s">
        <v>114</v>
      </c>
      <c r="F1" s="9" t="s">
        <v>115</v>
      </c>
      <c r="G1" s="9" t="s">
        <v>116</v>
      </c>
      <c r="H1" s="9" t="s">
        <v>117</v>
      </c>
      <c r="I1" s="9" t="s">
        <v>118</v>
      </c>
      <c r="J1" s="9" t="s">
        <v>119</v>
      </c>
      <c r="K1" s="9" t="s">
        <v>120</v>
      </c>
      <c r="L1" s="9" t="s">
        <v>121</v>
      </c>
      <c r="M1" s="9" t="s">
        <v>122</v>
      </c>
      <c r="N1" s="9" t="s">
        <v>123</v>
      </c>
      <c r="O1" s="9" t="s">
        <v>22</v>
      </c>
      <c r="P1" s="8" t="s">
        <v>124</v>
      </c>
      <c r="Q1" s="8" t="s">
        <v>125</v>
      </c>
      <c r="R1" s="8" t="s">
        <v>126</v>
      </c>
      <c r="S1" s="8" t="s">
        <v>127</v>
      </c>
      <c r="T1" s="8" t="s">
        <v>128</v>
      </c>
      <c r="U1" s="8" t="s">
        <v>129</v>
      </c>
      <c r="V1" s="8" t="s">
        <v>130</v>
      </c>
      <c r="W1" s="8" t="s">
        <v>131</v>
      </c>
      <c r="X1" s="8" t="s">
        <v>132</v>
      </c>
      <c r="Y1" s="8" t="s">
        <v>133</v>
      </c>
      <c r="Z1" s="8" t="s">
        <v>134</v>
      </c>
      <c r="AA1" s="8" t="s">
        <v>135</v>
      </c>
      <c r="AB1" s="8" t="s">
        <v>136</v>
      </c>
      <c r="AC1" s="8" t="s">
        <v>137</v>
      </c>
      <c r="AD1" s="8" t="s">
        <v>138</v>
      </c>
      <c r="AE1" s="8" t="s">
        <v>139</v>
      </c>
      <c r="AF1" s="6" t="s">
        <v>143</v>
      </c>
      <c r="AG1" s="6" t="s">
        <v>144</v>
      </c>
      <c r="AH1" s="6" t="s">
        <v>145</v>
      </c>
      <c r="AI1" s="6" t="s">
        <v>142</v>
      </c>
      <c r="AJ1" s="6" t="s">
        <v>141</v>
      </c>
      <c r="AK1" s="6" t="s">
        <v>140</v>
      </c>
      <c r="AL1" s="5" t="s">
        <v>5</v>
      </c>
      <c r="AM1" s="5" t="s">
        <v>6</v>
      </c>
      <c r="AN1" s="5" t="s">
        <v>8</v>
      </c>
      <c r="AO1" s="8" t="s">
        <v>10</v>
      </c>
      <c r="AP1" s="9" t="s">
        <v>146</v>
      </c>
      <c r="AQ1" s="9" t="s">
        <v>147</v>
      </c>
      <c r="AR1" s="9" t="s">
        <v>148</v>
      </c>
      <c r="AS1" s="9" t="s">
        <v>149</v>
      </c>
      <c r="AT1" s="6" t="s">
        <v>23</v>
      </c>
      <c r="AU1" s="6" t="s">
        <v>24</v>
      </c>
      <c r="AV1" s="6" t="s">
        <v>25</v>
      </c>
      <c r="AW1" s="6" t="s">
        <v>26</v>
      </c>
      <c r="AX1" s="2" t="s">
        <v>17</v>
      </c>
      <c r="AY1" s="2" t="s">
        <v>18</v>
      </c>
      <c r="AZ1" s="2" t="s">
        <v>19</v>
      </c>
      <c r="BA1" s="2" t="s">
        <v>20</v>
      </c>
      <c r="BB1" s="2" t="s">
        <v>21</v>
      </c>
      <c r="BC1" s="17" t="s">
        <v>182</v>
      </c>
      <c r="BD1" s="17" t="s">
        <v>187</v>
      </c>
      <c r="BE1" s="17" t="s">
        <v>186</v>
      </c>
      <c r="BF1" s="17" t="s">
        <v>183</v>
      </c>
      <c r="BG1" s="17" t="s">
        <v>184</v>
      </c>
      <c r="BH1" s="17" t="s">
        <v>185</v>
      </c>
      <c r="BI1" s="17" t="s">
        <v>197</v>
      </c>
      <c r="BJ1" s="17" t="s">
        <v>151</v>
      </c>
      <c r="BK1" s="17" t="s">
        <v>159</v>
      </c>
      <c r="BL1" s="17" t="s">
        <v>223</v>
      </c>
      <c r="BM1" s="17" t="s">
        <v>224</v>
      </c>
      <c r="BN1" s="17" t="s">
        <v>225</v>
      </c>
      <c r="BO1" s="17"/>
      <c r="BP1" s="17"/>
      <c r="BQ1" s="17" t="s">
        <v>160</v>
      </c>
      <c r="BR1" s="17" t="s">
        <v>153</v>
      </c>
      <c r="BS1" s="17"/>
      <c r="BT1" s="17"/>
      <c r="BU1" s="17" t="s">
        <v>161</v>
      </c>
      <c r="BV1" s="17" t="s">
        <v>154</v>
      </c>
      <c r="BW1" s="17"/>
      <c r="BX1" s="17"/>
      <c r="BY1" s="17" t="s">
        <v>194</v>
      </c>
      <c r="BZ1" s="17" t="s">
        <v>196</v>
      </c>
      <c r="CA1" s="6" t="s">
        <v>200</v>
      </c>
      <c r="CB1" s="6" t="s">
        <v>201</v>
      </c>
      <c r="CC1" s="6" t="s">
        <v>202</v>
      </c>
      <c r="CD1" s="17" t="s">
        <v>190</v>
      </c>
      <c r="CE1" s="17" t="s">
        <v>189</v>
      </c>
      <c r="CF1" s="17" t="s">
        <v>152</v>
      </c>
      <c r="CG1" s="17" t="s">
        <v>188</v>
      </c>
      <c r="CH1" s="17" t="s">
        <v>214</v>
      </c>
      <c r="CI1" s="17" t="s">
        <v>193</v>
      </c>
      <c r="CJ1" s="17" t="s">
        <v>192</v>
      </c>
      <c r="CK1" s="17" t="s">
        <v>215</v>
      </c>
      <c r="CL1" s="17" t="s">
        <v>222</v>
      </c>
      <c r="CM1" s="17" t="s">
        <v>220</v>
      </c>
      <c r="CN1" s="17" t="s">
        <v>221</v>
      </c>
      <c r="CO1" s="17" t="s">
        <v>216</v>
      </c>
      <c r="CP1" s="17" t="s">
        <v>217</v>
      </c>
      <c r="CQ1" s="17" t="s">
        <v>218</v>
      </c>
      <c r="CR1" s="17" t="s">
        <v>219</v>
      </c>
      <c r="CS1" s="17" t="s">
        <v>162</v>
      </c>
      <c r="CT1" s="17" t="s">
        <v>152</v>
      </c>
      <c r="CU1" s="17"/>
      <c r="CV1" s="17"/>
      <c r="CW1" s="35" t="s">
        <v>175</v>
      </c>
      <c r="CX1" s="35" t="s">
        <v>170</v>
      </c>
      <c r="CY1" s="35" t="s">
        <v>28</v>
      </c>
      <c r="CZ1" s="35" t="s">
        <v>31</v>
      </c>
      <c r="DA1" s="35" t="s">
        <v>34</v>
      </c>
      <c r="DB1" s="35" t="s">
        <v>37</v>
      </c>
      <c r="DC1" s="35" t="s">
        <v>40</v>
      </c>
      <c r="DD1" s="35" t="s">
        <v>43</v>
      </c>
      <c r="DE1" s="35" t="s">
        <v>164</v>
      </c>
      <c r="DF1" s="35" t="s">
        <v>176</v>
      </c>
      <c r="DG1" s="35" t="s">
        <v>171</v>
      </c>
      <c r="DH1" s="35" t="s">
        <v>47</v>
      </c>
      <c r="DI1" s="35" t="s">
        <v>50</v>
      </c>
      <c r="DJ1" s="35" t="s">
        <v>53</v>
      </c>
      <c r="DK1" s="35" t="s">
        <v>59</v>
      </c>
      <c r="DL1" s="35" t="s">
        <v>62</v>
      </c>
      <c r="DM1" s="35" t="s">
        <v>65</v>
      </c>
      <c r="DN1" s="35" t="s">
        <v>56</v>
      </c>
      <c r="DO1" s="35" t="s">
        <v>177</v>
      </c>
      <c r="DP1" s="35" t="s">
        <v>172</v>
      </c>
      <c r="DQ1" s="35" t="s">
        <v>69</v>
      </c>
      <c r="DR1" s="35" t="s">
        <v>72</v>
      </c>
      <c r="DS1" s="35" t="s">
        <v>75</v>
      </c>
      <c r="DT1" s="35" t="s">
        <v>78</v>
      </c>
      <c r="DU1" s="35" t="s">
        <v>81</v>
      </c>
      <c r="DV1" s="35" t="s">
        <v>84</v>
      </c>
      <c r="DW1" s="35" t="s">
        <v>87</v>
      </c>
      <c r="DX1" s="35" t="s">
        <v>174</v>
      </c>
      <c r="DY1" s="35" t="s">
        <v>173</v>
      </c>
      <c r="DZ1" s="35" t="s">
        <v>91</v>
      </c>
      <c r="EA1" s="35" t="s">
        <v>94</v>
      </c>
      <c r="EB1" s="35" t="s">
        <v>97</v>
      </c>
      <c r="EC1" s="35" t="s">
        <v>100</v>
      </c>
      <c r="ED1" s="35" t="s">
        <v>103</v>
      </c>
      <c r="EE1" s="35" t="s">
        <v>106</v>
      </c>
      <c r="EF1" s="35" t="s">
        <v>109</v>
      </c>
      <c r="EG1" s="18" t="s">
        <v>178</v>
      </c>
      <c r="EH1" s="18" t="s">
        <v>166</v>
      </c>
      <c r="EI1" s="18" t="s">
        <v>29</v>
      </c>
      <c r="EJ1" s="18" t="s">
        <v>32</v>
      </c>
      <c r="EK1" s="18" t="s">
        <v>35</v>
      </c>
      <c r="EL1" s="18" t="s">
        <v>38</v>
      </c>
      <c r="EM1" s="18" t="s">
        <v>41</v>
      </c>
      <c r="EN1" s="18" t="s">
        <v>44</v>
      </c>
      <c r="EO1" s="18" t="s">
        <v>165</v>
      </c>
      <c r="EP1" s="18" t="s">
        <v>179</v>
      </c>
      <c r="EQ1" s="18" t="s">
        <v>167</v>
      </c>
      <c r="ER1" s="18" t="s">
        <v>48</v>
      </c>
      <c r="ES1" s="18" t="s">
        <v>51</v>
      </c>
      <c r="ET1" s="18" t="s">
        <v>54</v>
      </c>
      <c r="EU1" s="18" t="s">
        <v>57</v>
      </c>
      <c r="EV1" s="18" t="s">
        <v>60</v>
      </c>
      <c r="EW1" s="18" t="s">
        <v>63</v>
      </c>
      <c r="EX1" s="18" t="s">
        <v>66</v>
      </c>
      <c r="EY1" s="18" t="s">
        <v>180</v>
      </c>
      <c r="EZ1" s="18" t="s">
        <v>168</v>
      </c>
      <c r="FA1" s="18" t="s">
        <v>70</v>
      </c>
      <c r="FB1" s="18" t="s">
        <v>73</v>
      </c>
      <c r="FC1" s="18" t="s">
        <v>76</v>
      </c>
      <c r="FD1" s="18" t="s">
        <v>79</v>
      </c>
      <c r="FE1" s="18" t="s">
        <v>82</v>
      </c>
      <c r="FF1" s="18" t="s">
        <v>85</v>
      </c>
      <c r="FG1" s="18" t="s">
        <v>88</v>
      </c>
      <c r="FH1" s="18" t="s">
        <v>181</v>
      </c>
      <c r="FI1" s="18" t="s">
        <v>169</v>
      </c>
      <c r="FJ1" s="18" t="s">
        <v>92</v>
      </c>
      <c r="FK1" s="18" t="s">
        <v>95</v>
      </c>
      <c r="FL1" s="18" t="s">
        <v>98</v>
      </c>
      <c r="FM1" s="18" t="s">
        <v>101</v>
      </c>
      <c r="FN1" s="18" t="s">
        <v>104</v>
      </c>
      <c r="FO1" s="18" t="s">
        <v>107</v>
      </c>
      <c r="FP1" s="18" t="s">
        <v>110</v>
      </c>
      <c r="FQ1" s="4" t="s">
        <v>27</v>
      </c>
      <c r="FR1" s="4" t="s">
        <v>30</v>
      </c>
      <c r="FS1" s="4" t="s">
        <v>33</v>
      </c>
      <c r="FT1" s="4" t="s">
        <v>36</v>
      </c>
      <c r="FU1" s="4" t="s">
        <v>39</v>
      </c>
      <c r="FV1" s="4" t="s">
        <v>42</v>
      </c>
      <c r="FW1" s="4" t="s">
        <v>45</v>
      </c>
      <c r="FX1" s="4" t="s">
        <v>46</v>
      </c>
      <c r="FY1" s="4" t="s">
        <v>49</v>
      </c>
      <c r="FZ1" s="4" t="s">
        <v>52</v>
      </c>
      <c r="GA1" s="4" t="s">
        <v>55</v>
      </c>
      <c r="GB1" s="4" t="s">
        <v>58</v>
      </c>
      <c r="GC1" s="4" t="s">
        <v>61</v>
      </c>
      <c r="GD1" s="4" t="s">
        <v>64</v>
      </c>
      <c r="GE1" s="4" t="s">
        <v>67</v>
      </c>
      <c r="GF1" s="4" t="s">
        <v>68</v>
      </c>
      <c r="GG1" s="4" t="s">
        <v>71</v>
      </c>
      <c r="GH1" s="4" t="s">
        <v>74</v>
      </c>
      <c r="GI1" s="4" t="s">
        <v>77</v>
      </c>
      <c r="GJ1" s="4" t="s">
        <v>79</v>
      </c>
      <c r="GK1" s="4" t="s">
        <v>80</v>
      </c>
      <c r="GL1" s="4" t="s">
        <v>82</v>
      </c>
      <c r="GM1" s="4" t="s">
        <v>83</v>
      </c>
      <c r="GN1" s="4" t="s">
        <v>86</v>
      </c>
      <c r="GO1" s="4" t="s">
        <v>89</v>
      </c>
      <c r="GP1" s="4" t="s">
        <v>90</v>
      </c>
      <c r="GQ1" s="4" t="s">
        <v>93</v>
      </c>
      <c r="GR1" s="4" t="s">
        <v>96</v>
      </c>
      <c r="GS1" s="4" t="s">
        <v>99</v>
      </c>
      <c r="GT1" s="4" t="s">
        <v>102</v>
      </c>
      <c r="GU1" s="4" t="s">
        <v>105</v>
      </c>
      <c r="GV1" s="4" t="s">
        <v>108</v>
      </c>
      <c r="GW1" s="4" t="s">
        <v>111</v>
      </c>
      <c r="GX1" s="4" t="s">
        <v>112</v>
      </c>
    </row>
    <row r="2" spans="1:206" x14ac:dyDescent="0.25">
      <c r="A2" s="2">
        <v>2005</v>
      </c>
      <c r="B2" s="3">
        <v>0.27315</v>
      </c>
      <c r="C2" s="3"/>
      <c r="D2" s="3"/>
      <c r="E2" s="3"/>
      <c r="F2" s="3"/>
      <c r="G2" s="3"/>
      <c r="H2" s="3"/>
      <c r="I2" s="3"/>
      <c r="J2" s="3"/>
      <c r="P2" s="3">
        <v>33.299999999999997</v>
      </c>
      <c r="Q2" s="3">
        <v>4.7699999999999996</v>
      </c>
      <c r="R2" s="3">
        <v>2.4300000000000002</v>
      </c>
      <c r="S2" s="1">
        <f>2*AI2</f>
        <v>8.9</v>
      </c>
      <c r="T2" s="1">
        <f>2*AJ2</f>
        <v>0.82</v>
      </c>
      <c r="U2" s="3">
        <f t="shared" ref="U2:U18" si="0">(1-0.87)*P2</f>
        <v>4.3289999999999997</v>
      </c>
      <c r="V2" s="3">
        <v>0</v>
      </c>
      <c r="W2" s="3">
        <f>0.13*R2</f>
        <v>0.31590000000000001</v>
      </c>
      <c r="X2" s="3">
        <f>0.13*S2</f>
        <v>1.157</v>
      </c>
      <c r="Y2" s="3">
        <f>0.13*T2</f>
        <v>0.1066</v>
      </c>
      <c r="Z2" s="3">
        <f>P2+U2</f>
        <v>37.628999999999998</v>
      </c>
      <c r="AA2" s="3">
        <f>R2+W2</f>
        <v>2.7459000000000002</v>
      </c>
      <c r="AB2" s="3">
        <f>S2+X2</f>
        <v>10.057</v>
      </c>
      <c r="AC2" s="3">
        <f>T2+Y2</f>
        <v>0.92659999999999998</v>
      </c>
      <c r="AD2" s="3">
        <f t="shared" ref="AD2:AD18" si="1">SUM(P2:Y2)</f>
        <v>56.128499999999988</v>
      </c>
      <c r="AE2" s="3"/>
      <c r="AF2" s="3">
        <f t="shared" ref="AF2:AF18" si="2">0.5*P2</f>
        <v>16.649999999999999</v>
      </c>
      <c r="AG2" s="3">
        <f t="shared" ref="AG2:AG18" si="3">0.5*Q2</f>
        <v>2.3849999999999998</v>
      </c>
      <c r="AH2" s="3">
        <f t="shared" ref="AH2:AH18" si="4">0.5*R2</f>
        <v>1.2150000000000001</v>
      </c>
      <c r="AI2" s="3">
        <v>4.45</v>
      </c>
      <c r="AJ2" s="3">
        <v>0.41</v>
      </c>
      <c r="AK2" s="3">
        <f t="shared" ref="AK2:AK18" si="5">AI2+AF2+AG2+AH2+AJ2</f>
        <v>25.11</v>
      </c>
      <c r="AP2" s="3"/>
      <c r="AQ2" s="3"/>
      <c r="BC2" s="29">
        <f>67773670/1000000*3.6</f>
        <v>243.98521199999999</v>
      </c>
      <c r="BD2" s="29"/>
      <c r="BE2" s="29"/>
      <c r="BF2" s="29"/>
      <c r="BG2" s="29"/>
      <c r="BH2" s="29"/>
      <c r="BI2" s="29"/>
      <c r="BJ2" s="19"/>
      <c r="BK2" s="16"/>
      <c r="BL2" s="16"/>
      <c r="BM2" s="16"/>
      <c r="BN2" s="16"/>
      <c r="BO2" s="16"/>
      <c r="BP2" s="16"/>
      <c r="BQ2" s="16"/>
      <c r="BR2" s="19"/>
      <c r="BS2" s="19"/>
      <c r="BT2" s="16"/>
      <c r="BU2" s="16"/>
      <c r="BV2" s="19"/>
      <c r="BW2" s="19"/>
      <c r="BX2" s="29"/>
      <c r="BY2" s="19"/>
      <c r="BZ2" s="19"/>
      <c r="CA2" s="19"/>
      <c r="CB2" s="19"/>
      <c r="CC2" s="19"/>
      <c r="CD2" s="19"/>
      <c r="CE2" s="19"/>
      <c r="CF2" s="19"/>
      <c r="CG2" s="19"/>
      <c r="CH2" s="27"/>
      <c r="CI2" s="19"/>
      <c r="CJ2" s="19"/>
      <c r="CK2" s="29"/>
      <c r="CL2" s="29"/>
      <c r="CM2" s="29"/>
      <c r="CN2" s="19"/>
      <c r="CO2" s="29"/>
      <c r="CP2" s="29"/>
      <c r="CQ2" s="29"/>
      <c r="CR2" s="29"/>
      <c r="CS2" s="16"/>
      <c r="CT2" s="19"/>
      <c r="CU2" s="29"/>
      <c r="CV2" s="29"/>
      <c r="CZ2"/>
    </row>
    <row r="3" spans="1:206" x14ac:dyDescent="0.25">
      <c r="A3" s="2">
        <v>2006</v>
      </c>
      <c r="B3" s="3">
        <v>0.27344000000000002</v>
      </c>
      <c r="C3" s="3"/>
      <c r="D3" s="3"/>
      <c r="E3" s="3"/>
      <c r="F3" s="3"/>
      <c r="G3" s="3"/>
      <c r="H3" s="3"/>
      <c r="I3" s="3"/>
      <c r="J3" s="3"/>
      <c r="P3" s="3">
        <v>32.83</v>
      </c>
      <c r="Q3" s="3">
        <v>4.3099999999999996</v>
      </c>
      <c r="R3" s="3">
        <v>2.9</v>
      </c>
      <c r="S3" s="1">
        <f t="shared" ref="S3:S18" si="6">2*AI3</f>
        <v>9.4600000000000009</v>
      </c>
      <c r="T3" s="1">
        <f t="shared" ref="T3:T18" si="7">2*AJ3</f>
        <v>1.02</v>
      </c>
      <c r="U3" s="3">
        <f t="shared" si="0"/>
        <v>4.2679</v>
      </c>
      <c r="V3" s="3">
        <v>0</v>
      </c>
      <c r="W3" s="3">
        <f t="shared" ref="W3:W18" si="8">0.13*R3</f>
        <v>0.377</v>
      </c>
      <c r="X3" s="3">
        <f t="shared" ref="X3:X18" si="9">0.13*S3</f>
        <v>1.2298000000000002</v>
      </c>
      <c r="Y3" s="3">
        <f t="shared" ref="Y3:Y18" si="10">0.13*T3</f>
        <v>0.1326</v>
      </c>
      <c r="Z3" s="3">
        <f t="shared" ref="Z3:Z18" si="11">P3+U3</f>
        <v>37.097899999999996</v>
      </c>
      <c r="AA3" s="3">
        <f t="shared" ref="AA3:AA18" si="12">R3+W3</f>
        <v>3.2770000000000001</v>
      </c>
      <c r="AB3" s="3">
        <f t="shared" ref="AB3:AB18" si="13">S3+X3</f>
        <v>10.689800000000002</v>
      </c>
      <c r="AC3" s="3">
        <f t="shared" ref="AC3:AC18" si="14">T3+Y3</f>
        <v>1.1526000000000001</v>
      </c>
      <c r="AD3" s="3">
        <f t="shared" si="1"/>
        <v>56.527299999999997</v>
      </c>
      <c r="AE3" s="3"/>
      <c r="AF3" s="3">
        <f t="shared" si="2"/>
        <v>16.414999999999999</v>
      </c>
      <c r="AG3" s="3">
        <f t="shared" si="3"/>
        <v>2.1549999999999998</v>
      </c>
      <c r="AH3" s="3">
        <f t="shared" si="4"/>
        <v>1.45</v>
      </c>
      <c r="AI3" s="3">
        <v>4.7300000000000004</v>
      </c>
      <c r="AJ3" s="3">
        <v>0.51</v>
      </c>
      <c r="AK3" s="3">
        <f t="shared" si="5"/>
        <v>25.26</v>
      </c>
      <c r="AP3" s="3"/>
      <c r="AQ3" s="3"/>
      <c r="BC3" s="29"/>
      <c r="BD3" s="29"/>
      <c r="BE3" s="29"/>
      <c r="BF3" s="29"/>
      <c r="BG3" s="29"/>
      <c r="BH3" s="29"/>
      <c r="BI3" s="29"/>
      <c r="BJ3" s="19"/>
      <c r="BK3" s="16"/>
      <c r="BL3" s="16"/>
      <c r="BM3" s="16"/>
      <c r="BN3" s="16"/>
      <c r="BO3" s="16"/>
      <c r="BP3" s="16"/>
      <c r="BQ3" s="16"/>
      <c r="BR3" s="19"/>
      <c r="BS3" s="19"/>
      <c r="BT3" s="16"/>
      <c r="BU3" s="16"/>
      <c r="BV3" s="19"/>
      <c r="BW3" s="19"/>
      <c r="BX3" s="29"/>
      <c r="BY3" s="19"/>
      <c r="BZ3" s="19"/>
      <c r="CA3" s="19"/>
      <c r="CB3" s="19"/>
      <c r="CC3" s="19"/>
      <c r="CD3" s="19"/>
      <c r="CE3" s="19"/>
      <c r="CF3" s="19"/>
      <c r="CG3" s="19"/>
      <c r="CH3" s="27"/>
      <c r="CI3" s="19"/>
      <c r="CJ3" s="19"/>
      <c r="CK3" s="29"/>
      <c r="CL3" s="29"/>
      <c r="CM3" s="29"/>
      <c r="CN3" s="19"/>
      <c r="CO3" s="29"/>
      <c r="CP3" s="29"/>
      <c r="CQ3" s="29"/>
      <c r="CR3" s="29"/>
      <c r="CS3" s="16"/>
      <c r="CT3" s="19"/>
      <c r="CU3" s="29"/>
      <c r="CV3" s="29"/>
      <c r="CZ3"/>
    </row>
    <row r="4" spans="1:206" x14ac:dyDescent="0.25">
      <c r="A4" s="2">
        <v>2007</v>
      </c>
      <c r="B4" s="3">
        <v>0.26300000000000001</v>
      </c>
      <c r="C4" s="3">
        <v>0.20899999999999999</v>
      </c>
      <c r="D4" s="3">
        <f>E4+F4</f>
        <v>79.001878898000001</v>
      </c>
      <c r="E4" s="3">
        <v>75.33</v>
      </c>
      <c r="F4" s="3">
        <v>3.6718788980000001</v>
      </c>
      <c r="G4" s="3">
        <v>0</v>
      </c>
      <c r="H4" s="3">
        <v>56.580420112999995</v>
      </c>
      <c r="I4" s="3">
        <v>16.453742160000001</v>
      </c>
      <c r="J4" s="3">
        <v>0.91802214299999996</v>
      </c>
      <c r="K4" s="3">
        <f>H4/D4*100</f>
        <v>71.619081599377481</v>
      </c>
      <c r="L4" s="3">
        <f>I4/D4*100</f>
        <v>20.827026381541593</v>
      </c>
      <c r="M4" s="3">
        <f>J4/D4*100</f>
        <v>1.1620257085091181</v>
      </c>
      <c r="N4" s="3">
        <f>L4+M4</f>
        <v>21.989052090050713</v>
      </c>
      <c r="O4" s="3">
        <f>F4/D4*100</f>
        <v>4.6478374302221273</v>
      </c>
      <c r="P4" s="3">
        <v>28.25</v>
      </c>
      <c r="Q4" s="3">
        <v>3.34</v>
      </c>
      <c r="R4" s="3">
        <v>2.68</v>
      </c>
      <c r="S4" s="1">
        <f t="shared" si="6"/>
        <v>9.74</v>
      </c>
      <c r="T4" s="1">
        <f t="shared" si="7"/>
        <v>1.26</v>
      </c>
      <c r="U4" s="3">
        <f t="shared" si="0"/>
        <v>3.6725000000000003</v>
      </c>
      <c r="V4" s="3">
        <v>0</v>
      </c>
      <c r="W4" s="3">
        <f t="shared" si="8"/>
        <v>0.34840000000000004</v>
      </c>
      <c r="X4" s="3">
        <f t="shared" si="9"/>
        <v>1.2662</v>
      </c>
      <c r="Y4" s="3">
        <f t="shared" si="10"/>
        <v>0.1638</v>
      </c>
      <c r="Z4" s="3">
        <f t="shared" si="11"/>
        <v>31.922499999999999</v>
      </c>
      <c r="AA4" s="3">
        <f t="shared" si="12"/>
        <v>3.0284000000000004</v>
      </c>
      <c r="AB4" s="3">
        <f t="shared" si="13"/>
        <v>11.0062</v>
      </c>
      <c r="AC4" s="3">
        <f t="shared" si="14"/>
        <v>1.4238</v>
      </c>
      <c r="AD4" s="3">
        <f t="shared" si="1"/>
        <v>50.7209</v>
      </c>
      <c r="AE4" s="3">
        <f>Q4/D4*100</f>
        <v>4.2277475505516806</v>
      </c>
      <c r="AF4" s="3">
        <f t="shared" si="2"/>
        <v>14.125</v>
      </c>
      <c r="AG4" s="3">
        <f t="shared" si="3"/>
        <v>1.67</v>
      </c>
      <c r="AH4" s="3">
        <f t="shared" si="4"/>
        <v>1.34</v>
      </c>
      <c r="AI4" s="3">
        <v>4.87</v>
      </c>
      <c r="AJ4" s="3">
        <v>0.63</v>
      </c>
      <c r="AK4" s="3">
        <f t="shared" si="5"/>
        <v>22.634999999999998</v>
      </c>
      <c r="AL4" s="7">
        <v>1.69716676</v>
      </c>
      <c r="AM4" s="7">
        <v>0.60735203000000004</v>
      </c>
      <c r="AN4" s="7">
        <v>2.52052802</v>
      </c>
      <c r="AO4" s="12">
        <f t="shared" ref="AO4:AO18" si="15">F4/E4*100</f>
        <v>4.8743912093455464</v>
      </c>
      <c r="AP4" s="3">
        <f t="shared" ref="AP4:AP18" si="16">E4/C4</f>
        <v>360.43062200956939</v>
      </c>
      <c r="AQ4" s="3">
        <f t="shared" ref="AQ4:AQ18" si="17">(E4+AN4)/C4</f>
        <v>372.49056468899522</v>
      </c>
      <c r="AR4" s="12">
        <f t="shared" ref="AR4:AR18" si="18">(T4+Y4)/C4</f>
        <v>6.8124401913875596</v>
      </c>
      <c r="AS4" s="12">
        <f>AR4/AQ4*100</f>
        <v>1.8288893296063733</v>
      </c>
      <c r="AT4" s="12"/>
      <c r="AU4" s="12">
        <f>K4-AE4</f>
        <v>67.391334048825797</v>
      </c>
      <c r="AX4" s="10"/>
      <c r="AY4" s="10"/>
      <c r="AZ4" s="10"/>
      <c r="BA4" s="10"/>
      <c r="BB4" s="10"/>
      <c r="BC4" s="29"/>
      <c r="BD4" s="29"/>
      <c r="BE4" s="29"/>
      <c r="BF4" s="29"/>
      <c r="BG4" s="29"/>
      <c r="BH4" s="29"/>
      <c r="BI4" s="29"/>
      <c r="BJ4" s="19"/>
      <c r="BK4" s="16"/>
      <c r="BL4" s="16"/>
      <c r="BM4" s="16"/>
      <c r="BN4" s="16"/>
      <c r="BO4" s="16"/>
      <c r="BP4" s="16"/>
      <c r="BQ4" s="16"/>
      <c r="BR4" s="19"/>
      <c r="BS4" s="19"/>
      <c r="BT4" s="16"/>
      <c r="BU4" s="16"/>
      <c r="BV4" s="19"/>
      <c r="BW4" s="19"/>
      <c r="BX4" s="29"/>
      <c r="BY4" s="19"/>
      <c r="BZ4" s="19"/>
      <c r="CA4" s="19"/>
      <c r="CB4" s="19"/>
      <c r="CC4" s="19"/>
      <c r="CD4" s="19"/>
      <c r="CE4" s="19"/>
      <c r="CF4" s="19"/>
      <c r="CG4" s="19"/>
      <c r="CH4" s="27"/>
      <c r="CI4" s="19"/>
      <c r="CJ4" s="19"/>
      <c r="CK4" s="29"/>
      <c r="CL4" s="29"/>
      <c r="CM4" s="29"/>
      <c r="CN4" s="19"/>
      <c r="CO4" s="29"/>
      <c r="CP4" s="29"/>
      <c r="CQ4" s="29"/>
      <c r="CR4" s="29"/>
      <c r="CS4" s="16"/>
      <c r="CT4" s="19"/>
      <c r="CU4" s="29"/>
      <c r="CV4" s="29"/>
      <c r="CW4" s="10"/>
      <c r="CX4" s="10"/>
      <c r="CZ4"/>
      <c r="EG4" s="10"/>
      <c r="EH4" s="10"/>
    </row>
    <row r="5" spans="1:206" x14ac:dyDescent="0.25">
      <c r="A5" s="2">
        <v>2008</v>
      </c>
      <c r="B5" s="3">
        <v>0.22957</v>
      </c>
      <c r="C5" s="3">
        <v>0.19800000000000001</v>
      </c>
      <c r="D5" s="3">
        <f t="shared" ref="D5:D18" si="19">E5+F5</f>
        <v>67.087594640999995</v>
      </c>
      <c r="E5" s="3">
        <v>63.64</v>
      </c>
      <c r="F5" s="3">
        <v>3.4475946409999998</v>
      </c>
      <c r="G5" s="3">
        <v>0</v>
      </c>
      <c r="H5" s="3">
        <v>40.674060059999995</v>
      </c>
      <c r="I5" s="3">
        <v>21.066844809999999</v>
      </c>
      <c r="J5" s="3">
        <v>0.82271513600000001</v>
      </c>
      <c r="K5" s="3">
        <f t="shared" ref="K5:K18" si="20">H5/D5*100</f>
        <v>60.628287953466732</v>
      </c>
      <c r="L5" s="3">
        <f t="shared" ref="L5:L18" si="21">I5/D5*100</f>
        <v>31.401997526864946</v>
      </c>
      <c r="M5" s="3">
        <f t="shared" ref="M5:M18" si="22">J5/D5*100</f>
        <v>1.2263297564960018</v>
      </c>
      <c r="N5" s="3">
        <f t="shared" ref="N5:N18" si="23">L5+M5</f>
        <v>32.628327283360946</v>
      </c>
      <c r="O5" s="3">
        <f t="shared" ref="O5:O18" si="24">F5/D5*100</f>
        <v>5.1389450753880999</v>
      </c>
      <c r="P5" s="3">
        <v>21.21</v>
      </c>
      <c r="Q5" s="3">
        <v>2.62</v>
      </c>
      <c r="R5" s="3">
        <v>1.86</v>
      </c>
      <c r="S5" s="1">
        <f t="shared" si="6"/>
        <v>7.9</v>
      </c>
      <c r="T5" s="1">
        <f t="shared" si="7"/>
        <v>1.36</v>
      </c>
      <c r="U5" s="3">
        <f t="shared" si="0"/>
        <v>2.7573000000000003</v>
      </c>
      <c r="V5" s="3">
        <v>0</v>
      </c>
      <c r="W5" s="3">
        <f t="shared" si="8"/>
        <v>0.24180000000000001</v>
      </c>
      <c r="X5" s="3">
        <f t="shared" si="9"/>
        <v>1.0270000000000001</v>
      </c>
      <c r="Y5" s="3">
        <f t="shared" si="10"/>
        <v>0.17680000000000001</v>
      </c>
      <c r="Z5" s="3">
        <f t="shared" si="11"/>
        <v>23.967300000000002</v>
      </c>
      <c r="AA5" s="3">
        <f t="shared" si="12"/>
        <v>2.1017999999999999</v>
      </c>
      <c r="AB5" s="3">
        <f t="shared" si="13"/>
        <v>8.9269999999999996</v>
      </c>
      <c r="AC5" s="3">
        <f t="shared" si="14"/>
        <v>1.5368000000000002</v>
      </c>
      <c r="AD5" s="3">
        <f t="shared" si="1"/>
        <v>39.152900000000002</v>
      </c>
      <c r="AE5" s="3">
        <f t="shared" ref="AE5:AE18" si="25">Q5/D5*100</f>
        <v>3.9053419846398998</v>
      </c>
      <c r="AF5" s="3">
        <f t="shared" si="2"/>
        <v>10.605</v>
      </c>
      <c r="AG5" s="3">
        <f t="shared" si="3"/>
        <v>1.31</v>
      </c>
      <c r="AH5" s="3">
        <f t="shared" si="4"/>
        <v>0.93</v>
      </c>
      <c r="AI5" s="3">
        <v>3.95</v>
      </c>
      <c r="AJ5" s="3">
        <v>0.68</v>
      </c>
      <c r="AK5" s="3">
        <f t="shared" si="5"/>
        <v>17.475000000000001</v>
      </c>
      <c r="AL5" s="7">
        <v>1.7866460799999999</v>
      </c>
      <c r="AM5" s="7">
        <v>0.60545369999999998</v>
      </c>
      <c r="AN5" s="7">
        <v>2.58974503</v>
      </c>
      <c r="AO5" s="12">
        <f t="shared" si="15"/>
        <v>5.4173391593337517</v>
      </c>
      <c r="AP5" s="3">
        <f t="shared" si="16"/>
        <v>321.4141414141414</v>
      </c>
      <c r="AQ5" s="3">
        <f t="shared" si="17"/>
        <v>334.49366176767677</v>
      </c>
      <c r="AR5" s="12">
        <f t="shared" si="18"/>
        <v>7.7616161616161623</v>
      </c>
      <c r="AS5" s="12">
        <f t="shared" ref="AS5:AS18" si="26">AR5/AQ5*100</f>
        <v>2.3204075439273968</v>
      </c>
      <c r="AT5" s="12"/>
      <c r="AU5" s="12">
        <f t="shared" ref="AU5:AU18" si="27">K5-AE5</f>
        <v>56.722945968826835</v>
      </c>
      <c r="AV5" s="12"/>
      <c r="AW5" s="12"/>
      <c r="AX5" s="10"/>
      <c r="AY5" s="10"/>
      <c r="AZ5" s="10"/>
      <c r="BA5" s="10"/>
      <c r="BB5" s="10"/>
      <c r="BC5" s="29"/>
      <c r="BD5" s="29"/>
      <c r="BE5" s="29"/>
      <c r="BF5" s="29"/>
      <c r="BG5" s="29"/>
      <c r="BH5" s="29"/>
      <c r="BI5" s="29"/>
      <c r="BJ5" s="19"/>
      <c r="BK5" s="16"/>
      <c r="BL5" s="16"/>
      <c r="BM5" s="16"/>
      <c r="BN5" s="16"/>
      <c r="BO5" s="16"/>
      <c r="BP5" s="16"/>
      <c r="BQ5" s="16"/>
      <c r="BR5" s="19"/>
      <c r="BS5" s="19"/>
      <c r="BT5" s="16"/>
      <c r="BU5" s="16"/>
      <c r="BV5" s="19"/>
      <c r="BW5" s="19"/>
      <c r="BX5" s="29"/>
      <c r="BY5" s="19"/>
      <c r="BZ5" s="19"/>
      <c r="CA5" s="19"/>
      <c r="CB5" s="19"/>
      <c r="CC5" s="19"/>
      <c r="CD5" s="19"/>
      <c r="CE5" s="19"/>
      <c r="CF5" s="19"/>
      <c r="CG5" s="19"/>
      <c r="CH5" s="27"/>
      <c r="CI5" s="19"/>
      <c r="CJ5" s="19"/>
      <c r="CK5" s="29"/>
      <c r="CL5" s="29"/>
      <c r="CM5" s="29"/>
      <c r="CN5" s="19"/>
      <c r="CO5" s="29"/>
      <c r="CP5" s="29"/>
      <c r="CQ5" s="29"/>
      <c r="CR5" s="29"/>
      <c r="CS5" s="16"/>
      <c r="CT5" s="19"/>
      <c r="CU5" s="29"/>
      <c r="CV5" s="29"/>
      <c r="CW5" s="10"/>
      <c r="CX5" s="10"/>
      <c r="CZ5"/>
      <c r="EG5" s="10"/>
      <c r="EH5" s="10"/>
    </row>
    <row r="6" spans="1:206" x14ac:dyDescent="0.25">
      <c r="A6" s="2">
        <v>2009</v>
      </c>
      <c r="B6" s="3">
        <v>0.17948</v>
      </c>
      <c r="C6" s="3">
        <v>0.16400000000000001</v>
      </c>
      <c r="D6" s="3">
        <f t="shared" si="19"/>
        <v>52.198352974999999</v>
      </c>
      <c r="E6" s="3">
        <v>49.735999999999997</v>
      </c>
      <c r="F6" s="3">
        <v>2.4623529749999999</v>
      </c>
      <c r="G6" s="3">
        <v>0.23435708599999999</v>
      </c>
      <c r="H6" s="3">
        <v>29.343749964000001</v>
      </c>
      <c r="I6" s="3">
        <v>19.056096647</v>
      </c>
      <c r="J6" s="3">
        <v>0.60538478100000015</v>
      </c>
      <c r="K6" s="3">
        <f t="shared" si="20"/>
        <v>56.215854124849429</v>
      </c>
      <c r="L6" s="3">
        <f t="shared" si="21"/>
        <v>36.507084152878875</v>
      </c>
      <c r="M6" s="3">
        <f t="shared" si="22"/>
        <v>1.1597775533069876</v>
      </c>
      <c r="N6" s="3">
        <f t="shared" si="23"/>
        <v>37.666861706185863</v>
      </c>
      <c r="O6" s="3">
        <f t="shared" si="24"/>
        <v>4.7173001343152059</v>
      </c>
      <c r="P6" s="3">
        <v>17.82</v>
      </c>
      <c r="Q6" s="3">
        <v>2.46</v>
      </c>
      <c r="R6" s="3">
        <v>1.25</v>
      </c>
      <c r="S6" s="1">
        <f t="shared" si="6"/>
        <v>6.58</v>
      </c>
      <c r="T6" s="1">
        <f t="shared" si="7"/>
        <v>1.52</v>
      </c>
      <c r="U6" s="3">
        <f t="shared" si="0"/>
        <v>2.3166000000000002</v>
      </c>
      <c r="V6" s="3">
        <v>0</v>
      </c>
      <c r="W6" s="3">
        <f t="shared" si="8"/>
        <v>0.16250000000000001</v>
      </c>
      <c r="X6" s="3">
        <f t="shared" si="9"/>
        <v>0.85540000000000005</v>
      </c>
      <c r="Y6" s="3">
        <f t="shared" si="10"/>
        <v>0.1976</v>
      </c>
      <c r="Z6" s="3">
        <f t="shared" si="11"/>
        <v>20.136600000000001</v>
      </c>
      <c r="AA6" s="3">
        <f t="shared" si="12"/>
        <v>1.4125000000000001</v>
      </c>
      <c r="AB6" s="3">
        <f t="shared" si="13"/>
        <v>7.4354000000000005</v>
      </c>
      <c r="AC6" s="3">
        <f t="shared" si="14"/>
        <v>1.7176</v>
      </c>
      <c r="AD6" s="3">
        <f t="shared" si="1"/>
        <v>33.162100000000002</v>
      </c>
      <c r="AE6" s="3">
        <f t="shared" si="25"/>
        <v>4.7127923771430069</v>
      </c>
      <c r="AF6" s="3">
        <f t="shared" si="2"/>
        <v>8.91</v>
      </c>
      <c r="AG6" s="3">
        <f t="shared" si="3"/>
        <v>1.23</v>
      </c>
      <c r="AH6" s="3">
        <f t="shared" si="4"/>
        <v>0.625</v>
      </c>
      <c r="AI6" s="3">
        <v>3.29</v>
      </c>
      <c r="AJ6" s="3">
        <v>0.76</v>
      </c>
      <c r="AK6" s="3">
        <f t="shared" si="5"/>
        <v>14.815</v>
      </c>
      <c r="AL6" s="7">
        <v>1.2292466500000001</v>
      </c>
      <c r="AM6" s="7">
        <v>0.38310056999999997</v>
      </c>
      <c r="AN6" s="7">
        <v>1.70868537</v>
      </c>
      <c r="AO6" s="12">
        <f t="shared" si="15"/>
        <v>4.9508464190928105</v>
      </c>
      <c r="AP6" s="3">
        <f t="shared" si="16"/>
        <v>303.26829268292681</v>
      </c>
      <c r="AQ6" s="3">
        <f t="shared" si="17"/>
        <v>313.68710591463412</v>
      </c>
      <c r="AR6" s="12">
        <f t="shared" si="18"/>
        <v>10.473170731707317</v>
      </c>
      <c r="AS6" s="12">
        <f t="shared" si="26"/>
        <v>3.33873166420728</v>
      </c>
      <c r="AT6" s="12"/>
      <c r="AU6" s="12">
        <f t="shared" si="27"/>
        <v>51.503061747706425</v>
      </c>
      <c r="AV6" s="12"/>
      <c r="AW6" s="12"/>
      <c r="AX6" s="10"/>
      <c r="AY6" s="10"/>
      <c r="AZ6" s="10"/>
      <c r="BA6" s="10"/>
      <c r="BB6" s="10"/>
      <c r="BC6" s="29"/>
      <c r="BD6" s="29"/>
      <c r="BE6" s="29"/>
      <c r="BF6" s="29"/>
      <c r="BG6" s="29"/>
      <c r="BH6" s="29"/>
      <c r="BI6" s="29"/>
      <c r="BJ6" s="19"/>
      <c r="BK6" s="16"/>
      <c r="BL6" s="16"/>
      <c r="BM6" s="16"/>
      <c r="BN6" s="16"/>
      <c r="BO6" s="16"/>
      <c r="BP6" s="16"/>
      <c r="BQ6" s="16"/>
      <c r="BR6" s="19"/>
      <c r="BS6" s="19"/>
      <c r="BT6" s="16"/>
      <c r="BU6" s="16"/>
      <c r="BV6" s="19"/>
      <c r="BW6" s="19"/>
      <c r="BX6" s="29"/>
      <c r="BY6" s="19"/>
      <c r="BZ6" s="19"/>
      <c r="CA6" s="19"/>
      <c r="CB6" s="19"/>
      <c r="CC6" s="19"/>
      <c r="CD6" s="19"/>
      <c r="CE6" s="19"/>
      <c r="CF6" s="19"/>
      <c r="CG6" s="19"/>
      <c r="CH6" s="27"/>
      <c r="CI6" s="19"/>
      <c r="CJ6" s="19"/>
      <c r="CK6" s="29"/>
      <c r="CL6" s="29"/>
      <c r="CM6" s="29"/>
      <c r="CN6" s="19"/>
      <c r="CO6" s="29"/>
      <c r="CP6" s="29"/>
      <c r="CQ6" s="29"/>
      <c r="CR6" s="29"/>
      <c r="CS6" s="16"/>
      <c r="CT6" s="19"/>
      <c r="CU6" s="29"/>
      <c r="CV6" s="29"/>
      <c r="CW6" s="10"/>
      <c r="CX6" s="10"/>
      <c r="CZ6"/>
      <c r="EG6" s="10"/>
      <c r="EH6" s="10"/>
    </row>
    <row r="7" spans="1:206" x14ac:dyDescent="0.25">
      <c r="A7" s="2">
        <v>2010</v>
      </c>
      <c r="B7" s="3">
        <v>0.23766999999999999</v>
      </c>
      <c r="C7" s="3">
        <v>0.14699999999999999</v>
      </c>
      <c r="D7" s="3">
        <f t="shared" si="19"/>
        <v>67.299958266000004</v>
      </c>
      <c r="E7" s="3">
        <v>63.25</v>
      </c>
      <c r="F7" s="3">
        <v>4.049958266</v>
      </c>
      <c r="G7" s="3">
        <v>0.316875613</v>
      </c>
      <c r="H7" s="3">
        <v>35.731202512999999</v>
      </c>
      <c r="I7" s="3">
        <v>18.958404295000001</v>
      </c>
      <c r="J7" s="3">
        <v>7.5738515519999998</v>
      </c>
      <c r="K7" s="3">
        <f t="shared" si="20"/>
        <v>53.092458648746941</v>
      </c>
      <c r="L7" s="3">
        <f t="shared" si="21"/>
        <v>28.170008991785366</v>
      </c>
      <c r="M7" s="3">
        <f t="shared" si="22"/>
        <v>11.253872583493587</v>
      </c>
      <c r="N7" s="3">
        <f t="shared" si="23"/>
        <v>39.423881575278955</v>
      </c>
      <c r="O7" s="3">
        <f t="shared" si="24"/>
        <v>6.0177723290595893</v>
      </c>
      <c r="P7" s="3">
        <v>20.85</v>
      </c>
      <c r="Q7" s="3">
        <v>3.74</v>
      </c>
      <c r="R7" s="3">
        <v>1.1000000000000001</v>
      </c>
      <c r="S7" s="1">
        <f t="shared" si="6"/>
        <v>7.58</v>
      </c>
      <c r="T7" s="1">
        <f t="shared" si="7"/>
        <v>2.12</v>
      </c>
      <c r="U7" s="3">
        <f t="shared" si="0"/>
        <v>2.7105000000000001</v>
      </c>
      <c r="V7" s="3">
        <v>0</v>
      </c>
      <c r="W7" s="3">
        <f t="shared" si="8"/>
        <v>0.14300000000000002</v>
      </c>
      <c r="X7" s="3">
        <f t="shared" si="9"/>
        <v>0.98540000000000005</v>
      </c>
      <c r="Y7" s="3">
        <f t="shared" si="10"/>
        <v>0.27560000000000001</v>
      </c>
      <c r="Z7" s="3">
        <f t="shared" si="11"/>
        <v>23.560500000000001</v>
      </c>
      <c r="AA7" s="3">
        <f t="shared" si="12"/>
        <v>1.2430000000000001</v>
      </c>
      <c r="AB7" s="3">
        <f t="shared" si="13"/>
        <v>8.5654000000000003</v>
      </c>
      <c r="AC7" s="3">
        <f t="shared" si="14"/>
        <v>2.3956</v>
      </c>
      <c r="AD7" s="3">
        <f t="shared" si="1"/>
        <v>39.5045</v>
      </c>
      <c r="AE7" s="3">
        <f t="shared" si="25"/>
        <v>5.5572099840208242</v>
      </c>
      <c r="AF7" s="3">
        <f t="shared" si="2"/>
        <v>10.425000000000001</v>
      </c>
      <c r="AG7" s="3">
        <f t="shared" si="3"/>
        <v>1.87</v>
      </c>
      <c r="AH7" s="3">
        <f t="shared" si="4"/>
        <v>0.55000000000000004</v>
      </c>
      <c r="AI7" s="3">
        <v>3.79</v>
      </c>
      <c r="AJ7" s="3">
        <v>1.06</v>
      </c>
      <c r="AK7" s="3">
        <f t="shared" si="5"/>
        <v>17.695</v>
      </c>
      <c r="AL7" s="7">
        <v>1.4631273600000001</v>
      </c>
      <c r="AM7" s="7">
        <v>0.48974782999999988</v>
      </c>
      <c r="AN7" s="7">
        <v>2.0331866299999999</v>
      </c>
      <c r="AO7" s="12">
        <f t="shared" si="15"/>
        <v>6.4030960727272728</v>
      </c>
      <c r="AP7" s="3">
        <f t="shared" si="16"/>
        <v>430.27210884353747</v>
      </c>
      <c r="AQ7" s="3">
        <f t="shared" si="17"/>
        <v>444.10331040816334</v>
      </c>
      <c r="AR7" s="12">
        <f t="shared" si="18"/>
        <v>16.296598639455784</v>
      </c>
      <c r="AS7" s="12">
        <f t="shared" si="26"/>
        <v>3.6695512637539269</v>
      </c>
      <c r="AT7" s="12"/>
      <c r="AU7" s="12">
        <f t="shared" si="27"/>
        <v>47.535248664726119</v>
      </c>
      <c r="AV7" s="12"/>
      <c r="AW7" s="12"/>
      <c r="AX7" s="10"/>
      <c r="AY7" s="10"/>
      <c r="AZ7" s="10"/>
      <c r="BA7" s="10"/>
      <c r="BB7" s="10"/>
      <c r="BC7" s="29">
        <f>64223737/1000000*3.6</f>
        <v>231.20545319999999</v>
      </c>
      <c r="BD7" s="29"/>
      <c r="BE7" s="29"/>
      <c r="BF7" s="29"/>
      <c r="BG7" s="29"/>
      <c r="BH7" s="29"/>
      <c r="BI7" s="29"/>
      <c r="BJ7" s="19"/>
      <c r="BK7" s="16"/>
      <c r="BL7" s="16"/>
      <c r="BM7" s="16"/>
      <c r="BN7" s="16"/>
      <c r="BO7" s="16"/>
      <c r="BP7" s="16"/>
      <c r="BQ7" s="16"/>
      <c r="BR7" s="19"/>
      <c r="BS7" s="19"/>
      <c r="BT7" s="16"/>
      <c r="BU7" s="16"/>
      <c r="BV7" s="19"/>
      <c r="BW7" s="19"/>
      <c r="BX7" s="29"/>
      <c r="BY7" s="19"/>
      <c r="BZ7" s="19"/>
      <c r="CA7" s="19"/>
      <c r="CB7" s="19"/>
      <c r="CC7" s="19"/>
      <c r="CD7" s="19"/>
      <c r="CE7" s="19"/>
      <c r="CF7" s="19"/>
      <c r="CG7" s="19"/>
      <c r="CH7" s="27"/>
      <c r="CI7" s="19"/>
      <c r="CJ7" s="19"/>
      <c r="CK7" s="29"/>
      <c r="CL7" s="29"/>
      <c r="CM7" s="29"/>
      <c r="CN7" s="19"/>
      <c r="CO7" s="29"/>
      <c r="CP7" s="29"/>
      <c r="CQ7" s="29"/>
      <c r="CR7" s="29"/>
      <c r="CS7" s="16"/>
      <c r="CT7" s="19"/>
      <c r="CU7" s="29"/>
      <c r="CV7" s="29"/>
      <c r="CW7" s="10"/>
      <c r="CX7" s="10"/>
      <c r="CZ7"/>
      <c r="EG7" s="10"/>
      <c r="EH7" s="10"/>
    </row>
    <row r="8" spans="1:206" x14ac:dyDescent="0.25">
      <c r="A8" s="2">
        <v>2011</v>
      </c>
      <c r="B8" s="3">
        <v>0.25226999999999999</v>
      </c>
      <c r="C8" s="3">
        <v>0.16600000000000001</v>
      </c>
      <c r="D8" s="3">
        <f t="shared" si="19"/>
        <v>74.886523253999997</v>
      </c>
      <c r="E8" s="3">
        <v>70.89</v>
      </c>
      <c r="F8" s="3">
        <v>3.996523254</v>
      </c>
      <c r="G8" s="3">
        <v>0.36972334200000012</v>
      </c>
      <c r="H8" s="3">
        <v>33.487529510000002</v>
      </c>
      <c r="I8" s="3">
        <v>12.119099798999997</v>
      </c>
      <c r="J8" s="3">
        <v>24.376406888999998</v>
      </c>
      <c r="K8" s="3">
        <f t="shared" si="20"/>
        <v>44.717698265169886</v>
      </c>
      <c r="L8" s="3">
        <f t="shared" si="21"/>
        <v>16.183285419586717</v>
      </c>
      <c r="M8" s="3">
        <f t="shared" si="22"/>
        <v>32.551126464130455</v>
      </c>
      <c r="N8" s="3">
        <f t="shared" si="23"/>
        <v>48.734411883717172</v>
      </c>
      <c r="O8" s="3">
        <f t="shared" si="24"/>
        <v>5.3367723327795558</v>
      </c>
      <c r="P8" s="3">
        <v>22.84</v>
      </c>
      <c r="Q8" s="3">
        <v>5.45</v>
      </c>
      <c r="R8" s="3">
        <v>1.56</v>
      </c>
      <c r="S8" s="1">
        <f t="shared" si="6"/>
        <v>8.1999999999999993</v>
      </c>
      <c r="T8" s="1">
        <f t="shared" si="7"/>
        <v>1.52</v>
      </c>
      <c r="U8" s="3">
        <f t="shared" si="0"/>
        <v>2.9692000000000003</v>
      </c>
      <c r="V8" s="3">
        <v>0</v>
      </c>
      <c r="W8" s="3">
        <f t="shared" si="8"/>
        <v>0.20280000000000001</v>
      </c>
      <c r="X8" s="3">
        <f t="shared" si="9"/>
        <v>1.0659999999999998</v>
      </c>
      <c r="Y8" s="3">
        <f t="shared" si="10"/>
        <v>0.1976</v>
      </c>
      <c r="Z8" s="3">
        <f t="shared" si="11"/>
        <v>25.809200000000001</v>
      </c>
      <c r="AA8" s="3">
        <f t="shared" si="12"/>
        <v>1.7628000000000001</v>
      </c>
      <c r="AB8" s="3">
        <f t="shared" si="13"/>
        <v>9.2659999999999982</v>
      </c>
      <c r="AC8" s="3">
        <f t="shared" si="14"/>
        <v>1.7176</v>
      </c>
      <c r="AD8" s="3">
        <f t="shared" si="1"/>
        <v>44.005600000000008</v>
      </c>
      <c r="AE8" s="3">
        <f t="shared" si="25"/>
        <v>7.2776779628488013</v>
      </c>
      <c r="AF8" s="3">
        <f t="shared" si="2"/>
        <v>11.42</v>
      </c>
      <c r="AG8" s="3">
        <f t="shared" si="3"/>
        <v>2.7250000000000001</v>
      </c>
      <c r="AH8" s="3">
        <f t="shared" si="4"/>
        <v>0.78</v>
      </c>
      <c r="AI8" s="3">
        <v>4.0999999999999996</v>
      </c>
      <c r="AJ8" s="3">
        <v>0.76</v>
      </c>
      <c r="AK8" s="3">
        <f t="shared" si="5"/>
        <v>19.785000000000004</v>
      </c>
      <c r="AL8" s="7">
        <v>1.25364038</v>
      </c>
      <c r="AM8" s="7">
        <v>0.42490350999999998</v>
      </c>
      <c r="AN8" s="7">
        <v>1.76094258</v>
      </c>
      <c r="AO8" s="12">
        <f t="shared" si="15"/>
        <v>5.637640363944139</v>
      </c>
      <c r="AP8" s="3">
        <f t="shared" si="16"/>
        <v>427.0481927710843</v>
      </c>
      <c r="AQ8" s="3">
        <f t="shared" si="17"/>
        <v>437.65628060240965</v>
      </c>
      <c r="AR8" s="12">
        <f t="shared" si="18"/>
        <v>10.346987951807229</v>
      </c>
      <c r="AS8" s="12">
        <f t="shared" si="26"/>
        <v>2.3641813017204214</v>
      </c>
      <c r="AT8" s="12"/>
      <c r="AU8" s="12">
        <f t="shared" si="27"/>
        <v>37.440020302321088</v>
      </c>
      <c r="AV8" s="12"/>
      <c r="AW8" s="12"/>
      <c r="AX8" s="10"/>
      <c r="AY8" s="10"/>
      <c r="AZ8" s="10"/>
      <c r="BA8" s="10"/>
      <c r="BB8" s="10"/>
      <c r="BC8" s="29"/>
      <c r="BD8" s="29"/>
      <c r="BE8" s="29"/>
      <c r="BF8" s="29"/>
      <c r="BG8" s="29"/>
      <c r="BH8" s="29"/>
      <c r="BI8" s="29"/>
      <c r="BJ8" s="19"/>
      <c r="BK8" s="16"/>
      <c r="BL8" s="16"/>
      <c r="BM8" s="16"/>
      <c r="BN8" s="16"/>
      <c r="BO8" s="16"/>
      <c r="BP8" s="16"/>
      <c r="BQ8" s="16"/>
      <c r="BR8" s="19"/>
      <c r="BS8" s="19"/>
      <c r="BT8" s="16"/>
      <c r="BU8" s="16"/>
      <c r="BV8" s="19"/>
      <c r="BW8" s="19"/>
      <c r="BX8" s="29"/>
      <c r="BY8" s="19"/>
      <c r="BZ8" s="19"/>
      <c r="CA8" s="19"/>
      <c r="CB8" s="19"/>
      <c r="CC8" s="19"/>
      <c r="CD8" s="19"/>
      <c r="CE8" s="19"/>
      <c r="CF8" s="19"/>
      <c r="CG8" s="19"/>
      <c r="CH8" s="27"/>
      <c r="CI8" s="19"/>
      <c r="CJ8" s="19"/>
      <c r="CK8" s="29"/>
      <c r="CL8" s="29"/>
      <c r="CM8" s="29"/>
      <c r="CN8" s="19"/>
      <c r="CO8" s="29"/>
      <c r="CP8" s="29"/>
      <c r="CQ8" s="29"/>
      <c r="CR8" s="29"/>
      <c r="CS8" s="16"/>
      <c r="CT8" s="19"/>
      <c r="CU8" s="29"/>
      <c r="CV8" s="29"/>
      <c r="CW8" s="10"/>
      <c r="CX8" s="10"/>
      <c r="CZ8"/>
      <c r="EG8" s="10"/>
      <c r="EH8" s="10"/>
    </row>
    <row r="9" spans="1:206" x14ac:dyDescent="0.25">
      <c r="A9" s="2">
        <v>2012</v>
      </c>
      <c r="B9" s="3">
        <v>0.27429999999999999</v>
      </c>
      <c r="C9" s="3">
        <v>0.19</v>
      </c>
      <c r="D9" s="3">
        <f t="shared" si="19"/>
        <v>74.069806173000003</v>
      </c>
      <c r="E9" s="3">
        <v>70.510000000000005</v>
      </c>
      <c r="F9" s="3">
        <v>3.559806173000001</v>
      </c>
      <c r="G9" s="3">
        <v>0.311447802</v>
      </c>
      <c r="H9" s="3">
        <v>34.150079863999999</v>
      </c>
      <c r="I9" s="3">
        <v>10.458527382000002</v>
      </c>
      <c r="J9" s="3">
        <v>24.980845696999999</v>
      </c>
      <c r="K9" s="3">
        <f t="shared" si="20"/>
        <v>46.105264247941854</v>
      </c>
      <c r="L9" s="3">
        <f t="shared" si="21"/>
        <v>14.119825502948805</v>
      </c>
      <c r="M9" s="3">
        <f t="shared" si="22"/>
        <v>33.726084875467166</v>
      </c>
      <c r="N9" s="3">
        <f t="shared" si="23"/>
        <v>47.845910378415972</v>
      </c>
      <c r="O9" s="3">
        <f t="shared" si="24"/>
        <v>4.8060152401176728</v>
      </c>
      <c r="P9" s="3">
        <v>24.16</v>
      </c>
      <c r="Q9" s="3">
        <v>5.71</v>
      </c>
      <c r="R9" s="3">
        <v>1.54</v>
      </c>
      <c r="S9" s="1">
        <f t="shared" si="6"/>
        <v>8.9</v>
      </c>
      <c r="T9" s="1">
        <f t="shared" si="7"/>
        <v>2.12</v>
      </c>
      <c r="U9" s="3">
        <f t="shared" si="0"/>
        <v>3.1408</v>
      </c>
      <c r="V9" s="3">
        <v>0</v>
      </c>
      <c r="W9" s="3">
        <f t="shared" si="8"/>
        <v>0.20020000000000002</v>
      </c>
      <c r="X9" s="3">
        <f t="shared" si="9"/>
        <v>1.157</v>
      </c>
      <c r="Y9" s="3">
        <f t="shared" si="10"/>
        <v>0.27560000000000001</v>
      </c>
      <c r="Z9" s="3">
        <f t="shared" si="11"/>
        <v>27.300799999999999</v>
      </c>
      <c r="AA9" s="3">
        <f t="shared" si="12"/>
        <v>1.7402</v>
      </c>
      <c r="AB9" s="3">
        <f t="shared" si="13"/>
        <v>10.057</v>
      </c>
      <c r="AC9" s="3">
        <f t="shared" si="14"/>
        <v>2.3956</v>
      </c>
      <c r="AD9" s="3">
        <f t="shared" si="1"/>
        <v>47.203599999999994</v>
      </c>
      <c r="AE9" s="3">
        <f t="shared" si="25"/>
        <v>7.7089441636495257</v>
      </c>
      <c r="AF9" s="3">
        <f t="shared" si="2"/>
        <v>12.08</v>
      </c>
      <c r="AG9" s="3">
        <f t="shared" si="3"/>
        <v>2.855</v>
      </c>
      <c r="AH9" s="3">
        <f t="shared" si="4"/>
        <v>0.77</v>
      </c>
      <c r="AI9" s="3">
        <v>4.45</v>
      </c>
      <c r="AJ9" s="3">
        <v>1.06</v>
      </c>
      <c r="AK9" s="3">
        <f t="shared" si="5"/>
        <v>21.215</v>
      </c>
      <c r="AL9" s="7">
        <v>2.6323266699999999</v>
      </c>
      <c r="AM9" s="7">
        <v>0.80420225000000001</v>
      </c>
      <c r="AN9" s="7">
        <v>3.6490071199999998</v>
      </c>
      <c r="AO9" s="12">
        <f t="shared" si="15"/>
        <v>5.0486543369734802</v>
      </c>
      <c r="AP9" s="3">
        <f t="shared" si="16"/>
        <v>371.10526315789474</v>
      </c>
      <c r="AQ9" s="3">
        <f t="shared" si="17"/>
        <v>390.31056378947369</v>
      </c>
      <c r="AR9" s="12">
        <f t="shared" si="18"/>
        <v>12.608421052631579</v>
      </c>
      <c r="AS9" s="12">
        <f t="shared" si="26"/>
        <v>3.2303560862452931</v>
      </c>
      <c r="AT9" s="12"/>
      <c r="AU9" s="12">
        <f t="shared" si="27"/>
        <v>38.396320084292327</v>
      </c>
      <c r="AV9" s="12"/>
      <c r="AW9" s="12"/>
      <c r="AX9" s="10"/>
      <c r="AY9" s="10"/>
      <c r="AZ9" s="10"/>
      <c r="BA9" s="10"/>
      <c r="BB9" s="10"/>
      <c r="BC9" s="29"/>
      <c r="BD9" s="29"/>
      <c r="BE9" s="29"/>
      <c r="BF9" s="29"/>
      <c r="BG9" s="29"/>
      <c r="BH9" s="29"/>
      <c r="BI9" s="29"/>
      <c r="BJ9" s="19"/>
      <c r="BK9" s="16"/>
      <c r="BL9" s="16"/>
      <c r="BM9" s="16"/>
      <c r="BN9" s="16"/>
      <c r="BO9" s="16"/>
      <c r="BP9" s="16"/>
      <c r="BQ9" s="16"/>
      <c r="BR9" s="19"/>
      <c r="BS9" s="19"/>
      <c r="BT9" s="16"/>
      <c r="BU9" s="16"/>
      <c r="BV9" s="19"/>
      <c r="BW9" s="19"/>
      <c r="BX9" s="29"/>
      <c r="BY9" s="19"/>
      <c r="BZ9" s="19"/>
      <c r="CA9" s="19"/>
      <c r="CB9" s="19"/>
      <c r="CC9" s="19"/>
      <c r="CD9" s="19"/>
      <c r="CE9" s="19"/>
      <c r="CF9" s="19"/>
      <c r="CG9" s="19"/>
      <c r="CH9" s="27"/>
      <c r="CI9" s="19"/>
      <c r="CJ9" s="19"/>
      <c r="CK9" s="29"/>
      <c r="CL9" s="29"/>
      <c r="CM9" s="29"/>
      <c r="CN9" s="19"/>
      <c r="CO9" s="29"/>
      <c r="CP9" s="29"/>
      <c r="CQ9" s="29"/>
      <c r="CR9" s="29"/>
      <c r="CS9" s="16"/>
      <c r="CT9" s="19"/>
      <c r="CU9" s="29"/>
      <c r="CV9" s="29"/>
      <c r="CW9" s="10"/>
      <c r="CX9" s="10"/>
      <c r="CZ9"/>
      <c r="EG9" s="10"/>
      <c r="EH9" s="10"/>
    </row>
    <row r="10" spans="1:206" x14ac:dyDescent="0.25">
      <c r="A10" s="2">
        <v>2013</v>
      </c>
      <c r="B10" s="3">
        <v>0.27841000000000005</v>
      </c>
      <c r="C10" s="3">
        <v>0.191</v>
      </c>
      <c r="D10" s="3">
        <f t="shared" si="19"/>
        <v>78.714687736000002</v>
      </c>
      <c r="E10" s="3">
        <v>73.83</v>
      </c>
      <c r="F10" s="3">
        <v>4.8846877359999992</v>
      </c>
      <c r="G10" s="3">
        <v>0.13441293999999998</v>
      </c>
      <c r="H10" s="3">
        <v>36.541704430000003</v>
      </c>
      <c r="I10" s="3">
        <v>10.979180293999999</v>
      </c>
      <c r="J10" s="3">
        <v>25.478540226000003</v>
      </c>
      <c r="K10" s="3">
        <f t="shared" si="20"/>
        <v>46.422980870554511</v>
      </c>
      <c r="L10" s="3">
        <f t="shared" si="21"/>
        <v>13.948070696567971</v>
      </c>
      <c r="M10" s="3">
        <f t="shared" si="22"/>
        <v>32.368216096406421</v>
      </c>
      <c r="N10" s="3">
        <f t="shared" si="23"/>
        <v>46.316286792974395</v>
      </c>
      <c r="O10" s="3">
        <f t="shared" si="24"/>
        <v>6.2055607110869566</v>
      </c>
      <c r="P10" s="3">
        <v>25.88</v>
      </c>
      <c r="Q10" s="3">
        <v>6.67</v>
      </c>
      <c r="R10" s="3">
        <v>1.63</v>
      </c>
      <c r="S10" s="1">
        <f t="shared" si="6"/>
        <v>8.3000000000000007</v>
      </c>
      <c r="T10" s="1">
        <f t="shared" si="7"/>
        <v>2.44</v>
      </c>
      <c r="U10" s="3">
        <f t="shared" si="0"/>
        <v>3.3643999999999998</v>
      </c>
      <c r="V10" s="3">
        <v>0</v>
      </c>
      <c r="W10" s="3">
        <f t="shared" si="8"/>
        <v>0.21190000000000001</v>
      </c>
      <c r="X10" s="3">
        <f t="shared" si="9"/>
        <v>1.0790000000000002</v>
      </c>
      <c r="Y10" s="3">
        <f t="shared" si="10"/>
        <v>0.31719999999999998</v>
      </c>
      <c r="Z10" s="3">
        <f t="shared" si="11"/>
        <v>29.244399999999999</v>
      </c>
      <c r="AA10" s="3">
        <f t="shared" si="12"/>
        <v>1.8418999999999999</v>
      </c>
      <c r="AB10" s="3">
        <f t="shared" si="13"/>
        <v>9.3790000000000013</v>
      </c>
      <c r="AC10" s="3">
        <f t="shared" si="14"/>
        <v>2.7572000000000001</v>
      </c>
      <c r="AD10" s="3">
        <f t="shared" si="1"/>
        <v>49.892500000000005</v>
      </c>
      <c r="AE10" s="3">
        <f t="shared" si="25"/>
        <v>8.4736409326432334</v>
      </c>
      <c r="AF10" s="3">
        <f t="shared" si="2"/>
        <v>12.94</v>
      </c>
      <c r="AG10" s="3">
        <f t="shared" si="3"/>
        <v>3.335</v>
      </c>
      <c r="AH10" s="3">
        <f t="shared" si="4"/>
        <v>0.81499999999999995</v>
      </c>
      <c r="AI10" s="3">
        <v>4.1500000000000004</v>
      </c>
      <c r="AJ10" s="3">
        <v>1.22</v>
      </c>
      <c r="AK10" s="3">
        <f t="shared" si="5"/>
        <v>22.46</v>
      </c>
      <c r="AL10" s="7">
        <v>2.6850707200000001</v>
      </c>
      <c r="AM10" s="7">
        <v>0.64341495999999998</v>
      </c>
      <c r="AN10" s="7">
        <v>3.5236614999999998</v>
      </c>
      <c r="AO10" s="12">
        <f t="shared" si="15"/>
        <v>6.6161285872951368</v>
      </c>
      <c r="AP10" s="3">
        <f t="shared" si="16"/>
        <v>386.54450261780102</v>
      </c>
      <c r="AQ10" s="3">
        <f t="shared" si="17"/>
        <v>404.99299214659686</v>
      </c>
      <c r="AR10" s="12">
        <f t="shared" si="18"/>
        <v>14.435602094240839</v>
      </c>
      <c r="AS10" s="12">
        <f t="shared" si="26"/>
        <v>3.5644078722763499</v>
      </c>
      <c r="AT10" s="12"/>
      <c r="AU10" s="12">
        <f t="shared" si="27"/>
        <v>37.949339937911276</v>
      </c>
      <c r="AV10" s="12"/>
      <c r="AW10" s="12"/>
      <c r="AX10" s="10"/>
      <c r="AY10" s="10"/>
      <c r="AZ10" s="10"/>
      <c r="BA10" s="10"/>
      <c r="BB10" s="10"/>
      <c r="BC10" s="29"/>
      <c r="BD10" s="29"/>
      <c r="BE10" s="29"/>
      <c r="BF10" s="29"/>
      <c r="BG10" s="29"/>
      <c r="BH10" s="29"/>
      <c r="BI10" s="29"/>
      <c r="BJ10" s="19"/>
      <c r="BK10" s="16"/>
      <c r="BL10" s="16"/>
      <c r="BM10" s="16"/>
      <c r="BN10" s="16"/>
      <c r="BO10" s="16"/>
      <c r="BP10" s="16"/>
      <c r="BQ10" s="16"/>
      <c r="BR10" s="19"/>
      <c r="BS10" s="19"/>
      <c r="BT10" s="16"/>
      <c r="BU10" s="16"/>
      <c r="BV10" s="19"/>
      <c r="BW10" s="19"/>
      <c r="BX10" s="29"/>
      <c r="BY10" s="19"/>
      <c r="BZ10" s="19"/>
      <c r="CA10" s="19"/>
      <c r="CB10" s="19"/>
      <c r="CC10" s="19"/>
      <c r="CD10" s="19"/>
      <c r="CE10" s="19"/>
      <c r="CF10" s="19"/>
      <c r="CG10" s="19"/>
      <c r="CH10" s="27"/>
      <c r="CI10" s="19"/>
      <c r="CJ10" s="19"/>
      <c r="CK10" s="29"/>
      <c r="CL10" s="29"/>
      <c r="CM10" s="29"/>
      <c r="CN10" s="19"/>
      <c r="CO10" s="29"/>
      <c r="CP10" s="29"/>
      <c r="CQ10" s="29"/>
      <c r="CR10" s="29"/>
      <c r="CS10" s="16"/>
      <c r="CT10" s="19"/>
      <c r="CU10" s="29"/>
      <c r="CV10" s="29"/>
      <c r="CW10" s="10"/>
      <c r="CX10" s="10"/>
      <c r="CZ10"/>
      <c r="EG10" s="10"/>
      <c r="EH10" s="10"/>
    </row>
    <row r="11" spans="1:206" x14ac:dyDescent="0.25">
      <c r="A11" s="2">
        <v>2014</v>
      </c>
      <c r="B11" s="3">
        <v>0.26494000000000001</v>
      </c>
      <c r="C11" s="3">
        <v>0.191</v>
      </c>
      <c r="D11" s="3">
        <f t="shared" si="19"/>
        <v>72.069556836000004</v>
      </c>
      <c r="E11" s="3">
        <v>67.67</v>
      </c>
      <c r="F11" s="3">
        <v>4.3995568360000004</v>
      </c>
      <c r="G11" s="3">
        <v>6.2419090999999996E-2</v>
      </c>
      <c r="H11" s="3">
        <v>34.377336675999999</v>
      </c>
      <c r="I11" s="3">
        <v>10.383831654000002</v>
      </c>
      <c r="J11" s="3">
        <v>22.225037119000003</v>
      </c>
      <c r="K11" s="3">
        <f t="shared" si="20"/>
        <v>47.700219323157981</v>
      </c>
      <c r="L11" s="3">
        <f t="shared" si="21"/>
        <v>14.408069245700004</v>
      </c>
      <c r="M11" s="3">
        <f t="shared" si="22"/>
        <v>30.838315225907159</v>
      </c>
      <c r="N11" s="3">
        <f t="shared" si="23"/>
        <v>45.246384471607165</v>
      </c>
      <c r="O11" s="3">
        <f t="shared" si="24"/>
        <v>6.1045981537135594</v>
      </c>
      <c r="P11" s="3">
        <v>25.84</v>
      </c>
      <c r="Q11" s="3">
        <v>6.27</v>
      </c>
      <c r="R11" s="3">
        <v>1.48</v>
      </c>
      <c r="S11" s="1">
        <f t="shared" si="6"/>
        <v>8.2799999999999994</v>
      </c>
      <c r="T11" s="1">
        <f t="shared" si="7"/>
        <v>2.58</v>
      </c>
      <c r="U11" s="3">
        <f t="shared" si="0"/>
        <v>3.3592</v>
      </c>
      <c r="V11" s="3">
        <v>0</v>
      </c>
      <c r="W11" s="3">
        <f t="shared" si="8"/>
        <v>0.19240000000000002</v>
      </c>
      <c r="X11" s="3">
        <f t="shared" si="9"/>
        <v>1.0764</v>
      </c>
      <c r="Y11" s="3">
        <f t="shared" si="10"/>
        <v>0.33540000000000003</v>
      </c>
      <c r="Z11" s="3">
        <f t="shared" si="11"/>
        <v>29.199200000000001</v>
      </c>
      <c r="AA11" s="3">
        <f t="shared" si="12"/>
        <v>1.6724000000000001</v>
      </c>
      <c r="AB11" s="3">
        <f t="shared" si="13"/>
        <v>9.3563999999999989</v>
      </c>
      <c r="AC11" s="3">
        <f t="shared" si="14"/>
        <v>2.9154</v>
      </c>
      <c r="AD11" s="3">
        <f t="shared" si="1"/>
        <v>49.413399999999996</v>
      </c>
      <c r="AE11" s="3">
        <f t="shared" si="25"/>
        <v>8.6999286179431934</v>
      </c>
      <c r="AF11" s="3">
        <f t="shared" si="2"/>
        <v>12.92</v>
      </c>
      <c r="AG11" s="3">
        <f t="shared" si="3"/>
        <v>3.1349999999999998</v>
      </c>
      <c r="AH11" s="3">
        <f t="shared" si="4"/>
        <v>0.74</v>
      </c>
      <c r="AI11" s="3">
        <v>4.1399999999999997</v>
      </c>
      <c r="AJ11" s="3">
        <v>1.29</v>
      </c>
      <c r="AK11" s="3">
        <f t="shared" si="5"/>
        <v>22.224999999999998</v>
      </c>
      <c r="AL11" s="7">
        <v>2.2881668400000001</v>
      </c>
      <c r="AM11" s="7">
        <v>0.66644231999999992</v>
      </c>
      <c r="AN11" s="7">
        <v>3.1148430500000002</v>
      </c>
      <c r="AO11" s="12">
        <f t="shared" si="15"/>
        <v>6.5014878616816913</v>
      </c>
      <c r="AP11" s="3">
        <f t="shared" si="16"/>
        <v>354.29319371727752</v>
      </c>
      <c r="AQ11" s="3">
        <f t="shared" si="17"/>
        <v>370.60127251308904</v>
      </c>
      <c r="AR11" s="12">
        <f t="shared" si="18"/>
        <v>15.263874345549738</v>
      </c>
      <c r="AS11" s="12">
        <f t="shared" si="26"/>
        <v>4.1186783418318242</v>
      </c>
      <c r="AT11" s="12"/>
      <c r="AU11" s="12">
        <f t="shared" si="27"/>
        <v>39.000290705214788</v>
      </c>
      <c r="AV11" s="12"/>
      <c r="AW11" s="12"/>
      <c r="AX11" s="10"/>
      <c r="AY11" s="10"/>
      <c r="AZ11" s="10"/>
      <c r="BA11" s="10"/>
      <c r="BB11" s="10"/>
      <c r="BC11" s="29"/>
      <c r="BD11" s="29"/>
      <c r="BE11" s="29"/>
      <c r="BF11" s="29"/>
      <c r="BG11" s="29"/>
      <c r="BH11" s="29"/>
      <c r="BI11" s="29"/>
      <c r="BJ11" s="19"/>
      <c r="BK11" s="16"/>
      <c r="BL11" s="16"/>
      <c r="BM11" s="16"/>
      <c r="BN11" s="16"/>
      <c r="BO11" s="16"/>
      <c r="BP11" s="16"/>
      <c r="BQ11" s="16"/>
      <c r="BR11" s="19"/>
      <c r="BS11" s="19"/>
      <c r="BT11" s="16"/>
      <c r="BU11" s="16"/>
      <c r="BV11" s="19"/>
      <c r="BW11" s="19"/>
      <c r="BX11" s="29"/>
      <c r="BY11" s="19"/>
      <c r="BZ11" s="19"/>
      <c r="CA11" s="19"/>
      <c r="CB11" s="19"/>
      <c r="CC11" s="19"/>
      <c r="CD11" s="19"/>
      <c r="CE11" s="19"/>
      <c r="CF11" s="19"/>
      <c r="CG11" s="19"/>
      <c r="CH11" s="27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6"/>
      <c r="CT11" s="19"/>
      <c r="CU11" s="19"/>
      <c r="CV11" s="19"/>
      <c r="CW11" s="10"/>
      <c r="CX11" s="10"/>
      <c r="CZ11"/>
      <c r="EG11" s="10"/>
      <c r="EH11" s="10"/>
    </row>
    <row r="12" spans="1:206" x14ac:dyDescent="0.25">
      <c r="A12" s="2">
        <f t="shared" ref="A12:A18" si="28">A11+1</f>
        <v>2015</v>
      </c>
      <c r="B12" s="3">
        <v>0.26583999999999997</v>
      </c>
      <c r="C12" s="3">
        <v>0.20100000000000001</v>
      </c>
      <c r="D12" s="3">
        <f t="shared" si="19"/>
        <v>71.40921415599999</v>
      </c>
      <c r="E12" s="3">
        <v>68.66</v>
      </c>
      <c r="F12" s="3">
        <v>2.7492141559999999</v>
      </c>
      <c r="G12" s="3">
        <v>0.20549905499999999</v>
      </c>
      <c r="H12" s="3">
        <v>34.096701537000001</v>
      </c>
      <c r="I12" s="3">
        <v>10.430924245999998</v>
      </c>
      <c r="J12" s="3">
        <v>23.291877931999998</v>
      </c>
      <c r="K12" s="3">
        <f t="shared" si="20"/>
        <v>47.748322033782117</v>
      </c>
      <c r="L12" s="3">
        <f t="shared" si="21"/>
        <v>14.607252536364124</v>
      </c>
      <c r="M12" s="3">
        <f t="shared" si="22"/>
        <v>32.617468497996285</v>
      </c>
      <c r="N12" s="3">
        <f t="shared" si="23"/>
        <v>47.224721034360407</v>
      </c>
      <c r="O12" s="3">
        <f t="shared" si="24"/>
        <v>3.8499431599878537</v>
      </c>
      <c r="P12" s="3">
        <v>26.2</v>
      </c>
      <c r="Q12" s="3">
        <v>5.57</v>
      </c>
      <c r="R12" s="3">
        <v>1.74</v>
      </c>
      <c r="S12" s="1">
        <f t="shared" si="6"/>
        <v>8.5399999999999991</v>
      </c>
      <c r="T12" s="1">
        <f t="shared" si="7"/>
        <v>2.52</v>
      </c>
      <c r="U12" s="3">
        <f t="shared" si="0"/>
        <v>3.4060000000000001</v>
      </c>
      <c r="V12" s="3">
        <v>0</v>
      </c>
      <c r="W12" s="3">
        <f t="shared" si="8"/>
        <v>0.22620000000000001</v>
      </c>
      <c r="X12" s="3">
        <f t="shared" si="9"/>
        <v>1.1101999999999999</v>
      </c>
      <c r="Y12" s="3">
        <f t="shared" si="10"/>
        <v>0.3276</v>
      </c>
      <c r="Z12" s="3">
        <f t="shared" si="11"/>
        <v>29.605999999999998</v>
      </c>
      <c r="AA12" s="3">
        <f t="shared" si="12"/>
        <v>1.9661999999999999</v>
      </c>
      <c r="AB12" s="3">
        <f t="shared" si="13"/>
        <v>9.6501999999999981</v>
      </c>
      <c r="AC12" s="3">
        <f t="shared" si="14"/>
        <v>2.8475999999999999</v>
      </c>
      <c r="AD12" s="3">
        <f t="shared" si="1"/>
        <v>49.639999999999993</v>
      </c>
      <c r="AE12" s="3">
        <f t="shared" si="25"/>
        <v>7.800113845017008</v>
      </c>
      <c r="AF12" s="3">
        <f t="shared" si="2"/>
        <v>13.1</v>
      </c>
      <c r="AG12" s="3">
        <f t="shared" si="3"/>
        <v>2.7850000000000001</v>
      </c>
      <c r="AH12" s="3">
        <f t="shared" si="4"/>
        <v>0.87</v>
      </c>
      <c r="AI12" s="3">
        <v>4.2699999999999996</v>
      </c>
      <c r="AJ12" s="3">
        <v>1.26</v>
      </c>
      <c r="AK12" s="3">
        <f t="shared" si="5"/>
        <v>22.285</v>
      </c>
      <c r="AL12" s="7">
        <v>2.9063653500000002</v>
      </c>
      <c r="AM12" s="7">
        <v>0.79709819000000004</v>
      </c>
      <c r="AN12" s="7">
        <v>3.9029744900000001</v>
      </c>
      <c r="AO12" s="12">
        <f t="shared" si="15"/>
        <v>4.0040986833673173</v>
      </c>
      <c r="AP12" s="3">
        <f t="shared" si="16"/>
        <v>341.592039800995</v>
      </c>
      <c r="AQ12" s="3">
        <f t="shared" si="17"/>
        <v>361.00982333333332</v>
      </c>
      <c r="AR12" s="12">
        <f t="shared" si="18"/>
        <v>14.167164179104477</v>
      </c>
      <c r="AS12" s="12">
        <f t="shared" si="26"/>
        <v>3.9243154239665734</v>
      </c>
      <c r="AT12" s="12">
        <f>71.9+9.6+0.8+0.7</f>
        <v>83</v>
      </c>
      <c r="AU12" s="12">
        <f t="shared" si="27"/>
        <v>39.948208188765108</v>
      </c>
      <c r="AV12" s="12">
        <f>AT12-AU12</f>
        <v>43.051791811234892</v>
      </c>
      <c r="AW12" s="12">
        <f>2.2+6.4</f>
        <v>8.6000000000000014</v>
      </c>
      <c r="AX12" s="10"/>
      <c r="AY12" s="10"/>
      <c r="AZ12" s="10"/>
      <c r="BA12" s="10"/>
      <c r="BB12" s="10"/>
      <c r="BC12" s="29">
        <f>71770508/1000000*3.6</f>
        <v>258.37382880000001</v>
      </c>
      <c r="BD12" s="29"/>
      <c r="BE12" s="29"/>
      <c r="BF12" s="29"/>
      <c r="BG12" s="29"/>
      <c r="BH12" s="29"/>
      <c r="BI12" s="29"/>
      <c r="BJ12" s="19"/>
      <c r="BK12" s="16"/>
      <c r="BL12" s="16"/>
      <c r="BM12" s="16"/>
      <c r="BN12" s="16"/>
      <c r="BO12" s="16"/>
      <c r="BP12" s="16"/>
      <c r="BQ12" s="16"/>
      <c r="BR12" s="19"/>
      <c r="BS12" s="19"/>
      <c r="BT12" s="16"/>
      <c r="BU12" s="16"/>
      <c r="BV12" s="19"/>
      <c r="BW12" s="19"/>
      <c r="BX12" s="29"/>
      <c r="BY12" s="19"/>
      <c r="BZ12" s="19"/>
      <c r="CA12" s="19"/>
      <c r="CB12" s="19"/>
      <c r="CC12" s="19"/>
      <c r="CD12" s="19"/>
      <c r="CE12" s="19"/>
      <c r="CF12" s="19"/>
      <c r="CG12" s="19"/>
      <c r="CH12" s="27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6"/>
      <c r="CT12" s="19"/>
      <c r="CU12" s="19"/>
      <c r="CV12" s="19"/>
      <c r="CW12" s="10"/>
      <c r="CX12" s="10"/>
      <c r="CZ12"/>
      <c r="EG12" s="10"/>
      <c r="EH12" s="10"/>
    </row>
    <row r="13" spans="1:206" x14ac:dyDescent="0.25">
      <c r="A13" s="2">
        <f t="shared" si="28"/>
        <v>2016</v>
      </c>
      <c r="B13" s="3">
        <v>0.26192000000000004</v>
      </c>
      <c r="C13" s="3">
        <v>0.19900000000000001</v>
      </c>
      <c r="D13" s="3">
        <f t="shared" si="19"/>
        <v>73.854964424000002</v>
      </c>
      <c r="E13" s="3">
        <v>68.73</v>
      </c>
      <c r="F13" s="3">
        <v>5.1249644239999999</v>
      </c>
      <c r="G13" s="3">
        <v>0.13070552800000002</v>
      </c>
      <c r="H13" s="3">
        <v>36.513660553999998</v>
      </c>
      <c r="I13" s="3">
        <v>10.806547515</v>
      </c>
      <c r="J13" s="3">
        <v>20.603245849999997</v>
      </c>
      <c r="K13" s="3">
        <f t="shared" si="20"/>
        <v>49.439683356119076</v>
      </c>
      <c r="L13" s="3">
        <f t="shared" si="21"/>
        <v>14.632120669586691</v>
      </c>
      <c r="M13" s="3">
        <f t="shared" si="22"/>
        <v>27.896900378581375</v>
      </c>
      <c r="N13" s="3">
        <f t="shared" si="23"/>
        <v>42.529021048168062</v>
      </c>
      <c r="O13" s="3">
        <f t="shared" si="24"/>
        <v>6.9392280721681381</v>
      </c>
      <c r="P13" s="3">
        <v>27.67</v>
      </c>
      <c r="Q13" s="3">
        <v>6.28</v>
      </c>
      <c r="R13" s="3">
        <v>2.0499999999999998</v>
      </c>
      <c r="S13" s="1">
        <f t="shared" si="6"/>
        <v>8.14</v>
      </c>
      <c r="T13" s="1">
        <f t="shared" si="7"/>
        <v>3.86</v>
      </c>
      <c r="U13" s="3">
        <f t="shared" si="0"/>
        <v>3.5971000000000002</v>
      </c>
      <c r="V13" s="3">
        <v>0</v>
      </c>
      <c r="W13" s="3">
        <f t="shared" si="8"/>
        <v>0.26649999999999996</v>
      </c>
      <c r="X13" s="3">
        <f t="shared" si="9"/>
        <v>1.0582</v>
      </c>
      <c r="Y13" s="3">
        <f t="shared" si="10"/>
        <v>0.50180000000000002</v>
      </c>
      <c r="Z13" s="3">
        <f t="shared" si="11"/>
        <v>31.267100000000003</v>
      </c>
      <c r="AA13" s="3">
        <f t="shared" si="12"/>
        <v>2.3164999999999996</v>
      </c>
      <c r="AB13" s="3">
        <f t="shared" si="13"/>
        <v>9.1981999999999999</v>
      </c>
      <c r="AC13" s="3">
        <f t="shared" si="14"/>
        <v>4.3617999999999997</v>
      </c>
      <c r="AD13" s="3">
        <f t="shared" si="1"/>
        <v>53.4236</v>
      </c>
      <c r="AE13" s="3">
        <f t="shared" si="25"/>
        <v>8.5031521563623471</v>
      </c>
      <c r="AF13" s="3">
        <f t="shared" si="2"/>
        <v>13.835000000000001</v>
      </c>
      <c r="AG13" s="3">
        <f t="shared" si="3"/>
        <v>3.14</v>
      </c>
      <c r="AH13" s="3">
        <f t="shared" si="4"/>
        <v>1.0249999999999999</v>
      </c>
      <c r="AI13" s="3">
        <v>4.07</v>
      </c>
      <c r="AJ13" s="3">
        <v>1.93</v>
      </c>
      <c r="AK13" s="3">
        <f t="shared" si="5"/>
        <v>24</v>
      </c>
      <c r="AL13" s="7">
        <v>2.6520529599999998</v>
      </c>
      <c r="AM13" s="7">
        <v>0.74183164999999995</v>
      </c>
      <c r="AN13" s="7">
        <v>3.5572508599999999</v>
      </c>
      <c r="AO13" s="12">
        <f t="shared" si="15"/>
        <v>7.4566629186672477</v>
      </c>
      <c r="AP13" s="3">
        <f t="shared" si="16"/>
        <v>345.37688442211055</v>
      </c>
      <c r="AQ13" s="3">
        <f t="shared" si="17"/>
        <v>363.25251688442211</v>
      </c>
      <c r="AR13" s="12">
        <f t="shared" si="18"/>
        <v>21.918592964824118</v>
      </c>
      <c r="AS13" s="12">
        <f t="shared" si="26"/>
        <v>6.0339824078350617</v>
      </c>
      <c r="AT13" s="12"/>
      <c r="AU13" s="12">
        <f t="shared" si="27"/>
        <v>40.936531199756729</v>
      </c>
      <c r="AV13" s="12"/>
      <c r="AW13" s="12"/>
      <c r="AX13" s="10"/>
      <c r="AY13" s="10"/>
      <c r="AZ13" s="10"/>
      <c r="BA13" s="10"/>
      <c r="BB13" s="10"/>
      <c r="BC13" s="29"/>
      <c r="BD13" s="29"/>
      <c r="BE13" s="29"/>
      <c r="BF13" s="29"/>
      <c r="BG13" s="29"/>
      <c r="BH13" s="29"/>
      <c r="BI13" s="29"/>
      <c r="BJ13" s="19"/>
      <c r="BK13" s="16"/>
      <c r="BL13" s="16"/>
      <c r="BM13" s="16"/>
      <c r="BN13" s="16"/>
      <c r="BO13" s="16"/>
      <c r="BP13" s="16"/>
      <c r="BQ13" s="16"/>
      <c r="BR13" s="19"/>
      <c r="BS13" s="19"/>
      <c r="BT13" s="16"/>
      <c r="BU13" s="16"/>
      <c r="BV13" s="19"/>
      <c r="BW13" s="19"/>
      <c r="BX13" s="29"/>
      <c r="BY13" s="19"/>
      <c r="BZ13" s="19"/>
      <c r="CA13" s="19"/>
      <c r="CB13" s="19"/>
      <c r="CC13" s="19"/>
      <c r="CD13" s="19"/>
      <c r="CE13" s="19"/>
      <c r="CF13" s="19"/>
      <c r="CG13" s="19"/>
      <c r="CH13" s="27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6"/>
      <c r="CT13" s="19"/>
      <c r="CU13" s="19"/>
      <c r="CV13" s="19"/>
      <c r="CW13" s="10"/>
      <c r="CX13" s="10"/>
      <c r="CZ13"/>
      <c r="EG13" s="10"/>
      <c r="EH13" s="10"/>
    </row>
    <row r="14" spans="1:206" x14ac:dyDescent="0.25">
      <c r="A14" s="2">
        <f t="shared" si="28"/>
        <v>2017</v>
      </c>
      <c r="B14" s="3">
        <v>0.25341000000000002</v>
      </c>
      <c r="C14" s="3">
        <v>0.20100000000000001</v>
      </c>
      <c r="D14" s="3">
        <f t="shared" si="19"/>
        <v>70.813647926000002</v>
      </c>
      <c r="E14" s="3">
        <v>66.14</v>
      </c>
      <c r="F14" s="3">
        <v>4.673647926000001</v>
      </c>
      <c r="G14" s="3">
        <v>0.43013476300000003</v>
      </c>
      <c r="H14" s="3">
        <v>37.761399709999999</v>
      </c>
      <c r="I14" s="3">
        <v>11.841635827000003</v>
      </c>
      <c r="J14" s="3">
        <v>15.538411476000002</v>
      </c>
      <c r="K14" s="3">
        <f t="shared" si="20"/>
        <v>53.325031001736448</v>
      </c>
      <c r="L14" s="3">
        <f t="shared" si="21"/>
        <v>16.722250828504794</v>
      </c>
      <c r="M14" s="3">
        <f t="shared" si="22"/>
        <v>21.942679033055303</v>
      </c>
      <c r="N14" s="3">
        <f t="shared" si="23"/>
        <v>38.664929861560097</v>
      </c>
      <c r="O14" s="3">
        <f t="shared" si="24"/>
        <v>6.5999253856882865</v>
      </c>
      <c r="P14" s="3">
        <v>25.27</v>
      </c>
      <c r="Q14" s="3">
        <v>6.02</v>
      </c>
      <c r="R14" s="3">
        <v>2.16</v>
      </c>
      <c r="S14" s="1">
        <f t="shared" si="6"/>
        <v>8.64</v>
      </c>
      <c r="T14" s="1">
        <f t="shared" si="7"/>
        <v>3.56</v>
      </c>
      <c r="U14" s="3">
        <f t="shared" si="0"/>
        <v>3.2850999999999999</v>
      </c>
      <c r="V14" s="3">
        <v>0</v>
      </c>
      <c r="W14" s="3">
        <f t="shared" si="8"/>
        <v>0.28080000000000005</v>
      </c>
      <c r="X14" s="3">
        <f t="shared" si="9"/>
        <v>1.1232000000000002</v>
      </c>
      <c r="Y14" s="3">
        <f t="shared" si="10"/>
        <v>0.46280000000000004</v>
      </c>
      <c r="Z14" s="3">
        <f t="shared" si="11"/>
        <v>28.555099999999999</v>
      </c>
      <c r="AA14" s="3">
        <f t="shared" si="12"/>
        <v>2.4408000000000003</v>
      </c>
      <c r="AB14" s="3">
        <f t="shared" si="13"/>
        <v>9.7632000000000012</v>
      </c>
      <c r="AC14" s="3">
        <f t="shared" si="14"/>
        <v>4.0228000000000002</v>
      </c>
      <c r="AD14" s="3">
        <f t="shared" si="1"/>
        <v>50.801900000000003</v>
      </c>
      <c r="AE14" s="3">
        <f t="shared" si="25"/>
        <v>8.5011861079249549</v>
      </c>
      <c r="AF14" s="3">
        <f t="shared" si="2"/>
        <v>12.635</v>
      </c>
      <c r="AG14" s="3">
        <f t="shared" si="3"/>
        <v>3.01</v>
      </c>
      <c r="AH14" s="3">
        <f t="shared" si="4"/>
        <v>1.08</v>
      </c>
      <c r="AI14" s="3">
        <v>4.32</v>
      </c>
      <c r="AJ14" s="3">
        <v>1.78</v>
      </c>
      <c r="AK14" s="3">
        <f t="shared" si="5"/>
        <v>22.824999999999996</v>
      </c>
      <c r="AL14" s="7">
        <v>2.6135391800000001</v>
      </c>
      <c r="AM14" s="7">
        <v>0.87098244999999996</v>
      </c>
      <c r="AN14" s="7">
        <v>3.6197980900000002</v>
      </c>
      <c r="AO14" s="12">
        <f t="shared" si="15"/>
        <v>7.0662956244330219</v>
      </c>
      <c r="AP14" s="3">
        <f t="shared" si="16"/>
        <v>329.05472636815921</v>
      </c>
      <c r="AQ14" s="3">
        <f t="shared" si="17"/>
        <v>347.06367208955226</v>
      </c>
      <c r="AR14" s="12">
        <f t="shared" si="18"/>
        <v>20.013930348258707</v>
      </c>
      <c r="AS14" s="12">
        <f t="shared" si="26"/>
        <v>5.766645131068211</v>
      </c>
      <c r="AT14" s="12">
        <f>72.4+10.4+0.9+0.7</f>
        <v>84.40000000000002</v>
      </c>
      <c r="AU14" s="12">
        <f t="shared" si="27"/>
        <v>44.823844893811497</v>
      </c>
      <c r="AV14" s="12">
        <f>AT14-AU14</f>
        <v>39.576155106188523</v>
      </c>
      <c r="AW14" s="12">
        <f>0.4+6.1</f>
        <v>6.5</v>
      </c>
      <c r="AX14" s="10"/>
      <c r="AY14" s="10"/>
      <c r="AZ14" s="10"/>
      <c r="BA14" s="10"/>
      <c r="BB14" s="10"/>
      <c r="BC14" s="29"/>
      <c r="BD14" s="29"/>
      <c r="BE14" s="29"/>
      <c r="BF14" s="29"/>
      <c r="BG14" s="29"/>
      <c r="BH14" s="29"/>
      <c r="BI14" s="29"/>
      <c r="BJ14" s="19"/>
      <c r="BK14" s="16"/>
      <c r="BL14" s="16"/>
      <c r="BM14" s="16"/>
      <c r="BN14" s="16"/>
      <c r="BO14" s="16"/>
      <c r="BP14" s="16"/>
      <c r="BQ14" s="16"/>
      <c r="BR14" s="19"/>
      <c r="BS14" s="19"/>
      <c r="BT14" s="16"/>
      <c r="BU14" s="16"/>
      <c r="BV14" s="19"/>
      <c r="BW14" s="19"/>
      <c r="BX14" s="29"/>
      <c r="BY14" s="19"/>
      <c r="BZ14" s="19"/>
      <c r="CA14" s="34"/>
      <c r="CB14" s="33"/>
      <c r="CC14" s="33"/>
      <c r="CD14" s="33"/>
      <c r="CE14" s="33"/>
      <c r="CF14" s="33"/>
      <c r="CG14" s="19"/>
      <c r="CH14" s="27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6"/>
      <c r="CT14" s="19"/>
      <c r="CU14" s="19"/>
      <c r="CV14" s="19"/>
      <c r="CW14" s="10"/>
      <c r="CX14" s="10"/>
      <c r="CZ14"/>
      <c r="EG14" s="10"/>
      <c r="EH14" s="10"/>
    </row>
    <row r="15" spans="1:206" x14ac:dyDescent="0.25">
      <c r="A15" s="2">
        <f t="shared" si="28"/>
        <v>2018</v>
      </c>
      <c r="B15" s="3">
        <v>0.25059999999999999</v>
      </c>
      <c r="C15" s="3">
        <v>0.192</v>
      </c>
      <c r="D15" s="3">
        <f t="shared" si="19"/>
        <v>70.477605609000008</v>
      </c>
      <c r="E15" s="3">
        <v>67.42</v>
      </c>
      <c r="F15" s="3">
        <v>3.0576056089999999</v>
      </c>
      <c r="G15" s="3">
        <v>0.65209478700000001</v>
      </c>
      <c r="H15" s="3">
        <v>40.397891171000005</v>
      </c>
      <c r="I15" s="3">
        <v>12.168923414000002</v>
      </c>
      <c r="J15" s="3">
        <v>13.726698277000001</v>
      </c>
      <c r="K15" s="3">
        <f t="shared" si="20"/>
        <v>57.320181101386879</v>
      </c>
      <c r="L15" s="3">
        <f t="shared" si="21"/>
        <v>17.266368953439624</v>
      </c>
      <c r="M15" s="3">
        <f t="shared" si="22"/>
        <v>19.476680795817355</v>
      </c>
      <c r="N15" s="3">
        <f t="shared" si="23"/>
        <v>36.743049749256983</v>
      </c>
      <c r="O15" s="3">
        <f t="shared" si="24"/>
        <v>4.3384073317745386</v>
      </c>
      <c r="P15" s="3">
        <v>23.9</v>
      </c>
      <c r="Q15" s="3">
        <v>5.12</v>
      </c>
      <c r="R15" s="3">
        <v>2.0299999999999998</v>
      </c>
      <c r="S15" s="1">
        <f t="shared" si="6"/>
        <v>8.16</v>
      </c>
      <c r="T15" s="1">
        <f t="shared" si="7"/>
        <v>4.54</v>
      </c>
      <c r="U15" s="3">
        <f t="shared" si="0"/>
        <v>3.1069999999999998</v>
      </c>
      <c r="V15" s="3">
        <v>0</v>
      </c>
      <c r="W15" s="3">
        <f t="shared" si="8"/>
        <v>0.26389999999999997</v>
      </c>
      <c r="X15" s="3">
        <f t="shared" si="9"/>
        <v>1.0608</v>
      </c>
      <c r="Y15" s="3">
        <f t="shared" si="10"/>
        <v>0.59020000000000006</v>
      </c>
      <c r="Z15" s="3">
        <f t="shared" si="11"/>
        <v>27.006999999999998</v>
      </c>
      <c r="AA15" s="3">
        <f t="shared" si="12"/>
        <v>2.2938999999999998</v>
      </c>
      <c r="AB15" s="3">
        <f t="shared" si="13"/>
        <v>9.2208000000000006</v>
      </c>
      <c r="AC15" s="3">
        <f t="shared" si="14"/>
        <v>5.1302000000000003</v>
      </c>
      <c r="AD15" s="3">
        <f t="shared" si="1"/>
        <v>48.771900000000002</v>
      </c>
      <c r="AE15" s="3">
        <f t="shared" si="25"/>
        <v>7.2647189923066495</v>
      </c>
      <c r="AF15" s="3">
        <f t="shared" si="2"/>
        <v>11.95</v>
      </c>
      <c r="AG15" s="3">
        <f t="shared" si="3"/>
        <v>2.56</v>
      </c>
      <c r="AH15" s="3">
        <f t="shared" si="4"/>
        <v>1.0149999999999999</v>
      </c>
      <c r="AI15" s="3">
        <v>4.08</v>
      </c>
      <c r="AJ15" s="3">
        <v>2.27</v>
      </c>
      <c r="AK15" s="3">
        <f t="shared" si="5"/>
        <v>21.875</v>
      </c>
      <c r="AL15" s="7">
        <v>2.5226962300000011</v>
      </c>
      <c r="AM15" s="7">
        <v>0.81211951999999998</v>
      </c>
      <c r="AN15" s="7">
        <v>3.4786978</v>
      </c>
      <c r="AO15" s="12">
        <f t="shared" si="15"/>
        <v>4.5351610931474333</v>
      </c>
      <c r="AP15" s="3">
        <f t="shared" si="16"/>
        <v>351.14583333333331</v>
      </c>
      <c r="AQ15" s="3">
        <f t="shared" si="17"/>
        <v>369.26405104166668</v>
      </c>
      <c r="AR15" s="12">
        <f t="shared" si="18"/>
        <v>26.719791666666669</v>
      </c>
      <c r="AS15" s="12">
        <f t="shared" si="26"/>
        <v>7.2359580065517086</v>
      </c>
      <c r="AT15" s="12">
        <f>70.7+10.2+0.9+0.7</f>
        <v>82.500000000000014</v>
      </c>
      <c r="AU15" s="12">
        <f t="shared" si="27"/>
        <v>50.055462109080231</v>
      </c>
      <c r="AV15" s="12">
        <f>AT15-AU15</f>
        <v>32.444537890919783</v>
      </c>
      <c r="AW15" s="12">
        <f>9.6</f>
        <v>9.6</v>
      </c>
      <c r="AX15" s="10"/>
      <c r="AY15" s="10"/>
      <c r="AZ15" s="10"/>
      <c r="BA15" s="10"/>
      <c r="BB15" s="10"/>
      <c r="BC15" s="29">
        <f>69780598/1000000*3.6</f>
        <v>251.2101528</v>
      </c>
      <c r="BD15" s="29"/>
      <c r="BE15" s="29">
        <f>61791127/1000000*3.6</f>
        <v>222.44805720000002</v>
      </c>
      <c r="BF15" s="29"/>
      <c r="BG15" s="29"/>
      <c r="BH15" s="29"/>
      <c r="BI15" s="29"/>
      <c r="BJ15" s="19">
        <f>BK15*1000*[1]Sheet1!$B$134/1000000</f>
        <v>2195.2380975900001</v>
      </c>
      <c r="BK15" s="16">
        <v>58853568.299999997</v>
      </c>
      <c r="BL15" s="16"/>
      <c r="BM15" s="16"/>
      <c r="BN15" s="16"/>
      <c r="BO15" s="16"/>
      <c r="BP15" s="16"/>
      <c r="BQ15" s="16">
        <v>3136365.1964609982</v>
      </c>
      <c r="BR15" s="19">
        <f>BQ15*1000*[1]Sheet1!$B$134/1000000</f>
        <v>116.98642182799523</v>
      </c>
      <c r="BS15" s="19"/>
      <c r="BT15" s="16"/>
      <c r="BU15" s="16">
        <v>50315758.892777875</v>
      </c>
      <c r="BV15" s="19">
        <f>BU15*1000*[1]Sheet1!$B$134/1000000</f>
        <v>1876.777806700615</v>
      </c>
      <c r="BW15" s="19"/>
      <c r="BX15" s="29"/>
      <c r="BY15" s="19">
        <f>SUM(BZ15:CC15)</f>
        <v>226.90000000000003</v>
      </c>
      <c r="BZ15" s="28">
        <v>70</v>
      </c>
      <c r="CA15" s="34">
        <v>62.8</v>
      </c>
      <c r="CB15" s="34">
        <v>93.3</v>
      </c>
      <c r="CC15" s="34">
        <v>0.8</v>
      </c>
      <c r="CD15" s="19"/>
      <c r="CE15" s="19"/>
      <c r="CF15" s="19"/>
      <c r="CG15" s="19"/>
      <c r="CH15" s="27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6">
        <v>12121402.403683126</v>
      </c>
      <c r="CT15" s="19">
        <f>CS15*1000*[1]Sheet1!$B$134/1000000</f>
        <v>452.12830965738067</v>
      </c>
      <c r="CU15" s="19"/>
      <c r="CV15" s="19"/>
      <c r="CW15" s="13">
        <f>28686634/1000</f>
        <v>28686.633999999998</v>
      </c>
      <c r="CX15" s="13">
        <v>0</v>
      </c>
      <c r="CY15" s="13">
        <f>29489845/1000</f>
        <v>29489.845000000001</v>
      </c>
      <c r="CZ15" s="13">
        <f>15448717/1000</f>
        <v>15448.717000000001</v>
      </c>
      <c r="DA15" s="13">
        <v>9178.1299999999992</v>
      </c>
      <c r="DB15" s="13">
        <v>1841.81</v>
      </c>
      <c r="DC15" s="13">
        <v>1063.8</v>
      </c>
      <c r="DD15" s="13">
        <v>4483.7489999999998</v>
      </c>
      <c r="DE15" s="13">
        <v>160.041</v>
      </c>
      <c r="DF15" s="13">
        <v>18082.736000000001</v>
      </c>
      <c r="DG15" s="13">
        <v>3194.373</v>
      </c>
      <c r="DH15" s="13">
        <v>2794.7489999999998</v>
      </c>
      <c r="DI15" s="13">
        <v>130.80000000000001</v>
      </c>
      <c r="DJ15" s="13">
        <v>0</v>
      </c>
      <c r="DK15" s="13">
        <v>0</v>
      </c>
      <c r="DL15" s="13">
        <v>52.42</v>
      </c>
      <c r="DM15" s="13">
        <v>209.738</v>
      </c>
      <c r="DN15" s="13">
        <v>0</v>
      </c>
      <c r="DO15" s="13">
        <v>-5241.9660000000003</v>
      </c>
      <c r="DP15" s="13">
        <v>-9263.36</v>
      </c>
      <c r="DQ15" s="13">
        <v>-3548.89</v>
      </c>
      <c r="DR15" s="13">
        <v>-2871.261</v>
      </c>
      <c r="DS15" s="13">
        <v>0</v>
      </c>
      <c r="DT15" s="13">
        <v>0</v>
      </c>
      <c r="DU15" s="13">
        <v>0</v>
      </c>
      <c r="DV15" s="13">
        <v>-160.36099999999999</v>
      </c>
      <c r="DW15" s="13">
        <v>-49.695999999999998</v>
      </c>
      <c r="DX15" s="13">
        <f t="shared" ref="DX15:EF15" si="29">CW15+DF15+DO15</f>
        <v>41527.403999999995</v>
      </c>
      <c r="DY15" s="13">
        <f t="shared" si="29"/>
        <v>-6068.987000000001</v>
      </c>
      <c r="DZ15" s="13">
        <f t="shared" si="29"/>
        <v>28735.704000000002</v>
      </c>
      <c r="EA15" s="13">
        <f t="shared" si="29"/>
        <v>12708.255999999999</v>
      </c>
      <c r="EB15" s="13">
        <f t="shared" si="29"/>
        <v>9178.1299999999992</v>
      </c>
      <c r="EC15" s="13">
        <f t="shared" si="29"/>
        <v>1841.81</v>
      </c>
      <c r="ED15" s="13">
        <f t="shared" si="29"/>
        <v>1116.22</v>
      </c>
      <c r="EE15" s="13">
        <f t="shared" si="29"/>
        <v>4533.1260000000002</v>
      </c>
      <c r="EF15" s="13">
        <f t="shared" si="29"/>
        <v>110.345</v>
      </c>
      <c r="EG15" s="13">
        <f>11187524/1000</f>
        <v>11187.523999999999</v>
      </c>
      <c r="EH15" s="13">
        <v>0</v>
      </c>
      <c r="EI15" s="13">
        <f>6910494/1000</f>
        <v>6910.4939999999997</v>
      </c>
      <c r="EJ15" s="13">
        <f>1220266/1000</f>
        <v>1220.2660000000001</v>
      </c>
      <c r="EK15" s="13">
        <f>1098884/1000</f>
        <v>1098.884</v>
      </c>
      <c r="EL15" s="13">
        <f>135006/1000</f>
        <v>135.006</v>
      </c>
      <c r="EM15" s="13">
        <f>1389024/1000</f>
        <v>1389.0239999999999</v>
      </c>
      <c r="EN15" s="13">
        <f>573230/1000</f>
        <v>573.23</v>
      </c>
      <c r="EO15" s="13">
        <v>0</v>
      </c>
      <c r="EP15" s="13">
        <v>229.53200000000001</v>
      </c>
      <c r="EQ15" s="13">
        <v>565.51599999999996</v>
      </c>
      <c r="ER15" s="13">
        <f>818032/1000</f>
        <v>818.03200000000004</v>
      </c>
      <c r="ES15" s="13">
        <f>229533/1000</f>
        <v>229.53299999999999</v>
      </c>
      <c r="ET15" s="13">
        <v>0</v>
      </c>
      <c r="EU15" s="13">
        <v>0</v>
      </c>
      <c r="EV15" s="13">
        <v>0</v>
      </c>
      <c r="EW15" s="13">
        <f>55557/1000</f>
        <v>55.557000000000002</v>
      </c>
      <c r="EX15" s="13">
        <f>47502/1000</f>
        <v>47.502000000000002</v>
      </c>
      <c r="EY15" s="13">
        <f>(-8212260-928790)/1000</f>
        <v>-9141.0499999999993</v>
      </c>
      <c r="EZ15" s="13">
        <v>-928.78899999999999</v>
      </c>
      <c r="FA15" s="13">
        <f>-2815765/1000</f>
        <v>-2815.7649999999999</v>
      </c>
      <c r="FB15" s="13">
        <f>-801916/1000</f>
        <v>-801.91600000000005</v>
      </c>
      <c r="FC15" s="13">
        <v>0</v>
      </c>
      <c r="FD15" s="13">
        <v>0</v>
      </c>
      <c r="FE15" s="13">
        <v>0</v>
      </c>
      <c r="FF15" s="13">
        <f>-58476/1000</f>
        <v>-58.475999999999999</v>
      </c>
      <c r="FG15" s="13">
        <f>-221044/1000</f>
        <v>-221.04400000000001</v>
      </c>
      <c r="FH15" s="13">
        <f t="shared" ref="FH15:FP15" si="30">EG15+EP15+EY15</f>
        <v>2276.0059999999994</v>
      </c>
      <c r="FI15" s="13">
        <f t="shared" si="30"/>
        <v>-363.27300000000002</v>
      </c>
      <c r="FJ15" s="13">
        <f t="shared" si="30"/>
        <v>4912.7610000000004</v>
      </c>
      <c r="FK15" s="13">
        <f t="shared" si="30"/>
        <v>647.88299999999992</v>
      </c>
      <c r="FL15" s="13">
        <f t="shared" si="30"/>
        <v>1098.884</v>
      </c>
      <c r="FM15" s="13">
        <f t="shared" si="30"/>
        <v>135.006</v>
      </c>
      <c r="FN15" s="13">
        <f t="shared" si="30"/>
        <v>1389.0239999999999</v>
      </c>
      <c r="FO15" s="13">
        <f t="shared" si="30"/>
        <v>570.31100000000004</v>
      </c>
      <c r="FP15" s="13">
        <f t="shared" si="30"/>
        <v>-173.542</v>
      </c>
      <c r="FQ15" s="13"/>
      <c r="FR15" s="13"/>
      <c r="FS15" s="13"/>
      <c r="FT15" s="13"/>
      <c r="FU15" s="13"/>
      <c r="FV15" s="13"/>
      <c r="FW15" s="13"/>
      <c r="FX15" s="13"/>
      <c r="FY15" s="13"/>
      <c r="FZ15" s="13"/>
      <c r="GA15" s="13"/>
      <c r="GB15" s="13"/>
      <c r="GC15" s="13"/>
      <c r="GD15" s="13"/>
      <c r="GE15" s="13"/>
      <c r="GF15" s="13"/>
      <c r="GG15" s="13"/>
      <c r="GH15" s="13"/>
      <c r="GI15" s="13"/>
      <c r="GJ15" s="13"/>
      <c r="GK15" s="13"/>
      <c r="GL15" s="13"/>
      <c r="GM15" s="13"/>
      <c r="GN15" s="13"/>
      <c r="GO15" s="13"/>
      <c r="GP15" s="13"/>
      <c r="GQ15" s="13"/>
      <c r="GR15" s="13"/>
      <c r="GS15" s="13"/>
      <c r="GT15" s="13"/>
      <c r="GU15" s="13"/>
      <c r="GV15" s="13"/>
      <c r="GW15" s="13"/>
      <c r="GX15" s="13"/>
    </row>
    <row r="16" spans="1:206" x14ac:dyDescent="0.25">
      <c r="A16" s="2">
        <f t="shared" si="28"/>
        <v>2019</v>
      </c>
      <c r="B16" s="3">
        <v>0.19269999999999998</v>
      </c>
      <c r="C16" s="3">
        <v>0.19500000000000001</v>
      </c>
      <c r="D16" s="3">
        <f t="shared" si="19"/>
        <v>58.546495575999998</v>
      </c>
      <c r="E16" s="3">
        <v>54.97</v>
      </c>
      <c r="F16" s="3">
        <v>3.5764955760000001</v>
      </c>
      <c r="G16" s="3">
        <v>0.53637069800000003</v>
      </c>
      <c r="H16" s="3">
        <v>32.020706216000001</v>
      </c>
      <c r="I16" s="3">
        <v>11.781775002</v>
      </c>
      <c r="J16" s="3">
        <v>10.165949845</v>
      </c>
      <c r="K16" s="3">
        <f t="shared" si="20"/>
        <v>54.692780329496394</v>
      </c>
      <c r="L16" s="3">
        <f t="shared" si="21"/>
        <v>20.123792015366519</v>
      </c>
      <c r="M16" s="3">
        <f t="shared" si="22"/>
        <v>17.36389128842638</v>
      </c>
      <c r="N16" s="3">
        <f t="shared" si="23"/>
        <v>37.487683303792899</v>
      </c>
      <c r="O16" s="3">
        <f t="shared" si="24"/>
        <v>6.1088123905850233</v>
      </c>
      <c r="P16" s="3">
        <v>20.149999999999999</v>
      </c>
      <c r="Q16" s="3">
        <v>4.84</v>
      </c>
      <c r="R16" s="3">
        <v>1.59</v>
      </c>
      <c r="S16" s="1">
        <f t="shared" si="6"/>
        <v>8.14</v>
      </c>
      <c r="T16" s="1">
        <f t="shared" si="7"/>
        <v>4.28</v>
      </c>
      <c r="U16" s="3">
        <f t="shared" si="0"/>
        <v>2.6194999999999999</v>
      </c>
      <c r="V16" s="3">
        <v>0</v>
      </c>
      <c r="W16" s="3">
        <f t="shared" si="8"/>
        <v>0.20670000000000002</v>
      </c>
      <c r="X16" s="3">
        <f t="shared" si="9"/>
        <v>1.0582</v>
      </c>
      <c r="Y16" s="3">
        <f t="shared" si="10"/>
        <v>0.55640000000000001</v>
      </c>
      <c r="Z16" s="3">
        <f t="shared" si="11"/>
        <v>22.769499999999997</v>
      </c>
      <c r="AA16" s="3">
        <f t="shared" si="12"/>
        <v>1.7967000000000002</v>
      </c>
      <c r="AB16" s="3">
        <f t="shared" si="13"/>
        <v>9.1981999999999999</v>
      </c>
      <c r="AC16" s="3">
        <f t="shared" si="14"/>
        <v>4.8364000000000003</v>
      </c>
      <c r="AD16" s="3">
        <f t="shared" si="1"/>
        <v>43.440799999999996</v>
      </c>
      <c r="AE16" s="3">
        <f t="shared" si="25"/>
        <v>8.2669337462173651</v>
      </c>
      <c r="AF16" s="3">
        <f t="shared" si="2"/>
        <v>10.074999999999999</v>
      </c>
      <c r="AG16" s="3">
        <f t="shared" si="3"/>
        <v>2.42</v>
      </c>
      <c r="AH16" s="3">
        <f t="shared" si="4"/>
        <v>0.79500000000000004</v>
      </c>
      <c r="AI16" s="3">
        <v>4.07</v>
      </c>
      <c r="AJ16" s="3">
        <v>2.14</v>
      </c>
      <c r="AK16" s="3">
        <f t="shared" si="5"/>
        <v>19.5</v>
      </c>
      <c r="AL16" s="7">
        <v>1.7401565699999999</v>
      </c>
      <c r="AM16" s="7">
        <v>0.61254427</v>
      </c>
      <c r="AN16" s="7">
        <v>2.4524497900000002</v>
      </c>
      <c r="AO16" s="12">
        <f t="shared" si="15"/>
        <v>6.5062681026014184</v>
      </c>
      <c r="AP16" s="3">
        <f t="shared" si="16"/>
        <v>281.89743589743586</v>
      </c>
      <c r="AQ16" s="3">
        <f t="shared" si="17"/>
        <v>294.4741014871795</v>
      </c>
      <c r="AR16" s="12">
        <f t="shared" si="18"/>
        <v>24.802051282051284</v>
      </c>
      <c r="AS16" s="12">
        <f t="shared" si="26"/>
        <v>8.4224898409720037</v>
      </c>
      <c r="AT16" s="12">
        <f>68.2+11.1+0.9+0.9</f>
        <v>81.100000000000009</v>
      </c>
      <c r="AU16" s="12">
        <f t="shared" si="27"/>
        <v>46.425846583279025</v>
      </c>
      <c r="AV16" s="12">
        <f>AT16-AU16</f>
        <v>34.674153416720984</v>
      </c>
      <c r="AW16" s="12">
        <f>10.4</f>
        <v>10.4</v>
      </c>
      <c r="AX16" s="10"/>
      <c r="AY16" s="10"/>
      <c r="AZ16" s="10"/>
      <c r="BA16" s="10"/>
      <c r="BB16" s="10"/>
      <c r="BC16" s="29">
        <f>64782189/1000000*3.6</f>
        <v>233.2158804</v>
      </c>
      <c r="BD16" s="29"/>
      <c r="BE16" s="29">
        <f>56108040/1000000*3.6</f>
        <v>201.988944</v>
      </c>
      <c r="BF16" s="29"/>
      <c r="BG16" s="29"/>
      <c r="BH16" s="29"/>
      <c r="BI16" s="29"/>
      <c r="BJ16" s="19"/>
      <c r="BK16" s="16"/>
      <c r="BL16" s="16"/>
      <c r="BM16" s="16"/>
      <c r="BN16" s="16"/>
      <c r="BO16" s="16"/>
      <c r="BP16" s="16"/>
      <c r="BQ16" s="16"/>
      <c r="BR16" s="19"/>
      <c r="BS16" s="19"/>
      <c r="BT16" s="16"/>
      <c r="BU16" s="16"/>
      <c r="BV16" s="19"/>
      <c r="BW16" s="19"/>
      <c r="BX16" s="29"/>
      <c r="BY16" s="19">
        <f>SUM(BZ16:CC16)</f>
        <v>230.60000000000002</v>
      </c>
      <c r="BZ16" s="28">
        <v>71.599999999999994</v>
      </c>
      <c r="CA16" s="34">
        <v>63.9</v>
      </c>
      <c r="CB16" s="34">
        <v>94.3</v>
      </c>
      <c r="CC16" s="34">
        <v>0.8</v>
      </c>
      <c r="CD16" s="19">
        <v>222</v>
      </c>
      <c r="CE16" s="19">
        <v>216</v>
      </c>
      <c r="CF16" s="19">
        <v>389</v>
      </c>
      <c r="CG16" s="19">
        <v>512</v>
      </c>
      <c r="CH16" s="32">
        <v>1346</v>
      </c>
      <c r="CI16" s="19">
        <f>(14572+14675)/1000</f>
        <v>29.247</v>
      </c>
      <c r="CJ16" s="19">
        <f>140781/1000</f>
        <v>140.78100000000001</v>
      </c>
      <c r="CK16" s="19">
        <f>1130806/1000</f>
        <v>1130.806</v>
      </c>
      <c r="CL16" s="19">
        <f>122333/1000</f>
        <v>122.333</v>
      </c>
      <c r="CM16" s="19">
        <f>39870/1000</f>
        <v>39.869999999999997</v>
      </c>
      <c r="CN16" s="19">
        <f>975805/1000</f>
        <v>975.80499999999995</v>
      </c>
      <c r="CO16" s="19">
        <f>399676/1000</f>
        <v>399.67599999999999</v>
      </c>
      <c r="CP16" s="19">
        <f>260404/1000</f>
        <v>260.404</v>
      </c>
      <c r="CQ16" s="19">
        <f>121837/1000</f>
        <v>121.837</v>
      </c>
      <c r="CR16" s="19">
        <f>152643/1000</f>
        <v>152.643</v>
      </c>
      <c r="CS16" s="16"/>
      <c r="CT16" s="19"/>
      <c r="CU16" s="19"/>
      <c r="CV16" s="19"/>
      <c r="CW16" s="10"/>
      <c r="CX16" s="10"/>
      <c r="CZ16"/>
    </row>
    <row r="17" spans="1:206" x14ac:dyDescent="0.25">
      <c r="A17" s="2">
        <f t="shared" si="28"/>
        <v>2020</v>
      </c>
      <c r="B17" s="3">
        <v>0.18105000000000002</v>
      </c>
      <c r="C17" s="3">
        <v>0.20699999999999999</v>
      </c>
      <c r="D17" s="3">
        <f t="shared" si="19"/>
        <v>53.996886566000001</v>
      </c>
      <c r="E17" s="3">
        <v>51.17</v>
      </c>
      <c r="F17" s="3">
        <v>2.8268865660000002</v>
      </c>
      <c r="G17" s="3">
        <v>0.29173733900000004</v>
      </c>
      <c r="H17" s="3">
        <v>31.069373668000001</v>
      </c>
      <c r="I17" s="3">
        <v>11.578180022999998</v>
      </c>
      <c r="J17" s="3">
        <v>7.844382457</v>
      </c>
      <c r="K17" s="3">
        <f t="shared" si="20"/>
        <v>57.539194653425305</v>
      </c>
      <c r="L17" s="3">
        <f t="shared" si="21"/>
        <v>21.442310398485795</v>
      </c>
      <c r="M17" s="3">
        <f t="shared" si="22"/>
        <v>14.527471778232748</v>
      </c>
      <c r="N17" s="3">
        <f t="shared" si="23"/>
        <v>35.969782176718539</v>
      </c>
      <c r="O17" s="3">
        <f t="shared" si="24"/>
        <v>5.235276968320604</v>
      </c>
      <c r="P17" s="3">
        <v>18.27</v>
      </c>
      <c r="Q17" s="3">
        <v>2.73</v>
      </c>
      <c r="R17" s="3">
        <v>1.1200000000000001</v>
      </c>
      <c r="S17" s="1">
        <f t="shared" si="6"/>
        <v>7.7</v>
      </c>
      <c r="T17" s="1">
        <f t="shared" si="7"/>
        <v>4.74</v>
      </c>
      <c r="U17" s="3">
        <f t="shared" si="0"/>
        <v>2.3751000000000002</v>
      </c>
      <c r="V17" s="3">
        <v>0</v>
      </c>
      <c r="W17" s="3">
        <f t="shared" si="8"/>
        <v>0.14560000000000001</v>
      </c>
      <c r="X17" s="3">
        <f t="shared" si="9"/>
        <v>1.0010000000000001</v>
      </c>
      <c r="Y17" s="3">
        <f t="shared" si="10"/>
        <v>0.61620000000000008</v>
      </c>
      <c r="Z17" s="3">
        <f t="shared" si="11"/>
        <v>20.645099999999999</v>
      </c>
      <c r="AA17" s="3">
        <f t="shared" si="12"/>
        <v>1.2656000000000001</v>
      </c>
      <c r="AB17" s="3">
        <f t="shared" si="13"/>
        <v>8.7010000000000005</v>
      </c>
      <c r="AC17" s="3">
        <f t="shared" si="14"/>
        <v>5.3562000000000003</v>
      </c>
      <c r="AD17" s="3">
        <f t="shared" si="1"/>
        <v>38.697900000000004</v>
      </c>
      <c r="AE17" s="3">
        <f t="shared" si="25"/>
        <v>5.055847056409708</v>
      </c>
      <c r="AF17" s="3">
        <f t="shared" si="2"/>
        <v>9.1349999999999998</v>
      </c>
      <c r="AG17" s="3">
        <f t="shared" si="3"/>
        <v>1.365</v>
      </c>
      <c r="AH17" s="3">
        <f t="shared" si="4"/>
        <v>0.56000000000000005</v>
      </c>
      <c r="AI17" s="3">
        <v>3.85</v>
      </c>
      <c r="AJ17" s="3">
        <v>2.37</v>
      </c>
      <c r="AK17" s="3">
        <f t="shared" si="5"/>
        <v>17.28</v>
      </c>
      <c r="AL17" s="7">
        <v>1.7974759600000001</v>
      </c>
      <c r="AM17" s="7">
        <v>0.59840740999999986</v>
      </c>
      <c r="AN17" s="7">
        <v>2.5376691600000001</v>
      </c>
      <c r="AO17" s="12">
        <f t="shared" si="15"/>
        <v>5.524499835841314</v>
      </c>
      <c r="AP17" s="3">
        <f t="shared" si="16"/>
        <v>247.19806763285027</v>
      </c>
      <c r="AQ17" s="3">
        <f t="shared" si="17"/>
        <v>259.45733893719807</v>
      </c>
      <c r="AR17" s="12">
        <f t="shared" si="18"/>
        <v>25.875362318840583</v>
      </c>
      <c r="AS17" s="12">
        <f t="shared" si="26"/>
        <v>9.9728774005131307</v>
      </c>
      <c r="AT17" s="12">
        <f>69.4+1+2.6+9.7</f>
        <v>82.7</v>
      </c>
      <c r="AU17" s="12">
        <f t="shared" si="27"/>
        <v>52.483347597015594</v>
      </c>
      <c r="AV17" s="12">
        <f>AT17-AU17</f>
        <v>30.216652402984408</v>
      </c>
      <c r="AW17" s="12">
        <f>N17-AV17</f>
        <v>5.7531297737341305</v>
      </c>
      <c r="AX17" s="10">
        <v>46.5</v>
      </c>
      <c r="AY17" s="10">
        <v>35.6</v>
      </c>
      <c r="AZ17" s="10">
        <v>16</v>
      </c>
      <c r="BA17" s="10">
        <f>4/5*100</f>
        <v>80</v>
      </c>
      <c r="BB17" s="10">
        <f>1/5*100</f>
        <v>20</v>
      </c>
      <c r="BC17" s="29">
        <f>70947057/1000000*3.6</f>
        <v>255.40940520000001</v>
      </c>
      <c r="BD17" s="29"/>
      <c r="BE17" s="29">
        <f>63237053/1000000*3.6</f>
        <v>227.65339080000001</v>
      </c>
      <c r="BF17" s="29">
        <f>5889369/1000000*3.6</f>
        <v>21.2017284</v>
      </c>
      <c r="BG17" s="29">
        <f>1862345/1000000*3.6</f>
        <v>6.7044420000000002</v>
      </c>
      <c r="BH17" s="29">
        <f>2060146/1000000*3.6</f>
        <v>7.4165255999999999</v>
      </c>
      <c r="BI17" s="29"/>
      <c r="BJ17" s="19"/>
      <c r="BK17" s="16"/>
      <c r="BL17" s="16"/>
      <c r="BM17" s="16"/>
      <c r="BN17" s="16"/>
      <c r="BO17" s="16"/>
      <c r="BP17" s="16"/>
      <c r="BQ17" s="16"/>
      <c r="BR17" s="19"/>
      <c r="BS17" s="19"/>
      <c r="BT17" s="16"/>
      <c r="BU17" s="16"/>
      <c r="BV17" s="19"/>
      <c r="BW17" s="19"/>
      <c r="BX17" s="29"/>
      <c r="BY17" s="19">
        <f>SUM(BZ17:CC17)</f>
        <v>215.8</v>
      </c>
      <c r="BZ17" s="28">
        <v>72.900000000000006</v>
      </c>
      <c r="CA17" s="34">
        <v>61.5</v>
      </c>
      <c r="CB17" s="34">
        <v>80.7</v>
      </c>
      <c r="CC17" s="34">
        <v>0.7</v>
      </c>
      <c r="CD17" s="19"/>
      <c r="CE17" s="19"/>
      <c r="CF17" s="19"/>
      <c r="CG17" s="19"/>
      <c r="CH17" s="27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6"/>
      <c r="CT17" s="19"/>
      <c r="CU17" s="19"/>
      <c r="CV17" s="19"/>
      <c r="CW17" s="10"/>
      <c r="CX17" s="10"/>
      <c r="CZ17"/>
    </row>
    <row r="18" spans="1:206" x14ac:dyDescent="0.25">
      <c r="A18" s="2">
        <f t="shared" si="28"/>
        <v>2021</v>
      </c>
      <c r="B18" s="3">
        <v>0.14249000000000001</v>
      </c>
      <c r="C18" s="3">
        <v>0.189</v>
      </c>
      <c r="D18" s="3">
        <f t="shared" si="19"/>
        <v>56.959129177000001</v>
      </c>
      <c r="E18" s="3">
        <v>53.67</v>
      </c>
      <c r="F18" s="3">
        <v>3.289129177</v>
      </c>
      <c r="G18" s="3">
        <v>0.40061039100000001</v>
      </c>
      <c r="H18" s="3">
        <v>33.246421939000001</v>
      </c>
      <c r="I18" s="3">
        <v>12.22175086</v>
      </c>
      <c r="J18" s="3">
        <v>7.4925597589999997</v>
      </c>
      <c r="K18" s="3">
        <f t="shared" si="20"/>
        <v>58.368908407442518</v>
      </c>
      <c r="L18" s="3">
        <f t="shared" si="21"/>
        <v>21.457053569096914</v>
      </c>
      <c r="M18" s="3">
        <f t="shared" si="22"/>
        <v>13.154273717417512</v>
      </c>
      <c r="N18" s="3">
        <f t="shared" si="23"/>
        <v>34.611327286514424</v>
      </c>
      <c r="O18" s="3">
        <f t="shared" si="24"/>
        <v>5.7745425966381259</v>
      </c>
      <c r="P18" s="3">
        <v>18.82</v>
      </c>
      <c r="Q18" s="3">
        <v>4.28</v>
      </c>
      <c r="R18" s="3">
        <v>1.18</v>
      </c>
      <c r="S18" s="1">
        <f t="shared" si="6"/>
        <v>7</v>
      </c>
      <c r="T18" s="1">
        <f t="shared" si="7"/>
        <v>4.74</v>
      </c>
      <c r="U18" s="3">
        <f t="shared" si="0"/>
        <v>2.4466000000000001</v>
      </c>
      <c r="V18" s="3">
        <v>0</v>
      </c>
      <c r="W18" s="3">
        <f t="shared" si="8"/>
        <v>0.15340000000000001</v>
      </c>
      <c r="X18" s="3">
        <f t="shared" si="9"/>
        <v>0.91</v>
      </c>
      <c r="Y18" s="3">
        <f t="shared" si="10"/>
        <v>0.61620000000000008</v>
      </c>
      <c r="Z18" s="3">
        <f t="shared" si="11"/>
        <v>21.2666</v>
      </c>
      <c r="AA18" s="3">
        <f t="shared" si="12"/>
        <v>1.3333999999999999</v>
      </c>
      <c r="AB18" s="3">
        <f t="shared" si="13"/>
        <v>7.91</v>
      </c>
      <c r="AC18" s="3">
        <f t="shared" si="14"/>
        <v>5.3562000000000003</v>
      </c>
      <c r="AD18" s="3">
        <f t="shared" si="1"/>
        <v>40.146199999999993</v>
      </c>
      <c r="AE18" s="3">
        <f t="shared" si="25"/>
        <v>7.5141598227387529</v>
      </c>
      <c r="AF18" s="3">
        <f t="shared" si="2"/>
        <v>9.41</v>
      </c>
      <c r="AG18" s="3">
        <f t="shared" si="3"/>
        <v>2.14</v>
      </c>
      <c r="AH18" s="3">
        <f t="shared" si="4"/>
        <v>0.59</v>
      </c>
      <c r="AI18" s="3">
        <v>3.5</v>
      </c>
      <c r="AJ18" s="3">
        <v>2.37</v>
      </c>
      <c r="AK18" s="3">
        <f t="shared" si="5"/>
        <v>18.010000000000002</v>
      </c>
      <c r="AL18" s="3"/>
      <c r="AM18" s="3"/>
      <c r="AN18" s="3"/>
      <c r="AO18" s="12">
        <f t="shared" si="15"/>
        <v>6.1284314831376934</v>
      </c>
      <c r="AP18" s="3">
        <f t="shared" si="16"/>
        <v>283.96825396825398</v>
      </c>
      <c r="AQ18" s="3">
        <f t="shared" si="17"/>
        <v>283.96825396825398</v>
      </c>
      <c r="AR18" s="12">
        <f t="shared" si="18"/>
        <v>28.339682539682542</v>
      </c>
      <c r="AS18" s="12">
        <f t="shared" si="26"/>
        <v>9.9798770262716605</v>
      </c>
      <c r="AT18" s="12"/>
      <c r="AU18" s="12">
        <f t="shared" si="27"/>
        <v>50.854748584703763</v>
      </c>
      <c r="AV18" s="12"/>
      <c r="AW18" s="12"/>
      <c r="AX18" s="10"/>
      <c r="AY18" s="11"/>
      <c r="AZ18" s="10"/>
      <c r="BA18" s="10"/>
      <c r="BB18" s="10"/>
      <c r="BC18" s="29">
        <f>72622313/1000000*3.6</f>
        <v>261.44032680000004</v>
      </c>
      <c r="BD18" s="29"/>
      <c r="BE18" s="29">
        <f>64371047/1000000*3.6</f>
        <v>231.73576920000002</v>
      </c>
      <c r="BF18" s="29">
        <f>6492924/1000000*3.6</f>
        <v>23.374526400000001</v>
      </c>
      <c r="BG18" s="29">
        <f>1952249/1000000*3.6</f>
        <v>7.0280963999999999</v>
      </c>
      <c r="BH18" s="29">
        <f>2005366/1000000*3.6</f>
        <v>7.2193176000000001</v>
      </c>
      <c r="BI18" s="29"/>
      <c r="BJ18" s="19">
        <f>BK18*1000*[1]Sheet1!$B$134/1000000</f>
        <v>2450.5880675999997</v>
      </c>
      <c r="BK18" s="16">
        <v>65699412</v>
      </c>
      <c r="BL18" s="16"/>
      <c r="BM18" s="16"/>
      <c r="BN18" s="16"/>
      <c r="BO18" s="16"/>
      <c r="BP18" s="16"/>
      <c r="BQ18" s="16">
        <v>1335922.0765555417</v>
      </c>
      <c r="BR18" s="19">
        <f>BQ18*1000*[1]Sheet1!$B$134/1000000</f>
        <v>49.829893455521713</v>
      </c>
      <c r="BS18" s="19"/>
      <c r="BT18" s="16"/>
      <c r="BU18" s="16">
        <v>55136889.371934704</v>
      </c>
      <c r="BV18" s="19">
        <f>BU18*1000*[1]Sheet1!$B$134/1000000</f>
        <v>2056.6059735731646</v>
      </c>
      <c r="BW18" s="19"/>
      <c r="BX18" s="29"/>
      <c r="BY18" s="19">
        <f>SUM(BZ18:CC18)</f>
        <v>215.6</v>
      </c>
      <c r="BZ18" s="28">
        <v>75.7</v>
      </c>
      <c r="CA18" s="34">
        <v>61.2</v>
      </c>
      <c r="CB18" s="34">
        <v>78</v>
      </c>
      <c r="CC18" s="34">
        <v>0.7</v>
      </c>
      <c r="CD18" s="19"/>
      <c r="CE18" s="19"/>
      <c r="CF18" s="19"/>
      <c r="CG18" s="19"/>
      <c r="CH18" s="27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6">
        <v>12142592.704620846</v>
      </c>
      <c r="CT18" s="19">
        <f>CS18*1000*[1]Sheet1!$B$134/1000000</f>
        <v>452.91870788235752</v>
      </c>
      <c r="CU18" s="19"/>
      <c r="CV18" s="19"/>
      <c r="CW18" s="10"/>
      <c r="CX18" s="10"/>
      <c r="CZ18"/>
      <c r="EG18" s="10"/>
      <c r="EH18" s="10"/>
    </row>
    <row r="19" spans="1:206" x14ac:dyDescent="0.25">
      <c r="A19" s="2">
        <v>2022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 s="1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12"/>
      <c r="AP19" s="3"/>
      <c r="AQ19" s="3"/>
      <c r="AR19" s="12"/>
      <c r="AS19" s="12"/>
      <c r="AT19" s="12"/>
      <c r="AU19" s="12"/>
      <c r="AV19" s="12"/>
      <c r="AW19" s="12"/>
      <c r="AX19" s="10"/>
      <c r="AY19" s="11"/>
      <c r="AZ19" s="10"/>
      <c r="BA19" s="10"/>
      <c r="BB19" s="10"/>
      <c r="BC19" s="29">
        <f>70197274/1000000*3.6</f>
        <v>252.71018639999997</v>
      </c>
      <c r="BD19" s="29">
        <f>64696906/1000000*3.6</f>
        <v>232.90886159999999</v>
      </c>
      <c r="BE19" s="29">
        <f>63232129/1000000*3.6</f>
        <v>227.6356644</v>
      </c>
      <c r="BF19" s="29">
        <f>5552551/1000000*3.6</f>
        <v>19.9891836</v>
      </c>
      <c r="BG19" s="29">
        <f>1675964/1000000*3.6</f>
        <v>6.0334704000000006</v>
      </c>
      <c r="BH19" s="29">
        <f>1743192/1000000*3.6</f>
        <v>6.2754912000000003</v>
      </c>
      <c r="BI19" s="29">
        <f>62479772/1000000*3.6</f>
        <v>224.92717919999998</v>
      </c>
      <c r="BJ19" s="19"/>
      <c r="BK19" s="16"/>
      <c r="BL19" s="16"/>
      <c r="BM19" s="16"/>
      <c r="BN19" s="16"/>
      <c r="BO19" s="16"/>
      <c r="BP19" s="16"/>
      <c r="BQ19" s="16"/>
      <c r="BR19" s="19"/>
      <c r="BS19" s="19"/>
      <c r="BT19" s="16"/>
      <c r="BU19" s="16"/>
      <c r="BV19" s="19"/>
      <c r="BW19" s="19"/>
      <c r="BX19" s="2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>
        <f>(15675+11931)/1000</f>
        <v>27.606000000000002</v>
      </c>
      <c r="CJ19" s="19">
        <f>163783/1000</f>
        <v>163.78299999999999</v>
      </c>
      <c r="CK19" s="19">
        <f>1112541/1000</f>
        <v>1112.5409999999999</v>
      </c>
      <c r="CL19" s="19">
        <f>133322/1000</f>
        <v>133.322</v>
      </c>
      <c r="CM19" s="19">
        <f>25455/1000</f>
        <v>25.454999999999998</v>
      </c>
      <c r="CN19" s="19">
        <f>942789/1000</f>
        <v>942.78899999999999</v>
      </c>
      <c r="CO19" s="19">
        <f>370396/1000</f>
        <v>370.39600000000002</v>
      </c>
      <c r="CP19" s="19">
        <f>238868/1000</f>
        <v>238.86799999999999</v>
      </c>
      <c r="CQ19" s="19">
        <f>125264/1000</f>
        <v>125.264</v>
      </c>
      <c r="CR19" s="19">
        <f>165706/1000</f>
        <v>165.70599999999999</v>
      </c>
      <c r="CS19" s="16"/>
      <c r="CT19" s="19"/>
      <c r="CU19" s="19"/>
      <c r="CV19" s="19"/>
      <c r="CW19" s="10"/>
      <c r="CX19" s="10"/>
      <c r="CZ19"/>
      <c r="EG19" s="10"/>
      <c r="EH19" s="10"/>
    </row>
    <row r="20" spans="1:206" x14ac:dyDescent="0.25">
      <c r="A20" s="2">
        <v>2023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T20" s="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12"/>
      <c r="AP20" s="3"/>
      <c r="AQ20" s="3"/>
      <c r="AR20" s="12"/>
      <c r="AS20" s="12"/>
      <c r="AT20" s="12"/>
      <c r="AU20" s="12"/>
      <c r="AV20" s="12"/>
      <c r="AW20" s="12"/>
      <c r="AX20" s="10"/>
      <c r="AY20" s="11"/>
      <c r="AZ20" s="10"/>
      <c r="BA20" s="10"/>
      <c r="BB20" s="10"/>
      <c r="BC20" s="29"/>
      <c r="BD20" s="29"/>
      <c r="BE20" s="29"/>
      <c r="BF20" s="29"/>
      <c r="BG20" s="29"/>
      <c r="BH20" s="29"/>
      <c r="BI20" s="29"/>
      <c r="BJ20" s="19"/>
      <c r="BK20" s="16"/>
      <c r="BL20" s="16"/>
      <c r="BM20" s="16"/>
      <c r="BN20" s="16"/>
      <c r="BO20" s="16"/>
      <c r="BP20" s="16"/>
      <c r="BQ20" s="16"/>
      <c r="BR20" s="19"/>
      <c r="BS20" s="19"/>
      <c r="BT20" s="16"/>
      <c r="BU20" s="16"/>
      <c r="BV20" s="19"/>
      <c r="BW20" s="19"/>
      <c r="BX20" s="29"/>
      <c r="BY20" s="19"/>
      <c r="BZ20" s="19"/>
      <c r="CA20" s="19"/>
      <c r="CB20" s="19"/>
      <c r="CC20" s="19"/>
      <c r="CD20" s="19"/>
      <c r="CE20" s="19"/>
      <c r="CF20" s="19"/>
      <c r="CG20" s="19"/>
      <c r="CH20" s="27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6"/>
      <c r="CT20" s="19"/>
      <c r="CU20" s="19"/>
      <c r="CV20" s="19"/>
      <c r="CW20" s="10"/>
      <c r="CX20" s="10"/>
      <c r="CZ20"/>
      <c r="EG20" s="10"/>
      <c r="EH20" s="10"/>
    </row>
    <row r="21" spans="1:206" x14ac:dyDescent="0.25">
      <c r="A21" s="2">
        <v>2024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T21" s="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12"/>
      <c r="AP21" s="3"/>
      <c r="AQ21" s="3"/>
      <c r="AR21" s="12"/>
      <c r="AS21" s="12"/>
      <c r="AT21" s="12"/>
      <c r="AU21" s="12"/>
      <c r="AV21" s="12"/>
      <c r="AW21" s="12"/>
      <c r="AX21" s="10"/>
      <c r="AY21" s="11"/>
      <c r="AZ21" s="10"/>
      <c r="BA21" s="10"/>
      <c r="BB21" s="10"/>
      <c r="BC21" s="29"/>
      <c r="BD21" s="29"/>
      <c r="BE21" s="29"/>
      <c r="BF21" s="29"/>
      <c r="BG21" s="29"/>
      <c r="BH21" s="29"/>
      <c r="BI21" s="29"/>
      <c r="BJ21" s="19"/>
      <c r="BK21" s="16"/>
      <c r="BL21" s="16"/>
      <c r="BM21" s="16"/>
      <c r="BN21" s="16"/>
      <c r="BO21" s="16"/>
      <c r="BP21" s="16"/>
      <c r="BQ21" s="16"/>
      <c r="BR21" s="19"/>
      <c r="BS21" s="19"/>
      <c r="BT21" s="16"/>
      <c r="BU21" s="16"/>
      <c r="BV21" s="19"/>
      <c r="BW21" s="19"/>
      <c r="BX21" s="29"/>
      <c r="BY21" s="19"/>
      <c r="BZ21" s="19"/>
      <c r="CA21" s="19"/>
      <c r="CB21" s="19"/>
      <c r="CC21" s="19"/>
      <c r="CD21" s="19"/>
      <c r="CE21" s="19"/>
      <c r="CF21" s="19"/>
      <c r="CG21" s="19"/>
      <c r="CH21" s="27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6"/>
      <c r="CT21" s="19"/>
      <c r="CU21" s="19"/>
      <c r="CV21" s="19"/>
      <c r="CW21" s="10"/>
      <c r="CX21" s="10"/>
      <c r="CZ21"/>
      <c r="EG21" s="10"/>
      <c r="EH21" s="10"/>
    </row>
    <row r="22" spans="1:206" x14ac:dyDescent="0.25">
      <c r="A22" s="2">
        <v>2025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T22" s="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12"/>
      <c r="AP22" s="3"/>
      <c r="AQ22" s="3"/>
      <c r="AR22" s="12"/>
      <c r="AS22" s="12"/>
      <c r="AT22" s="12"/>
      <c r="AU22" s="12"/>
      <c r="AV22" s="12"/>
      <c r="AW22" s="12"/>
      <c r="AX22" s="10"/>
      <c r="AY22" s="11"/>
      <c r="AZ22" s="10"/>
      <c r="BA22" s="10"/>
      <c r="BB22" s="10"/>
      <c r="BC22" s="29"/>
      <c r="BD22" s="29"/>
      <c r="BE22" s="29"/>
      <c r="BF22" s="29"/>
      <c r="BG22" s="29"/>
      <c r="BH22" s="29"/>
      <c r="BI22" s="29"/>
      <c r="BJ22" s="19"/>
      <c r="BK22" s="16"/>
      <c r="BL22" s="16"/>
      <c r="BM22" s="16"/>
      <c r="BN22" s="16"/>
      <c r="BO22" s="16"/>
      <c r="BP22" s="16"/>
      <c r="BQ22" s="16"/>
      <c r="BR22" s="19"/>
      <c r="BS22" s="19"/>
      <c r="BT22" s="16"/>
      <c r="BU22" s="16"/>
      <c r="BV22" s="19"/>
      <c r="BW22" s="19"/>
      <c r="BX22" s="29"/>
      <c r="BY22" s="19"/>
      <c r="BZ22" s="19"/>
      <c r="CA22" s="19"/>
      <c r="CB22" s="19"/>
      <c r="CC22" s="19"/>
      <c r="CD22" s="19"/>
      <c r="CE22" s="19"/>
      <c r="CF22" s="19"/>
      <c r="CG22" s="19"/>
      <c r="CH22" s="27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6"/>
      <c r="CT22" s="19"/>
      <c r="CU22" s="19"/>
      <c r="CV22" s="19"/>
      <c r="CW22" s="10"/>
      <c r="CX22" s="10"/>
      <c r="CZ22"/>
      <c r="EG22" s="10"/>
      <c r="EH22" s="10"/>
    </row>
    <row r="23" spans="1:206" s="24" customFormat="1" x14ac:dyDescent="0.25">
      <c r="A23" s="20"/>
      <c r="B23" s="21">
        <f>AVERAGE(B2:B18)</f>
        <v>0.23966117647058821</v>
      </c>
      <c r="C23" s="21">
        <f>AVERAGE(C2:C18)</f>
        <v>0.18933333333333335</v>
      </c>
      <c r="D23" s="21">
        <f>AVERAGE(D2:D18)</f>
        <v>68.092420147533332</v>
      </c>
      <c r="E23" s="21">
        <f t="shared" ref="E23:AZ23" si="31">AVERAGE(E2:E18)</f>
        <v>64.374399999999994</v>
      </c>
      <c r="F23" s="21">
        <f>AVERAGE(F2:F18)</f>
        <v>3.7180201475333332</v>
      </c>
      <c r="G23" s="21">
        <f t="shared" si="31"/>
        <v>0.27175922899999999</v>
      </c>
      <c r="H23" s="21">
        <f t="shared" si="31"/>
        <v>36.399482528333337</v>
      </c>
      <c r="I23" s="21">
        <f t="shared" si="31"/>
        <v>13.3536975952</v>
      </c>
      <c r="J23" s="21">
        <f t="shared" si="31"/>
        <v>13.709595275933333</v>
      </c>
      <c r="K23" s="22">
        <f t="shared" si="31"/>
        <v>53.662396394443569</v>
      </c>
      <c r="L23" s="22">
        <f t="shared" si="31"/>
        <v>20.121101125914585</v>
      </c>
      <c r="M23" s="22">
        <f t="shared" si="31"/>
        <v>19.417674250216255</v>
      </c>
      <c r="N23" s="22">
        <f>AVERAGE(N2:N18)</f>
        <v>39.538775376130843</v>
      </c>
      <c r="O23" s="22">
        <f t="shared" si="31"/>
        <v>5.4547291541230232</v>
      </c>
      <c r="P23" s="21">
        <f t="shared" si="31"/>
        <v>24.309411764705878</v>
      </c>
      <c r="Q23" s="21">
        <f>AVERAGE(Q2:Q18)</f>
        <v>4.7164705882352953</v>
      </c>
      <c r="R23" s="21">
        <f t="shared" ref="R23:AD23" si="32">AVERAGE(R2:R18)</f>
        <v>1.7823529411764707</v>
      </c>
      <c r="S23" s="21">
        <f t="shared" si="32"/>
        <v>8.2447058823529407</v>
      </c>
      <c r="T23" s="21">
        <f t="shared" si="32"/>
        <v>2.6470588235294117</v>
      </c>
      <c r="U23" s="21">
        <f t="shared" si="32"/>
        <v>3.1602235294117644</v>
      </c>
      <c r="V23" s="21">
        <f t="shared" si="32"/>
        <v>0</v>
      </c>
      <c r="W23" s="21">
        <f t="shared" si="32"/>
        <v>0.23170588235294121</v>
      </c>
      <c r="X23" s="21">
        <f t="shared" si="32"/>
        <v>1.0718117647058825</v>
      </c>
      <c r="Y23" s="21">
        <f t="shared" si="32"/>
        <v>0.34411764705882358</v>
      </c>
      <c r="Z23" s="21">
        <f t="shared" si="32"/>
        <v>27.469635294117648</v>
      </c>
      <c r="AA23" s="21">
        <f t="shared" si="32"/>
        <v>2.0140588235294121</v>
      </c>
      <c r="AB23" s="21">
        <f t="shared" si="32"/>
        <v>9.3165176470588218</v>
      </c>
      <c r="AC23" s="21">
        <f>AVERAGE(AC2:AC18)</f>
        <v>2.9911764705882353</v>
      </c>
      <c r="AD23" s="21">
        <f t="shared" si="32"/>
        <v>46.507858823529403</v>
      </c>
      <c r="AE23" s="22">
        <f>AVERAGE(AE2:AE18)</f>
        <v>6.8979596866944624</v>
      </c>
      <c r="AF23" s="21">
        <f t="shared" si="31"/>
        <v>12.154705882352939</v>
      </c>
      <c r="AG23" s="21">
        <f t="shared" si="31"/>
        <v>2.3582352941176477</v>
      </c>
      <c r="AH23" s="21">
        <f t="shared" si="31"/>
        <v>0.89117647058823535</v>
      </c>
      <c r="AI23" s="21">
        <f>AVERAGE(AI2:AI18)</f>
        <v>4.1223529411764703</v>
      </c>
      <c r="AJ23" s="21">
        <f t="shared" si="31"/>
        <v>1.3235294117647058</v>
      </c>
      <c r="AK23" s="21">
        <f t="shared" si="31"/>
        <v>20.849999999999994</v>
      </c>
      <c r="AL23" s="21">
        <f t="shared" si="31"/>
        <v>2.0905484078571428</v>
      </c>
      <c r="AM23" s="21">
        <f t="shared" si="31"/>
        <v>0.6469714757142857</v>
      </c>
      <c r="AN23" s="21">
        <f t="shared" si="31"/>
        <v>2.8892456778571431</v>
      </c>
      <c r="AO23" s="21">
        <f>AVERAGE(AO2:AO18)</f>
        <v>5.7780667834392849</v>
      </c>
      <c r="AP23" s="21">
        <f t="shared" si="31"/>
        <v>342.30730390915801</v>
      </c>
      <c r="AQ23" s="21">
        <f t="shared" si="31"/>
        <v>356.45503397150969</v>
      </c>
      <c r="AR23" s="21">
        <f t="shared" si="31"/>
        <v>17.055685764521638</v>
      </c>
      <c r="AS23" s="21">
        <f t="shared" si="31"/>
        <v>5.0514232427164805</v>
      </c>
      <c r="AT23" s="22">
        <f>AVERAGE(AT2:AT18)</f>
        <v>82.740000000000009</v>
      </c>
      <c r="AU23" s="22">
        <f t="shared" si="31"/>
        <v>46.76443670774912</v>
      </c>
      <c r="AV23" s="22">
        <f>AVERAGE(AV2:AV18)</f>
        <v>35.992658125609722</v>
      </c>
      <c r="AW23" s="22">
        <f>AVERAGE(AW2:AW18)</f>
        <v>8.1706259547468267</v>
      </c>
      <c r="AX23" s="21">
        <f t="shared" si="31"/>
        <v>46.5</v>
      </c>
      <c r="AY23" s="21">
        <f t="shared" si="31"/>
        <v>35.6</v>
      </c>
      <c r="AZ23" s="21">
        <f t="shared" si="31"/>
        <v>16</v>
      </c>
      <c r="BA23" s="23"/>
      <c r="BB23" s="23"/>
      <c r="BC23" s="30">
        <f t="shared" ref="BC23:CP23" si="33">AVERAGE(BC13:BC22)</f>
        <v>250.79719031999997</v>
      </c>
      <c r="BD23" s="30">
        <f t="shared" si="33"/>
        <v>232.90886159999999</v>
      </c>
      <c r="BE23" s="30">
        <f t="shared" si="33"/>
        <v>222.29236512000003</v>
      </c>
      <c r="BF23" s="30">
        <f t="shared" si="33"/>
        <v>21.521812800000003</v>
      </c>
      <c r="BG23" s="30">
        <f t="shared" si="33"/>
        <v>6.5886696000000002</v>
      </c>
      <c r="BH23" s="30">
        <f t="shared" si="33"/>
        <v>6.9704448000000001</v>
      </c>
      <c r="BI23" s="30">
        <f t="shared" si="33"/>
        <v>224.92717919999998</v>
      </c>
      <c r="BJ23" s="25">
        <f>AVERAGE(BJ13:BJ22)</f>
        <v>2322.9130825949997</v>
      </c>
      <c r="BK23" s="25">
        <f>AVERAGE(BK13:BK22)</f>
        <v>62276490.149999999</v>
      </c>
      <c r="BL23" s="25"/>
      <c r="BM23" s="25"/>
      <c r="BN23" s="25"/>
      <c r="BO23" s="25"/>
      <c r="BP23" s="25"/>
      <c r="BQ23" s="25">
        <f>AVERAGE(BQ13:BQ22)</f>
        <v>2236143.6365082702</v>
      </c>
      <c r="BR23" s="25">
        <f>AVERAGE(BR13:BR22)</f>
        <v>83.408157641758464</v>
      </c>
      <c r="BS23" s="25"/>
      <c r="BT23" s="25"/>
      <c r="BU23" s="25">
        <f>AVERAGE(BU13:BU22)</f>
        <v>52726324.132356286</v>
      </c>
      <c r="BV23" s="25">
        <f>AVERAGE(BV13:BV22)</f>
        <v>1966.6918901368899</v>
      </c>
      <c r="BW23" s="25"/>
      <c r="BX23" s="30"/>
      <c r="BY23" s="25">
        <f t="shared" si="33"/>
        <v>222.22500000000002</v>
      </c>
      <c r="BZ23" s="25">
        <f t="shared" si="33"/>
        <v>72.55</v>
      </c>
      <c r="CA23" s="25">
        <f t="shared" si="33"/>
        <v>62.349999999999994</v>
      </c>
      <c r="CB23" s="25">
        <f t="shared" si="33"/>
        <v>86.575000000000003</v>
      </c>
      <c r="CC23" s="25">
        <f t="shared" si="33"/>
        <v>0.75</v>
      </c>
      <c r="CD23" s="25">
        <f t="shared" si="33"/>
        <v>222</v>
      </c>
      <c r="CE23" s="25">
        <f t="shared" si="33"/>
        <v>216</v>
      </c>
      <c r="CF23" s="25">
        <f t="shared" si="33"/>
        <v>389</v>
      </c>
      <c r="CG23" s="25">
        <f t="shared" si="33"/>
        <v>512</v>
      </c>
      <c r="CH23" s="25">
        <f t="shared" si="33"/>
        <v>1346</v>
      </c>
      <c r="CI23" s="25">
        <f t="shared" si="33"/>
        <v>28.426500000000001</v>
      </c>
      <c r="CJ23" s="25">
        <f t="shared" si="33"/>
        <v>152.28199999999998</v>
      </c>
      <c r="CK23" s="25">
        <f t="shared" si="33"/>
        <v>1121.6734999999999</v>
      </c>
      <c r="CL23" s="25">
        <f t="shared" si="33"/>
        <v>127.8275</v>
      </c>
      <c r="CM23" s="25">
        <f t="shared" si="33"/>
        <v>32.662499999999994</v>
      </c>
      <c r="CN23" s="25">
        <f t="shared" si="33"/>
        <v>959.29700000000003</v>
      </c>
      <c r="CO23" s="25">
        <f t="shared" si="33"/>
        <v>385.036</v>
      </c>
      <c r="CP23" s="25">
        <f t="shared" si="33"/>
        <v>249.636</v>
      </c>
      <c r="CQ23" s="25">
        <f t="shared" ref="CQ23:CR23" si="34">AVERAGE(CQ13:CQ22)</f>
        <v>123.5505</v>
      </c>
      <c r="CR23" s="25">
        <f t="shared" si="34"/>
        <v>159.17449999999999</v>
      </c>
      <c r="CS23" s="25">
        <f>AVERAGE(CS13:CS22)</f>
        <v>12131997.554151986</v>
      </c>
      <c r="CT23" s="25">
        <f>AVERAGE(CT13:CT22)</f>
        <v>452.52350876986907</v>
      </c>
      <c r="CU23" s="25"/>
      <c r="CV23" s="25"/>
      <c r="CW23" s="23"/>
      <c r="CX23" s="23"/>
      <c r="CY23" s="26"/>
      <c r="EG23" s="23"/>
      <c r="EH23" s="23"/>
      <c r="EI23" s="26"/>
      <c r="FQ23" s="26"/>
    </row>
    <row r="24" spans="1:206" x14ac:dyDescent="0.25">
      <c r="B24" t="s">
        <v>11</v>
      </c>
      <c r="C24" t="s">
        <v>13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9</v>
      </c>
      <c r="L24" t="s">
        <v>9</v>
      </c>
      <c r="M24" t="s">
        <v>9</v>
      </c>
      <c r="N24" t="s">
        <v>9</v>
      </c>
      <c r="O24" t="s">
        <v>9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  <c r="V24" t="s">
        <v>2</v>
      </c>
      <c r="W24" t="s">
        <v>2</v>
      </c>
      <c r="X24" t="s">
        <v>2</v>
      </c>
      <c r="Y24" t="s">
        <v>9</v>
      </c>
      <c r="Z24" t="s">
        <v>9</v>
      </c>
      <c r="AA24" t="s">
        <v>9</v>
      </c>
      <c r="AB24" t="s">
        <v>9</v>
      </c>
      <c r="AC24" s="3" t="s">
        <v>9</v>
      </c>
      <c r="AD24" s="3" t="s">
        <v>9</v>
      </c>
      <c r="AE24" s="3" t="s">
        <v>9</v>
      </c>
      <c r="AF24" t="s">
        <v>9</v>
      </c>
      <c r="AG24" t="s">
        <v>9</v>
      </c>
      <c r="AH24" t="s">
        <v>9</v>
      </c>
      <c r="AI24" t="s">
        <v>9</v>
      </c>
      <c r="AJ24" t="s">
        <v>9</v>
      </c>
      <c r="AK24" t="s">
        <v>9</v>
      </c>
      <c r="AL24" s="1" t="s">
        <v>7</v>
      </c>
      <c r="AM24" s="1" t="s">
        <v>7</v>
      </c>
      <c r="AN24" s="1" t="s">
        <v>7</v>
      </c>
      <c r="AO24" s="1" t="s">
        <v>9</v>
      </c>
      <c r="AP24" s="1" t="s">
        <v>9</v>
      </c>
      <c r="AQ24" s="1" t="s">
        <v>9</v>
      </c>
      <c r="AR24" s="1" t="s">
        <v>9</v>
      </c>
      <c r="AS24" s="1" t="s">
        <v>9</v>
      </c>
      <c r="AT24" s="11" t="s">
        <v>16</v>
      </c>
      <c r="AU24" s="11" t="s">
        <v>9</v>
      </c>
      <c r="AV24" s="11" t="s">
        <v>9</v>
      </c>
      <c r="AW24" s="11" t="s">
        <v>9</v>
      </c>
      <c r="AX24" s="11" t="s">
        <v>16</v>
      </c>
      <c r="AY24" s="11" t="s">
        <v>16</v>
      </c>
      <c r="AZ24" s="11" t="s">
        <v>16</v>
      </c>
      <c r="BA24" s="11" t="s">
        <v>16</v>
      </c>
      <c r="BB24" s="11" t="s">
        <v>16</v>
      </c>
      <c r="BF24" s="14" t="s">
        <v>163</v>
      </c>
      <c r="BG24" s="14" t="s">
        <v>163</v>
      </c>
      <c r="BH24" s="14" t="s">
        <v>163</v>
      </c>
      <c r="BI24" s="14" t="s">
        <v>198</v>
      </c>
      <c r="BJ24" s="14" t="s">
        <v>156</v>
      </c>
      <c r="BK24" s="14" t="s">
        <v>156</v>
      </c>
      <c r="BL24" s="14"/>
      <c r="BM24" s="14"/>
      <c r="BN24" s="14"/>
      <c r="BO24" s="14"/>
      <c r="BP24" s="14"/>
      <c r="BQ24" s="14" t="s">
        <v>155</v>
      </c>
      <c r="BR24" s="14" t="s">
        <v>155</v>
      </c>
      <c r="BS24" s="14"/>
      <c r="BT24" s="14"/>
      <c r="BU24" s="14" t="s">
        <v>158</v>
      </c>
      <c r="BV24" s="14" t="s">
        <v>158</v>
      </c>
      <c r="BW24" s="14"/>
      <c r="BX24" s="14"/>
      <c r="BY24" s="11" t="s">
        <v>195</v>
      </c>
      <c r="BZ24" s="11" t="s">
        <v>199</v>
      </c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4" t="s">
        <v>191</v>
      </c>
      <c r="CL24" s="14" t="s">
        <v>191</v>
      </c>
      <c r="CM24" s="14"/>
      <c r="CN24" s="11"/>
      <c r="CO24" s="14" t="s">
        <v>191</v>
      </c>
      <c r="CP24" s="14" t="s">
        <v>191</v>
      </c>
      <c r="CQ24" s="14" t="s">
        <v>191</v>
      </c>
      <c r="CR24" s="14" t="s">
        <v>191</v>
      </c>
      <c r="CS24" s="14" t="s">
        <v>157</v>
      </c>
      <c r="CT24" s="14" t="s">
        <v>157</v>
      </c>
      <c r="CU24" s="14"/>
      <c r="CV24" s="14"/>
      <c r="CW24" s="10" t="s">
        <v>150</v>
      </c>
      <c r="CX24" s="10"/>
      <c r="CY24" s="10" t="s">
        <v>150</v>
      </c>
      <c r="CZ24" s="10" t="s">
        <v>150</v>
      </c>
      <c r="DA24" s="10" t="s">
        <v>150</v>
      </c>
      <c r="DB24" s="10" t="s">
        <v>150</v>
      </c>
      <c r="DC24" s="10" t="s">
        <v>150</v>
      </c>
      <c r="DD24" s="10" t="s">
        <v>150</v>
      </c>
      <c r="DE24" s="10"/>
      <c r="DF24" s="10" t="s">
        <v>150</v>
      </c>
      <c r="DG24" s="10"/>
      <c r="DH24" s="10" t="s">
        <v>150</v>
      </c>
      <c r="DI24" s="10" t="s">
        <v>150</v>
      </c>
      <c r="DJ24" s="10" t="s">
        <v>150</v>
      </c>
      <c r="DK24" s="10" t="s">
        <v>150</v>
      </c>
      <c r="DL24" s="10" t="s">
        <v>150</v>
      </c>
      <c r="DM24" s="10" t="s">
        <v>150</v>
      </c>
      <c r="DN24" s="10" t="s">
        <v>150</v>
      </c>
      <c r="DO24" s="10" t="s">
        <v>150</v>
      </c>
      <c r="DP24" s="10"/>
      <c r="DQ24" s="10" t="s">
        <v>150</v>
      </c>
      <c r="DR24" s="10" t="s">
        <v>150</v>
      </c>
      <c r="DS24" s="10" t="s">
        <v>150</v>
      </c>
      <c r="DT24" s="10" t="s">
        <v>150</v>
      </c>
      <c r="DU24" s="10" t="s">
        <v>150</v>
      </c>
      <c r="DV24" s="10" t="s">
        <v>150</v>
      </c>
      <c r="DW24" s="10" t="s">
        <v>150</v>
      </c>
      <c r="DX24" s="10" t="s">
        <v>150</v>
      </c>
      <c r="DY24" s="10"/>
      <c r="DZ24" s="10" t="s">
        <v>150</v>
      </c>
      <c r="EA24" s="10" t="s">
        <v>150</v>
      </c>
      <c r="EB24" s="10" t="s">
        <v>150</v>
      </c>
      <c r="EC24" s="10" t="s">
        <v>150</v>
      </c>
      <c r="ED24" s="10" t="s">
        <v>150</v>
      </c>
      <c r="EE24" s="10" t="s">
        <v>150</v>
      </c>
      <c r="EF24" s="10" t="s">
        <v>150</v>
      </c>
      <c r="EG24" s="10" t="s">
        <v>150</v>
      </c>
      <c r="EH24" s="10"/>
      <c r="EI24" s="10" t="s">
        <v>150</v>
      </c>
      <c r="EJ24" s="10" t="s">
        <v>150</v>
      </c>
      <c r="EK24" s="10" t="s">
        <v>150</v>
      </c>
      <c r="EL24" s="10" t="s">
        <v>150</v>
      </c>
      <c r="EM24" s="10" t="s">
        <v>150</v>
      </c>
      <c r="EN24" s="10" t="s">
        <v>150</v>
      </c>
      <c r="EO24" s="10"/>
      <c r="EP24" s="10" t="s">
        <v>150</v>
      </c>
      <c r="EQ24" s="10"/>
      <c r="ER24" s="10" t="s">
        <v>150</v>
      </c>
      <c r="ES24" s="10" t="s">
        <v>150</v>
      </c>
      <c r="ET24" s="10" t="s">
        <v>150</v>
      </c>
      <c r="EU24" s="10"/>
      <c r="EV24" s="10" t="s">
        <v>150</v>
      </c>
      <c r="EW24" s="10" t="s">
        <v>150</v>
      </c>
      <c r="EX24" s="10" t="s">
        <v>150</v>
      </c>
      <c r="EY24" s="10" t="s">
        <v>150</v>
      </c>
      <c r="EZ24" s="10"/>
      <c r="FA24" s="10" t="s">
        <v>150</v>
      </c>
      <c r="FB24" s="10" t="s">
        <v>150</v>
      </c>
      <c r="FC24" s="10"/>
      <c r="FD24" s="10"/>
      <c r="FE24" s="10"/>
      <c r="FF24" s="10" t="s">
        <v>150</v>
      </c>
      <c r="FG24" s="10" t="s">
        <v>150</v>
      </c>
      <c r="FH24" s="10" t="s">
        <v>150</v>
      </c>
      <c r="FI24" s="10"/>
      <c r="FJ24" s="10" t="s">
        <v>150</v>
      </c>
      <c r="FK24" s="10" t="s">
        <v>150</v>
      </c>
      <c r="FL24" s="10" t="s">
        <v>150</v>
      </c>
      <c r="FM24" s="10"/>
      <c r="FN24" s="10"/>
      <c r="FO24" s="10" t="s">
        <v>150</v>
      </c>
      <c r="FP24" s="10" t="s">
        <v>150</v>
      </c>
      <c r="FQ24" s="10" t="s">
        <v>150</v>
      </c>
      <c r="FR24" s="10" t="s">
        <v>150</v>
      </c>
      <c r="FS24" s="10" t="s">
        <v>150</v>
      </c>
      <c r="FT24" s="10" t="s">
        <v>150</v>
      </c>
      <c r="FU24" s="10" t="s">
        <v>150</v>
      </c>
      <c r="FV24" s="10" t="s">
        <v>150</v>
      </c>
      <c r="FW24" s="10" t="s">
        <v>150</v>
      </c>
      <c r="FX24" s="10" t="s">
        <v>150</v>
      </c>
      <c r="FY24" s="10" t="s">
        <v>150</v>
      </c>
      <c r="FZ24" s="10" t="s">
        <v>150</v>
      </c>
      <c r="GA24" s="10" t="s">
        <v>150</v>
      </c>
      <c r="GB24" s="10" t="s">
        <v>150</v>
      </c>
      <c r="GC24" s="10" t="s">
        <v>150</v>
      </c>
      <c r="GD24" s="10" t="s">
        <v>150</v>
      </c>
      <c r="GE24" s="10" t="s">
        <v>150</v>
      </c>
      <c r="GF24" s="10" t="s">
        <v>150</v>
      </c>
      <c r="GG24" s="10" t="s">
        <v>150</v>
      </c>
      <c r="GH24" s="10" t="s">
        <v>150</v>
      </c>
      <c r="GI24" s="10" t="s">
        <v>150</v>
      </c>
      <c r="GJ24" s="10" t="s">
        <v>150</v>
      </c>
      <c r="GK24" s="10" t="s">
        <v>150</v>
      </c>
      <c r="GL24" s="10" t="s">
        <v>150</v>
      </c>
      <c r="GM24" s="10" t="s">
        <v>150</v>
      </c>
      <c r="GN24" s="10" t="s">
        <v>150</v>
      </c>
      <c r="GO24" s="10" t="s">
        <v>150</v>
      </c>
      <c r="GP24" s="10" t="s">
        <v>150</v>
      </c>
      <c r="GQ24" s="10" t="s">
        <v>150</v>
      </c>
      <c r="GR24" s="10" t="s">
        <v>150</v>
      </c>
      <c r="GS24" s="10" t="s">
        <v>150</v>
      </c>
      <c r="GT24" s="10" t="s">
        <v>150</v>
      </c>
      <c r="GU24" s="10" t="s">
        <v>150</v>
      </c>
      <c r="GV24" s="10" t="s">
        <v>150</v>
      </c>
      <c r="GW24" s="10" t="s">
        <v>150</v>
      </c>
      <c r="GX24" s="10" t="s">
        <v>150</v>
      </c>
    </row>
    <row r="25" spans="1:206" x14ac:dyDescent="0.25">
      <c r="B25" t="s">
        <v>14</v>
      </c>
      <c r="C25" t="s">
        <v>12</v>
      </c>
      <c r="U25" t="s">
        <v>15</v>
      </c>
      <c r="AR25" s="10"/>
      <c r="AS25" s="11"/>
      <c r="AT25" s="11"/>
      <c r="AU25" s="11"/>
      <c r="AV25" s="11"/>
      <c r="AW25" s="11"/>
      <c r="AX25" s="11"/>
      <c r="AY25" s="11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T25" s="10"/>
      <c r="CU25" s="10"/>
      <c r="CV25" s="10"/>
      <c r="CW25" s="10"/>
      <c r="CX25" s="10"/>
      <c r="CY25" s="10"/>
      <c r="CZ25"/>
      <c r="EG25" s="10"/>
      <c r="EH25" s="10"/>
    </row>
    <row r="26" spans="1:206" ht="25.5" x14ac:dyDescent="0.25">
      <c r="AR26" s="10"/>
      <c r="AS26" s="11"/>
      <c r="AT26" s="11"/>
      <c r="AU26" s="11"/>
      <c r="AV26" s="11"/>
      <c r="AW26" s="11"/>
      <c r="AX26" s="15"/>
      <c r="AY26" s="15"/>
      <c r="AZ26" s="15"/>
      <c r="BA26" s="15"/>
      <c r="BB26" s="15"/>
      <c r="BC26" s="15"/>
      <c r="BD26" s="15"/>
      <c r="BE26" s="31" t="s">
        <v>203</v>
      </c>
      <c r="BF26" s="15">
        <v>232</v>
      </c>
      <c r="BG26" s="15"/>
      <c r="BH26" s="15"/>
      <c r="BV26" s="15"/>
      <c r="BW26" s="15"/>
      <c r="BY26" s="10"/>
      <c r="BZ26" s="10"/>
      <c r="CA26" s="10"/>
      <c r="CB26" s="10"/>
      <c r="CC26" s="15"/>
      <c r="CD26" s="10"/>
      <c r="CE26" s="10"/>
      <c r="CF26" s="10"/>
      <c r="CG26" s="10"/>
      <c r="CH26" s="10"/>
      <c r="CI26" s="10"/>
      <c r="CJ26" s="10"/>
      <c r="CK26" s="15"/>
      <c r="CL26" s="15"/>
      <c r="CM26" s="15"/>
      <c r="CN26" s="10"/>
      <c r="CP26" s="15"/>
      <c r="CQ26" s="15"/>
      <c r="CR26" s="15"/>
      <c r="CS26" s="15"/>
      <c r="CT26" s="15"/>
      <c r="CU26" s="15"/>
      <c r="CV26" s="15"/>
      <c r="CW26" s="10"/>
      <c r="CX26" s="10"/>
      <c r="CY26" s="10"/>
      <c r="CZ26"/>
      <c r="EG26" s="10"/>
      <c r="EH26" s="10"/>
    </row>
    <row r="27" spans="1:206" x14ac:dyDescent="0.25"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" t="s">
        <v>206</v>
      </c>
      <c r="BF27" s="1">
        <f>BF26+0.08*BF26</f>
        <v>250.56</v>
      </c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EG27" s="10"/>
      <c r="EH27" s="10"/>
    </row>
    <row r="28" spans="1:206" x14ac:dyDescent="0.25"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 t="s">
        <v>204</v>
      </c>
      <c r="BF28" s="10">
        <v>216</v>
      </c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EG28" s="10"/>
      <c r="EH28" s="10"/>
    </row>
    <row r="29" spans="1:206" x14ac:dyDescent="0.25">
      <c r="BE29" s="1" t="s">
        <v>207</v>
      </c>
      <c r="BF29" s="10">
        <f>BF27-BF28</f>
        <v>34.56</v>
      </c>
      <c r="EG29"/>
      <c r="EH29"/>
    </row>
    <row r="30" spans="1:206" x14ac:dyDescent="0.25">
      <c r="BE30" s="10" t="s">
        <v>213</v>
      </c>
      <c r="BF30" s="10">
        <f>BF37-BF29</f>
        <v>45.894545454545451</v>
      </c>
      <c r="EG30" s="10"/>
      <c r="EH30" s="10"/>
    </row>
    <row r="31" spans="1:206" x14ac:dyDescent="0.25">
      <c r="BE31" s="10" t="s">
        <v>211</v>
      </c>
      <c r="BF31" s="1">
        <f>BF29/BF37*100</f>
        <v>42.955932203389835</v>
      </c>
    </row>
    <row r="33" spans="57:58" x14ac:dyDescent="0.25">
      <c r="BE33" s="10" t="s">
        <v>205</v>
      </c>
      <c r="BF33" s="10">
        <v>295</v>
      </c>
    </row>
    <row r="34" spans="57:58" x14ac:dyDescent="0.25">
      <c r="BE34" s="1" t="s">
        <v>208</v>
      </c>
      <c r="BF34" s="1">
        <f>(12+30)/2</f>
        <v>21</v>
      </c>
    </row>
    <row r="35" spans="57:58" x14ac:dyDescent="0.25">
      <c r="BE35" s="1" t="s">
        <v>209</v>
      </c>
      <c r="BF35" s="1">
        <v>77</v>
      </c>
    </row>
    <row r="36" spans="57:58" x14ac:dyDescent="0.25">
      <c r="BE36" s="1" t="s">
        <v>210</v>
      </c>
      <c r="BF36" s="1">
        <f>BF35/BF34</f>
        <v>3.6666666666666665</v>
      </c>
    </row>
    <row r="37" spans="57:58" x14ac:dyDescent="0.25">
      <c r="BE37" s="10" t="s">
        <v>212</v>
      </c>
      <c r="BF37" s="10">
        <f>BF33/BF36</f>
        <v>80.454545454545453</v>
      </c>
    </row>
  </sheetData>
  <hyperlinks>
    <hyperlink ref="BK24" r:id="rId1" xr:uid="{6ECC1BC1-6A9D-47DB-A7F7-9CB27B0DD369}"/>
    <hyperlink ref="CS24" r:id="rId2" xr:uid="{EDB87DA1-D9E3-4479-B32D-C2DC72BFD960}"/>
    <hyperlink ref="BU24" r:id="rId3" xr:uid="{ABCC75A9-9223-46DE-B255-B5C0DF62A92C}"/>
    <hyperlink ref="BH24" r:id="rId4" xr:uid="{BED053A5-66DE-4B2A-AD5A-BB7670246D86}"/>
    <hyperlink ref="BF24" r:id="rId5" xr:uid="{9A39A0F7-066C-4C25-91F4-405B283CDE84}"/>
    <hyperlink ref="BJ24" r:id="rId6" xr:uid="{8564E850-C680-4482-A06F-49E336D191C0}"/>
    <hyperlink ref="CT24" r:id="rId7" xr:uid="{2DCE46FE-D9B5-49D0-9B16-84E35676A223}"/>
    <hyperlink ref="BV24" r:id="rId8" xr:uid="{D7BD2C0A-DE86-4FB8-A99F-77DAAA140D31}"/>
    <hyperlink ref="BG24" r:id="rId9" xr:uid="{0917DBA6-B9AF-4D9E-B493-582360513525}"/>
  </hyperlinks>
  <pageMargins left="0.7" right="0.7" top="0.75" bottom="0.75" header="0.3" footer="0.3"/>
  <pageSetup orientation="portrait" horizontalDpi="1200" verticalDpi="1200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Hember, Robert FLNR:EX</dc:creator>
  <cp:lastModifiedBy>Hember, Robert FOR:EX</cp:lastModifiedBy>
  <dcterms:created xsi:type="dcterms:W3CDTF">2022-10-09T15:21:33Z</dcterms:created>
  <dcterms:modified xsi:type="dcterms:W3CDTF">2025-02-06T19:46:19Z</dcterms:modified>
</cp:coreProperties>
</file>