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A5777934-B23C-4A83-88A6-C8EB775E9333}" xr6:coauthVersionLast="47" xr6:coauthVersionMax="47" xr10:uidLastSave="{00000000-0000-0000-0000-000000000000}"/>
  <bookViews>
    <workbookView xWindow="828" yWindow="-108" windowWidth="22320" windowHeight="13176" xr2:uid="{2BA4BFD9-F9F3-43CD-AE58-1F5FEB17B570}"/>
  </bookViews>
  <sheets>
    <sheet name="Time Series" sheetId="1" r:id="rId1"/>
    <sheet name="Fibre Flo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S15" i="1" l="1"/>
  <c r="EP15" i="1"/>
  <c r="EM15" i="1"/>
  <c r="EG15" i="1"/>
  <c r="EA15" i="1"/>
  <c r="DX15" i="1"/>
  <c r="DU15" i="1"/>
  <c r="DR15" i="1"/>
  <c r="DO15" i="1"/>
  <c r="DC15" i="1"/>
  <c r="CZ15" i="1"/>
  <c r="CW15" i="1"/>
  <c r="CT15" i="1"/>
  <c r="CQ15" i="1"/>
  <c r="CE15" i="1"/>
  <c r="CB15" i="1"/>
  <c r="BY15" i="1"/>
  <c r="BV15" i="1"/>
  <c r="BS15" i="1"/>
  <c r="BP15" i="1"/>
  <c r="BM15" i="1"/>
  <c r="BJ15" i="1"/>
  <c r="BI15" i="1"/>
  <c r="BG15" i="1"/>
  <c r="BF15" i="1"/>
  <c r="BD15" i="1"/>
  <c r="BC15" i="1"/>
  <c r="AV16" i="1"/>
  <c r="AW16" i="1"/>
  <c r="AT16" i="1"/>
  <c r="AV15" i="1"/>
  <c r="AV14" i="1"/>
  <c r="AW15" i="1"/>
  <c r="AT15" i="1"/>
  <c r="AW14" i="1"/>
  <c r="AT14" i="1"/>
  <c r="AW12" i="1"/>
  <c r="AV12" i="1"/>
  <c r="AT12" i="1"/>
  <c r="AW17" i="1"/>
  <c r="AT19" i="1"/>
  <c r="AT17" i="1"/>
  <c r="AW19" i="1" l="1"/>
  <c r="J19" i="1"/>
  <c r="I19" i="1"/>
  <c r="H19" i="1"/>
  <c r="BB17" i="1" l="1"/>
  <c r="BA17" i="1"/>
  <c r="AZ19" i="1"/>
  <c r="AY19" i="1"/>
  <c r="AX19" i="1"/>
  <c r="D18" i="1"/>
  <c r="AE18" i="1" s="1"/>
  <c r="D17" i="1"/>
  <c r="AE17" i="1" s="1"/>
  <c r="D16" i="1"/>
  <c r="AE16" i="1" s="1"/>
  <c r="D15" i="1"/>
  <c r="AE15" i="1" s="1"/>
  <c r="D14" i="1"/>
  <c r="AE14" i="1" s="1"/>
  <c r="D13" i="1"/>
  <c r="AE13" i="1" s="1"/>
  <c r="D12" i="1"/>
  <c r="AE12" i="1" s="1"/>
  <c r="D11" i="1"/>
  <c r="AE11" i="1" s="1"/>
  <c r="D10" i="1"/>
  <c r="AE10" i="1" s="1"/>
  <c r="D9" i="1"/>
  <c r="AE9" i="1" s="1"/>
  <c r="D8" i="1"/>
  <c r="AE8" i="1" s="1"/>
  <c r="D7" i="1"/>
  <c r="AE7" i="1" s="1"/>
  <c r="D6" i="1"/>
  <c r="AE6" i="1" s="1"/>
  <c r="D5" i="1"/>
  <c r="AE5" i="1" s="1"/>
  <c r="D4" i="1"/>
  <c r="AE4" i="1" s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G19" i="1"/>
  <c r="F19" i="1"/>
  <c r="AE19" i="1" l="1"/>
  <c r="D19" i="1"/>
  <c r="K12" i="1"/>
  <c r="AU12" i="1" s="1"/>
  <c r="L12" i="1"/>
  <c r="O12" i="1"/>
  <c r="M12" i="1"/>
  <c r="O5" i="1"/>
  <c r="M5" i="1"/>
  <c r="L5" i="1"/>
  <c r="N5" i="1" s="1"/>
  <c r="K5" i="1"/>
  <c r="AU5" i="1" s="1"/>
  <c r="O14" i="1"/>
  <c r="M14" i="1"/>
  <c r="L14" i="1"/>
  <c r="K14" i="1"/>
  <c r="AU14" i="1" s="1"/>
  <c r="O16" i="1"/>
  <c r="M16" i="1"/>
  <c r="L16" i="1"/>
  <c r="K16" i="1"/>
  <c r="AU16" i="1" s="1"/>
  <c r="K6" i="1"/>
  <c r="AU6" i="1" s="1"/>
  <c r="L6" i="1"/>
  <c r="M6" i="1"/>
  <c r="O6" i="1"/>
  <c r="K18" i="1"/>
  <c r="AU18" i="1" s="1"/>
  <c r="O18" i="1"/>
  <c r="M18" i="1"/>
  <c r="L18" i="1"/>
  <c r="N18" i="1" s="1"/>
  <c r="O11" i="1"/>
  <c r="M11" i="1"/>
  <c r="L11" i="1"/>
  <c r="K11" i="1"/>
  <c r="AU11" i="1" s="1"/>
  <c r="K13" i="1"/>
  <c r="AU13" i="1" s="1"/>
  <c r="O13" i="1"/>
  <c r="M13" i="1"/>
  <c r="L13" i="1"/>
  <c r="N13" i="1" s="1"/>
  <c r="K15" i="1"/>
  <c r="AU15" i="1" s="1"/>
  <c r="M15" i="1"/>
  <c r="L15" i="1"/>
  <c r="O15" i="1"/>
  <c r="K7" i="1"/>
  <c r="AU7" i="1" s="1"/>
  <c r="O7" i="1"/>
  <c r="M7" i="1"/>
  <c r="L7" i="1"/>
  <c r="O8" i="1"/>
  <c r="M8" i="1"/>
  <c r="L8" i="1"/>
  <c r="N8" i="1" s="1"/>
  <c r="K8" i="1"/>
  <c r="AU8" i="1" s="1"/>
  <c r="K9" i="1"/>
  <c r="AU9" i="1" s="1"/>
  <c r="O9" i="1"/>
  <c r="M9" i="1"/>
  <c r="L9" i="1"/>
  <c r="N9" i="1" s="1"/>
  <c r="O4" i="1"/>
  <c r="K4" i="1"/>
  <c r="AU4" i="1" s="1"/>
  <c r="M4" i="1"/>
  <c r="L4" i="1"/>
  <c r="O17" i="1"/>
  <c r="M17" i="1"/>
  <c r="L17" i="1"/>
  <c r="N17" i="1" s="1"/>
  <c r="K17" i="1"/>
  <c r="AU17" i="1" s="1"/>
  <c r="AV17" i="1" s="1"/>
  <c r="AV19" i="1" s="1"/>
  <c r="K10" i="1"/>
  <c r="AU10" i="1" s="1"/>
  <c r="O10" i="1"/>
  <c r="M10" i="1"/>
  <c r="L10" i="1"/>
  <c r="N10" i="1" s="1"/>
  <c r="AO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C19" i="1"/>
  <c r="B19" i="1"/>
  <c r="AN19" i="1"/>
  <c r="AM19" i="1"/>
  <c r="AL19" i="1"/>
  <c r="N4" i="1" l="1"/>
  <c r="N7" i="1"/>
  <c r="AU19" i="1"/>
  <c r="N12" i="1"/>
  <c r="N15" i="1"/>
  <c r="N14" i="1"/>
  <c r="N6" i="1"/>
  <c r="N11" i="1"/>
  <c r="N16" i="1"/>
  <c r="K19" i="1"/>
  <c r="L19" i="1"/>
  <c r="M19" i="1"/>
  <c r="O19" i="1"/>
  <c r="AQ19" i="1"/>
  <c r="V19" i="1"/>
  <c r="R19" i="1"/>
  <c r="W18" i="1"/>
  <c r="AA18" i="1" s="1"/>
  <c r="W17" i="1"/>
  <c r="AA17" i="1" s="1"/>
  <c r="W16" i="1"/>
  <c r="AA16" i="1" s="1"/>
  <c r="W15" i="1"/>
  <c r="AA15" i="1" s="1"/>
  <c r="W14" i="1"/>
  <c r="AA14" i="1" s="1"/>
  <c r="W13" i="1"/>
  <c r="AA13" i="1" s="1"/>
  <c r="W12" i="1"/>
  <c r="AA12" i="1" s="1"/>
  <c r="W11" i="1"/>
  <c r="AA11" i="1" s="1"/>
  <c r="W10" i="1"/>
  <c r="AA10" i="1" s="1"/>
  <c r="W9" i="1"/>
  <c r="AA9" i="1" s="1"/>
  <c r="W8" i="1"/>
  <c r="AA8" i="1" s="1"/>
  <c r="W7" i="1"/>
  <c r="AA7" i="1" s="1"/>
  <c r="W6" i="1"/>
  <c r="AA6" i="1" s="1"/>
  <c r="W5" i="1"/>
  <c r="AA5" i="1" s="1"/>
  <c r="W4" i="1"/>
  <c r="AA4" i="1" s="1"/>
  <c r="W3" i="1"/>
  <c r="AA3" i="1" s="1"/>
  <c r="W2" i="1"/>
  <c r="AA2" i="1" s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U18" i="1"/>
  <c r="Z18" i="1" s="1"/>
  <c r="U17" i="1"/>
  <c r="Z17" i="1" s="1"/>
  <c r="U16" i="1"/>
  <c r="Z16" i="1" s="1"/>
  <c r="U15" i="1"/>
  <c r="Z15" i="1" s="1"/>
  <c r="U14" i="1"/>
  <c r="Z14" i="1" s="1"/>
  <c r="U13" i="1"/>
  <c r="Z13" i="1" s="1"/>
  <c r="U12" i="1"/>
  <c r="Z12" i="1" s="1"/>
  <c r="U11" i="1"/>
  <c r="Z11" i="1" s="1"/>
  <c r="U10" i="1"/>
  <c r="Z10" i="1" s="1"/>
  <c r="U9" i="1"/>
  <c r="Z9" i="1" s="1"/>
  <c r="U8" i="1"/>
  <c r="Z8" i="1" s="1"/>
  <c r="U7" i="1"/>
  <c r="Z7" i="1" s="1"/>
  <c r="U6" i="1"/>
  <c r="Z6" i="1" s="1"/>
  <c r="U5" i="1"/>
  <c r="Z5" i="1" s="1"/>
  <c r="U4" i="1"/>
  <c r="Z4" i="1" s="1"/>
  <c r="U3" i="1"/>
  <c r="Z3" i="1" s="1"/>
  <c r="U2" i="1"/>
  <c r="Z2" i="1" s="1"/>
  <c r="AJ19" i="1"/>
  <c r="AI19" i="1"/>
  <c r="Q19" i="1"/>
  <c r="P19" i="1"/>
  <c r="E19" i="1"/>
  <c r="AH18" i="1"/>
  <c r="AG18" i="1"/>
  <c r="AF18" i="1"/>
  <c r="AH17" i="1"/>
  <c r="AG17" i="1"/>
  <c r="AF17" i="1"/>
  <c r="AH16" i="1"/>
  <c r="AG16" i="1"/>
  <c r="AF16" i="1"/>
  <c r="AH15" i="1"/>
  <c r="AG15" i="1"/>
  <c r="AF15" i="1"/>
  <c r="AH14" i="1"/>
  <c r="AG14" i="1"/>
  <c r="AF14" i="1"/>
  <c r="AH13" i="1"/>
  <c r="AG13" i="1"/>
  <c r="AF13" i="1"/>
  <c r="AH12" i="1"/>
  <c r="AG12" i="1"/>
  <c r="AF12" i="1"/>
  <c r="A12" i="1"/>
  <c r="A13" i="1" s="1"/>
  <c r="A14" i="1" s="1"/>
  <c r="A15" i="1" s="1"/>
  <c r="A16" i="1" s="1"/>
  <c r="A17" i="1" s="1"/>
  <c r="A18" i="1" s="1"/>
  <c r="AH11" i="1"/>
  <c r="AG11" i="1"/>
  <c r="AF11" i="1"/>
  <c r="AH10" i="1"/>
  <c r="AG10" i="1"/>
  <c r="AF10" i="1"/>
  <c r="AH9" i="1"/>
  <c r="AG9" i="1"/>
  <c r="AF9" i="1"/>
  <c r="AH8" i="1"/>
  <c r="AG8" i="1"/>
  <c r="AF8" i="1"/>
  <c r="AH7" i="1"/>
  <c r="AG7" i="1"/>
  <c r="AF7" i="1"/>
  <c r="AH6" i="1"/>
  <c r="AG6" i="1"/>
  <c r="AF6" i="1"/>
  <c r="AH5" i="1"/>
  <c r="AG5" i="1"/>
  <c r="AF5" i="1"/>
  <c r="AH4" i="1"/>
  <c r="AG4" i="1"/>
  <c r="AF4" i="1"/>
  <c r="AH3" i="1"/>
  <c r="AG3" i="1"/>
  <c r="AF3" i="1"/>
  <c r="AH2" i="1"/>
  <c r="AG2" i="1"/>
  <c r="AF2" i="1"/>
  <c r="N19" i="1" l="1"/>
  <c r="X6" i="1"/>
  <c r="AB6" i="1" s="1"/>
  <c r="X8" i="1"/>
  <c r="AB8" i="1" s="1"/>
  <c r="X16" i="1"/>
  <c r="AB16" i="1" s="1"/>
  <c r="X15" i="1"/>
  <c r="AB15" i="1" s="1"/>
  <c r="Z19" i="1"/>
  <c r="X9" i="1"/>
  <c r="AB9" i="1" s="1"/>
  <c r="X17" i="1"/>
  <c r="AB17" i="1" s="1"/>
  <c r="X2" i="1"/>
  <c r="AB2" i="1" s="1"/>
  <c r="X10" i="1"/>
  <c r="AB10" i="1" s="1"/>
  <c r="X18" i="1"/>
  <c r="AB18" i="1" s="1"/>
  <c r="X14" i="1"/>
  <c r="AB14" i="1" s="1"/>
  <c r="X3" i="1"/>
  <c r="AB3" i="1" s="1"/>
  <c r="X11" i="1"/>
  <c r="AB11" i="1" s="1"/>
  <c r="X4" i="1"/>
  <c r="AB4" i="1" s="1"/>
  <c r="X12" i="1"/>
  <c r="AB12" i="1" s="1"/>
  <c r="AA19" i="1"/>
  <c r="X5" i="1"/>
  <c r="AB5" i="1" s="1"/>
  <c r="Y2" i="1"/>
  <c r="AC2" i="1" s="1"/>
  <c r="Y3" i="1"/>
  <c r="Y5" i="1"/>
  <c r="AR5" i="1" s="1"/>
  <c r="AS5" i="1" s="1"/>
  <c r="Y17" i="1"/>
  <c r="AC17" i="1" s="1"/>
  <c r="Y6" i="1"/>
  <c r="AC6" i="1" s="1"/>
  <c r="Y8" i="1"/>
  <c r="AC8" i="1" s="1"/>
  <c r="Y10" i="1"/>
  <c r="AC10" i="1" s="1"/>
  <c r="Y18" i="1"/>
  <c r="AR18" i="1" s="1"/>
  <c r="AS18" i="1" s="1"/>
  <c r="Y11" i="1"/>
  <c r="Y14" i="1"/>
  <c r="AC14" i="1" s="1"/>
  <c r="Y13" i="1"/>
  <c r="AC13" i="1" s="1"/>
  <c r="Y12" i="1"/>
  <c r="AC12" i="1" s="1"/>
  <c r="U19" i="1"/>
  <c r="W19" i="1"/>
  <c r="Y16" i="1"/>
  <c r="AC16" i="1" s="1"/>
  <c r="T19" i="1"/>
  <c r="Y4" i="1"/>
  <c r="AC4" i="1" s="1"/>
  <c r="Y15" i="1"/>
  <c r="AC15" i="1" s="1"/>
  <c r="Y9" i="1"/>
  <c r="AC9" i="1" s="1"/>
  <c r="X13" i="1"/>
  <c r="AB13" i="1" s="1"/>
  <c r="X7" i="1"/>
  <c r="AB7" i="1" s="1"/>
  <c r="Y7" i="1"/>
  <c r="AC7" i="1" s="1"/>
  <c r="S19" i="1"/>
  <c r="AF19" i="1"/>
  <c r="AP19" i="1"/>
  <c r="AK14" i="1"/>
  <c r="AK18" i="1"/>
  <c r="AK8" i="1"/>
  <c r="AK12" i="1"/>
  <c r="AK16" i="1"/>
  <c r="AH19" i="1"/>
  <c r="AG19" i="1"/>
  <c r="AK2" i="1"/>
  <c r="AK7" i="1"/>
  <c r="AK5" i="1"/>
  <c r="AK13" i="1"/>
  <c r="AK15" i="1"/>
  <c r="AK9" i="1"/>
  <c r="AK4" i="1"/>
  <c r="AK6" i="1"/>
  <c r="AK17" i="1"/>
  <c r="AK10" i="1"/>
  <c r="AK3" i="1"/>
  <c r="AK11" i="1"/>
  <c r="AD2" i="1" l="1"/>
  <c r="AR17" i="1"/>
  <c r="AS17" i="1" s="1"/>
  <c r="AB19" i="1"/>
  <c r="AD3" i="1"/>
  <c r="AD8" i="1"/>
  <c r="AC3" i="1"/>
  <c r="AC11" i="1"/>
  <c r="AC18" i="1"/>
  <c r="AC5" i="1"/>
  <c r="AR11" i="1"/>
  <c r="AS11" i="1" s="1"/>
  <c r="AR8" i="1"/>
  <c r="AS8" i="1" s="1"/>
  <c r="AD16" i="1"/>
  <c r="AR13" i="1"/>
  <c r="AS13" i="1" s="1"/>
  <c r="AD17" i="1"/>
  <c r="AD10" i="1"/>
  <c r="AD14" i="1"/>
  <c r="AD15" i="1"/>
  <c r="AD12" i="1"/>
  <c r="AR6" i="1"/>
  <c r="AS6" i="1" s="1"/>
  <c r="AD9" i="1"/>
  <c r="AD18" i="1"/>
  <c r="AD5" i="1"/>
  <c r="AD4" i="1"/>
  <c r="AR7" i="1"/>
  <c r="AS7" i="1" s="1"/>
  <c r="AD11" i="1"/>
  <c r="AR12" i="1"/>
  <c r="AS12" i="1" s="1"/>
  <c r="AR10" i="1"/>
  <c r="AS10" i="1" s="1"/>
  <c r="AD6" i="1"/>
  <c r="AR4" i="1"/>
  <c r="AS4" i="1" s="1"/>
  <c r="AR15" i="1"/>
  <c r="AS15" i="1" s="1"/>
  <c r="AR9" i="1"/>
  <c r="AS9" i="1" s="1"/>
  <c r="AR14" i="1"/>
  <c r="AS14" i="1" s="1"/>
  <c r="AD13" i="1"/>
  <c r="AR16" i="1"/>
  <c r="AS16" i="1" s="1"/>
  <c r="X19" i="1"/>
  <c r="Y19" i="1"/>
  <c r="AD7" i="1"/>
  <c r="AK19" i="1"/>
  <c r="AC19" i="1" l="1"/>
  <c r="AD19" i="1"/>
  <c r="AS19" i="1"/>
  <c r="AR19" i="1"/>
</calcChain>
</file>

<file path=xl/sharedStrings.xml><?xml version="1.0" encoding="utf-8"?>
<sst xmlns="http://schemas.openxmlformats.org/spreadsheetml/2006/main" count="305" uniqueCount="164">
  <si>
    <t>Year</t>
  </si>
  <si>
    <t>Mean</t>
  </si>
  <si>
    <t>Source</t>
  </si>
  <si>
    <t>HBS Summary</t>
  </si>
  <si>
    <t>Manual tabulation from annual export summary (https://www2.gov.bc.ca/gov/content/industry/forestry/competitive-forest-industry/forest-industry-economics/forest-product-exports)</t>
  </si>
  <si>
    <t>Area harvest (Mha)</t>
  </si>
  <si>
    <t>Area regen (Mha)</t>
  </si>
  <si>
    <t>Waste Sawlog (Mm3)</t>
  </si>
  <si>
    <t>Waste GradeY/4 (Mm3)</t>
  </si>
  <si>
    <t>Waste and Residue Summary script</t>
  </si>
  <si>
    <t>Waste Total (Mm3)</t>
  </si>
  <si>
    <t>Derived</t>
  </si>
  <si>
    <t>Waste rate HBS (%)</t>
  </si>
  <si>
    <t>Notes</t>
  </si>
  <si>
    <t>Gross area minus reserves (RESULTS)</t>
  </si>
  <si>
    <t>See Harvest Area script</t>
  </si>
  <si>
    <t>Sand establishment from RESULTS</t>
  </si>
  <si>
    <t>See Harvest Area script; similar but not exact to NFD or CCDB</t>
  </si>
  <si>
    <t>Export summary indicates that 87% of lumber is exported</t>
  </si>
  <si>
    <t>BC Mill Survey Report</t>
  </si>
  <si>
    <t>Sawmill Lumber Recovery Ratio (%)</t>
  </si>
  <si>
    <t>Sawmill Bio-product Chips (%)</t>
  </si>
  <si>
    <t>Sawmill Sawdust and Shavings (%)</t>
  </si>
  <si>
    <t>Pellet Feedstock From Sawmill (%)</t>
  </si>
  <si>
    <t>Pellet Feedstock From Harvest Residuals (%)</t>
  </si>
  <si>
    <t>Volume HBS Waste (%)</t>
  </si>
  <si>
    <t>Forest to Sawmill (%)</t>
  </si>
  <si>
    <t>Forest Sawlog to Sawmill (%)</t>
  </si>
  <si>
    <t>Forest Non-sawlog to Sawmill (%)</t>
  </si>
  <si>
    <t>Forest Non-sawlog to Chipper (%)</t>
  </si>
  <si>
    <t>Production Petroleum US (PJ/yr)</t>
  </si>
  <si>
    <t>Production Petroleum CA (PJ/yr)</t>
  </si>
  <si>
    <t>Production Petroleum NA (PJ/yr)</t>
  </si>
  <si>
    <t>Production Natural gas US (PJ/yr)</t>
  </si>
  <si>
    <t>Production Natural gas CA (PJ/yr)</t>
  </si>
  <si>
    <t>Production Natural gas NA (PJ/yr)</t>
  </si>
  <si>
    <t>Production Coal US (PJ/yr)</t>
  </si>
  <si>
    <t>Production Coal CA (PJ/yr)</t>
  </si>
  <si>
    <t>Production Coal NA (PJ/yr)</t>
  </si>
  <si>
    <t>Production Nuclear US (PJ/yr)</t>
  </si>
  <si>
    <t>Production Nuclear CA (PJ/yr)</t>
  </si>
  <si>
    <t>Production Nuclear NA (PJ/yr)</t>
  </si>
  <si>
    <t>Production Wind US (PJ/yr)</t>
  </si>
  <si>
    <t>Production Wind CA (PJ/yr)</t>
  </si>
  <si>
    <t>Production Wind NA (PJ/yr)</t>
  </si>
  <si>
    <t>Production Hydro US (PJ/yr)</t>
  </si>
  <si>
    <t>Production Hydro CA (PJ/yr)</t>
  </si>
  <si>
    <t>Production Hydro NA (PJ/yr)</t>
  </si>
  <si>
    <t>Production Biofuels and Waste US (PJ/yr)</t>
  </si>
  <si>
    <t>Production Biofuels and Waste CA (PJ/yr)</t>
  </si>
  <si>
    <t>Production Biofuels and Waste NA (PJ/yr)</t>
  </si>
  <si>
    <t>Import Petroleum US (PJ/yr)</t>
  </si>
  <si>
    <t>Import Petroleum CA (PJ/yr)</t>
  </si>
  <si>
    <t>Import Petroleum NA (PJ/yr)</t>
  </si>
  <si>
    <t>Import Natural gas US (PJ/yr)</t>
  </si>
  <si>
    <t>Import Natural gas CA (PJ/yr)</t>
  </si>
  <si>
    <t>Import Natural gas NA (PJ/yr)</t>
  </si>
  <si>
    <t>Import Coal US (PJ/yr)</t>
  </si>
  <si>
    <t>Import Coal CA (PJ/yr)</t>
  </si>
  <si>
    <t>Import Coal NA (PJ/yr)</t>
  </si>
  <si>
    <t>Import Nuclear US (PJ/yr)</t>
  </si>
  <si>
    <t>Import Nuclear CA (PJ/yr)</t>
  </si>
  <si>
    <t>Import Nuclear NA (PJ/yr)</t>
  </si>
  <si>
    <t>Import Wind US (PJ/yr)</t>
  </si>
  <si>
    <t>Import Wind CA (PJ/yr)</t>
  </si>
  <si>
    <t>Import Wind NA (PJ/yr)</t>
  </si>
  <si>
    <t>Import Hydro US (PJ/yr)</t>
  </si>
  <si>
    <t>Import Hydro CA (PJ/yr)</t>
  </si>
  <si>
    <t>Import Hydro NA (PJ/yr)</t>
  </si>
  <si>
    <t>Import Biofuels and Waste US (PJ/yr)</t>
  </si>
  <si>
    <t>Import Biofuels and Waste CA (PJ/yr)</t>
  </si>
  <si>
    <t>Import Biofuels and Waste NA (PJ/yr)</t>
  </si>
  <si>
    <t>Import Electricity US (PJ/yr)</t>
  </si>
  <si>
    <t>Import Electricity CA (PJ/yr)</t>
  </si>
  <si>
    <t>Import Electricity NA (PJ/yr)</t>
  </si>
  <si>
    <t>Export Petroleum US (PJ/yr)</t>
  </si>
  <si>
    <t>Export Petroleum CA (PJ/yr)</t>
  </si>
  <si>
    <t>Export Petroleum NA (PJ/yr)</t>
  </si>
  <si>
    <t>Export Natural gas US (PJ/yr)</t>
  </si>
  <si>
    <t>Export Natural gas CA (PJ/yr)</t>
  </si>
  <si>
    <t>Export Natural gas NA (PJ/yr)</t>
  </si>
  <si>
    <t>Export Coal US (PJ/yr)</t>
  </si>
  <si>
    <t>Export Coal CA (PJ/yr)</t>
  </si>
  <si>
    <t>Export Coal NA (PJ/yr)</t>
  </si>
  <si>
    <t>Export Nuclear US (PJ/yr)</t>
  </si>
  <si>
    <t>Export Nuclear CA (PJ/yr)</t>
  </si>
  <si>
    <t>Export Nuclear NA (PJ/yr)</t>
  </si>
  <si>
    <t>Export Wind US (PJ/yr)</t>
  </si>
  <si>
    <t>Export Wind CA (PJ/yr)</t>
  </si>
  <si>
    <t>Export Wind NA (PJ/yr)</t>
  </si>
  <si>
    <t>Export Hydro US (PJ/yr)</t>
  </si>
  <si>
    <t>Export Hydro CA (PJ/yr)</t>
  </si>
  <si>
    <t>Export Hydro NA (PJ/yr)</t>
  </si>
  <si>
    <t>Export Biofuels and Waste US (PJ/yr)</t>
  </si>
  <si>
    <t>Export Biofuels and Waste CA (PJ/yr)</t>
  </si>
  <si>
    <t>Export Biofuels and Waste NA (PJ/yr)</t>
  </si>
  <si>
    <t>Export Electricity US (PJ/yr)</t>
  </si>
  <si>
    <t>Export Electricity CA (PJ/yr)</t>
  </si>
  <si>
    <t>Export Electricity NA (PJ/yr)</t>
  </si>
  <si>
    <t>Consumption Petroleum US (PJ/yr)</t>
  </si>
  <si>
    <t>Consumption Petroleum CA (PJ/yr)</t>
  </si>
  <si>
    <t>Consumption Petroleum NA (PJ/yr)</t>
  </si>
  <si>
    <t>Consumption Natural gas US (PJ/yr)</t>
  </si>
  <si>
    <t>Consumption Natural gas CA (PJ/yr)</t>
  </si>
  <si>
    <t>Consumption Natural gas NA (PJ/yr)</t>
  </si>
  <si>
    <t>Consumption Coal US (PJ/yr)</t>
  </si>
  <si>
    <t>Consumption Coal CA (PJ/yr)</t>
  </si>
  <si>
    <t>Consumption Coal NA (PJ/yr)</t>
  </si>
  <si>
    <t>Consumption Nuclear US (PJ/yr)</t>
  </si>
  <si>
    <t>Consumption Nuclear CA (PJ/yr)</t>
  </si>
  <si>
    <t>Consumption Nuclear NA (PJ/yr)</t>
  </si>
  <si>
    <t>Consumption Wind US (PJ/yr)</t>
  </si>
  <si>
    <t>Consumption Wind CA (PJ/yr)</t>
  </si>
  <si>
    <t>Consumption Wind NA (PJ/yr)</t>
  </si>
  <si>
    <t>Consumption Hydro US (PJ/yr)</t>
  </si>
  <si>
    <t>Consumption Hydro CA (PJ/yr)</t>
  </si>
  <si>
    <t>Consumption Hydro NA (PJ/yr)</t>
  </si>
  <si>
    <t>Consumption Biofuels and Waste US (PJ/yr)</t>
  </si>
  <si>
    <t>Consumption Biofuels and Waste CA (PJ/yr)</t>
  </si>
  <si>
    <t>Consumption Biofuels and Waste NA (PJ/yr)</t>
  </si>
  <si>
    <t>Consumption Electricity US (PJ/yr)</t>
  </si>
  <si>
    <t>Consumption Electricity CA (PJ/yr)</t>
  </si>
  <si>
    <t>Consumption Electricity NA (PJ/yr)</t>
  </si>
  <si>
    <t>Consumption Heat US (PJ/yr)</t>
  </si>
  <si>
    <t>Consumption Heat CA (PJ/yr)</t>
  </si>
  <si>
    <t>Consumption Heat NA (PJ/yr)</t>
  </si>
  <si>
    <t>Production Volume HBS Total (Mm3/yr)</t>
  </si>
  <si>
    <t>Production Volume HBS Total W/O Waste (Mm3/yr)</t>
  </si>
  <si>
    <t>Production Volume HBS Waste (Mm3/yr)</t>
  </si>
  <si>
    <t>Production Volume HBS Hog+Chips (Mm3/yr)</t>
  </si>
  <si>
    <t>Production Volume HBS Sawlog (Mm3/yr)</t>
  </si>
  <si>
    <t>Production Volume HBS Pulplog (Mm3/yr)</t>
  </si>
  <si>
    <t>Production Volume HBS Firmwood Reject (Mm3/yr)</t>
  </si>
  <si>
    <t>Production Volume HBS Sawlog (%)</t>
  </si>
  <si>
    <t>Production Volume HBS Pulplog (%)</t>
  </si>
  <si>
    <t>Production Volume HBS Firmwood Reject (%)</t>
  </si>
  <si>
    <t>Production Volume HBS Pulplog+Firmwood Reject (%)</t>
  </si>
  <si>
    <t>Production Lumber Export (Mm3/yr)</t>
  </si>
  <si>
    <t>Production Log Export (Mm3/yr)</t>
  </si>
  <si>
    <t>Production Panel Export (Mm3/yr)</t>
  </si>
  <si>
    <t>Production Pulp Export (Mm3/yr)</t>
  </si>
  <si>
    <t>Production Pellet Export (Mm3/yr)</t>
  </si>
  <si>
    <t>Production Lumber Domestic (Mm3/yr)</t>
  </si>
  <si>
    <t>Production Log Domestic (Mm3/yr)</t>
  </si>
  <si>
    <t>Production Panel Domestic (Mm3/yr)</t>
  </si>
  <si>
    <t>Production Pulp Domestic (Mm3/yr)</t>
  </si>
  <si>
    <t>Production Pellet Domestic (Mm3/yr)</t>
  </si>
  <si>
    <t>Production Lumber Total (Mm3/yr)</t>
  </si>
  <si>
    <t>Production Panel Total (Mm3/yr)</t>
  </si>
  <si>
    <t>Production Pulp Total (Mm3/yr)</t>
  </si>
  <si>
    <t>Production Pellet Total (Mm3/yr)</t>
  </si>
  <si>
    <t>Production Volume Total From Sum Of Products (Mm3/yr)</t>
  </si>
  <si>
    <t>Production Log Export (%)</t>
  </si>
  <si>
    <t>Production Total Export (M ODT/yr)</t>
  </si>
  <si>
    <t>Production Pellet Export (M ODT/yr)</t>
  </si>
  <si>
    <t>Production Pulp Export (M ODT/yr)</t>
  </si>
  <si>
    <t>Production Lumber Export (M ODT/yr)</t>
  </si>
  <si>
    <t>Production Log Export (M ODT/yr)</t>
  </si>
  <si>
    <t>Production Panel Export (M ODT/yr)</t>
  </si>
  <si>
    <t>Production Volume Density HBS Total W/O Waste (m3/ha)</t>
  </si>
  <si>
    <t>Production Volume Density HBS Total With Waste (m3/ha)</t>
  </si>
  <si>
    <t>Production Volume Density Pellet Total (m3/ha)</t>
  </si>
  <si>
    <t>Production Volume Density Pellet Total (%)</t>
  </si>
  <si>
    <t>Source 2018 energy stats: https://www.iea.org/data-and-statistics/data-tools/energy-statistics-data-browser?country=CANADA&amp;energy=Balances&amp;year=2018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</si>
</sst>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2" fontId="2" fillId="0" borderId="0" xfId="0" applyNumberFormat="1" applyFont="1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top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 vertical="top" wrapText="1"/>
    </xf>
    <xf numFmtId="2" fontId="0" fillId="0" borderId="0" xfId="0" applyNumberFormat="1" applyAlignment="1">
      <alignment horizontal="left"/>
    </xf>
    <xf numFmtId="4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34876</xdr:rowOff>
    </xdr:from>
    <xdr:to>
      <xdr:col>9</xdr:col>
      <xdr:colOff>84573</xdr:colOff>
      <xdr:row>35</xdr:row>
      <xdr:rowOff>52293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CA5A6E1-B4DE-DCB9-60AE-271634B398F0}"/>
            </a:ext>
          </a:extLst>
        </xdr:cNvPr>
        <xdr:cNvSpPr/>
      </xdr:nvSpPr>
      <xdr:spPr>
        <a:xfrm>
          <a:off x="5090160" y="583516"/>
          <a:ext cx="4961373" cy="6052457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16</xdr:col>
      <xdr:colOff>550476</xdr:colOff>
      <xdr:row>16</xdr:row>
      <xdr:rowOff>33618</xdr:rowOff>
    </xdr:from>
    <xdr:to>
      <xdr:col>17</xdr:col>
      <xdr:colOff>123756</xdr:colOff>
      <xdr:row>16</xdr:row>
      <xdr:rowOff>167142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D76DC49-0E53-86CD-C03F-4115325D4756}"/>
            </a:ext>
          </a:extLst>
        </xdr:cNvPr>
        <xdr:cNvSpPr/>
      </xdr:nvSpPr>
      <xdr:spPr>
        <a:xfrm>
          <a:off x="14784636" y="3142578"/>
          <a:ext cx="182880" cy="133524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16</xdr:col>
      <xdr:colOff>68892</xdr:colOff>
      <xdr:row>16</xdr:row>
      <xdr:rowOff>34978</xdr:rowOff>
    </xdr:from>
    <xdr:to>
      <xdr:col>16</xdr:col>
      <xdr:colOff>251772</xdr:colOff>
      <xdr:row>16</xdr:row>
      <xdr:rowOff>168502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38C032B-B2EF-4652-3662-7D7F07CA20AB}"/>
            </a:ext>
          </a:extLst>
        </xdr:cNvPr>
        <xdr:cNvSpPr/>
      </xdr:nvSpPr>
      <xdr:spPr>
        <a:xfrm>
          <a:off x="14303052" y="3143938"/>
          <a:ext cx="182880" cy="133524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10</xdr:col>
      <xdr:colOff>293127</xdr:colOff>
      <xdr:row>22</xdr:row>
      <xdr:rowOff>50948</xdr:rowOff>
    </xdr:from>
    <xdr:to>
      <xdr:col>10</xdr:col>
      <xdr:colOff>476007</xdr:colOff>
      <xdr:row>22</xdr:row>
      <xdr:rowOff>122763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9CB28EF-F730-A95B-1450-C28E9012960E}"/>
            </a:ext>
          </a:extLst>
        </xdr:cNvPr>
        <xdr:cNvSpPr/>
      </xdr:nvSpPr>
      <xdr:spPr>
        <a:xfrm>
          <a:off x="10869687" y="4257188"/>
          <a:ext cx="182880" cy="71815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10</xdr:col>
      <xdr:colOff>293127</xdr:colOff>
      <xdr:row>8</xdr:row>
      <xdr:rowOff>66503</xdr:rowOff>
    </xdr:from>
    <xdr:to>
      <xdr:col>10</xdr:col>
      <xdr:colOff>476007</xdr:colOff>
      <xdr:row>8</xdr:row>
      <xdr:rowOff>136346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05A8842-5A80-E099-938F-9EB16D4A5CE9}"/>
            </a:ext>
          </a:extLst>
        </xdr:cNvPr>
        <xdr:cNvSpPr/>
      </xdr:nvSpPr>
      <xdr:spPr>
        <a:xfrm>
          <a:off x="10869687" y="1712423"/>
          <a:ext cx="182880" cy="69843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3</xdr:col>
      <xdr:colOff>325489</xdr:colOff>
      <xdr:row>5</xdr:row>
      <xdr:rowOff>87839</xdr:rowOff>
    </xdr:from>
    <xdr:to>
      <xdr:col>5</xdr:col>
      <xdr:colOff>502750</xdr:colOff>
      <xdr:row>7</xdr:row>
      <xdr:rowOff>179280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2B14FD11-B515-CEEA-C8A8-091681ECF45F}"/>
            </a:ext>
          </a:extLst>
        </xdr:cNvPr>
        <xdr:cNvSpPr/>
      </xdr:nvSpPr>
      <xdr:spPr>
        <a:xfrm>
          <a:off x="6636642" y="1163604"/>
          <a:ext cx="1396461" cy="450029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Sawlogs</a:t>
          </a:r>
          <a:r>
            <a:rPr lang="en-CA" sz="1400"/>
            <a:t> </a:t>
          </a:r>
        </a:p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(high grade)</a:t>
          </a:r>
        </a:p>
      </xdr:txBody>
    </xdr:sp>
    <xdr:clientData/>
  </xdr:twoCellAnchor>
  <xdr:twoCellAnchor>
    <xdr:from>
      <xdr:col>3</xdr:col>
      <xdr:colOff>325488</xdr:colOff>
      <xdr:row>12</xdr:row>
      <xdr:rowOff>99880</xdr:rowOff>
    </xdr:from>
    <xdr:to>
      <xdr:col>5</xdr:col>
      <xdr:colOff>502749</xdr:colOff>
      <xdr:row>15</xdr:row>
      <xdr:rowOff>12027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F48217E3-8408-3EFF-9100-D3FE62660175}"/>
            </a:ext>
          </a:extLst>
        </xdr:cNvPr>
        <xdr:cNvSpPr/>
      </xdr:nvSpPr>
      <xdr:spPr>
        <a:xfrm>
          <a:off x="6636641" y="2430704"/>
          <a:ext cx="1396461" cy="450029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Pulplogs</a:t>
          </a:r>
          <a:r>
            <a:rPr lang="en-CA" sz="1300" b="1" baseline="0">
              <a:solidFill>
                <a:schemeClr val="accent6">
                  <a:lumMod val="50000"/>
                </a:schemeClr>
              </a:solidFill>
            </a:rPr>
            <a:t> &amp; firmwood rejects</a:t>
          </a:r>
          <a:endParaRPr lang="en-CA" sz="13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325487</xdr:colOff>
      <xdr:row>19</xdr:row>
      <xdr:rowOff>87852</xdr:rowOff>
    </xdr:from>
    <xdr:to>
      <xdr:col>5</xdr:col>
      <xdr:colOff>502748</xdr:colOff>
      <xdr:row>21</xdr:row>
      <xdr:rowOff>179293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85B8039D-5517-3E28-3947-2C5C589899BA}"/>
            </a:ext>
          </a:extLst>
        </xdr:cNvPr>
        <xdr:cNvSpPr/>
      </xdr:nvSpPr>
      <xdr:spPr>
        <a:xfrm>
          <a:off x="6636640" y="3673734"/>
          <a:ext cx="1396461" cy="450030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Waste wood</a:t>
          </a:r>
        </a:p>
      </xdr:txBody>
    </xdr:sp>
    <xdr:clientData/>
  </xdr:twoCellAnchor>
  <xdr:twoCellAnchor>
    <xdr:from>
      <xdr:col>3</xdr:col>
      <xdr:colOff>107023</xdr:colOff>
      <xdr:row>4</xdr:row>
      <xdr:rowOff>165509</xdr:rowOff>
    </xdr:from>
    <xdr:to>
      <xdr:col>3</xdr:col>
      <xdr:colOff>289955</xdr:colOff>
      <xdr:row>22</xdr:row>
      <xdr:rowOff>105524</xdr:rowOff>
    </xdr:to>
    <xdr:sp macro="" textlink="">
      <xdr:nvSpPr>
        <xdr:cNvPr id="10" name="Left Brace 9">
          <a:extLst>
            <a:ext uri="{FF2B5EF4-FFF2-40B4-BE49-F238E27FC236}">
              <a16:creationId xmlns:a16="http://schemas.microsoft.com/office/drawing/2014/main" id="{5CBB1D85-3603-963B-CB0C-4DD5BEB20E9B}"/>
            </a:ext>
          </a:extLst>
        </xdr:cNvPr>
        <xdr:cNvSpPr/>
      </xdr:nvSpPr>
      <xdr:spPr>
        <a:xfrm>
          <a:off x="6416383" y="1079909"/>
          <a:ext cx="182932" cy="3231855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</xdr:col>
      <xdr:colOff>106624</xdr:colOff>
      <xdr:row>12</xdr:row>
      <xdr:rowOff>9017</xdr:rowOff>
    </xdr:from>
    <xdr:to>
      <xdr:col>3</xdr:col>
      <xdr:colOff>104951</xdr:colOff>
      <xdr:row>15</xdr:row>
      <xdr:rowOff>106708</xdr:rowOff>
    </xdr:to>
    <xdr:sp macro="" textlink="">
      <xdr:nvSpPr>
        <xdr:cNvPr id="11" name="TextBox 9">
          <a:extLst>
            <a:ext uri="{FF2B5EF4-FFF2-40B4-BE49-F238E27FC236}">
              <a16:creationId xmlns:a16="http://schemas.microsoft.com/office/drawing/2014/main" id="{A246D782-DCD9-A38A-0153-8A7536E569E4}"/>
            </a:ext>
          </a:extLst>
        </xdr:cNvPr>
        <xdr:cNvSpPr txBox="1"/>
      </xdr:nvSpPr>
      <xdr:spPr>
        <a:xfrm>
          <a:off x="5196784" y="2386457"/>
          <a:ext cx="1217527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CA" sz="1200"/>
            <a:t>Meets merchantable criteria</a:t>
          </a:r>
        </a:p>
      </xdr:txBody>
    </xdr:sp>
    <xdr:clientData/>
  </xdr:twoCellAnchor>
  <xdr:twoCellAnchor>
    <xdr:from>
      <xdr:col>5</xdr:col>
      <xdr:colOff>502749</xdr:colOff>
      <xdr:row>7</xdr:row>
      <xdr:rowOff>162771</xdr:rowOff>
    </xdr:from>
    <xdr:to>
      <xdr:col>10</xdr:col>
      <xdr:colOff>138250</xdr:colOff>
      <xdr:row>13</xdr:row>
      <xdr:rowOff>145601</xdr:rowOff>
    </xdr:to>
    <xdr:cxnSp macro="">
      <xdr:nvCxnSpPr>
        <xdr:cNvPr id="12" name="Connector: Curved 11">
          <a:extLst>
            <a:ext uri="{FF2B5EF4-FFF2-40B4-BE49-F238E27FC236}">
              <a16:creationId xmlns:a16="http://schemas.microsoft.com/office/drawing/2014/main" id="{6576DCD5-43D7-5F1B-C3F6-63E84A111EC9}"/>
            </a:ext>
          </a:extLst>
        </xdr:cNvPr>
        <xdr:cNvCxnSpPr>
          <a:cxnSpLocks/>
          <a:stCxn id="8" idx="3"/>
          <a:endCxn id="60" idx="1"/>
        </xdr:cNvCxnSpPr>
      </xdr:nvCxnSpPr>
      <xdr:spPr>
        <a:xfrm flipV="1">
          <a:off x="8033102" y="1597124"/>
          <a:ext cx="2683501" cy="1058595"/>
        </a:xfrm>
        <a:prstGeom prst="curvedConnector3">
          <a:avLst>
            <a:gd name="adj1" fmla="val 50000"/>
          </a:avLst>
        </a:prstGeom>
        <a:ln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478096</xdr:colOff>
      <xdr:row>26</xdr:row>
      <xdr:rowOff>174688</xdr:rowOff>
    </xdr:from>
    <xdr:to>
      <xdr:col>5</xdr:col>
      <xdr:colOff>359485</xdr:colOff>
      <xdr:row>29</xdr:row>
      <xdr:rowOff>148237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DA9FE58A-8B96-CC28-C0D4-22D86EB98AC8}"/>
            </a:ext>
          </a:extLst>
        </xdr:cNvPr>
        <xdr:cNvSpPr/>
      </xdr:nvSpPr>
      <xdr:spPr>
        <a:xfrm>
          <a:off x="6787456" y="5112448"/>
          <a:ext cx="1100589" cy="522189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Left Dispersed on Site</a:t>
          </a:r>
        </a:p>
      </xdr:txBody>
    </xdr:sp>
    <xdr:clientData/>
  </xdr:twoCellAnchor>
  <xdr:twoCellAnchor>
    <xdr:from>
      <xdr:col>5</xdr:col>
      <xdr:colOff>551895</xdr:colOff>
      <xdr:row>29</xdr:row>
      <xdr:rowOff>89756</xdr:rowOff>
    </xdr:from>
    <xdr:to>
      <xdr:col>7</xdr:col>
      <xdr:colOff>176416</xdr:colOff>
      <xdr:row>31</xdr:row>
      <xdr:rowOff>118335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C142335A-2E6A-46F5-98B5-3BD01B2F7013}"/>
            </a:ext>
          </a:extLst>
        </xdr:cNvPr>
        <xdr:cNvSpPr/>
      </xdr:nvSpPr>
      <xdr:spPr>
        <a:xfrm>
          <a:off x="8080455" y="5576156"/>
          <a:ext cx="843721" cy="394339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Piled</a:t>
          </a:r>
        </a:p>
      </xdr:txBody>
    </xdr:sp>
    <xdr:clientData/>
  </xdr:twoCellAnchor>
  <xdr:twoCellAnchor>
    <xdr:from>
      <xdr:col>4</xdr:col>
      <xdr:colOff>419378</xdr:colOff>
      <xdr:row>22</xdr:row>
      <xdr:rowOff>168722</xdr:rowOff>
    </xdr:from>
    <xdr:to>
      <xdr:col>6</xdr:col>
      <xdr:colOff>364156</xdr:colOff>
      <xdr:row>29</xdr:row>
      <xdr:rowOff>89756</xdr:rowOff>
    </xdr:to>
    <xdr:cxnSp macro="">
      <xdr:nvCxnSpPr>
        <xdr:cNvPr id="15" name="Connector: Curved 14">
          <a:extLst>
            <a:ext uri="{FF2B5EF4-FFF2-40B4-BE49-F238E27FC236}">
              <a16:creationId xmlns:a16="http://schemas.microsoft.com/office/drawing/2014/main" id="{E49FB836-6CC3-5584-676E-636D7F8C2FD9}"/>
            </a:ext>
          </a:extLst>
        </xdr:cNvPr>
        <xdr:cNvCxnSpPr>
          <a:cxnSpLocks/>
          <a:stCxn id="24" idx="2"/>
          <a:endCxn id="14" idx="0"/>
        </xdr:cNvCxnSpPr>
      </xdr:nvCxnSpPr>
      <xdr:spPr>
        <a:xfrm rot="16200000" flipH="1">
          <a:off x="2851721" y="4119250"/>
          <a:ext cx="1176092" cy="1163978"/>
        </a:xfrm>
        <a:prstGeom prst="curved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290470</xdr:colOff>
      <xdr:row>16</xdr:row>
      <xdr:rowOff>167142</xdr:rowOff>
    </xdr:from>
    <xdr:to>
      <xdr:col>17</xdr:col>
      <xdr:colOff>32316</xdr:colOff>
      <xdr:row>24</xdr:row>
      <xdr:rowOff>159333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64EAF5D9-3CE7-2308-3417-FA6B81BAA615}"/>
            </a:ext>
          </a:extLst>
        </xdr:cNvPr>
        <xdr:cNvCxnSpPr>
          <a:cxnSpLocks/>
          <a:stCxn id="43" idx="3"/>
          <a:endCxn id="3" idx="2"/>
        </xdr:cNvCxnSpPr>
      </xdr:nvCxnSpPr>
      <xdr:spPr>
        <a:xfrm flipV="1">
          <a:off x="12086230" y="3276102"/>
          <a:ext cx="2789846" cy="1455231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</xdr:colOff>
      <xdr:row>8</xdr:row>
      <xdr:rowOff>48803</xdr:rowOff>
    </xdr:from>
    <xdr:to>
      <xdr:col>20</xdr:col>
      <xdr:colOff>133151</xdr:colOff>
      <xdr:row>12</xdr:row>
      <xdr:rowOff>87200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EA37F8BE-C0EA-35A9-F325-BD199ACF8036}"/>
            </a:ext>
          </a:extLst>
        </xdr:cNvPr>
        <xdr:cNvSpPr/>
      </xdr:nvSpPr>
      <xdr:spPr>
        <a:xfrm>
          <a:off x="14260958" y="1694723"/>
          <a:ext cx="2544753" cy="7699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100" b="1">
              <a:solidFill>
                <a:schemeClr val="tx1"/>
              </a:solidFill>
            </a:rPr>
            <a:t>Sawdust, shavings &amp; bi-product chips</a:t>
          </a:r>
        </a:p>
        <a:p>
          <a:r>
            <a:rPr lang="en-CA" sz="1100">
              <a:solidFill>
                <a:schemeClr val="tx1"/>
              </a:solidFill>
            </a:rPr>
            <a:t>9% of harvest (90% of the total fibre used by pellet sector)</a:t>
          </a:r>
        </a:p>
        <a:p>
          <a:endParaRPr lang="en-CA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315511</xdr:colOff>
      <xdr:row>7</xdr:row>
      <xdr:rowOff>162771</xdr:rowOff>
    </xdr:from>
    <xdr:to>
      <xdr:col>16</xdr:col>
      <xdr:colOff>396337</xdr:colOff>
      <xdr:row>15</xdr:row>
      <xdr:rowOff>25180</xdr:rowOff>
    </xdr:to>
    <xdr:cxnSp macro="">
      <xdr:nvCxnSpPr>
        <xdr:cNvPr id="18" name="Connector: Curved 17">
          <a:extLst>
            <a:ext uri="{FF2B5EF4-FFF2-40B4-BE49-F238E27FC236}">
              <a16:creationId xmlns:a16="http://schemas.microsoft.com/office/drawing/2014/main" id="{BBBF7DC6-4949-B361-5C3E-01C1D5197034}"/>
            </a:ext>
          </a:extLst>
        </xdr:cNvPr>
        <xdr:cNvCxnSpPr>
          <a:cxnSpLocks/>
          <a:stCxn id="60" idx="3"/>
          <a:endCxn id="20" idx="0"/>
        </xdr:cNvCxnSpPr>
      </xdr:nvCxnSpPr>
      <xdr:spPr>
        <a:xfrm>
          <a:off x="12111271" y="1625811"/>
          <a:ext cx="2519226" cy="1325449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393552</xdr:colOff>
      <xdr:row>10</xdr:row>
      <xdr:rowOff>136610</xdr:rowOff>
    </xdr:from>
    <xdr:to>
      <xdr:col>14</xdr:col>
      <xdr:colOff>459560</xdr:colOff>
      <xdr:row>16</xdr:row>
      <xdr:rowOff>147326</xdr:rowOff>
    </xdr:to>
    <xdr:sp macro="" textlink="">
      <xdr:nvSpPr>
        <xdr:cNvPr id="19" name="TextBox 21">
          <a:extLst>
            <a:ext uri="{FF2B5EF4-FFF2-40B4-BE49-F238E27FC236}">
              <a16:creationId xmlns:a16="http://schemas.microsoft.com/office/drawing/2014/main" id="{33193B24-F993-334A-0871-45D7EAC752DC}"/>
            </a:ext>
          </a:extLst>
        </xdr:cNvPr>
        <xdr:cNvSpPr txBox="1"/>
      </xdr:nvSpPr>
      <xdr:spPr>
        <a:xfrm>
          <a:off x="10970112" y="2148290"/>
          <a:ext cx="2504408" cy="11079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100" b="1"/>
            <a:t>Sorting at the chipper mill</a:t>
          </a:r>
        </a:p>
        <a:p>
          <a:r>
            <a:rPr lang="en-CA" sz="1100"/>
            <a:t>The odd high quality log is mixed in with a majority of uneconomic logs. It can be set aside and eventually sold to a lumber mill or plywood mill.</a:t>
          </a:r>
        </a:p>
        <a:p>
          <a:r>
            <a:rPr lang="en-CA" sz="1100" b="1">
              <a:solidFill>
                <a:srgbClr val="FF0000"/>
              </a:solidFill>
            </a:rPr>
            <a:t>?%</a:t>
          </a:r>
        </a:p>
      </xdr:txBody>
    </xdr:sp>
    <xdr:clientData/>
  </xdr:twoCellAnchor>
  <xdr:twoCellAnchor>
    <xdr:from>
      <xdr:col>16</xdr:col>
      <xdr:colOff>304897</xdr:colOff>
      <xdr:row>15</xdr:row>
      <xdr:rowOff>25180</xdr:rowOff>
    </xdr:from>
    <xdr:to>
      <xdr:col>16</xdr:col>
      <xdr:colOff>487777</xdr:colOff>
      <xdr:row>15</xdr:row>
      <xdr:rowOff>158704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DC70263-DBB2-0058-5751-E285095F23A7}"/>
            </a:ext>
          </a:extLst>
        </xdr:cNvPr>
        <xdr:cNvSpPr/>
      </xdr:nvSpPr>
      <xdr:spPr>
        <a:xfrm>
          <a:off x="14539057" y="2951260"/>
          <a:ext cx="182880" cy="133524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10</xdr:col>
      <xdr:colOff>384567</xdr:colOff>
      <xdr:row>8</xdr:row>
      <xdr:rowOff>136346</xdr:rowOff>
    </xdr:from>
    <xdr:to>
      <xdr:col>10</xdr:col>
      <xdr:colOff>384567</xdr:colOff>
      <xdr:row>22</xdr:row>
      <xdr:rowOff>50948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A31D9B5-2FB7-D4BD-5B4F-EA828663180C}"/>
            </a:ext>
          </a:extLst>
        </xdr:cNvPr>
        <xdr:cNvCxnSpPr>
          <a:cxnSpLocks/>
          <a:stCxn id="5" idx="0"/>
          <a:endCxn id="6" idx="2"/>
        </xdr:cNvCxnSpPr>
      </xdr:nvCxnSpPr>
      <xdr:spPr>
        <a:xfrm flipV="1">
          <a:off x="10961127" y="1782266"/>
          <a:ext cx="0" cy="247492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333686</xdr:colOff>
      <xdr:row>15</xdr:row>
      <xdr:rowOff>28205</xdr:rowOff>
    </xdr:from>
    <xdr:to>
      <xdr:col>17</xdr:col>
      <xdr:colOff>510947</xdr:colOff>
      <xdr:row>16</xdr:row>
      <xdr:rowOff>184419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34D73666-34A5-1C8F-DCD7-DE6E4AB78938}"/>
            </a:ext>
          </a:extLst>
        </xdr:cNvPr>
        <xdr:cNvSpPr/>
      </xdr:nvSpPr>
      <xdr:spPr>
        <a:xfrm>
          <a:off x="9010961" y="2885705"/>
          <a:ext cx="1396461" cy="346714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Pellet Mill</a:t>
          </a:r>
        </a:p>
      </xdr:txBody>
    </xdr:sp>
    <xdr:clientData/>
  </xdr:twoCellAnchor>
  <xdr:twoCellAnchor>
    <xdr:from>
      <xdr:col>3</xdr:col>
      <xdr:colOff>327657</xdr:colOff>
      <xdr:row>7</xdr:row>
      <xdr:rowOff>148937</xdr:rowOff>
    </xdr:from>
    <xdr:to>
      <xdr:col>5</xdr:col>
      <xdr:colOff>574428</xdr:colOff>
      <xdr:row>9</xdr:row>
      <xdr:rowOff>54909</xdr:rowOff>
    </xdr:to>
    <xdr:sp macro="" textlink="'Time Series'!K19">
      <xdr:nvSpPr>
        <xdr:cNvPr id="23" name="TextBox 26">
          <a:extLst>
            <a:ext uri="{FF2B5EF4-FFF2-40B4-BE49-F238E27FC236}">
              <a16:creationId xmlns:a16="http://schemas.microsoft.com/office/drawing/2014/main" id="{E08FA75F-9120-730E-BA5D-470B17175344}"/>
            </a:ext>
          </a:extLst>
        </xdr:cNvPr>
        <xdr:cNvSpPr txBox="1"/>
      </xdr:nvSpPr>
      <xdr:spPr>
        <a:xfrm>
          <a:off x="2156457" y="1403996"/>
          <a:ext cx="1465971" cy="2645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fld id="{B6461FFB-A8F4-4C58-BC30-C8CB9E9E836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53.7</a:t>
          </a:fld>
          <a:r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% of the harvest</a:t>
          </a:r>
          <a:endParaRPr lang="en-CA" sz="1100" b="0" i="0"/>
        </a:p>
      </xdr:txBody>
    </xdr:sp>
    <xdr:clientData/>
  </xdr:twoCellAnchor>
  <xdr:twoCellAnchor>
    <xdr:from>
      <xdr:col>3</xdr:col>
      <xdr:colOff>331268</xdr:colOff>
      <xdr:row>21</xdr:row>
      <xdr:rowOff>83457</xdr:rowOff>
    </xdr:from>
    <xdr:to>
      <xdr:col>5</xdr:col>
      <xdr:colOff>507487</xdr:colOff>
      <xdr:row>22</xdr:row>
      <xdr:rowOff>168722</xdr:rowOff>
    </xdr:to>
    <xdr:sp macro="" textlink="'Time Series'!O19">
      <xdr:nvSpPr>
        <xdr:cNvPr id="24" name="TextBox 27">
          <a:extLst>
            <a:ext uri="{FF2B5EF4-FFF2-40B4-BE49-F238E27FC236}">
              <a16:creationId xmlns:a16="http://schemas.microsoft.com/office/drawing/2014/main" id="{67973C60-2525-282E-4569-9F5EBFB3C070}"/>
            </a:ext>
          </a:extLst>
        </xdr:cNvPr>
        <xdr:cNvSpPr txBox="1"/>
      </xdr:nvSpPr>
      <xdr:spPr>
        <a:xfrm>
          <a:off x="2160068" y="3848633"/>
          <a:ext cx="1395419" cy="2645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35357067-C701-475C-AACF-76DAAFA1586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5.5</a:t>
          </a:fld>
          <a:r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% of harvest</a:t>
          </a:r>
          <a:endParaRPr lang="en-CA" sz="1100" b="0" i="0"/>
        </a:p>
      </xdr:txBody>
    </xdr:sp>
    <xdr:clientData/>
  </xdr:twoCellAnchor>
  <xdr:twoCellAnchor>
    <xdr:from>
      <xdr:col>3</xdr:col>
      <xdr:colOff>325487</xdr:colOff>
      <xdr:row>14</xdr:row>
      <xdr:rowOff>124936</xdr:rowOff>
    </xdr:from>
    <xdr:to>
      <xdr:col>5</xdr:col>
      <xdr:colOff>497568</xdr:colOff>
      <xdr:row>16</xdr:row>
      <xdr:rowOff>30908</xdr:rowOff>
    </xdr:to>
    <xdr:sp macro="" textlink="'Time Series'!N19">
      <xdr:nvSpPr>
        <xdr:cNvPr id="25" name="TextBox 28">
          <a:extLst>
            <a:ext uri="{FF2B5EF4-FFF2-40B4-BE49-F238E27FC236}">
              <a16:creationId xmlns:a16="http://schemas.microsoft.com/office/drawing/2014/main" id="{2095966D-9972-2DC2-FB43-477D916C37DA}"/>
            </a:ext>
          </a:extLst>
        </xdr:cNvPr>
        <xdr:cNvSpPr txBox="1"/>
      </xdr:nvSpPr>
      <xdr:spPr>
        <a:xfrm>
          <a:off x="2154287" y="2635054"/>
          <a:ext cx="1391281" cy="2645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A74138E-8713-41E2-97F6-A27BEC8CC95F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39.5</a:t>
          </a:fld>
          <a:r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% of harvest</a:t>
          </a:r>
          <a:endParaRPr lang="en-CA" sz="1100" b="0" i="0"/>
        </a:p>
      </xdr:txBody>
    </xdr:sp>
    <xdr:clientData/>
  </xdr:twoCellAnchor>
  <xdr:twoCellAnchor>
    <xdr:from>
      <xdr:col>5</xdr:col>
      <xdr:colOff>502749</xdr:colOff>
      <xdr:row>13</xdr:row>
      <xdr:rowOff>145601</xdr:rowOff>
    </xdr:from>
    <xdr:to>
      <xdr:col>10</xdr:col>
      <xdr:colOff>144296</xdr:colOff>
      <xdr:row>22</xdr:row>
      <xdr:rowOff>167343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CD222140-F600-2818-5519-ED0693FFC0BE}"/>
            </a:ext>
          </a:extLst>
        </xdr:cNvPr>
        <xdr:cNvCxnSpPr>
          <a:cxnSpLocks/>
          <a:stCxn id="8" idx="3"/>
          <a:endCxn id="36" idx="1"/>
        </xdr:cNvCxnSpPr>
      </xdr:nvCxnSpPr>
      <xdr:spPr>
        <a:xfrm>
          <a:off x="8033102" y="2655719"/>
          <a:ext cx="2689547" cy="1635389"/>
        </a:xfrm>
        <a:prstGeom prst="curvedConnector3">
          <a:avLst>
            <a:gd name="adj1" fmla="val 50000"/>
          </a:avLst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177708</xdr:colOff>
      <xdr:row>0</xdr:row>
      <xdr:rowOff>0</xdr:rowOff>
    </xdr:from>
    <xdr:to>
      <xdr:col>9</xdr:col>
      <xdr:colOff>354969</xdr:colOff>
      <xdr:row>1</xdr:row>
      <xdr:rowOff>156214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779FCF1F-4B4D-FDE6-9D19-159E50F532A1}"/>
            </a:ext>
          </a:extLst>
        </xdr:cNvPr>
        <xdr:cNvSpPr/>
      </xdr:nvSpPr>
      <xdr:spPr>
        <a:xfrm>
          <a:off x="8925468" y="182880"/>
          <a:ext cx="1396461" cy="339094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Log Exports</a:t>
          </a:r>
        </a:p>
      </xdr:txBody>
    </xdr:sp>
    <xdr:clientData/>
  </xdr:twoCellAnchor>
  <xdr:twoCellAnchor>
    <xdr:from>
      <xdr:col>5</xdr:col>
      <xdr:colOff>502750</xdr:colOff>
      <xdr:row>1</xdr:row>
      <xdr:rowOff>156214</xdr:rowOff>
    </xdr:from>
    <xdr:to>
      <xdr:col>8</xdr:col>
      <xdr:colOff>266339</xdr:colOff>
      <xdr:row>6</xdr:row>
      <xdr:rowOff>133560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B336F327-FD41-FEE1-CD08-7824A0715F52}"/>
            </a:ext>
          </a:extLst>
        </xdr:cNvPr>
        <xdr:cNvCxnSpPr>
          <a:cxnSpLocks/>
          <a:stCxn id="7" idx="3"/>
          <a:endCxn id="27" idx="2"/>
        </xdr:cNvCxnSpPr>
      </xdr:nvCxnSpPr>
      <xdr:spPr>
        <a:xfrm flipV="1">
          <a:off x="8033103" y="514802"/>
          <a:ext cx="1592389" cy="873817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520033</xdr:colOff>
      <xdr:row>2</xdr:row>
      <xdr:rowOff>148461</xdr:rowOff>
    </xdr:from>
    <xdr:to>
      <xdr:col>8</xdr:col>
      <xdr:colOff>28178</xdr:colOff>
      <xdr:row>5</xdr:row>
      <xdr:rowOff>47364</xdr:rowOff>
    </xdr:to>
    <xdr:sp macro="" textlink="'Time Series'!AE19">
      <xdr:nvSpPr>
        <xdr:cNvPr id="29" name="TextBox 35">
          <a:extLst>
            <a:ext uri="{FF2B5EF4-FFF2-40B4-BE49-F238E27FC236}">
              <a16:creationId xmlns:a16="http://schemas.microsoft.com/office/drawing/2014/main" id="{D529A58A-1663-2E6C-2B3A-8F29BCB7AF69}"/>
            </a:ext>
          </a:extLst>
        </xdr:cNvPr>
        <xdr:cNvSpPr txBox="1"/>
      </xdr:nvSpPr>
      <xdr:spPr>
        <a:xfrm>
          <a:off x="4177633" y="686343"/>
          <a:ext cx="727345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9806EFB-B7BA-46F0-812F-6FD979CEE7D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6.9</a:t>
          </a:fld>
          <a:r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% of harvest</a:t>
          </a:r>
          <a:endParaRPr lang="en-CA" sz="1100" b="0" i="0"/>
        </a:p>
      </xdr:txBody>
    </xdr:sp>
    <xdr:clientData/>
  </xdr:twoCellAnchor>
  <xdr:twoCellAnchor>
    <xdr:from>
      <xdr:col>8</xdr:col>
      <xdr:colOff>81705</xdr:colOff>
      <xdr:row>17</xdr:row>
      <xdr:rowOff>57072</xdr:rowOff>
    </xdr:from>
    <xdr:to>
      <xdr:col>10</xdr:col>
      <xdr:colOff>293127</xdr:colOff>
      <xdr:row>19</xdr:row>
      <xdr:rowOff>122199</xdr:rowOff>
    </xdr:to>
    <xdr:sp macro="" textlink="">
      <xdr:nvSpPr>
        <xdr:cNvPr id="31" name="TextBox 37">
          <a:extLst>
            <a:ext uri="{FF2B5EF4-FFF2-40B4-BE49-F238E27FC236}">
              <a16:creationId xmlns:a16="http://schemas.microsoft.com/office/drawing/2014/main" id="{727F9816-A134-9FAA-406F-4AE81104A1B0}"/>
            </a:ext>
          </a:extLst>
        </xdr:cNvPr>
        <xdr:cNvSpPr txBox="1"/>
      </xdr:nvSpPr>
      <xdr:spPr>
        <a:xfrm>
          <a:off x="9439065" y="3348912"/>
          <a:ext cx="1430622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100" b="1"/>
            <a:t>Forest to chipper </a:t>
          </a:r>
        </a:p>
        <a:p>
          <a:r>
            <a:rPr lang="en-CA" sz="1100"/>
            <a:t>12.1% of harvest</a:t>
          </a:r>
        </a:p>
      </xdr:txBody>
    </xdr:sp>
    <xdr:clientData/>
  </xdr:twoCellAnchor>
  <xdr:twoCellAnchor>
    <xdr:from>
      <xdr:col>4</xdr:col>
      <xdr:colOff>419378</xdr:colOff>
      <xdr:row>22</xdr:row>
      <xdr:rowOff>168722</xdr:rowOff>
    </xdr:from>
    <xdr:to>
      <xdr:col>10</xdr:col>
      <xdr:colOff>144296</xdr:colOff>
      <xdr:row>24</xdr:row>
      <xdr:rowOff>154786</xdr:rowOff>
    </xdr:to>
    <xdr:cxnSp macro="">
      <xdr:nvCxnSpPr>
        <xdr:cNvPr id="32" name="Connector: Curved 31">
          <a:extLst>
            <a:ext uri="{FF2B5EF4-FFF2-40B4-BE49-F238E27FC236}">
              <a16:creationId xmlns:a16="http://schemas.microsoft.com/office/drawing/2014/main" id="{4CEDB28F-2701-1C5F-73A9-9582B956D2BA}"/>
            </a:ext>
          </a:extLst>
        </xdr:cNvPr>
        <xdr:cNvCxnSpPr>
          <a:cxnSpLocks/>
          <a:stCxn id="24" idx="2"/>
          <a:endCxn id="35" idx="1"/>
        </xdr:cNvCxnSpPr>
      </xdr:nvCxnSpPr>
      <xdr:spPr>
        <a:xfrm rot="16200000" flipH="1">
          <a:off x="4376711" y="2594260"/>
          <a:ext cx="344652" cy="3382518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52094</xdr:colOff>
      <xdr:row>22</xdr:row>
      <xdr:rowOff>72427</xdr:rowOff>
    </xdr:from>
    <xdr:to>
      <xdr:col>9</xdr:col>
      <xdr:colOff>63427</xdr:colOff>
      <xdr:row>24</xdr:row>
      <xdr:rowOff>137554</xdr:rowOff>
    </xdr:to>
    <xdr:sp macro="" textlink="">
      <xdr:nvSpPr>
        <xdr:cNvPr id="33" name="TextBox 39">
          <a:extLst>
            <a:ext uri="{FF2B5EF4-FFF2-40B4-BE49-F238E27FC236}">
              <a16:creationId xmlns:a16="http://schemas.microsoft.com/office/drawing/2014/main" id="{9A0D672D-C04A-5C70-2FB9-245CB7424788}"/>
            </a:ext>
          </a:extLst>
        </xdr:cNvPr>
        <xdr:cNvSpPr txBox="1"/>
      </xdr:nvSpPr>
      <xdr:spPr>
        <a:xfrm>
          <a:off x="8190254" y="4278667"/>
          <a:ext cx="1840133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CA" sz="1100" b="1"/>
            <a:t>Harvest residuals to chipper</a:t>
          </a:r>
        </a:p>
        <a:p>
          <a:pPr algn="r"/>
          <a:r>
            <a:rPr lang="en-CA" sz="1100"/>
            <a:t>2% of harvest </a:t>
          </a:r>
        </a:p>
      </xdr:txBody>
    </xdr:sp>
    <xdr:clientData/>
  </xdr:twoCellAnchor>
  <xdr:twoCellAnchor>
    <xdr:from>
      <xdr:col>7</xdr:col>
      <xdr:colOff>514989</xdr:colOff>
      <xdr:row>11</xdr:row>
      <xdr:rowOff>89504</xdr:rowOff>
    </xdr:from>
    <xdr:to>
      <xdr:col>9</xdr:col>
      <xdr:colOff>94314</xdr:colOff>
      <xdr:row>13</xdr:row>
      <xdr:rowOff>167701</xdr:rowOff>
    </xdr:to>
    <xdr:sp macro="" textlink="'Time Series'!AV19">
      <xdr:nvSpPr>
        <xdr:cNvPr id="34" name="TextBox 40">
          <a:extLst>
            <a:ext uri="{FF2B5EF4-FFF2-40B4-BE49-F238E27FC236}">
              <a16:creationId xmlns:a16="http://schemas.microsoft.com/office/drawing/2014/main" id="{8F3A96DE-6B95-200F-16D5-56E7479F1708}"/>
            </a:ext>
          </a:extLst>
        </xdr:cNvPr>
        <xdr:cNvSpPr txBox="1"/>
      </xdr:nvSpPr>
      <xdr:spPr>
        <a:xfrm>
          <a:off x="4316024" y="2061739"/>
          <a:ext cx="798525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5B36AFF-CCB6-4DA0-9BA3-41D6778BFC4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36.0</a:t>
          </a:fld>
          <a:r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% of harvest</a:t>
          </a:r>
          <a:endParaRPr lang="en-CA" sz="1100" b="0" i="0"/>
        </a:p>
      </xdr:txBody>
    </xdr:sp>
    <xdr:clientData/>
  </xdr:twoCellAnchor>
  <xdr:twoCellAnchor>
    <xdr:from>
      <xdr:col>10</xdr:col>
      <xdr:colOff>144296</xdr:colOff>
      <xdr:row>24</xdr:row>
      <xdr:rowOff>127336</xdr:rowOff>
    </xdr:from>
    <xdr:to>
      <xdr:col>10</xdr:col>
      <xdr:colOff>275855</xdr:colOff>
      <xdr:row>25</xdr:row>
      <xdr:rowOff>2942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3F95AB16-EE6C-6C4C-D900-624627E6E387}"/>
            </a:ext>
          </a:extLst>
        </xdr:cNvPr>
        <xdr:cNvSpPr/>
      </xdr:nvSpPr>
      <xdr:spPr>
        <a:xfrm>
          <a:off x="10720856" y="4699336"/>
          <a:ext cx="131559" cy="58486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10</xdr:col>
      <xdr:colOff>144296</xdr:colOff>
      <xdr:row>22</xdr:row>
      <xdr:rowOff>139893</xdr:rowOff>
    </xdr:from>
    <xdr:to>
      <xdr:col>10</xdr:col>
      <xdr:colOff>275855</xdr:colOff>
      <xdr:row>23</xdr:row>
      <xdr:rowOff>15499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4592FA15-59E3-85A4-B5BE-D674523CA746}"/>
            </a:ext>
          </a:extLst>
        </xdr:cNvPr>
        <xdr:cNvSpPr/>
      </xdr:nvSpPr>
      <xdr:spPr>
        <a:xfrm>
          <a:off x="10720856" y="4346133"/>
          <a:ext cx="131559" cy="58486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12</xdr:col>
      <xdr:colOff>185901</xdr:colOff>
      <xdr:row>22</xdr:row>
      <xdr:rowOff>105524</xdr:rowOff>
    </xdr:from>
    <xdr:to>
      <xdr:col>12</xdr:col>
      <xdr:colOff>306471</xdr:colOff>
      <xdr:row>23</xdr:row>
      <xdr:rowOff>49869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83FE1C07-0517-9DCD-E2AC-D74AEC7259A6}"/>
            </a:ext>
          </a:extLst>
        </xdr:cNvPr>
        <xdr:cNvSpPr/>
      </xdr:nvSpPr>
      <xdr:spPr>
        <a:xfrm>
          <a:off x="11981661" y="4311764"/>
          <a:ext cx="120570" cy="127225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10</xdr:col>
      <xdr:colOff>275855</xdr:colOff>
      <xdr:row>22</xdr:row>
      <xdr:rowOff>169136</xdr:rowOff>
    </xdr:from>
    <xdr:to>
      <xdr:col>12</xdr:col>
      <xdr:colOff>185901</xdr:colOff>
      <xdr:row>22</xdr:row>
      <xdr:rowOff>169137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FD8E9207-DB1A-A37A-FD97-35D7A5A5DA4E}"/>
            </a:ext>
          </a:extLst>
        </xdr:cNvPr>
        <xdr:cNvCxnSpPr>
          <a:cxnSpLocks/>
          <a:stCxn id="36" idx="3"/>
          <a:endCxn id="37" idx="1"/>
        </xdr:cNvCxnSpPr>
      </xdr:nvCxnSpPr>
      <xdr:spPr>
        <a:xfrm>
          <a:off x="10852415" y="4375376"/>
          <a:ext cx="1129246" cy="1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275855</xdr:colOff>
      <xdr:row>24</xdr:row>
      <xdr:rowOff>156579</xdr:rowOff>
    </xdr:from>
    <xdr:to>
      <xdr:col>12</xdr:col>
      <xdr:colOff>169900</xdr:colOff>
      <xdr:row>24</xdr:row>
      <xdr:rowOff>159333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8541AED0-99EE-2323-7266-CCE0C85BAFC5}"/>
            </a:ext>
          </a:extLst>
        </xdr:cNvPr>
        <xdr:cNvCxnSpPr>
          <a:cxnSpLocks/>
          <a:stCxn id="35" idx="3"/>
          <a:endCxn id="43" idx="1"/>
        </xdr:cNvCxnSpPr>
      </xdr:nvCxnSpPr>
      <xdr:spPr>
        <a:xfrm>
          <a:off x="10852415" y="4728579"/>
          <a:ext cx="1113245" cy="2754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502750</xdr:colOff>
      <xdr:row>6</xdr:row>
      <xdr:rowOff>133560</xdr:rowOff>
    </xdr:from>
    <xdr:to>
      <xdr:col>10</xdr:col>
      <xdr:colOff>138250</xdr:colOff>
      <xdr:row>7</xdr:row>
      <xdr:rowOff>162771</xdr:rowOff>
    </xdr:to>
    <xdr:cxnSp macro="">
      <xdr:nvCxnSpPr>
        <xdr:cNvPr id="40" name="Connector: Curved 39">
          <a:extLst>
            <a:ext uri="{FF2B5EF4-FFF2-40B4-BE49-F238E27FC236}">
              <a16:creationId xmlns:a16="http://schemas.microsoft.com/office/drawing/2014/main" id="{A70A8D77-7408-866F-9550-A997322B3818}"/>
            </a:ext>
          </a:extLst>
        </xdr:cNvPr>
        <xdr:cNvCxnSpPr>
          <a:cxnSpLocks/>
          <a:stCxn id="7" idx="3"/>
          <a:endCxn id="60" idx="1"/>
        </xdr:cNvCxnSpPr>
      </xdr:nvCxnSpPr>
      <xdr:spPr>
        <a:xfrm>
          <a:off x="8033103" y="1388619"/>
          <a:ext cx="2683500" cy="208505"/>
        </a:xfrm>
        <a:prstGeom prst="curvedConnector3">
          <a:avLst>
            <a:gd name="adj1" fmla="val 50000"/>
          </a:avLst>
        </a:prstGeom>
        <a:ln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517032</xdr:colOff>
      <xdr:row>19</xdr:row>
      <xdr:rowOff>837</xdr:rowOff>
    </xdr:from>
    <xdr:to>
      <xdr:col>20</xdr:col>
      <xdr:colOff>382322</xdr:colOff>
      <xdr:row>23</xdr:row>
      <xdr:rowOff>39234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0AA21751-C6E8-61C4-EA56-1F41F7CD99E3}"/>
            </a:ext>
          </a:extLst>
        </xdr:cNvPr>
        <xdr:cNvSpPr/>
      </xdr:nvSpPr>
      <xdr:spPr>
        <a:xfrm>
          <a:off x="14751192" y="3658437"/>
          <a:ext cx="2303690" cy="7699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100" b="1">
              <a:solidFill>
                <a:schemeClr val="tx1"/>
              </a:solidFill>
            </a:rPr>
            <a:t>Harvest residuals to pellet mill</a:t>
          </a:r>
        </a:p>
        <a:p>
          <a:r>
            <a:rPr lang="en-CA" sz="1100">
              <a:solidFill>
                <a:schemeClr val="tx1"/>
              </a:solidFill>
            </a:rPr>
            <a:t>1% of harvest (10% of harvest residuals) is sold to pellet mills (10.4% of the total fibre used by pellet sector)</a:t>
          </a:r>
        </a:p>
      </xdr:txBody>
    </xdr:sp>
    <xdr:clientData/>
  </xdr:twoCellAnchor>
  <xdr:twoCellAnchor>
    <xdr:from>
      <xdr:col>12</xdr:col>
      <xdr:colOff>169900</xdr:colOff>
      <xdr:row>24</xdr:row>
      <xdr:rowOff>95720</xdr:rowOff>
    </xdr:from>
    <xdr:to>
      <xdr:col>12</xdr:col>
      <xdr:colOff>290470</xdr:colOff>
      <xdr:row>25</xdr:row>
      <xdr:rowOff>40065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75BC098F-B0ED-96D7-FC9C-D09168E9B2A6}"/>
            </a:ext>
          </a:extLst>
        </xdr:cNvPr>
        <xdr:cNvSpPr/>
      </xdr:nvSpPr>
      <xdr:spPr>
        <a:xfrm>
          <a:off x="11965660" y="4667720"/>
          <a:ext cx="120570" cy="127225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15</xdr:col>
      <xdr:colOff>582388</xdr:colOff>
      <xdr:row>32</xdr:row>
      <xdr:rowOff>33050</xdr:rowOff>
    </xdr:from>
    <xdr:to>
      <xdr:col>16</xdr:col>
      <xdr:colOff>26798</xdr:colOff>
      <xdr:row>32</xdr:row>
      <xdr:rowOff>78769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BEA687B8-52E2-1998-1488-042F2B343A37}"/>
            </a:ext>
          </a:extLst>
        </xdr:cNvPr>
        <xdr:cNvSpPr/>
      </xdr:nvSpPr>
      <xdr:spPr>
        <a:xfrm>
          <a:off x="14206948" y="6068090"/>
          <a:ext cx="54010" cy="45719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15</xdr:col>
      <xdr:colOff>219638</xdr:colOff>
      <xdr:row>32</xdr:row>
      <xdr:rowOff>34591</xdr:rowOff>
    </xdr:from>
    <xdr:to>
      <xdr:col>15</xdr:col>
      <xdr:colOff>273648</xdr:colOff>
      <xdr:row>32</xdr:row>
      <xdr:rowOff>80310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8DA7B6E5-218D-86ED-3E31-B69A176AFBA7}"/>
            </a:ext>
          </a:extLst>
        </xdr:cNvPr>
        <xdr:cNvSpPr/>
      </xdr:nvSpPr>
      <xdr:spPr>
        <a:xfrm>
          <a:off x="13844198" y="6069631"/>
          <a:ext cx="54010" cy="45719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CA"/>
        </a:p>
      </xdr:txBody>
    </xdr:sp>
    <xdr:clientData/>
  </xdr:twoCellAnchor>
  <xdr:twoCellAnchor>
    <xdr:from>
      <xdr:col>12</xdr:col>
      <xdr:colOff>306471</xdr:colOff>
      <xdr:row>22</xdr:row>
      <xdr:rowOff>169137</xdr:rowOff>
    </xdr:from>
    <xdr:to>
      <xdr:col>15</xdr:col>
      <xdr:colOff>609393</xdr:colOff>
      <xdr:row>32</xdr:row>
      <xdr:rowOff>33050</xdr:rowOff>
    </xdr:to>
    <xdr:cxnSp macro="">
      <xdr:nvCxnSpPr>
        <xdr:cNvPr id="46" name="Connector: Curved 45">
          <a:extLst>
            <a:ext uri="{FF2B5EF4-FFF2-40B4-BE49-F238E27FC236}">
              <a16:creationId xmlns:a16="http://schemas.microsoft.com/office/drawing/2014/main" id="{DE95E055-871D-FF7A-5832-C285747A0D10}"/>
            </a:ext>
          </a:extLst>
        </xdr:cNvPr>
        <xdr:cNvCxnSpPr>
          <a:cxnSpLocks/>
          <a:stCxn id="37" idx="3"/>
          <a:endCxn id="44" idx="0"/>
        </xdr:cNvCxnSpPr>
      </xdr:nvCxnSpPr>
      <xdr:spPr>
        <a:xfrm>
          <a:off x="12102231" y="4375377"/>
          <a:ext cx="2131722" cy="1692713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290470</xdr:colOff>
      <xdr:row>24</xdr:row>
      <xdr:rowOff>159333</xdr:rowOff>
    </xdr:from>
    <xdr:to>
      <xdr:col>15</xdr:col>
      <xdr:colOff>246643</xdr:colOff>
      <xdr:row>32</xdr:row>
      <xdr:rowOff>34591</xdr:rowOff>
    </xdr:to>
    <xdr:cxnSp macro="">
      <xdr:nvCxnSpPr>
        <xdr:cNvPr id="47" name="Connector: Curved 46">
          <a:extLst>
            <a:ext uri="{FF2B5EF4-FFF2-40B4-BE49-F238E27FC236}">
              <a16:creationId xmlns:a16="http://schemas.microsoft.com/office/drawing/2014/main" id="{D6558AC0-146B-0A0A-7DBD-4B25377AE382}"/>
            </a:ext>
          </a:extLst>
        </xdr:cNvPr>
        <xdr:cNvCxnSpPr>
          <a:cxnSpLocks/>
          <a:stCxn id="43" idx="3"/>
          <a:endCxn id="45" idx="0"/>
        </xdr:cNvCxnSpPr>
      </xdr:nvCxnSpPr>
      <xdr:spPr>
        <a:xfrm>
          <a:off x="12086230" y="4731333"/>
          <a:ext cx="1784973" cy="1338298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542947</xdr:colOff>
      <xdr:row>25</xdr:row>
      <xdr:rowOff>126528</xdr:rowOff>
    </xdr:from>
    <xdr:to>
      <xdr:col>20</xdr:col>
      <xdr:colOff>284793</xdr:colOff>
      <xdr:row>29</xdr:row>
      <xdr:rowOff>164925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6B64F622-0AE2-7C9F-8D24-E60168C52A1B}"/>
            </a:ext>
          </a:extLst>
        </xdr:cNvPr>
        <xdr:cNvSpPr/>
      </xdr:nvSpPr>
      <xdr:spPr>
        <a:xfrm>
          <a:off x="14167507" y="4881408"/>
          <a:ext cx="2789846" cy="7699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100" b="1">
              <a:solidFill>
                <a:schemeClr val="tx1"/>
              </a:solidFill>
            </a:rPr>
            <a:t>Forest to chipper, to pulp mill</a:t>
          </a:r>
        </a:p>
        <a:p>
          <a:r>
            <a:rPr lang="en-CA" sz="1100">
              <a:solidFill>
                <a:schemeClr val="tx1"/>
              </a:solidFill>
            </a:rPr>
            <a:t>10.4% of harvest (</a:t>
          </a:r>
          <a:r>
            <a:rPr lang="en-CA" sz="1100" b="1">
              <a:solidFill>
                <a:srgbClr val="FF0000"/>
              </a:solidFill>
            </a:rPr>
            <a:t>?%</a:t>
          </a:r>
          <a:r>
            <a:rPr lang="en-CA" sz="1100">
              <a:solidFill>
                <a:schemeClr val="tx1"/>
              </a:solidFill>
            </a:rPr>
            <a:t> of fibre from chipper) is sold to pulp mills (26.0% of the total fibre used by pulp sector)</a:t>
          </a:r>
        </a:p>
      </xdr:txBody>
    </xdr:sp>
    <xdr:clientData/>
  </xdr:twoCellAnchor>
  <xdr:twoCellAnchor>
    <xdr:from>
      <xdr:col>10</xdr:col>
      <xdr:colOff>476007</xdr:colOff>
      <xdr:row>27</xdr:row>
      <xdr:rowOff>134941</xdr:rowOff>
    </xdr:from>
    <xdr:to>
      <xdr:col>14</xdr:col>
      <xdr:colOff>362053</xdr:colOff>
      <xdr:row>31</xdr:row>
      <xdr:rowOff>173338</xdr:rowOff>
    </xdr:to>
    <xdr:sp macro="" textlink="">
      <xdr:nvSpPr>
        <xdr:cNvPr id="49" name="Rectangle: Rounded Corners 48">
          <a:extLst>
            <a:ext uri="{FF2B5EF4-FFF2-40B4-BE49-F238E27FC236}">
              <a16:creationId xmlns:a16="http://schemas.microsoft.com/office/drawing/2014/main" id="{9B4BCD68-39B0-7736-DA48-2FD4515F61B5}"/>
            </a:ext>
          </a:extLst>
        </xdr:cNvPr>
        <xdr:cNvSpPr/>
      </xdr:nvSpPr>
      <xdr:spPr>
        <a:xfrm>
          <a:off x="11052567" y="5255581"/>
          <a:ext cx="2324446" cy="7699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CA" sz="1100" b="1">
              <a:solidFill>
                <a:schemeClr val="tx1"/>
              </a:solidFill>
            </a:rPr>
            <a:t>Harvest residuals</a:t>
          </a:r>
        </a:p>
        <a:p>
          <a:pPr algn="r"/>
          <a:r>
            <a:rPr lang="en-CA" sz="1100">
              <a:solidFill>
                <a:schemeClr val="tx1"/>
              </a:solidFill>
            </a:rPr>
            <a:t>1% of harvest (50% of harvest residuals) is sold to pulp mills (0.5% of the total fibre used by pulp sector)</a:t>
          </a:r>
        </a:p>
      </xdr:txBody>
    </xdr:sp>
    <xdr:clientData/>
  </xdr:twoCellAnchor>
  <xdr:twoCellAnchor>
    <xdr:from>
      <xdr:col>3</xdr:col>
      <xdr:colOff>246726</xdr:colOff>
      <xdr:row>23</xdr:row>
      <xdr:rowOff>91319</xdr:rowOff>
    </xdr:from>
    <xdr:to>
      <xdr:col>4</xdr:col>
      <xdr:colOff>418791</xdr:colOff>
      <xdr:row>25</xdr:row>
      <xdr:rowOff>156446</xdr:rowOff>
    </xdr:to>
    <xdr:sp macro="" textlink="">
      <xdr:nvSpPr>
        <xdr:cNvPr id="50" name="TextBox 68">
          <a:extLst>
            <a:ext uri="{FF2B5EF4-FFF2-40B4-BE49-F238E27FC236}">
              <a16:creationId xmlns:a16="http://schemas.microsoft.com/office/drawing/2014/main" id="{7589635C-F109-939F-338A-C46F11B23EE2}"/>
            </a:ext>
          </a:extLst>
        </xdr:cNvPr>
        <xdr:cNvSpPr txBox="1"/>
      </xdr:nvSpPr>
      <xdr:spPr>
        <a:xfrm>
          <a:off x="6556086" y="4480439"/>
          <a:ext cx="781665" cy="43088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CA" sz="1100"/>
            <a:t>1.6% of harvest</a:t>
          </a:r>
        </a:p>
      </xdr:txBody>
    </xdr:sp>
    <xdr:clientData/>
  </xdr:twoCellAnchor>
  <xdr:twoCellAnchor>
    <xdr:from>
      <xdr:col>6</xdr:col>
      <xdr:colOff>372201</xdr:colOff>
      <xdr:row>7</xdr:row>
      <xdr:rowOff>27852</xdr:rowOff>
    </xdr:from>
    <xdr:to>
      <xdr:col>8</xdr:col>
      <xdr:colOff>78877</xdr:colOff>
      <xdr:row>9</xdr:row>
      <xdr:rowOff>106050</xdr:rowOff>
    </xdr:to>
    <xdr:sp macro="" textlink="'Time Series'!AU19">
      <xdr:nvSpPr>
        <xdr:cNvPr id="53" name="TextBox 72">
          <a:extLst>
            <a:ext uri="{FF2B5EF4-FFF2-40B4-BE49-F238E27FC236}">
              <a16:creationId xmlns:a16="http://schemas.microsoft.com/office/drawing/2014/main" id="{2E994BDE-D267-1F01-50F0-BE89313D017E}"/>
            </a:ext>
          </a:extLst>
        </xdr:cNvPr>
        <xdr:cNvSpPr txBox="1"/>
      </xdr:nvSpPr>
      <xdr:spPr>
        <a:xfrm>
          <a:off x="3563636" y="1282911"/>
          <a:ext cx="925876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fld id="{4324EABD-461C-4B8C-B4E3-F02E519A639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46.8</a:t>
          </a:fld>
          <a:r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% of harvest</a:t>
          </a:r>
          <a:endParaRPr lang="en-CA" sz="1100" b="0" i="0"/>
        </a:p>
      </xdr:txBody>
    </xdr:sp>
    <xdr:clientData/>
  </xdr:twoCellAnchor>
  <xdr:twoCellAnchor>
    <xdr:from>
      <xdr:col>10</xdr:col>
      <xdr:colOff>138247</xdr:colOff>
      <xdr:row>22</xdr:row>
      <xdr:rowOff>37419</xdr:rowOff>
    </xdr:from>
    <xdr:to>
      <xdr:col>12</xdr:col>
      <xdr:colOff>315508</xdr:colOff>
      <xdr:row>25</xdr:row>
      <xdr:rowOff>108617</xdr:rowOff>
    </xdr:to>
    <xdr:sp macro="" textlink="">
      <xdr:nvSpPr>
        <xdr:cNvPr id="54" name="Rectangle: Rounded Corners 53">
          <a:extLst>
            <a:ext uri="{FF2B5EF4-FFF2-40B4-BE49-F238E27FC236}">
              <a16:creationId xmlns:a16="http://schemas.microsoft.com/office/drawing/2014/main" id="{2D6D4848-F98F-B2BF-FF21-BED0B3E1FB6A}"/>
            </a:ext>
          </a:extLst>
        </xdr:cNvPr>
        <xdr:cNvSpPr/>
      </xdr:nvSpPr>
      <xdr:spPr>
        <a:xfrm>
          <a:off x="10714807" y="4243659"/>
          <a:ext cx="1396461" cy="619838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Chipper</a:t>
          </a:r>
        </a:p>
      </xdr:txBody>
    </xdr:sp>
    <xdr:clientData/>
  </xdr:twoCellAnchor>
  <xdr:twoCellAnchor>
    <xdr:from>
      <xdr:col>14</xdr:col>
      <xdr:colOff>333543</xdr:colOff>
      <xdr:row>32</xdr:row>
      <xdr:rowOff>29308</xdr:rowOff>
    </xdr:from>
    <xdr:to>
      <xdr:col>16</xdr:col>
      <xdr:colOff>510804</xdr:colOff>
      <xdr:row>34</xdr:row>
      <xdr:rowOff>2642</xdr:rowOff>
    </xdr:to>
    <xdr:sp macro="" textlink="">
      <xdr:nvSpPr>
        <xdr:cNvPr id="55" name="Rectangle: Rounded Corners 54">
          <a:extLst>
            <a:ext uri="{FF2B5EF4-FFF2-40B4-BE49-F238E27FC236}">
              <a16:creationId xmlns:a16="http://schemas.microsoft.com/office/drawing/2014/main" id="{1DEEF928-3BDB-DEC1-CA7C-EAEAC6321D37}"/>
            </a:ext>
          </a:extLst>
        </xdr:cNvPr>
        <xdr:cNvSpPr/>
      </xdr:nvSpPr>
      <xdr:spPr>
        <a:xfrm>
          <a:off x="13348503" y="6064348"/>
          <a:ext cx="1396461" cy="339094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Pulp Mill</a:t>
          </a:r>
        </a:p>
      </xdr:txBody>
    </xdr:sp>
    <xdr:clientData/>
  </xdr:twoCellAnchor>
  <xdr:twoCellAnchor>
    <xdr:from>
      <xdr:col>6</xdr:col>
      <xdr:colOff>154964</xdr:colOff>
      <xdr:row>26</xdr:row>
      <xdr:rowOff>71086</xdr:rowOff>
    </xdr:from>
    <xdr:to>
      <xdr:col>8</xdr:col>
      <xdr:colOff>176303</xdr:colOff>
      <xdr:row>27</xdr:row>
      <xdr:rowOff>149816</xdr:rowOff>
    </xdr:to>
    <xdr:sp macro="" textlink="">
      <xdr:nvSpPr>
        <xdr:cNvPr id="56" name="TextBox 128">
          <a:extLst>
            <a:ext uri="{FF2B5EF4-FFF2-40B4-BE49-F238E27FC236}">
              <a16:creationId xmlns:a16="http://schemas.microsoft.com/office/drawing/2014/main" id="{D38B7788-5042-4226-A110-0EABEA7E7398}"/>
            </a:ext>
          </a:extLst>
        </xdr:cNvPr>
        <xdr:cNvSpPr txBox="1"/>
      </xdr:nvSpPr>
      <xdr:spPr>
        <a:xfrm>
          <a:off x="8293124" y="5008846"/>
          <a:ext cx="1240539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100"/>
            <a:t>2.4% of harvest</a:t>
          </a:r>
        </a:p>
      </xdr:txBody>
    </xdr:sp>
    <xdr:clientData/>
  </xdr:twoCellAnchor>
  <xdr:twoCellAnchor>
    <xdr:from>
      <xdr:col>7</xdr:col>
      <xdr:colOff>160287</xdr:colOff>
      <xdr:row>32</xdr:row>
      <xdr:rowOff>66920</xdr:rowOff>
    </xdr:from>
    <xdr:to>
      <xdr:col>8</xdr:col>
      <xdr:colOff>394408</xdr:colOff>
      <xdr:row>34</xdr:row>
      <xdr:rowOff>40254</xdr:rowOff>
    </xdr:to>
    <xdr:sp macro="" textlink="">
      <xdr:nvSpPr>
        <xdr:cNvPr id="57" name="Rectangle: Rounded Corners 56">
          <a:extLst>
            <a:ext uri="{FF2B5EF4-FFF2-40B4-BE49-F238E27FC236}">
              <a16:creationId xmlns:a16="http://schemas.microsoft.com/office/drawing/2014/main" id="{00AE0133-914E-4802-7003-56CC3632A2A1}"/>
            </a:ext>
          </a:extLst>
        </xdr:cNvPr>
        <xdr:cNvSpPr/>
      </xdr:nvSpPr>
      <xdr:spPr>
        <a:xfrm>
          <a:off x="8908047" y="6101960"/>
          <a:ext cx="843721" cy="339094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Burned</a:t>
          </a:r>
        </a:p>
      </xdr:txBody>
    </xdr:sp>
    <xdr:clientData/>
  </xdr:twoCellAnchor>
  <xdr:twoCellAnchor>
    <xdr:from>
      <xdr:col>6</xdr:col>
      <xdr:colOff>364155</xdr:colOff>
      <xdr:row>31</xdr:row>
      <xdr:rowOff>118335</xdr:rowOff>
    </xdr:from>
    <xdr:to>
      <xdr:col>7</xdr:col>
      <xdr:colOff>160286</xdr:colOff>
      <xdr:row>33</xdr:row>
      <xdr:rowOff>53587</xdr:rowOff>
    </xdr:to>
    <xdr:cxnSp macro="">
      <xdr:nvCxnSpPr>
        <xdr:cNvPr id="58" name="Connector: Curved 57">
          <a:extLst>
            <a:ext uri="{FF2B5EF4-FFF2-40B4-BE49-F238E27FC236}">
              <a16:creationId xmlns:a16="http://schemas.microsoft.com/office/drawing/2014/main" id="{BDBDC29F-7780-EEDC-7C2E-04C6B2DD57E0}"/>
            </a:ext>
          </a:extLst>
        </xdr:cNvPr>
        <xdr:cNvCxnSpPr>
          <a:cxnSpLocks/>
          <a:stCxn id="14" idx="2"/>
          <a:endCxn id="57" idx="1"/>
        </xdr:cNvCxnSpPr>
      </xdr:nvCxnSpPr>
      <xdr:spPr>
        <a:xfrm rot="16200000" flipH="1">
          <a:off x="8554675" y="5918135"/>
          <a:ext cx="301012" cy="405731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207160</xdr:colOff>
      <xdr:row>32</xdr:row>
      <xdr:rowOff>46286</xdr:rowOff>
    </xdr:from>
    <xdr:to>
      <xdr:col>6</xdr:col>
      <xdr:colOff>535431</xdr:colOff>
      <xdr:row>33</xdr:row>
      <xdr:rowOff>125016</xdr:rowOff>
    </xdr:to>
    <xdr:sp macro="" textlink="">
      <xdr:nvSpPr>
        <xdr:cNvPr id="59" name="TextBox 135">
          <a:extLst>
            <a:ext uri="{FF2B5EF4-FFF2-40B4-BE49-F238E27FC236}">
              <a16:creationId xmlns:a16="http://schemas.microsoft.com/office/drawing/2014/main" id="{7E34CECE-14D1-5A47-940C-C0E80B46CF33}"/>
            </a:ext>
          </a:extLst>
        </xdr:cNvPr>
        <xdr:cNvSpPr txBox="1"/>
      </xdr:nvSpPr>
      <xdr:spPr>
        <a:xfrm>
          <a:off x="7126120" y="6081326"/>
          <a:ext cx="1547471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CA" sz="1100">
              <a:solidFill>
                <a:srgbClr val="FF0000"/>
              </a:solidFill>
            </a:rPr>
            <a:t>?%</a:t>
          </a:r>
          <a:r>
            <a:rPr lang="en-CA" sz="1100"/>
            <a:t> of harvest</a:t>
          </a:r>
        </a:p>
      </xdr:txBody>
    </xdr:sp>
    <xdr:clientData/>
  </xdr:twoCellAnchor>
  <xdr:twoCellAnchor>
    <xdr:from>
      <xdr:col>10</xdr:col>
      <xdr:colOff>138250</xdr:colOff>
      <xdr:row>6</xdr:row>
      <xdr:rowOff>176104</xdr:rowOff>
    </xdr:from>
    <xdr:to>
      <xdr:col>12</xdr:col>
      <xdr:colOff>315511</xdr:colOff>
      <xdr:row>8</xdr:row>
      <xdr:rowOff>149438</xdr:rowOff>
    </xdr:to>
    <xdr:sp macro="" textlink="">
      <xdr:nvSpPr>
        <xdr:cNvPr id="60" name="Rectangle: Rounded Corners 59">
          <a:extLst>
            <a:ext uri="{FF2B5EF4-FFF2-40B4-BE49-F238E27FC236}">
              <a16:creationId xmlns:a16="http://schemas.microsoft.com/office/drawing/2014/main" id="{5F469F37-4CF2-58B2-2C95-3DFFD993D12D}"/>
            </a:ext>
          </a:extLst>
        </xdr:cNvPr>
        <xdr:cNvSpPr/>
      </xdr:nvSpPr>
      <xdr:spPr>
        <a:xfrm>
          <a:off x="10714810" y="1456264"/>
          <a:ext cx="1396461" cy="339094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Sawmill</a:t>
          </a:r>
        </a:p>
      </xdr:txBody>
    </xdr:sp>
    <xdr:clientData/>
  </xdr:twoCellAnchor>
  <xdr:twoCellAnchor>
    <xdr:from>
      <xdr:col>9</xdr:col>
      <xdr:colOff>546847</xdr:colOff>
      <xdr:row>7</xdr:row>
      <xdr:rowOff>162771</xdr:rowOff>
    </xdr:from>
    <xdr:to>
      <xdr:col>10</xdr:col>
      <xdr:colOff>138250</xdr:colOff>
      <xdr:row>7</xdr:row>
      <xdr:rowOff>170329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F939EA7-DE6E-91C2-8300-70D1B5A18D0C}"/>
            </a:ext>
          </a:extLst>
        </xdr:cNvPr>
        <xdr:cNvCxnSpPr>
          <a:cxnSpLocks/>
          <a:endCxn id="60" idx="1"/>
        </xdr:cNvCxnSpPr>
      </xdr:nvCxnSpPr>
      <xdr:spPr>
        <a:xfrm flipV="1">
          <a:off x="10515600" y="1597124"/>
          <a:ext cx="201003" cy="7558"/>
        </a:xfrm>
        <a:prstGeom prst="straightConnector1">
          <a:avLst/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54505</xdr:colOff>
      <xdr:row>33</xdr:row>
      <xdr:rowOff>47889</xdr:rowOff>
    </xdr:from>
    <xdr:to>
      <xdr:col>4</xdr:col>
      <xdr:colOff>411527</xdr:colOff>
      <xdr:row>34</xdr:row>
      <xdr:rowOff>172786</xdr:rowOff>
    </xdr:to>
    <xdr:sp macro="" textlink="">
      <xdr:nvSpPr>
        <xdr:cNvPr id="62" name="TextBox 55">
          <a:extLst>
            <a:ext uri="{FF2B5EF4-FFF2-40B4-BE49-F238E27FC236}">
              <a16:creationId xmlns:a16="http://schemas.microsoft.com/office/drawing/2014/main" id="{27E2264E-569A-5BD7-3ECC-9BF8080F7051}"/>
            </a:ext>
          </a:extLst>
        </xdr:cNvPr>
        <xdr:cNvSpPr txBox="1"/>
      </xdr:nvSpPr>
      <xdr:spPr>
        <a:xfrm>
          <a:off x="5144665" y="6265809"/>
          <a:ext cx="2185822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400" b="1" i="1">
              <a:solidFill>
                <a:schemeClr val="bg1">
                  <a:lumMod val="50000"/>
                </a:schemeClr>
              </a:solidFill>
            </a:rPr>
            <a:t>Forest ecosystem</a:t>
          </a:r>
        </a:p>
      </xdr:txBody>
    </xdr:sp>
    <xdr:clientData/>
  </xdr:twoCellAnchor>
  <xdr:twoCellAnchor>
    <xdr:from>
      <xdr:col>1</xdr:col>
      <xdr:colOff>56556</xdr:colOff>
      <xdr:row>21</xdr:row>
      <xdr:rowOff>21647</xdr:rowOff>
    </xdr:from>
    <xdr:to>
      <xdr:col>2</xdr:col>
      <xdr:colOff>525180</xdr:colOff>
      <xdr:row>25</xdr:row>
      <xdr:rowOff>136015</xdr:rowOff>
    </xdr:to>
    <xdr:sp macro="" textlink="">
      <xdr:nvSpPr>
        <xdr:cNvPr id="63" name="Rectangle: Rounded Corners 62">
          <a:extLst>
            <a:ext uri="{FF2B5EF4-FFF2-40B4-BE49-F238E27FC236}">
              <a16:creationId xmlns:a16="http://schemas.microsoft.com/office/drawing/2014/main" id="{E1EA4C5B-3E6E-3F37-6896-CC0B8A1E9A8E}"/>
            </a:ext>
          </a:extLst>
        </xdr:cNvPr>
        <xdr:cNvSpPr/>
      </xdr:nvSpPr>
      <xdr:spPr>
        <a:xfrm>
          <a:off x="5146716" y="4045007"/>
          <a:ext cx="1078224" cy="845888"/>
        </a:xfrm>
        <a:prstGeom prst="roundRect">
          <a:avLst/>
        </a:prstGeom>
        <a:solidFill>
          <a:srgbClr val="EFF7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300" b="1">
              <a:solidFill>
                <a:schemeClr val="accent6">
                  <a:lumMod val="50000"/>
                </a:schemeClr>
              </a:solidFill>
            </a:rPr>
            <a:t>Non-merchantable Wood</a:t>
          </a:r>
        </a:p>
      </xdr:txBody>
    </xdr:sp>
    <xdr:clientData/>
  </xdr:twoCellAnchor>
  <xdr:twoCellAnchor>
    <xdr:from>
      <xdr:col>1</xdr:col>
      <xdr:colOff>595668</xdr:colOff>
      <xdr:row>25</xdr:row>
      <xdr:rowOff>136014</xdr:rowOff>
    </xdr:from>
    <xdr:to>
      <xdr:col>5</xdr:col>
      <xdr:colOff>551895</xdr:colOff>
      <xdr:row>30</xdr:row>
      <xdr:rowOff>104045</xdr:rowOff>
    </xdr:to>
    <xdr:cxnSp macro="">
      <xdr:nvCxnSpPr>
        <xdr:cNvPr id="64" name="Connector: Curved 63">
          <a:extLst>
            <a:ext uri="{FF2B5EF4-FFF2-40B4-BE49-F238E27FC236}">
              <a16:creationId xmlns:a16="http://schemas.microsoft.com/office/drawing/2014/main" id="{85025DC5-7CC2-C1BE-D358-978A8029E8C1}"/>
            </a:ext>
          </a:extLst>
        </xdr:cNvPr>
        <xdr:cNvCxnSpPr>
          <a:cxnSpLocks/>
          <a:stCxn id="63" idx="2"/>
          <a:endCxn id="14" idx="1"/>
        </xdr:cNvCxnSpPr>
      </xdr:nvCxnSpPr>
      <xdr:spPr>
        <a:xfrm rot="16200000" flipH="1">
          <a:off x="6441926" y="4134796"/>
          <a:ext cx="882431" cy="2394627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534376</xdr:colOff>
      <xdr:row>30</xdr:row>
      <xdr:rowOff>61922</xdr:rowOff>
    </xdr:from>
    <xdr:to>
      <xdr:col>5</xdr:col>
      <xdr:colOff>549610</xdr:colOff>
      <xdr:row>31</xdr:row>
      <xdr:rowOff>140652</xdr:rowOff>
    </xdr:to>
    <xdr:sp macro="" textlink="">
      <xdr:nvSpPr>
        <xdr:cNvPr id="65" name="TextBox 127">
          <a:extLst>
            <a:ext uri="{FF2B5EF4-FFF2-40B4-BE49-F238E27FC236}">
              <a16:creationId xmlns:a16="http://schemas.microsoft.com/office/drawing/2014/main" id="{96BA5D54-81DC-00F7-BD9C-6AB937381B99}"/>
            </a:ext>
          </a:extLst>
        </xdr:cNvPr>
        <xdr:cNvSpPr txBox="1"/>
      </xdr:nvSpPr>
      <xdr:spPr>
        <a:xfrm>
          <a:off x="6843736" y="5731202"/>
          <a:ext cx="1234434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100">
              <a:solidFill>
                <a:srgbClr val="FF0000"/>
              </a:solidFill>
            </a:rPr>
            <a:t>?%</a:t>
          </a:r>
          <a:r>
            <a:rPr lang="en-CA" sz="1100"/>
            <a:t> of harvest</a:t>
          </a:r>
        </a:p>
      </xdr:txBody>
    </xdr:sp>
    <xdr:clientData/>
  </xdr:twoCellAnchor>
  <xdr:twoCellAnchor>
    <xdr:from>
      <xdr:col>2</xdr:col>
      <xdr:colOff>184899</xdr:colOff>
      <xdr:row>26</xdr:row>
      <xdr:rowOff>39683</xdr:rowOff>
    </xdr:from>
    <xdr:to>
      <xdr:col>4</xdr:col>
      <xdr:colOff>200133</xdr:colOff>
      <xdr:row>27</xdr:row>
      <xdr:rowOff>118413</xdr:rowOff>
    </xdr:to>
    <xdr:sp macro="" textlink="">
      <xdr:nvSpPr>
        <xdr:cNvPr id="66" name="TextBox 129">
          <a:extLst>
            <a:ext uri="{FF2B5EF4-FFF2-40B4-BE49-F238E27FC236}">
              <a16:creationId xmlns:a16="http://schemas.microsoft.com/office/drawing/2014/main" id="{D60FE688-F027-82DE-9976-9A12BA3B23A0}"/>
            </a:ext>
          </a:extLst>
        </xdr:cNvPr>
        <xdr:cNvSpPr txBox="1"/>
      </xdr:nvSpPr>
      <xdr:spPr>
        <a:xfrm>
          <a:off x="5884659" y="4977443"/>
          <a:ext cx="1234434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100">
              <a:solidFill>
                <a:srgbClr val="FF0000"/>
              </a:solidFill>
            </a:rPr>
            <a:t>?%</a:t>
          </a:r>
          <a:r>
            <a:rPr lang="en-CA" sz="1100"/>
            <a:t> of harvest</a:t>
          </a:r>
        </a:p>
      </xdr:txBody>
    </xdr:sp>
    <xdr:clientData/>
  </xdr:twoCellAnchor>
  <xdr:twoCellAnchor>
    <xdr:from>
      <xdr:col>1</xdr:col>
      <xdr:colOff>595668</xdr:colOff>
      <xdr:row>25</xdr:row>
      <xdr:rowOff>136015</xdr:rowOff>
    </xdr:from>
    <xdr:to>
      <xdr:col>3</xdr:col>
      <xdr:colOff>478096</xdr:colOff>
      <xdr:row>28</xdr:row>
      <xdr:rowOff>70023</xdr:rowOff>
    </xdr:to>
    <xdr:cxnSp macro="">
      <xdr:nvCxnSpPr>
        <xdr:cNvPr id="67" name="Connector: Curved 66">
          <a:extLst>
            <a:ext uri="{FF2B5EF4-FFF2-40B4-BE49-F238E27FC236}">
              <a16:creationId xmlns:a16="http://schemas.microsoft.com/office/drawing/2014/main" id="{F7072B17-6B85-3AEC-CCA8-F364F7E3F48E}"/>
            </a:ext>
          </a:extLst>
        </xdr:cNvPr>
        <xdr:cNvCxnSpPr>
          <a:cxnSpLocks/>
          <a:stCxn id="63" idx="2"/>
          <a:endCxn id="13" idx="1"/>
        </xdr:cNvCxnSpPr>
      </xdr:nvCxnSpPr>
      <xdr:spPr>
        <a:xfrm rot="16200000" flipH="1">
          <a:off x="5995318" y="4581405"/>
          <a:ext cx="482648" cy="1101628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418791</xdr:colOff>
      <xdr:row>22</xdr:row>
      <xdr:rowOff>168722</xdr:rowOff>
    </xdr:from>
    <xdr:to>
      <xdr:col>4</xdr:col>
      <xdr:colOff>419378</xdr:colOff>
      <xdr:row>26</xdr:row>
      <xdr:rowOff>174688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F6BC91BC-3A20-8A3E-F98D-7EEF30EBA807}"/>
            </a:ext>
          </a:extLst>
        </xdr:cNvPr>
        <xdr:cNvCxnSpPr>
          <a:cxnSpLocks/>
          <a:stCxn id="24" idx="2"/>
          <a:endCxn id="13" idx="0"/>
        </xdr:cNvCxnSpPr>
      </xdr:nvCxnSpPr>
      <xdr:spPr>
        <a:xfrm flipH="1">
          <a:off x="2857191" y="4113193"/>
          <a:ext cx="587" cy="7231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595668</xdr:colOff>
      <xdr:row>25</xdr:row>
      <xdr:rowOff>108617</xdr:rowOff>
    </xdr:from>
    <xdr:to>
      <xdr:col>11</xdr:col>
      <xdr:colOff>226878</xdr:colOff>
      <xdr:row>25</xdr:row>
      <xdr:rowOff>136015</xdr:rowOff>
    </xdr:to>
    <xdr:cxnSp macro="">
      <xdr:nvCxnSpPr>
        <xdr:cNvPr id="69" name="Connector: Curved 68">
          <a:extLst>
            <a:ext uri="{FF2B5EF4-FFF2-40B4-BE49-F238E27FC236}">
              <a16:creationId xmlns:a16="http://schemas.microsoft.com/office/drawing/2014/main" id="{E13E9C89-2CE0-3336-5A4E-E1E479A7161E}"/>
            </a:ext>
          </a:extLst>
        </xdr:cNvPr>
        <xdr:cNvCxnSpPr>
          <a:cxnSpLocks/>
          <a:stCxn id="63" idx="2"/>
          <a:endCxn id="54" idx="2"/>
        </xdr:cNvCxnSpPr>
      </xdr:nvCxnSpPr>
      <xdr:spPr>
        <a:xfrm rot="5400000" flipH="1" flipV="1">
          <a:off x="8535734" y="2013591"/>
          <a:ext cx="27398" cy="5727210"/>
        </a:xfrm>
        <a:prstGeom prst="curvedConnector3">
          <a:avLst>
            <a:gd name="adj1" fmla="val -667494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54505</xdr:colOff>
      <xdr:row>30</xdr:row>
      <xdr:rowOff>128789</xdr:rowOff>
    </xdr:from>
    <xdr:to>
      <xdr:col>2</xdr:col>
      <xdr:colOff>576021</xdr:colOff>
      <xdr:row>32</xdr:row>
      <xdr:rowOff>12349</xdr:rowOff>
    </xdr:to>
    <xdr:sp macro="" textlink="">
      <xdr:nvSpPr>
        <xdr:cNvPr id="70" name="TextBox 30">
          <a:extLst>
            <a:ext uri="{FF2B5EF4-FFF2-40B4-BE49-F238E27FC236}">
              <a16:creationId xmlns:a16="http://schemas.microsoft.com/office/drawing/2014/main" id="{D9E721BE-EDD9-ADFD-B676-6540368C254C}"/>
            </a:ext>
          </a:extLst>
        </xdr:cNvPr>
        <xdr:cNvSpPr txBox="1"/>
      </xdr:nvSpPr>
      <xdr:spPr>
        <a:xfrm>
          <a:off x="197380" y="5843789"/>
          <a:ext cx="1131116" cy="2645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CA" sz="1100">
              <a:solidFill>
                <a:srgbClr val="FF0000"/>
              </a:solidFill>
            </a:rPr>
            <a:t>?%</a:t>
          </a:r>
          <a:r>
            <a:rPr lang="en-CA" sz="1100"/>
            <a:t> of harvest</a:t>
          </a:r>
        </a:p>
      </xdr:txBody>
    </xdr:sp>
    <xdr:clientData/>
  </xdr:twoCellAnchor>
  <xdr:twoCellAnchor>
    <xdr:from>
      <xdr:col>12</xdr:col>
      <xdr:colOff>306471</xdr:colOff>
      <xdr:row>16</xdr:row>
      <xdr:rowOff>168502</xdr:rowOff>
    </xdr:from>
    <xdr:to>
      <xdr:col>16</xdr:col>
      <xdr:colOff>160332</xdr:colOff>
      <xdr:row>22</xdr:row>
      <xdr:rowOff>169137</xdr:rowOff>
    </xdr:to>
    <xdr:cxnSp macro="">
      <xdr:nvCxnSpPr>
        <xdr:cNvPr id="71" name="Connector: Curved 70">
          <a:extLst>
            <a:ext uri="{FF2B5EF4-FFF2-40B4-BE49-F238E27FC236}">
              <a16:creationId xmlns:a16="http://schemas.microsoft.com/office/drawing/2014/main" id="{3C431C50-22CE-6DF1-5A95-75A71A902D98}"/>
            </a:ext>
          </a:extLst>
        </xdr:cNvPr>
        <xdr:cNvCxnSpPr>
          <a:cxnSpLocks/>
          <a:stCxn id="37" idx="3"/>
          <a:endCxn id="4" idx="2"/>
        </xdr:cNvCxnSpPr>
      </xdr:nvCxnSpPr>
      <xdr:spPr>
        <a:xfrm flipV="1">
          <a:off x="12102231" y="3277462"/>
          <a:ext cx="2292261" cy="1097915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117615</xdr:colOff>
      <xdr:row>3</xdr:row>
      <xdr:rowOff>80036</xdr:rowOff>
    </xdr:from>
    <xdr:to>
      <xdr:col>15</xdr:col>
      <xdr:colOff>286870</xdr:colOff>
      <xdr:row>6</xdr:row>
      <xdr:rowOff>151166</xdr:rowOff>
    </xdr:to>
    <xdr:sp macro="" textlink="'Time Series'!AT19">
      <xdr:nvSpPr>
        <xdr:cNvPr id="83" name="TextBox 36">
          <a:extLst>
            <a:ext uri="{FF2B5EF4-FFF2-40B4-BE49-F238E27FC236}">
              <a16:creationId xmlns:a16="http://schemas.microsoft.com/office/drawing/2014/main" id="{3F581241-EF77-2A29-0FE5-AA95C7716E3B}"/>
            </a:ext>
          </a:extLst>
        </xdr:cNvPr>
        <xdr:cNvSpPr txBox="1"/>
      </xdr:nvSpPr>
      <xdr:spPr>
        <a:xfrm>
          <a:off x="5137850" y="617918"/>
          <a:ext cx="3826855" cy="60901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t>Forest to sawmill</a:t>
          </a:r>
        </a:p>
        <a:p>
          <a:fld id="{EA204FB9-317F-4CE1-80F6-259F8DC79ED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82.7</a:t>
          </a:fld>
          <a:r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 % of harvest (69.4% to lumber mill, 9.7% to veneer+OSB</a:t>
          </a: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mill, 1% to shake and shingle mill, 2.6% to other mills)</a:t>
          </a:r>
          <a:endParaRPr lang="en-CA" sz="1100" b="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B68DB-5605-4152-9FD3-1C1553CFC20E}">
  <dimension ref="A1:ET24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D8" sqref="D8"/>
    </sheetView>
  </sheetViews>
  <sheetFormatPr defaultRowHeight="15" x14ac:dyDescent="0.25"/>
  <cols>
    <col min="4" max="5" width="11.7109375" customWidth="1"/>
    <col min="6" max="15" width="11.28515625" customWidth="1"/>
    <col min="16" max="18" width="9.7109375" customWidth="1"/>
    <col min="19" max="19" width="9.7109375" style="1" customWidth="1"/>
    <col min="20" max="29" width="9.7109375" customWidth="1"/>
    <col min="30" max="31" width="12" customWidth="1"/>
    <col min="32" max="32" width="9.28515625" customWidth="1"/>
    <col min="33" max="37" width="11.28515625" customWidth="1"/>
    <col min="38" max="38" width="9.85546875" style="1" customWidth="1"/>
    <col min="39" max="41" width="11.28515625" style="1" customWidth="1"/>
    <col min="42" max="42" width="11.140625" style="1" customWidth="1"/>
    <col min="43" max="43" width="11.7109375" customWidth="1"/>
    <col min="44" max="44" width="11.28515625" style="1" customWidth="1"/>
    <col min="45" max="52" width="8.85546875" style="1"/>
    <col min="53" max="53" width="12" style="1" bestFit="1" customWidth="1"/>
    <col min="54" max="54" width="11.7109375" style="1" customWidth="1"/>
    <col min="55" max="59" width="10.42578125" style="1" customWidth="1"/>
    <col min="60" max="164" width="10.42578125" customWidth="1"/>
  </cols>
  <sheetData>
    <row r="1" spans="1:150" ht="72" customHeight="1" x14ac:dyDescent="0.25">
      <c r="A1" s="2" t="s">
        <v>0</v>
      </c>
      <c r="B1" s="8" t="s">
        <v>5</v>
      </c>
      <c r="C1" s="8" t="s">
        <v>6</v>
      </c>
      <c r="D1" s="9" t="s">
        <v>126</v>
      </c>
      <c r="E1" s="9" t="s">
        <v>127</v>
      </c>
      <c r="F1" s="9" t="s">
        <v>128</v>
      </c>
      <c r="G1" s="9" t="s">
        <v>129</v>
      </c>
      <c r="H1" s="9" t="s">
        <v>130</v>
      </c>
      <c r="I1" s="9" t="s">
        <v>131</v>
      </c>
      <c r="J1" s="9" t="s">
        <v>132</v>
      </c>
      <c r="K1" s="9" t="s">
        <v>133</v>
      </c>
      <c r="L1" s="9" t="s">
        <v>134</v>
      </c>
      <c r="M1" s="9" t="s">
        <v>135</v>
      </c>
      <c r="N1" s="9" t="s">
        <v>136</v>
      </c>
      <c r="O1" s="9" t="s">
        <v>25</v>
      </c>
      <c r="P1" s="8" t="s">
        <v>137</v>
      </c>
      <c r="Q1" s="8" t="s">
        <v>138</v>
      </c>
      <c r="R1" s="8" t="s">
        <v>139</v>
      </c>
      <c r="S1" s="8" t="s">
        <v>140</v>
      </c>
      <c r="T1" s="8" t="s">
        <v>141</v>
      </c>
      <c r="U1" s="8" t="s">
        <v>142</v>
      </c>
      <c r="V1" s="8" t="s">
        <v>143</v>
      </c>
      <c r="W1" s="8" t="s">
        <v>144</v>
      </c>
      <c r="X1" s="8" t="s">
        <v>145</v>
      </c>
      <c r="Y1" s="8" t="s">
        <v>146</v>
      </c>
      <c r="Z1" s="8" t="s">
        <v>147</v>
      </c>
      <c r="AA1" s="8" t="s">
        <v>148</v>
      </c>
      <c r="AB1" s="8" t="s">
        <v>149</v>
      </c>
      <c r="AC1" s="8" t="s">
        <v>150</v>
      </c>
      <c r="AD1" s="8" t="s">
        <v>151</v>
      </c>
      <c r="AE1" s="8" t="s">
        <v>152</v>
      </c>
      <c r="AF1" s="6" t="s">
        <v>156</v>
      </c>
      <c r="AG1" s="6" t="s">
        <v>157</v>
      </c>
      <c r="AH1" s="6" t="s">
        <v>158</v>
      </c>
      <c r="AI1" s="6" t="s">
        <v>155</v>
      </c>
      <c r="AJ1" s="6" t="s">
        <v>154</v>
      </c>
      <c r="AK1" s="6" t="s">
        <v>153</v>
      </c>
      <c r="AL1" s="5" t="s">
        <v>7</v>
      </c>
      <c r="AM1" s="5" t="s">
        <v>8</v>
      </c>
      <c r="AN1" s="5" t="s">
        <v>10</v>
      </c>
      <c r="AO1" s="8" t="s">
        <v>12</v>
      </c>
      <c r="AP1" s="9" t="s">
        <v>159</v>
      </c>
      <c r="AQ1" s="9" t="s">
        <v>160</v>
      </c>
      <c r="AR1" s="9" t="s">
        <v>161</v>
      </c>
      <c r="AS1" s="9" t="s">
        <v>162</v>
      </c>
      <c r="AT1" s="6" t="s">
        <v>26</v>
      </c>
      <c r="AU1" s="6" t="s">
        <v>27</v>
      </c>
      <c r="AV1" s="6" t="s">
        <v>28</v>
      </c>
      <c r="AW1" s="6" t="s">
        <v>29</v>
      </c>
      <c r="AX1" s="2" t="s">
        <v>20</v>
      </c>
      <c r="AY1" s="2" t="s">
        <v>21</v>
      </c>
      <c r="AZ1" s="2" t="s">
        <v>22</v>
      </c>
      <c r="BA1" s="2" t="s">
        <v>23</v>
      </c>
      <c r="BB1" s="2" t="s">
        <v>24</v>
      </c>
      <c r="BC1" s="4" t="s">
        <v>30</v>
      </c>
      <c r="BD1" s="4" t="s">
        <v>31</v>
      </c>
      <c r="BE1" s="4" t="s">
        <v>32</v>
      </c>
      <c r="BF1" s="4" t="s">
        <v>33</v>
      </c>
      <c r="BG1" s="4" t="s">
        <v>34</v>
      </c>
      <c r="BH1" s="4" t="s">
        <v>35</v>
      </c>
      <c r="BI1" s="4" t="s">
        <v>36</v>
      </c>
      <c r="BJ1" s="4" t="s">
        <v>37</v>
      </c>
      <c r="BK1" s="4" t="s">
        <v>38</v>
      </c>
      <c r="BL1" s="4" t="s">
        <v>39</v>
      </c>
      <c r="BM1" s="4" t="s">
        <v>40</v>
      </c>
      <c r="BN1" s="4" t="s">
        <v>41</v>
      </c>
      <c r="BO1" s="4" t="s">
        <v>42</v>
      </c>
      <c r="BP1" s="4" t="s">
        <v>43</v>
      </c>
      <c r="BQ1" s="4" t="s">
        <v>44</v>
      </c>
      <c r="BR1" s="4" t="s">
        <v>45</v>
      </c>
      <c r="BS1" s="4" t="s">
        <v>46</v>
      </c>
      <c r="BT1" s="4" t="s">
        <v>47</v>
      </c>
      <c r="BU1" s="4" t="s">
        <v>48</v>
      </c>
      <c r="BV1" s="4" t="s">
        <v>49</v>
      </c>
      <c r="BW1" s="4" t="s">
        <v>50</v>
      </c>
      <c r="BX1" s="4" t="s">
        <v>51</v>
      </c>
      <c r="BY1" s="4" t="s">
        <v>52</v>
      </c>
      <c r="BZ1" s="4" t="s">
        <v>53</v>
      </c>
      <c r="CA1" s="4" t="s">
        <v>54</v>
      </c>
      <c r="CB1" s="4" t="s">
        <v>55</v>
      </c>
      <c r="CC1" s="4" t="s">
        <v>56</v>
      </c>
      <c r="CD1" s="4" t="s">
        <v>57</v>
      </c>
      <c r="CE1" s="4" t="s">
        <v>58</v>
      </c>
      <c r="CF1" s="4" t="s">
        <v>59</v>
      </c>
      <c r="CG1" s="4" t="s">
        <v>60</v>
      </c>
      <c r="CH1" s="4" t="s">
        <v>61</v>
      </c>
      <c r="CI1" s="4" t="s">
        <v>62</v>
      </c>
      <c r="CJ1" s="4" t="s">
        <v>63</v>
      </c>
      <c r="CK1" s="4" t="s">
        <v>64</v>
      </c>
      <c r="CL1" s="4" t="s">
        <v>65</v>
      </c>
      <c r="CM1" s="4" t="s">
        <v>66</v>
      </c>
      <c r="CN1" s="4" t="s">
        <v>67</v>
      </c>
      <c r="CO1" s="4" t="s">
        <v>68</v>
      </c>
      <c r="CP1" s="4" t="s">
        <v>69</v>
      </c>
      <c r="CQ1" s="4" t="s">
        <v>70</v>
      </c>
      <c r="CR1" s="4" t="s">
        <v>71</v>
      </c>
      <c r="CS1" s="4" t="s">
        <v>72</v>
      </c>
      <c r="CT1" s="4" t="s">
        <v>73</v>
      </c>
      <c r="CU1" s="4" t="s">
        <v>74</v>
      </c>
      <c r="CV1" s="4" t="s">
        <v>75</v>
      </c>
      <c r="CW1" s="4" t="s">
        <v>76</v>
      </c>
      <c r="CX1" s="4" t="s">
        <v>77</v>
      </c>
      <c r="CY1" s="4" t="s">
        <v>78</v>
      </c>
      <c r="CZ1" s="4" t="s">
        <v>79</v>
      </c>
      <c r="DA1" s="4" t="s">
        <v>80</v>
      </c>
      <c r="DB1" s="4" t="s">
        <v>81</v>
      </c>
      <c r="DC1" s="4" t="s">
        <v>82</v>
      </c>
      <c r="DD1" s="4" t="s">
        <v>83</v>
      </c>
      <c r="DE1" s="4" t="s">
        <v>84</v>
      </c>
      <c r="DF1" s="4" t="s">
        <v>85</v>
      </c>
      <c r="DG1" s="4" t="s">
        <v>86</v>
      </c>
      <c r="DH1" s="4" t="s">
        <v>87</v>
      </c>
      <c r="DI1" s="4" t="s">
        <v>88</v>
      </c>
      <c r="DJ1" s="4" t="s">
        <v>89</v>
      </c>
      <c r="DK1" s="4" t="s">
        <v>90</v>
      </c>
      <c r="DL1" s="4" t="s">
        <v>91</v>
      </c>
      <c r="DM1" s="4" t="s">
        <v>92</v>
      </c>
      <c r="DN1" s="4" t="s">
        <v>93</v>
      </c>
      <c r="DO1" s="4" t="s">
        <v>94</v>
      </c>
      <c r="DP1" s="4" t="s">
        <v>95</v>
      </c>
      <c r="DQ1" s="4" t="s">
        <v>96</v>
      </c>
      <c r="DR1" s="4" t="s">
        <v>97</v>
      </c>
      <c r="DS1" s="4" t="s">
        <v>98</v>
      </c>
      <c r="DT1" s="4" t="s">
        <v>99</v>
      </c>
      <c r="DU1" s="4" t="s">
        <v>100</v>
      </c>
      <c r="DV1" s="4" t="s">
        <v>101</v>
      </c>
      <c r="DW1" s="4" t="s">
        <v>102</v>
      </c>
      <c r="DX1" s="4" t="s">
        <v>103</v>
      </c>
      <c r="DY1" s="4" t="s">
        <v>104</v>
      </c>
      <c r="DZ1" s="4" t="s">
        <v>105</v>
      </c>
      <c r="EA1" s="4" t="s">
        <v>106</v>
      </c>
      <c r="EB1" s="4" t="s">
        <v>107</v>
      </c>
      <c r="EC1" s="4" t="s">
        <v>108</v>
      </c>
      <c r="ED1" s="4" t="s">
        <v>109</v>
      </c>
      <c r="EE1" s="4" t="s">
        <v>110</v>
      </c>
      <c r="EF1" s="4" t="s">
        <v>111</v>
      </c>
      <c r="EG1" s="4" t="s">
        <v>112</v>
      </c>
      <c r="EH1" s="4" t="s">
        <v>113</v>
      </c>
      <c r="EI1" s="4" t="s">
        <v>114</v>
      </c>
      <c r="EJ1" s="4" t="s">
        <v>115</v>
      </c>
      <c r="EK1" s="4" t="s">
        <v>116</v>
      </c>
      <c r="EL1" s="4" t="s">
        <v>117</v>
      </c>
      <c r="EM1" s="4" t="s">
        <v>118</v>
      </c>
      <c r="EN1" s="4" t="s">
        <v>119</v>
      </c>
      <c r="EO1" s="4" t="s">
        <v>120</v>
      </c>
      <c r="EP1" s="4" t="s">
        <v>121</v>
      </c>
      <c r="EQ1" s="4" t="s">
        <v>122</v>
      </c>
      <c r="ER1" s="4" t="s">
        <v>123</v>
      </c>
      <c r="ES1" s="4" t="s">
        <v>124</v>
      </c>
      <c r="ET1" s="4" t="s">
        <v>125</v>
      </c>
    </row>
    <row r="2" spans="1:150" x14ac:dyDescent="0.25">
      <c r="A2" s="2">
        <v>2005</v>
      </c>
      <c r="B2" s="3">
        <v>0.27315</v>
      </c>
      <c r="C2" s="3"/>
      <c r="D2" s="3"/>
      <c r="E2" s="3"/>
      <c r="F2" s="3"/>
      <c r="G2" s="3"/>
      <c r="H2" s="3"/>
      <c r="I2" s="3"/>
      <c r="J2" s="3"/>
      <c r="P2" s="3">
        <v>33.299999999999997</v>
      </c>
      <c r="Q2" s="3">
        <v>4.7699999999999996</v>
      </c>
      <c r="R2" s="3">
        <v>2.4300000000000002</v>
      </c>
      <c r="S2" s="1">
        <f>2*AI2</f>
        <v>8.9</v>
      </c>
      <c r="T2" s="1">
        <f>2*AJ2</f>
        <v>0.82</v>
      </c>
      <c r="U2" s="3">
        <f t="shared" ref="U2:U18" si="0">(1-0.87)*P2</f>
        <v>4.3289999999999997</v>
      </c>
      <c r="V2" s="3">
        <v>0</v>
      </c>
      <c r="W2" s="3">
        <f>0.13*R2</f>
        <v>0.31590000000000001</v>
      </c>
      <c r="X2" s="3">
        <f>0.13*S2</f>
        <v>1.157</v>
      </c>
      <c r="Y2" s="3">
        <f>0.13*T2</f>
        <v>0.1066</v>
      </c>
      <c r="Z2" s="3">
        <f>P2+U2</f>
        <v>37.628999999999998</v>
      </c>
      <c r="AA2" s="3">
        <f>R2+W2</f>
        <v>2.7459000000000002</v>
      </c>
      <c r="AB2" s="3">
        <f>S2+X2</f>
        <v>10.057</v>
      </c>
      <c r="AC2" s="3">
        <f>T2+Y2</f>
        <v>0.92659999999999998</v>
      </c>
      <c r="AD2" s="3">
        <f t="shared" ref="AD2:AD18" si="1">SUM(P2:Y2)</f>
        <v>56.128499999999988</v>
      </c>
      <c r="AE2" s="3"/>
      <c r="AF2" s="3">
        <f t="shared" ref="AF2:AF18" si="2">0.5*P2</f>
        <v>16.649999999999999</v>
      </c>
      <c r="AG2" s="3">
        <f t="shared" ref="AG2:AG18" si="3">0.5*Q2</f>
        <v>2.3849999999999998</v>
      </c>
      <c r="AH2" s="3">
        <f t="shared" ref="AH2:AH18" si="4">0.5*R2</f>
        <v>1.2150000000000001</v>
      </c>
      <c r="AI2" s="3">
        <v>4.45</v>
      </c>
      <c r="AJ2" s="3">
        <v>0.41</v>
      </c>
      <c r="AK2" s="3">
        <f t="shared" ref="AK2:AK18" si="5">AI2+AF2+AG2+AH2+AJ2</f>
        <v>25.11</v>
      </c>
      <c r="AP2" s="3"/>
      <c r="AQ2" s="3"/>
    </row>
    <row r="3" spans="1:150" x14ac:dyDescent="0.25">
      <c r="A3" s="2">
        <v>2006</v>
      </c>
      <c r="B3" s="3">
        <v>0.27344000000000002</v>
      </c>
      <c r="C3" s="3"/>
      <c r="D3" s="3"/>
      <c r="E3" s="3"/>
      <c r="F3" s="3"/>
      <c r="G3" s="3"/>
      <c r="H3" s="3"/>
      <c r="I3" s="3"/>
      <c r="J3" s="3"/>
      <c r="P3" s="3">
        <v>32.83</v>
      </c>
      <c r="Q3" s="3">
        <v>4.3099999999999996</v>
      </c>
      <c r="R3" s="3">
        <v>2.9</v>
      </c>
      <c r="S3" s="1">
        <f t="shared" ref="S3:S18" si="6">2*AI3</f>
        <v>9.4600000000000009</v>
      </c>
      <c r="T3" s="1">
        <f t="shared" ref="T3:T18" si="7">2*AJ3</f>
        <v>1.02</v>
      </c>
      <c r="U3" s="3">
        <f t="shared" si="0"/>
        <v>4.2679</v>
      </c>
      <c r="V3" s="3">
        <v>0</v>
      </c>
      <c r="W3" s="3">
        <f t="shared" ref="W3:W18" si="8">0.13*R3</f>
        <v>0.377</v>
      </c>
      <c r="X3" s="3">
        <f t="shared" ref="X3:X18" si="9">0.13*S3</f>
        <v>1.2298000000000002</v>
      </c>
      <c r="Y3" s="3">
        <f t="shared" ref="Y3:Y18" si="10">0.13*T3</f>
        <v>0.1326</v>
      </c>
      <c r="Z3" s="3">
        <f t="shared" ref="Z3:Z18" si="11">P3+U3</f>
        <v>37.097899999999996</v>
      </c>
      <c r="AA3" s="3">
        <f t="shared" ref="AA3:AA18" si="12">R3+W3</f>
        <v>3.2770000000000001</v>
      </c>
      <c r="AB3" s="3">
        <f t="shared" ref="AB3:AB18" si="13">S3+X3</f>
        <v>10.689800000000002</v>
      </c>
      <c r="AC3" s="3">
        <f t="shared" ref="AC3:AC18" si="14">T3+Y3</f>
        <v>1.1526000000000001</v>
      </c>
      <c r="AD3" s="3">
        <f t="shared" si="1"/>
        <v>56.527299999999997</v>
      </c>
      <c r="AE3" s="3"/>
      <c r="AF3" s="3">
        <f t="shared" si="2"/>
        <v>16.414999999999999</v>
      </c>
      <c r="AG3" s="3">
        <f t="shared" si="3"/>
        <v>2.1549999999999998</v>
      </c>
      <c r="AH3" s="3">
        <f t="shared" si="4"/>
        <v>1.45</v>
      </c>
      <c r="AI3" s="3">
        <v>4.7300000000000004</v>
      </c>
      <c r="AJ3" s="3">
        <v>0.51</v>
      </c>
      <c r="AK3" s="3">
        <f t="shared" si="5"/>
        <v>25.26</v>
      </c>
      <c r="AP3" s="3"/>
      <c r="AQ3" s="3"/>
    </row>
    <row r="4" spans="1:150" x14ac:dyDescent="0.25">
      <c r="A4" s="2">
        <v>2007</v>
      </c>
      <c r="B4" s="3">
        <v>0.26300000000000001</v>
      </c>
      <c r="C4" s="3">
        <v>0.20899999999999999</v>
      </c>
      <c r="D4" s="3">
        <f>E4+F4</f>
        <v>79.001878898000001</v>
      </c>
      <c r="E4" s="3">
        <v>75.33</v>
      </c>
      <c r="F4" s="3">
        <v>3.6718788980000001</v>
      </c>
      <c r="G4" s="3">
        <v>0</v>
      </c>
      <c r="H4" s="3">
        <v>56.580420112999995</v>
      </c>
      <c r="I4" s="3">
        <v>16.453742160000001</v>
      </c>
      <c r="J4" s="3">
        <v>0.91802214299999996</v>
      </c>
      <c r="K4" s="3">
        <f>H4/D4*100</f>
        <v>71.619081599377481</v>
      </c>
      <c r="L4" s="3">
        <f>I4/D4*100</f>
        <v>20.827026381541593</v>
      </c>
      <c r="M4" s="3">
        <f>J4/D4*100</f>
        <v>1.1620257085091181</v>
      </c>
      <c r="N4" s="3">
        <f>L4+M4</f>
        <v>21.989052090050713</v>
      </c>
      <c r="O4" s="3">
        <f>F4/D4*100</f>
        <v>4.6478374302221273</v>
      </c>
      <c r="P4" s="3">
        <v>28.25</v>
      </c>
      <c r="Q4" s="3">
        <v>3.34</v>
      </c>
      <c r="R4" s="3">
        <v>2.68</v>
      </c>
      <c r="S4" s="1">
        <f t="shared" si="6"/>
        <v>9.74</v>
      </c>
      <c r="T4" s="1">
        <f t="shared" si="7"/>
        <v>1.26</v>
      </c>
      <c r="U4" s="3">
        <f t="shared" si="0"/>
        <v>3.6725000000000003</v>
      </c>
      <c r="V4" s="3">
        <v>0</v>
      </c>
      <c r="W4" s="3">
        <f t="shared" si="8"/>
        <v>0.34840000000000004</v>
      </c>
      <c r="X4" s="3">
        <f t="shared" si="9"/>
        <v>1.2662</v>
      </c>
      <c r="Y4" s="3">
        <f t="shared" si="10"/>
        <v>0.1638</v>
      </c>
      <c r="Z4" s="3">
        <f t="shared" si="11"/>
        <v>31.922499999999999</v>
      </c>
      <c r="AA4" s="3">
        <f t="shared" si="12"/>
        <v>3.0284000000000004</v>
      </c>
      <c r="AB4" s="3">
        <f t="shared" si="13"/>
        <v>11.0062</v>
      </c>
      <c r="AC4" s="3">
        <f t="shared" si="14"/>
        <v>1.4238</v>
      </c>
      <c r="AD4" s="3">
        <f t="shared" si="1"/>
        <v>50.7209</v>
      </c>
      <c r="AE4" s="3">
        <f>Q4/D4*100</f>
        <v>4.2277475505516806</v>
      </c>
      <c r="AF4" s="3">
        <f t="shared" si="2"/>
        <v>14.125</v>
      </c>
      <c r="AG4" s="3">
        <f t="shared" si="3"/>
        <v>1.67</v>
      </c>
      <c r="AH4" s="3">
        <f t="shared" si="4"/>
        <v>1.34</v>
      </c>
      <c r="AI4" s="3">
        <v>4.87</v>
      </c>
      <c r="AJ4" s="3">
        <v>0.63</v>
      </c>
      <c r="AK4" s="3">
        <f t="shared" si="5"/>
        <v>22.634999999999998</v>
      </c>
      <c r="AL4" s="7">
        <v>1.69716676</v>
      </c>
      <c r="AM4" s="7">
        <v>0.60735203000000004</v>
      </c>
      <c r="AN4" s="7">
        <v>2.52052802</v>
      </c>
      <c r="AO4" s="18">
        <f t="shared" ref="AO4:AO18" si="15">F4/E4*100</f>
        <v>4.8743912093455464</v>
      </c>
      <c r="AP4" s="3">
        <f t="shared" ref="AP4:AP18" si="16">E4/C4</f>
        <v>360.43062200956939</v>
      </c>
      <c r="AQ4" s="3">
        <f t="shared" ref="AQ4:AQ18" si="17">(E4+AN4)/C4</f>
        <v>372.49056468899522</v>
      </c>
      <c r="AR4" s="18">
        <f t="shared" ref="AR4:AR18" si="18">(T4+Y4)/C4</f>
        <v>6.8124401913875596</v>
      </c>
      <c r="AS4" s="18">
        <f>AR4/AQ4*100</f>
        <v>1.8288893296063733</v>
      </c>
      <c r="AT4" s="18"/>
      <c r="AU4" s="18">
        <f>K4-AE4</f>
        <v>67.391334048825797</v>
      </c>
      <c r="AX4" s="14"/>
      <c r="AY4" s="14"/>
      <c r="AZ4" s="14"/>
      <c r="BA4" s="14"/>
      <c r="BB4" s="14"/>
      <c r="BC4" s="14"/>
      <c r="BD4" s="14"/>
    </row>
    <row r="5" spans="1:150" x14ac:dyDescent="0.25">
      <c r="A5" s="2">
        <v>2008</v>
      </c>
      <c r="B5" s="3">
        <v>0.22957</v>
      </c>
      <c r="C5" s="3">
        <v>0.19800000000000001</v>
      </c>
      <c r="D5" s="3">
        <f t="shared" ref="D5:D18" si="19">E5+F5</f>
        <v>67.087594640999995</v>
      </c>
      <c r="E5" s="3">
        <v>63.64</v>
      </c>
      <c r="F5" s="3">
        <v>3.4475946409999998</v>
      </c>
      <c r="G5" s="3">
        <v>0</v>
      </c>
      <c r="H5" s="3">
        <v>40.674060059999995</v>
      </c>
      <c r="I5" s="3">
        <v>21.066844809999999</v>
      </c>
      <c r="J5" s="3">
        <v>0.82271513600000001</v>
      </c>
      <c r="K5" s="3">
        <f t="shared" ref="K5:K18" si="20">H5/D5*100</f>
        <v>60.628287953466732</v>
      </c>
      <c r="L5" s="3">
        <f t="shared" ref="L5:L18" si="21">I5/D5*100</f>
        <v>31.401997526864946</v>
      </c>
      <c r="M5" s="3">
        <f t="shared" ref="M5:M18" si="22">J5/D5*100</f>
        <v>1.2263297564960018</v>
      </c>
      <c r="N5" s="3">
        <f t="shared" ref="N5:N18" si="23">L5+M5</f>
        <v>32.628327283360946</v>
      </c>
      <c r="O5" s="3">
        <f t="shared" ref="O5:O18" si="24">F5/D5*100</f>
        <v>5.1389450753880999</v>
      </c>
      <c r="P5" s="3">
        <v>21.21</v>
      </c>
      <c r="Q5" s="3">
        <v>2.62</v>
      </c>
      <c r="R5" s="3">
        <v>1.86</v>
      </c>
      <c r="S5" s="1">
        <f t="shared" si="6"/>
        <v>7.9</v>
      </c>
      <c r="T5" s="1">
        <f t="shared" si="7"/>
        <v>1.36</v>
      </c>
      <c r="U5" s="3">
        <f t="shared" si="0"/>
        <v>2.7573000000000003</v>
      </c>
      <c r="V5" s="3">
        <v>0</v>
      </c>
      <c r="W5" s="3">
        <f t="shared" si="8"/>
        <v>0.24180000000000001</v>
      </c>
      <c r="X5" s="3">
        <f t="shared" si="9"/>
        <v>1.0270000000000001</v>
      </c>
      <c r="Y5" s="3">
        <f t="shared" si="10"/>
        <v>0.17680000000000001</v>
      </c>
      <c r="Z5" s="3">
        <f t="shared" si="11"/>
        <v>23.967300000000002</v>
      </c>
      <c r="AA5" s="3">
        <f t="shared" si="12"/>
        <v>2.1017999999999999</v>
      </c>
      <c r="AB5" s="3">
        <f t="shared" si="13"/>
        <v>8.9269999999999996</v>
      </c>
      <c r="AC5" s="3">
        <f t="shared" si="14"/>
        <v>1.5368000000000002</v>
      </c>
      <c r="AD5" s="3">
        <f t="shared" si="1"/>
        <v>39.152900000000002</v>
      </c>
      <c r="AE5" s="3">
        <f t="shared" ref="AE5:AE18" si="25">Q5/D5*100</f>
        <v>3.9053419846398998</v>
      </c>
      <c r="AF5" s="3">
        <f t="shared" si="2"/>
        <v>10.605</v>
      </c>
      <c r="AG5" s="3">
        <f t="shared" si="3"/>
        <v>1.31</v>
      </c>
      <c r="AH5" s="3">
        <f t="shared" si="4"/>
        <v>0.93</v>
      </c>
      <c r="AI5" s="3">
        <v>3.95</v>
      </c>
      <c r="AJ5" s="3">
        <v>0.68</v>
      </c>
      <c r="AK5" s="3">
        <f t="shared" si="5"/>
        <v>17.475000000000001</v>
      </c>
      <c r="AL5" s="7">
        <v>1.7866460799999999</v>
      </c>
      <c r="AM5" s="7">
        <v>0.60545369999999998</v>
      </c>
      <c r="AN5" s="7">
        <v>2.58974503</v>
      </c>
      <c r="AO5" s="18">
        <f t="shared" si="15"/>
        <v>5.4173391593337517</v>
      </c>
      <c r="AP5" s="3">
        <f t="shared" si="16"/>
        <v>321.4141414141414</v>
      </c>
      <c r="AQ5" s="3">
        <f t="shared" si="17"/>
        <v>334.49366176767677</v>
      </c>
      <c r="AR5" s="18">
        <f t="shared" si="18"/>
        <v>7.7616161616161623</v>
      </c>
      <c r="AS5" s="18">
        <f t="shared" ref="AS5:AS18" si="26">AR5/AQ5*100</f>
        <v>2.3204075439273968</v>
      </c>
      <c r="AT5" s="18"/>
      <c r="AU5" s="18">
        <f t="shared" ref="AU5:AU18" si="27">K5-AE5</f>
        <v>56.722945968826835</v>
      </c>
      <c r="AV5" s="18"/>
      <c r="AW5" s="18"/>
      <c r="AX5" s="14"/>
      <c r="AY5" s="14"/>
      <c r="AZ5" s="14"/>
      <c r="BA5" s="14"/>
      <c r="BB5" s="14"/>
      <c r="BC5" s="14"/>
      <c r="BD5" s="14"/>
    </row>
    <row r="6" spans="1:150" x14ac:dyDescent="0.25">
      <c r="A6" s="2">
        <v>2009</v>
      </c>
      <c r="B6" s="3">
        <v>0.17948</v>
      </c>
      <c r="C6" s="3">
        <v>0.16400000000000001</v>
      </c>
      <c r="D6" s="3">
        <f t="shared" si="19"/>
        <v>52.198352974999999</v>
      </c>
      <c r="E6" s="3">
        <v>49.735999999999997</v>
      </c>
      <c r="F6" s="3">
        <v>2.4623529749999999</v>
      </c>
      <c r="G6" s="3">
        <v>0.23435708599999999</v>
      </c>
      <c r="H6" s="3">
        <v>29.343749964000001</v>
      </c>
      <c r="I6" s="3">
        <v>19.056096647</v>
      </c>
      <c r="J6" s="3">
        <v>0.60538478100000015</v>
      </c>
      <c r="K6" s="3">
        <f t="shared" si="20"/>
        <v>56.215854124849429</v>
      </c>
      <c r="L6" s="3">
        <f t="shared" si="21"/>
        <v>36.507084152878875</v>
      </c>
      <c r="M6" s="3">
        <f t="shared" si="22"/>
        <v>1.1597775533069876</v>
      </c>
      <c r="N6" s="3">
        <f t="shared" si="23"/>
        <v>37.666861706185863</v>
      </c>
      <c r="O6" s="3">
        <f t="shared" si="24"/>
        <v>4.7173001343152059</v>
      </c>
      <c r="P6" s="3">
        <v>17.82</v>
      </c>
      <c r="Q6" s="3">
        <v>2.46</v>
      </c>
      <c r="R6" s="3">
        <v>1.25</v>
      </c>
      <c r="S6" s="1">
        <f t="shared" si="6"/>
        <v>6.58</v>
      </c>
      <c r="T6" s="1">
        <f t="shared" si="7"/>
        <v>1.52</v>
      </c>
      <c r="U6" s="3">
        <f t="shared" si="0"/>
        <v>2.3166000000000002</v>
      </c>
      <c r="V6" s="3">
        <v>0</v>
      </c>
      <c r="W6" s="3">
        <f t="shared" si="8"/>
        <v>0.16250000000000001</v>
      </c>
      <c r="X6" s="3">
        <f t="shared" si="9"/>
        <v>0.85540000000000005</v>
      </c>
      <c r="Y6" s="3">
        <f t="shared" si="10"/>
        <v>0.1976</v>
      </c>
      <c r="Z6" s="3">
        <f t="shared" si="11"/>
        <v>20.136600000000001</v>
      </c>
      <c r="AA6" s="3">
        <f t="shared" si="12"/>
        <v>1.4125000000000001</v>
      </c>
      <c r="AB6" s="3">
        <f t="shared" si="13"/>
        <v>7.4354000000000005</v>
      </c>
      <c r="AC6" s="3">
        <f t="shared" si="14"/>
        <v>1.7176</v>
      </c>
      <c r="AD6" s="3">
        <f t="shared" si="1"/>
        <v>33.162100000000002</v>
      </c>
      <c r="AE6" s="3">
        <f t="shared" si="25"/>
        <v>4.7127923771430069</v>
      </c>
      <c r="AF6" s="3">
        <f t="shared" si="2"/>
        <v>8.91</v>
      </c>
      <c r="AG6" s="3">
        <f t="shared" si="3"/>
        <v>1.23</v>
      </c>
      <c r="AH6" s="3">
        <f t="shared" si="4"/>
        <v>0.625</v>
      </c>
      <c r="AI6" s="3">
        <v>3.29</v>
      </c>
      <c r="AJ6" s="3">
        <v>0.76</v>
      </c>
      <c r="AK6" s="3">
        <f t="shared" si="5"/>
        <v>14.815</v>
      </c>
      <c r="AL6" s="7">
        <v>1.2292466500000001</v>
      </c>
      <c r="AM6" s="7">
        <v>0.38310056999999997</v>
      </c>
      <c r="AN6" s="7">
        <v>1.70868537</v>
      </c>
      <c r="AO6" s="18">
        <f t="shared" si="15"/>
        <v>4.9508464190928105</v>
      </c>
      <c r="AP6" s="3">
        <f t="shared" si="16"/>
        <v>303.26829268292681</v>
      </c>
      <c r="AQ6" s="3">
        <f t="shared" si="17"/>
        <v>313.68710591463412</v>
      </c>
      <c r="AR6" s="18">
        <f t="shared" si="18"/>
        <v>10.473170731707317</v>
      </c>
      <c r="AS6" s="18">
        <f t="shared" si="26"/>
        <v>3.33873166420728</v>
      </c>
      <c r="AT6" s="18"/>
      <c r="AU6" s="18">
        <f t="shared" si="27"/>
        <v>51.503061747706425</v>
      </c>
      <c r="AV6" s="18"/>
      <c r="AW6" s="18"/>
      <c r="AX6" s="14"/>
      <c r="AY6" s="14"/>
      <c r="AZ6" s="14"/>
      <c r="BA6" s="14"/>
      <c r="BB6" s="14"/>
      <c r="BC6" s="14"/>
      <c r="BD6" s="14"/>
    </row>
    <row r="7" spans="1:150" x14ac:dyDescent="0.25">
      <c r="A7" s="2">
        <v>2010</v>
      </c>
      <c r="B7" s="3">
        <v>0.23766999999999999</v>
      </c>
      <c r="C7" s="3">
        <v>0.14699999999999999</v>
      </c>
      <c r="D7" s="3">
        <f t="shared" si="19"/>
        <v>67.299958266000004</v>
      </c>
      <c r="E7" s="3">
        <v>63.25</v>
      </c>
      <c r="F7" s="3">
        <v>4.049958266</v>
      </c>
      <c r="G7" s="3">
        <v>0.316875613</v>
      </c>
      <c r="H7" s="3">
        <v>35.731202512999999</v>
      </c>
      <c r="I7" s="3">
        <v>18.958404295000001</v>
      </c>
      <c r="J7" s="3">
        <v>7.5738515519999998</v>
      </c>
      <c r="K7" s="3">
        <f t="shared" si="20"/>
        <v>53.092458648746941</v>
      </c>
      <c r="L7" s="3">
        <f t="shared" si="21"/>
        <v>28.170008991785366</v>
      </c>
      <c r="M7" s="3">
        <f t="shared" si="22"/>
        <v>11.253872583493587</v>
      </c>
      <c r="N7" s="3">
        <f t="shared" si="23"/>
        <v>39.423881575278955</v>
      </c>
      <c r="O7" s="3">
        <f t="shared" si="24"/>
        <v>6.0177723290595893</v>
      </c>
      <c r="P7" s="3">
        <v>20.85</v>
      </c>
      <c r="Q7" s="3">
        <v>3.74</v>
      </c>
      <c r="R7" s="3">
        <v>1.1000000000000001</v>
      </c>
      <c r="S7" s="1">
        <f t="shared" si="6"/>
        <v>7.58</v>
      </c>
      <c r="T7" s="1">
        <f t="shared" si="7"/>
        <v>2.12</v>
      </c>
      <c r="U7" s="3">
        <f t="shared" si="0"/>
        <v>2.7105000000000001</v>
      </c>
      <c r="V7" s="3">
        <v>0</v>
      </c>
      <c r="W7" s="3">
        <f t="shared" si="8"/>
        <v>0.14300000000000002</v>
      </c>
      <c r="X7" s="3">
        <f t="shared" si="9"/>
        <v>0.98540000000000005</v>
      </c>
      <c r="Y7" s="3">
        <f t="shared" si="10"/>
        <v>0.27560000000000001</v>
      </c>
      <c r="Z7" s="3">
        <f t="shared" si="11"/>
        <v>23.560500000000001</v>
      </c>
      <c r="AA7" s="3">
        <f t="shared" si="12"/>
        <v>1.2430000000000001</v>
      </c>
      <c r="AB7" s="3">
        <f t="shared" si="13"/>
        <v>8.5654000000000003</v>
      </c>
      <c r="AC7" s="3">
        <f t="shared" si="14"/>
        <v>2.3956</v>
      </c>
      <c r="AD7" s="3">
        <f t="shared" si="1"/>
        <v>39.5045</v>
      </c>
      <c r="AE7" s="3">
        <f t="shared" si="25"/>
        <v>5.5572099840208242</v>
      </c>
      <c r="AF7" s="3">
        <f t="shared" si="2"/>
        <v>10.425000000000001</v>
      </c>
      <c r="AG7" s="3">
        <f t="shared" si="3"/>
        <v>1.87</v>
      </c>
      <c r="AH7" s="3">
        <f t="shared" si="4"/>
        <v>0.55000000000000004</v>
      </c>
      <c r="AI7" s="3">
        <v>3.79</v>
      </c>
      <c r="AJ7" s="3">
        <v>1.06</v>
      </c>
      <c r="AK7" s="3">
        <f t="shared" si="5"/>
        <v>17.695</v>
      </c>
      <c r="AL7" s="7">
        <v>1.4631273600000001</v>
      </c>
      <c r="AM7" s="7">
        <v>0.48974782999999988</v>
      </c>
      <c r="AN7" s="7">
        <v>2.0331866299999999</v>
      </c>
      <c r="AO7" s="18">
        <f t="shared" si="15"/>
        <v>6.4030960727272728</v>
      </c>
      <c r="AP7" s="3">
        <f t="shared" si="16"/>
        <v>430.27210884353747</v>
      </c>
      <c r="AQ7" s="3">
        <f t="shared" si="17"/>
        <v>444.10331040816334</v>
      </c>
      <c r="AR7" s="18">
        <f t="shared" si="18"/>
        <v>16.296598639455784</v>
      </c>
      <c r="AS7" s="18">
        <f t="shared" si="26"/>
        <v>3.6695512637539269</v>
      </c>
      <c r="AT7" s="18"/>
      <c r="AU7" s="18">
        <f t="shared" si="27"/>
        <v>47.535248664726119</v>
      </c>
      <c r="AV7" s="18"/>
      <c r="AW7" s="18"/>
      <c r="AX7" s="14"/>
      <c r="AY7" s="14"/>
      <c r="AZ7" s="14"/>
      <c r="BA7" s="14"/>
      <c r="BB7" s="14"/>
      <c r="BC7" s="14"/>
      <c r="BD7" s="14"/>
    </row>
    <row r="8" spans="1:150" x14ac:dyDescent="0.25">
      <c r="A8" s="2">
        <v>2011</v>
      </c>
      <c r="B8" s="3">
        <v>0.25226999999999999</v>
      </c>
      <c r="C8" s="3">
        <v>0.16600000000000001</v>
      </c>
      <c r="D8" s="3">
        <f t="shared" si="19"/>
        <v>74.886523253999997</v>
      </c>
      <c r="E8" s="3">
        <v>70.89</v>
      </c>
      <c r="F8" s="3">
        <v>3.996523254</v>
      </c>
      <c r="G8" s="3">
        <v>0.36972334200000012</v>
      </c>
      <c r="H8" s="3">
        <v>33.487529510000002</v>
      </c>
      <c r="I8" s="3">
        <v>12.119099798999997</v>
      </c>
      <c r="J8" s="3">
        <v>24.376406888999998</v>
      </c>
      <c r="K8" s="3">
        <f t="shared" si="20"/>
        <v>44.717698265169886</v>
      </c>
      <c r="L8" s="3">
        <f t="shared" si="21"/>
        <v>16.183285419586717</v>
      </c>
      <c r="M8" s="3">
        <f t="shared" si="22"/>
        <v>32.551126464130455</v>
      </c>
      <c r="N8" s="3">
        <f t="shared" si="23"/>
        <v>48.734411883717172</v>
      </c>
      <c r="O8" s="3">
        <f t="shared" si="24"/>
        <v>5.3367723327795558</v>
      </c>
      <c r="P8" s="3">
        <v>22.84</v>
      </c>
      <c r="Q8" s="3">
        <v>5.45</v>
      </c>
      <c r="R8" s="3">
        <v>1.56</v>
      </c>
      <c r="S8" s="1">
        <f t="shared" si="6"/>
        <v>8.1999999999999993</v>
      </c>
      <c r="T8" s="1">
        <f t="shared" si="7"/>
        <v>1.52</v>
      </c>
      <c r="U8" s="3">
        <f t="shared" si="0"/>
        <v>2.9692000000000003</v>
      </c>
      <c r="V8" s="3">
        <v>0</v>
      </c>
      <c r="W8" s="3">
        <f t="shared" si="8"/>
        <v>0.20280000000000001</v>
      </c>
      <c r="X8" s="3">
        <f t="shared" si="9"/>
        <v>1.0659999999999998</v>
      </c>
      <c r="Y8" s="3">
        <f t="shared" si="10"/>
        <v>0.1976</v>
      </c>
      <c r="Z8" s="3">
        <f t="shared" si="11"/>
        <v>25.809200000000001</v>
      </c>
      <c r="AA8" s="3">
        <f t="shared" si="12"/>
        <v>1.7628000000000001</v>
      </c>
      <c r="AB8" s="3">
        <f t="shared" si="13"/>
        <v>9.2659999999999982</v>
      </c>
      <c r="AC8" s="3">
        <f t="shared" si="14"/>
        <v>1.7176</v>
      </c>
      <c r="AD8" s="3">
        <f t="shared" si="1"/>
        <v>44.005600000000008</v>
      </c>
      <c r="AE8" s="3">
        <f t="shared" si="25"/>
        <v>7.2776779628488013</v>
      </c>
      <c r="AF8" s="3">
        <f t="shared" si="2"/>
        <v>11.42</v>
      </c>
      <c r="AG8" s="3">
        <f t="shared" si="3"/>
        <v>2.7250000000000001</v>
      </c>
      <c r="AH8" s="3">
        <f t="shared" si="4"/>
        <v>0.78</v>
      </c>
      <c r="AI8" s="3">
        <v>4.0999999999999996</v>
      </c>
      <c r="AJ8" s="3">
        <v>0.76</v>
      </c>
      <c r="AK8" s="3">
        <f t="shared" si="5"/>
        <v>19.785000000000004</v>
      </c>
      <c r="AL8" s="7">
        <v>1.25364038</v>
      </c>
      <c r="AM8" s="7">
        <v>0.42490350999999998</v>
      </c>
      <c r="AN8" s="7">
        <v>1.76094258</v>
      </c>
      <c r="AO8" s="18">
        <f t="shared" si="15"/>
        <v>5.637640363944139</v>
      </c>
      <c r="AP8" s="3">
        <f t="shared" si="16"/>
        <v>427.0481927710843</v>
      </c>
      <c r="AQ8" s="3">
        <f t="shared" si="17"/>
        <v>437.65628060240965</v>
      </c>
      <c r="AR8" s="18">
        <f t="shared" si="18"/>
        <v>10.346987951807229</v>
      </c>
      <c r="AS8" s="18">
        <f t="shared" si="26"/>
        <v>2.3641813017204214</v>
      </c>
      <c r="AT8" s="18"/>
      <c r="AU8" s="18">
        <f t="shared" si="27"/>
        <v>37.440020302321088</v>
      </c>
      <c r="AV8" s="18"/>
      <c r="AW8" s="18"/>
      <c r="AX8" s="14"/>
      <c r="AY8" s="14"/>
      <c r="AZ8" s="14"/>
      <c r="BA8" s="14"/>
      <c r="BB8" s="14"/>
      <c r="BC8" s="14"/>
      <c r="BD8" s="14"/>
    </row>
    <row r="9" spans="1:150" x14ac:dyDescent="0.25">
      <c r="A9" s="2">
        <v>2012</v>
      </c>
      <c r="B9" s="3">
        <v>0.27429999999999999</v>
      </c>
      <c r="C9" s="3">
        <v>0.19</v>
      </c>
      <c r="D9" s="3">
        <f t="shared" si="19"/>
        <v>74.069806173000003</v>
      </c>
      <c r="E9" s="3">
        <v>70.510000000000005</v>
      </c>
      <c r="F9" s="3">
        <v>3.559806173000001</v>
      </c>
      <c r="G9" s="3">
        <v>0.311447802</v>
      </c>
      <c r="H9" s="3">
        <v>34.150079863999999</v>
      </c>
      <c r="I9" s="3">
        <v>10.458527382000002</v>
      </c>
      <c r="J9" s="3">
        <v>24.980845696999999</v>
      </c>
      <c r="K9" s="3">
        <f t="shared" si="20"/>
        <v>46.105264247941854</v>
      </c>
      <c r="L9" s="3">
        <f t="shared" si="21"/>
        <v>14.119825502948805</v>
      </c>
      <c r="M9" s="3">
        <f t="shared" si="22"/>
        <v>33.726084875467166</v>
      </c>
      <c r="N9" s="3">
        <f t="shared" si="23"/>
        <v>47.845910378415972</v>
      </c>
      <c r="O9" s="3">
        <f t="shared" si="24"/>
        <v>4.8060152401176728</v>
      </c>
      <c r="P9" s="3">
        <v>24.16</v>
      </c>
      <c r="Q9" s="3">
        <v>5.71</v>
      </c>
      <c r="R9" s="3">
        <v>1.54</v>
      </c>
      <c r="S9" s="1">
        <f t="shared" si="6"/>
        <v>8.9</v>
      </c>
      <c r="T9" s="1">
        <f t="shared" si="7"/>
        <v>2.12</v>
      </c>
      <c r="U9" s="3">
        <f t="shared" si="0"/>
        <v>3.1408</v>
      </c>
      <c r="V9" s="3">
        <v>0</v>
      </c>
      <c r="W9" s="3">
        <f t="shared" si="8"/>
        <v>0.20020000000000002</v>
      </c>
      <c r="X9" s="3">
        <f t="shared" si="9"/>
        <v>1.157</v>
      </c>
      <c r="Y9" s="3">
        <f t="shared" si="10"/>
        <v>0.27560000000000001</v>
      </c>
      <c r="Z9" s="3">
        <f t="shared" si="11"/>
        <v>27.300799999999999</v>
      </c>
      <c r="AA9" s="3">
        <f t="shared" si="12"/>
        <v>1.7402</v>
      </c>
      <c r="AB9" s="3">
        <f t="shared" si="13"/>
        <v>10.057</v>
      </c>
      <c r="AC9" s="3">
        <f t="shared" si="14"/>
        <v>2.3956</v>
      </c>
      <c r="AD9" s="3">
        <f t="shared" si="1"/>
        <v>47.203599999999994</v>
      </c>
      <c r="AE9" s="3">
        <f t="shared" si="25"/>
        <v>7.7089441636495257</v>
      </c>
      <c r="AF9" s="3">
        <f t="shared" si="2"/>
        <v>12.08</v>
      </c>
      <c r="AG9" s="3">
        <f t="shared" si="3"/>
        <v>2.855</v>
      </c>
      <c r="AH9" s="3">
        <f t="shared" si="4"/>
        <v>0.77</v>
      </c>
      <c r="AI9" s="3">
        <v>4.45</v>
      </c>
      <c r="AJ9" s="3">
        <v>1.06</v>
      </c>
      <c r="AK9" s="3">
        <f t="shared" si="5"/>
        <v>21.215</v>
      </c>
      <c r="AL9" s="7">
        <v>2.6323266699999999</v>
      </c>
      <c r="AM9" s="7">
        <v>0.80420225000000001</v>
      </c>
      <c r="AN9" s="7">
        <v>3.6490071199999998</v>
      </c>
      <c r="AO9" s="18">
        <f t="shared" si="15"/>
        <v>5.0486543369734802</v>
      </c>
      <c r="AP9" s="3">
        <f t="shared" si="16"/>
        <v>371.10526315789474</v>
      </c>
      <c r="AQ9" s="3">
        <f t="shared" si="17"/>
        <v>390.31056378947369</v>
      </c>
      <c r="AR9" s="18">
        <f t="shared" si="18"/>
        <v>12.608421052631579</v>
      </c>
      <c r="AS9" s="18">
        <f t="shared" si="26"/>
        <v>3.2303560862452931</v>
      </c>
      <c r="AT9" s="18"/>
      <c r="AU9" s="18">
        <f t="shared" si="27"/>
        <v>38.396320084292327</v>
      </c>
      <c r="AV9" s="18"/>
      <c r="AW9" s="18"/>
      <c r="AX9" s="14"/>
      <c r="AY9" s="14"/>
      <c r="AZ9" s="14"/>
      <c r="BA9" s="14"/>
      <c r="BB9" s="14"/>
      <c r="BC9" s="14"/>
      <c r="BD9" s="14"/>
    </row>
    <row r="10" spans="1:150" x14ac:dyDescent="0.25">
      <c r="A10" s="2">
        <v>2013</v>
      </c>
      <c r="B10" s="3">
        <v>0.27841000000000005</v>
      </c>
      <c r="C10" s="3">
        <v>0.191</v>
      </c>
      <c r="D10" s="3">
        <f t="shared" si="19"/>
        <v>78.714687736000002</v>
      </c>
      <c r="E10" s="3">
        <v>73.83</v>
      </c>
      <c r="F10" s="3">
        <v>4.8846877359999992</v>
      </c>
      <c r="G10" s="3">
        <v>0.13441293999999998</v>
      </c>
      <c r="H10" s="3">
        <v>36.541704430000003</v>
      </c>
      <c r="I10" s="3">
        <v>10.979180293999999</v>
      </c>
      <c r="J10" s="3">
        <v>25.478540226000003</v>
      </c>
      <c r="K10" s="3">
        <f t="shared" si="20"/>
        <v>46.422980870554511</v>
      </c>
      <c r="L10" s="3">
        <f t="shared" si="21"/>
        <v>13.948070696567971</v>
      </c>
      <c r="M10" s="3">
        <f t="shared" si="22"/>
        <v>32.368216096406421</v>
      </c>
      <c r="N10" s="3">
        <f t="shared" si="23"/>
        <v>46.316286792974395</v>
      </c>
      <c r="O10" s="3">
        <f t="shared" si="24"/>
        <v>6.2055607110869566</v>
      </c>
      <c r="P10" s="3">
        <v>25.88</v>
      </c>
      <c r="Q10" s="3">
        <v>6.67</v>
      </c>
      <c r="R10" s="3">
        <v>1.63</v>
      </c>
      <c r="S10" s="1">
        <f t="shared" si="6"/>
        <v>8.3000000000000007</v>
      </c>
      <c r="T10" s="1">
        <f t="shared" si="7"/>
        <v>2.44</v>
      </c>
      <c r="U10" s="3">
        <f t="shared" si="0"/>
        <v>3.3643999999999998</v>
      </c>
      <c r="V10" s="3">
        <v>0</v>
      </c>
      <c r="W10" s="3">
        <f t="shared" si="8"/>
        <v>0.21190000000000001</v>
      </c>
      <c r="X10" s="3">
        <f t="shared" si="9"/>
        <v>1.0790000000000002</v>
      </c>
      <c r="Y10" s="3">
        <f t="shared" si="10"/>
        <v>0.31719999999999998</v>
      </c>
      <c r="Z10" s="3">
        <f t="shared" si="11"/>
        <v>29.244399999999999</v>
      </c>
      <c r="AA10" s="3">
        <f t="shared" si="12"/>
        <v>1.8418999999999999</v>
      </c>
      <c r="AB10" s="3">
        <f t="shared" si="13"/>
        <v>9.3790000000000013</v>
      </c>
      <c r="AC10" s="3">
        <f t="shared" si="14"/>
        <v>2.7572000000000001</v>
      </c>
      <c r="AD10" s="3">
        <f t="shared" si="1"/>
        <v>49.892500000000005</v>
      </c>
      <c r="AE10" s="3">
        <f t="shared" si="25"/>
        <v>8.4736409326432334</v>
      </c>
      <c r="AF10" s="3">
        <f t="shared" si="2"/>
        <v>12.94</v>
      </c>
      <c r="AG10" s="3">
        <f t="shared" si="3"/>
        <v>3.335</v>
      </c>
      <c r="AH10" s="3">
        <f t="shared" si="4"/>
        <v>0.81499999999999995</v>
      </c>
      <c r="AI10" s="3">
        <v>4.1500000000000004</v>
      </c>
      <c r="AJ10" s="3">
        <v>1.22</v>
      </c>
      <c r="AK10" s="3">
        <f t="shared" si="5"/>
        <v>22.46</v>
      </c>
      <c r="AL10" s="7">
        <v>2.6850707200000001</v>
      </c>
      <c r="AM10" s="7">
        <v>0.64341495999999998</v>
      </c>
      <c r="AN10" s="7">
        <v>3.5236614999999998</v>
      </c>
      <c r="AO10" s="18">
        <f t="shared" si="15"/>
        <v>6.6161285872951368</v>
      </c>
      <c r="AP10" s="3">
        <f t="shared" si="16"/>
        <v>386.54450261780102</v>
      </c>
      <c r="AQ10" s="3">
        <f t="shared" si="17"/>
        <v>404.99299214659686</v>
      </c>
      <c r="AR10" s="18">
        <f t="shared" si="18"/>
        <v>14.435602094240839</v>
      </c>
      <c r="AS10" s="18">
        <f t="shared" si="26"/>
        <v>3.5644078722763499</v>
      </c>
      <c r="AT10" s="18"/>
      <c r="AU10" s="18">
        <f t="shared" si="27"/>
        <v>37.949339937911276</v>
      </c>
      <c r="AV10" s="18"/>
      <c r="AW10" s="18"/>
      <c r="AX10" s="14"/>
      <c r="AY10" s="14"/>
      <c r="AZ10" s="14"/>
      <c r="BA10" s="14"/>
      <c r="BB10" s="14"/>
      <c r="BC10" s="14"/>
      <c r="BD10" s="14"/>
    </row>
    <row r="11" spans="1:150" x14ac:dyDescent="0.25">
      <c r="A11" s="2">
        <v>2014</v>
      </c>
      <c r="B11" s="3">
        <v>0.26494000000000001</v>
      </c>
      <c r="C11" s="3">
        <v>0.191</v>
      </c>
      <c r="D11" s="3">
        <f t="shared" si="19"/>
        <v>72.069556836000004</v>
      </c>
      <c r="E11" s="3">
        <v>67.67</v>
      </c>
      <c r="F11" s="3">
        <v>4.3995568360000004</v>
      </c>
      <c r="G11" s="3">
        <v>6.2419090999999996E-2</v>
      </c>
      <c r="H11" s="3">
        <v>34.377336675999999</v>
      </c>
      <c r="I11" s="3">
        <v>10.383831654000002</v>
      </c>
      <c r="J11" s="3">
        <v>22.225037119000003</v>
      </c>
      <c r="K11" s="3">
        <f t="shared" si="20"/>
        <v>47.700219323157981</v>
      </c>
      <c r="L11" s="3">
        <f t="shared" si="21"/>
        <v>14.408069245700004</v>
      </c>
      <c r="M11" s="3">
        <f t="shared" si="22"/>
        <v>30.838315225907159</v>
      </c>
      <c r="N11" s="3">
        <f t="shared" si="23"/>
        <v>45.246384471607165</v>
      </c>
      <c r="O11" s="3">
        <f t="shared" si="24"/>
        <v>6.1045981537135594</v>
      </c>
      <c r="P11" s="3">
        <v>25.84</v>
      </c>
      <c r="Q11" s="3">
        <v>6.27</v>
      </c>
      <c r="R11" s="3">
        <v>1.48</v>
      </c>
      <c r="S11" s="1">
        <f t="shared" si="6"/>
        <v>8.2799999999999994</v>
      </c>
      <c r="T11" s="1">
        <f t="shared" si="7"/>
        <v>2.58</v>
      </c>
      <c r="U11" s="3">
        <f t="shared" si="0"/>
        <v>3.3592</v>
      </c>
      <c r="V11" s="3">
        <v>0</v>
      </c>
      <c r="W11" s="3">
        <f t="shared" si="8"/>
        <v>0.19240000000000002</v>
      </c>
      <c r="X11" s="3">
        <f t="shared" si="9"/>
        <v>1.0764</v>
      </c>
      <c r="Y11" s="3">
        <f t="shared" si="10"/>
        <v>0.33540000000000003</v>
      </c>
      <c r="Z11" s="3">
        <f t="shared" si="11"/>
        <v>29.199200000000001</v>
      </c>
      <c r="AA11" s="3">
        <f t="shared" si="12"/>
        <v>1.6724000000000001</v>
      </c>
      <c r="AB11" s="3">
        <f t="shared" si="13"/>
        <v>9.3563999999999989</v>
      </c>
      <c r="AC11" s="3">
        <f t="shared" si="14"/>
        <v>2.9154</v>
      </c>
      <c r="AD11" s="3">
        <f t="shared" si="1"/>
        <v>49.413399999999996</v>
      </c>
      <c r="AE11" s="3">
        <f t="shared" si="25"/>
        <v>8.6999286179431934</v>
      </c>
      <c r="AF11" s="3">
        <f t="shared" si="2"/>
        <v>12.92</v>
      </c>
      <c r="AG11" s="3">
        <f t="shared" si="3"/>
        <v>3.1349999999999998</v>
      </c>
      <c r="AH11" s="3">
        <f t="shared" si="4"/>
        <v>0.74</v>
      </c>
      <c r="AI11" s="3">
        <v>4.1399999999999997</v>
      </c>
      <c r="AJ11" s="3">
        <v>1.29</v>
      </c>
      <c r="AK11" s="3">
        <f t="shared" si="5"/>
        <v>22.224999999999998</v>
      </c>
      <c r="AL11" s="7">
        <v>2.2881668400000001</v>
      </c>
      <c r="AM11" s="7">
        <v>0.66644231999999992</v>
      </c>
      <c r="AN11" s="7">
        <v>3.1148430500000002</v>
      </c>
      <c r="AO11" s="18">
        <f t="shared" si="15"/>
        <v>6.5014878616816913</v>
      </c>
      <c r="AP11" s="3">
        <f t="shared" si="16"/>
        <v>354.29319371727752</v>
      </c>
      <c r="AQ11" s="3">
        <f t="shared" si="17"/>
        <v>370.60127251308904</v>
      </c>
      <c r="AR11" s="18">
        <f t="shared" si="18"/>
        <v>15.263874345549738</v>
      </c>
      <c r="AS11" s="18">
        <f t="shared" si="26"/>
        <v>4.1186783418318242</v>
      </c>
      <c r="AT11" s="18"/>
      <c r="AU11" s="18">
        <f t="shared" si="27"/>
        <v>39.000290705214788</v>
      </c>
      <c r="AV11" s="18"/>
      <c r="AW11" s="18"/>
      <c r="AX11" s="14"/>
      <c r="AY11" s="14"/>
      <c r="AZ11" s="14"/>
      <c r="BA11" s="14"/>
      <c r="BB11" s="14"/>
      <c r="BC11" s="14"/>
      <c r="BD11" s="14"/>
    </row>
    <row r="12" spans="1:150" x14ac:dyDescent="0.25">
      <c r="A12" s="2">
        <f t="shared" ref="A12:A18" si="28">A11+1</f>
        <v>2015</v>
      </c>
      <c r="B12" s="3">
        <v>0.26583999999999997</v>
      </c>
      <c r="C12" s="3">
        <v>0.20100000000000001</v>
      </c>
      <c r="D12" s="3">
        <f t="shared" si="19"/>
        <v>71.40921415599999</v>
      </c>
      <c r="E12" s="3">
        <v>68.66</v>
      </c>
      <c r="F12" s="3">
        <v>2.7492141559999999</v>
      </c>
      <c r="G12" s="3">
        <v>0.20549905499999999</v>
      </c>
      <c r="H12" s="3">
        <v>34.096701537000001</v>
      </c>
      <c r="I12" s="3">
        <v>10.430924245999998</v>
      </c>
      <c r="J12" s="3">
        <v>23.291877931999998</v>
      </c>
      <c r="K12" s="3">
        <f t="shared" si="20"/>
        <v>47.748322033782117</v>
      </c>
      <c r="L12" s="3">
        <f t="shared" si="21"/>
        <v>14.607252536364124</v>
      </c>
      <c r="M12" s="3">
        <f t="shared" si="22"/>
        <v>32.617468497996285</v>
      </c>
      <c r="N12" s="3">
        <f t="shared" si="23"/>
        <v>47.224721034360407</v>
      </c>
      <c r="O12" s="3">
        <f t="shared" si="24"/>
        <v>3.8499431599878537</v>
      </c>
      <c r="P12" s="3">
        <v>26.2</v>
      </c>
      <c r="Q12" s="3">
        <v>5.57</v>
      </c>
      <c r="R12" s="3">
        <v>1.74</v>
      </c>
      <c r="S12" s="1">
        <f t="shared" si="6"/>
        <v>8.5399999999999991</v>
      </c>
      <c r="T12" s="1">
        <f t="shared" si="7"/>
        <v>2.52</v>
      </c>
      <c r="U12" s="3">
        <f t="shared" si="0"/>
        <v>3.4060000000000001</v>
      </c>
      <c r="V12" s="3">
        <v>0</v>
      </c>
      <c r="W12" s="3">
        <f t="shared" si="8"/>
        <v>0.22620000000000001</v>
      </c>
      <c r="X12" s="3">
        <f t="shared" si="9"/>
        <v>1.1101999999999999</v>
      </c>
      <c r="Y12" s="3">
        <f t="shared" si="10"/>
        <v>0.3276</v>
      </c>
      <c r="Z12" s="3">
        <f t="shared" si="11"/>
        <v>29.605999999999998</v>
      </c>
      <c r="AA12" s="3">
        <f t="shared" si="12"/>
        <v>1.9661999999999999</v>
      </c>
      <c r="AB12" s="3">
        <f t="shared" si="13"/>
        <v>9.6501999999999981</v>
      </c>
      <c r="AC12" s="3">
        <f t="shared" si="14"/>
        <v>2.8475999999999999</v>
      </c>
      <c r="AD12" s="3">
        <f t="shared" si="1"/>
        <v>49.639999999999993</v>
      </c>
      <c r="AE12" s="3">
        <f t="shared" si="25"/>
        <v>7.800113845017008</v>
      </c>
      <c r="AF12" s="3">
        <f t="shared" si="2"/>
        <v>13.1</v>
      </c>
      <c r="AG12" s="3">
        <f t="shared" si="3"/>
        <v>2.7850000000000001</v>
      </c>
      <c r="AH12" s="3">
        <f t="shared" si="4"/>
        <v>0.87</v>
      </c>
      <c r="AI12" s="3">
        <v>4.2699999999999996</v>
      </c>
      <c r="AJ12" s="3">
        <v>1.26</v>
      </c>
      <c r="AK12" s="3">
        <f t="shared" si="5"/>
        <v>22.285</v>
      </c>
      <c r="AL12" s="7">
        <v>2.9063653500000002</v>
      </c>
      <c r="AM12" s="7">
        <v>0.79709819000000004</v>
      </c>
      <c r="AN12" s="7">
        <v>3.9029744900000001</v>
      </c>
      <c r="AO12" s="18">
        <f t="shared" si="15"/>
        <v>4.0040986833673173</v>
      </c>
      <c r="AP12" s="3">
        <f t="shared" si="16"/>
        <v>341.592039800995</v>
      </c>
      <c r="AQ12" s="3">
        <f t="shared" si="17"/>
        <v>361.00982333333332</v>
      </c>
      <c r="AR12" s="18">
        <f t="shared" si="18"/>
        <v>14.167164179104477</v>
      </c>
      <c r="AS12" s="18">
        <f t="shared" si="26"/>
        <v>3.9243154239665734</v>
      </c>
      <c r="AT12" s="18">
        <f>71.9+9.6+0.8+0.7</f>
        <v>83</v>
      </c>
      <c r="AU12" s="18">
        <f t="shared" si="27"/>
        <v>39.948208188765108</v>
      </c>
      <c r="AV12" s="18">
        <f>AT12-AU12</f>
        <v>43.051791811234892</v>
      </c>
      <c r="AW12" s="18">
        <f>2.2+6.4</f>
        <v>8.6000000000000014</v>
      </c>
      <c r="AX12" s="14"/>
      <c r="AY12" s="14"/>
      <c r="AZ12" s="14"/>
      <c r="BA12" s="14"/>
      <c r="BB12" s="14"/>
      <c r="BC12" s="14"/>
      <c r="BD12" s="14"/>
    </row>
    <row r="13" spans="1:150" x14ac:dyDescent="0.25">
      <c r="A13" s="2">
        <f t="shared" si="28"/>
        <v>2016</v>
      </c>
      <c r="B13" s="3">
        <v>0.26192000000000004</v>
      </c>
      <c r="C13" s="3">
        <v>0.19900000000000001</v>
      </c>
      <c r="D13" s="3">
        <f t="shared" si="19"/>
        <v>73.854964424000002</v>
      </c>
      <c r="E13" s="3">
        <v>68.73</v>
      </c>
      <c r="F13" s="3">
        <v>5.1249644239999999</v>
      </c>
      <c r="G13" s="3">
        <v>0.13070552800000002</v>
      </c>
      <c r="H13" s="3">
        <v>36.513660553999998</v>
      </c>
      <c r="I13" s="3">
        <v>10.806547515</v>
      </c>
      <c r="J13" s="3">
        <v>20.603245849999997</v>
      </c>
      <c r="K13" s="3">
        <f t="shared" si="20"/>
        <v>49.439683356119076</v>
      </c>
      <c r="L13" s="3">
        <f t="shared" si="21"/>
        <v>14.632120669586691</v>
      </c>
      <c r="M13" s="3">
        <f t="shared" si="22"/>
        <v>27.896900378581375</v>
      </c>
      <c r="N13" s="3">
        <f t="shared" si="23"/>
        <v>42.529021048168062</v>
      </c>
      <c r="O13" s="3">
        <f t="shared" si="24"/>
        <v>6.9392280721681381</v>
      </c>
      <c r="P13" s="3">
        <v>27.67</v>
      </c>
      <c r="Q13" s="3">
        <v>6.28</v>
      </c>
      <c r="R13" s="3">
        <v>2.0499999999999998</v>
      </c>
      <c r="S13" s="1">
        <f t="shared" si="6"/>
        <v>8.14</v>
      </c>
      <c r="T13" s="1">
        <f t="shared" si="7"/>
        <v>3.86</v>
      </c>
      <c r="U13" s="3">
        <f t="shared" si="0"/>
        <v>3.5971000000000002</v>
      </c>
      <c r="V13" s="3">
        <v>0</v>
      </c>
      <c r="W13" s="3">
        <f t="shared" si="8"/>
        <v>0.26649999999999996</v>
      </c>
      <c r="X13" s="3">
        <f t="shared" si="9"/>
        <v>1.0582</v>
      </c>
      <c r="Y13" s="3">
        <f t="shared" si="10"/>
        <v>0.50180000000000002</v>
      </c>
      <c r="Z13" s="3">
        <f t="shared" si="11"/>
        <v>31.267100000000003</v>
      </c>
      <c r="AA13" s="3">
        <f t="shared" si="12"/>
        <v>2.3164999999999996</v>
      </c>
      <c r="AB13" s="3">
        <f t="shared" si="13"/>
        <v>9.1981999999999999</v>
      </c>
      <c r="AC13" s="3">
        <f t="shared" si="14"/>
        <v>4.3617999999999997</v>
      </c>
      <c r="AD13" s="3">
        <f t="shared" si="1"/>
        <v>53.4236</v>
      </c>
      <c r="AE13" s="3">
        <f t="shared" si="25"/>
        <v>8.5031521563623471</v>
      </c>
      <c r="AF13" s="3">
        <f t="shared" si="2"/>
        <v>13.835000000000001</v>
      </c>
      <c r="AG13" s="3">
        <f t="shared" si="3"/>
        <v>3.14</v>
      </c>
      <c r="AH13" s="3">
        <f t="shared" si="4"/>
        <v>1.0249999999999999</v>
      </c>
      <c r="AI13" s="3">
        <v>4.07</v>
      </c>
      <c r="AJ13" s="3">
        <v>1.93</v>
      </c>
      <c r="AK13" s="3">
        <f t="shared" si="5"/>
        <v>24</v>
      </c>
      <c r="AL13" s="7">
        <v>2.6520529599999998</v>
      </c>
      <c r="AM13" s="7">
        <v>0.74183164999999995</v>
      </c>
      <c r="AN13" s="7">
        <v>3.5572508599999999</v>
      </c>
      <c r="AO13" s="18">
        <f t="shared" si="15"/>
        <v>7.4566629186672477</v>
      </c>
      <c r="AP13" s="3">
        <f t="shared" si="16"/>
        <v>345.37688442211055</v>
      </c>
      <c r="AQ13" s="3">
        <f t="shared" si="17"/>
        <v>363.25251688442211</v>
      </c>
      <c r="AR13" s="18">
        <f t="shared" si="18"/>
        <v>21.918592964824118</v>
      </c>
      <c r="AS13" s="18">
        <f t="shared" si="26"/>
        <v>6.0339824078350617</v>
      </c>
      <c r="AT13" s="18"/>
      <c r="AU13" s="18">
        <f t="shared" si="27"/>
        <v>40.936531199756729</v>
      </c>
      <c r="AV13" s="18"/>
      <c r="AW13" s="18"/>
      <c r="AX13" s="14"/>
      <c r="AY13" s="14"/>
      <c r="AZ13" s="14"/>
      <c r="BA13" s="14"/>
      <c r="BB13" s="14"/>
      <c r="BC13" s="14"/>
      <c r="BD13" s="14"/>
    </row>
    <row r="14" spans="1:150" x14ac:dyDescent="0.25">
      <c r="A14" s="2">
        <f t="shared" si="28"/>
        <v>2017</v>
      </c>
      <c r="B14" s="3">
        <v>0.25341000000000002</v>
      </c>
      <c r="C14" s="3">
        <v>0.20100000000000001</v>
      </c>
      <c r="D14" s="3">
        <f t="shared" si="19"/>
        <v>70.813647926000002</v>
      </c>
      <c r="E14" s="3">
        <v>66.14</v>
      </c>
      <c r="F14" s="3">
        <v>4.673647926000001</v>
      </c>
      <c r="G14" s="3">
        <v>0.43013476300000003</v>
      </c>
      <c r="H14" s="3">
        <v>37.761399709999999</v>
      </c>
      <c r="I14" s="3">
        <v>11.841635827000003</v>
      </c>
      <c r="J14" s="3">
        <v>15.538411476000002</v>
      </c>
      <c r="K14" s="3">
        <f t="shared" si="20"/>
        <v>53.325031001736448</v>
      </c>
      <c r="L14" s="3">
        <f t="shared" si="21"/>
        <v>16.722250828504794</v>
      </c>
      <c r="M14" s="3">
        <f t="shared" si="22"/>
        <v>21.942679033055303</v>
      </c>
      <c r="N14" s="3">
        <f t="shared" si="23"/>
        <v>38.664929861560097</v>
      </c>
      <c r="O14" s="3">
        <f t="shared" si="24"/>
        <v>6.5999253856882865</v>
      </c>
      <c r="P14" s="3">
        <v>25.27</v>
      </c>
      <c r="Q14" s="3">
        <v>6.02</v>
      </c>
      <c r="R14" s="3">
        <v>2.16</v>
      </c>
      <c r="S14" s="1">
        <f t="shared" si="6"/>
        <v>8.64</v>
      </c>
      <c r="T14" s="1">
        <f t="shared" si="7"/>
        <v>3.56</v>
      </c>
      <c r="U14" s="3">
        <f t="shared" si="0"/>
        <v>3.2850999999999999</v>
      </c>
      <c r="V14" s="3">
        <v>0</v>
      </c>
      <c r="W14" s="3">
        <f t="shared" si="8"/>
        <v>0.28080000000000005</v>
      </c>
      <c r="X14" s="3">
        <f t="shared" si="9"/>
        <v>1.1232000000000002</v>
      </c>
      <c r="Y14" s="3">
        <f t="shared" si="10"/>
        <v>0.46280000000000004</v>
      </c>
      <c r="Z14" s="3">
        <f t="shared" si="11"/>
        <v>28.555099999999999</v>
      </c>
      <c r="AA14" s="3">
        <f t="shared" si="12"/>
        <v>2.4408000000000003</v>
      </c>
      <c r="AB14" s="3">
        <f t="shared" si="13"/>
        <v>9.7632000000000012</v>
      </c>
      <c r="AC14" s="3">
        <f t="shared" si="14"/>
        <v>4.0228000000000002</v>
      </c>
      <c r="AD14" s="3">
        <f t="shared" si="1"/>
        <v>50.801900000000003</v>
      </c>
      <c r="AE14" s="3">
        <f t="shared" si="25"/>
        <v>8.5011861079249549</v>
      </c>
      <c r="AF14" s="3">
        <f t="shared" si="2"/>
        <v>12.635</v>
      </c>
      <c r="AG14" s="3">
        <f t="shared" si="3"/>
        <v>3.01</v>
      </c>
      <c r="AH14" s="3">
        <f t="shared" si="4"/>
        <v>1.08</v>
      </c>
      <c r="AI14" s="3">
        <v>4.32</v>
      </c>
      <c r="AJ14" s="3">
        <v>1.78</v>
      </c>
      <c r="AK14" s="3">
        <f t="shared" si="5"/>
        <v>22.824999999999996</v>
      </c>
      <c r="AL14" s="7">
        <v>2.6135391800000001</v>
      </c>
      <c r="AM14" s="7">
        <v>0.87098244999999996</v>
      </c>
      <c r="AN14" s="7">
        <v>3.6197980900000002</v>
      </c>
      <c r="AO14" s="18">
        <f t="shared" si="15"/>
        <v>7.0662956244330219</v>
      </c>
      <c r="AP14" s="3">
        <f t="shared" si="16"/>
        <v>329.05472636815921</v>
      </c>
      <c r="AQ14" s="3">
        <f t="shared" si="17"/>
        <v>347.06367208955226</v>
      </c>
      <c r="AR14" s="18">
        <f t="shared" si="18"/>
        <v>20.013930348258707</v>
      </c>
      <c r="AS14" s="18">
        <f t="shared" si="26"/>
        <v>5.766645131068211</v>
      </c>
      <c r="AT14" s="18">
        <f>72.4+10.4+0.9+0.7</f>
        <v>84.40000000000002</v>
      </c>
      <c r="AU14" s="18">
        <f t="shared" si="27"/>
        <v>44.823844893811497</v>
      </c>
      <c r="AV14" s="18">
        <f>AT14-AU14</f>
        <v>39.576155106188523</v>
      </c>
      <c r="AW14" s="18">
        <f>0.4+6.1</f>
        <v>6.5</v>
      </c>
      <c r="AX14" s="14"/>
      <c r="AY14" s="14"/>
      <c r="AZ14" s="14"/>
      <c r="BA14" s="14"/>
      <c r="BB14" s="14"/>
      <c r="BC14" s="14"/>
      <c r="BD14" s="14"/>
    </row>
    <row r="15" spans="1:150" x14ac:dyDescent="0.25">
      <c r="A15" s="2">
        <f t="shared" si="28"/>
        <v>2018</v>
      </c>
      <c r="B15" s="3">
        <v>0.25059999999999999</v>
      </c>
      <c r="C15" s="3">
        <v>0.192</v>
      </c>
      <c r="D15" s="3">
        <f t="shared" si="19"/>
        <v>70.477605609000008</v>
      </c>
      <c r="E15" s="3">
        <v>67.42</v>
      </c>
      <c r="F15" s="3">
        <v>3.0576056089999999</v>
      </c>
      <c r="G15" s="3">
        <v>0.65209478700000001</v>
      </c>
      <c r="H15" s="3">
        <v>40.397891171000005</v>
      </c>
      <c r="I15" s="3">
        <v>12.168923414000002</v>
      </c>
      <c r="J15" s="3">
        <v>13.726698277000001</v>
      </c>
      <c r="K15" s="3">
        <f t="shared" si="20"/>
        <v>57.320181101386879</v>
      </c>
      <c r="L15" s="3">
        <f t="shared" si="21"/>
        <v>17.266368953439624</v>
      </c>
      <c r="M15" s="3">
        <f t="shared" si="22"/>
        <v>19.476680795817355</v>
      </c>
      <c r="N15" s="3">
        <f t="shared" si="23"/>
        <v>36.743049749256983</v>
      </c>
      <c r="O15" s="3">
        <f t="shared" si="24"/>
        <v>4.3384073317745386</v>
      </c>
      <c r="P15" s="3">
        <v>23.9</v>
      </c>
      <c r="Q15" s="3">
        <v>5.12</v>
      </c>
      <c r="R15" s="3">
        <v>2.0299999999999998</v>
      </c>
      <c r="S15" s="1">
        <f t="shared" si="6"/>
        <v>8.16</v>
      </c>
      <c r="T15" s="1">
        <f t="shared" si="7"/>
        <v>4.54</v>
      </c>
      <c r="U15" s="3">
        <f t="shared" si="0"/>
        <v>3.1069999999999998</v>
      </c>
      <c r="V15" s="3">
        <v>0</v>
      </c>
      <c r="W15" s="3">
        <f t="shared" si="8"/>
        <v>0.26389999999999997</v>
      </c>
      <c r="X15" s="3">
        <f t="shared" si="9"/>
        <v>1.0608</v>
      </c>
      <c r="Y15" s="3">
        <f t="shared" si="10"/>
        <v>0.59020000000000006</v>
      </c>
      <c r="Z15" s="3">
        <f t="shared" si="11"/>
        <v>27.006999999999998</v>
      </c>
      <c r="AA15" s="3">
        <f t="shared" si="12"/>
        <v>2.2938999999999998</v>
      </c>
      <c r="AB15" s="3">
        <f t="shared" si="13"/>
        <v>9.2208000000000006</v>
      </c>
      <c r="AC15" s="3">
        <f t="shared" si="14"/>
        <v>5.1302000000000003</v>
      </c>
      <c r="AD15" s="3">
        <f t="shared" si="1"/>
        <v>48.771900000000002</v>
      </c>
      <c r="AE15" s="3">
        <f t="shared" si="25"/>
        <v>7.2647189923066495</v>
      </c>
      <c r="AF15" s="3">
        <f t="shared" si="2"/>
        <v>11.95</v>
      </c>
      <c r="AG15" s="3">
        <f t="shared" si="3"/>
        <v>2.56</v>
      </c>
      <c r="AH15" s="3">
        <f t="shared" si="4"/>
        <v>1.0149999999999999</v>
      </c>
      <c r="AI15" s="3">
        <v>4.08</v>
      </c>
      <c r="AJ15" s="3">
        <v>2.27</v>
      </c>
      <c r="AK15" s="3">
        <f t="shared" si="5"/>
        <v>21.875</v>
      </c>
      <c r="AL15" s="7">
        <v>2.5226962300000011</v>
      </c>
      <c r="AM15" s="7">
        <v>0.81211951999999998</v>
      </c>
      <c r="AN15" s="7">
        <v>3.4786978</v>
      </c>
      <c r="AO15" s="18">
        <f t="shared" si="15"/>
        <v>4.5351610931474333</v>
      </c>
      <c r="AP15" s="3">
        <f t="shared" si="16"/>
        <v>351.14583333333331</v>
      </c>
      <c r="AQ15" s="3">
        <f t="shared" si="17"/>
        <v>369.26405104166668</v>
      </c>
      <c r="AR15" s="18">
        <f t="shared" si="18"/>
        <v>26.719791666666669</v>
      </c>
      <c r="AS15" s="18">
        <f t="shared" si="26"/>
        <v>7.2359580065517086</v>
      </c>
      <c r="AT15" s="18">
        <f>70.7+10.2+0.9+0.7</f>
        <v>82.500000000000014</v>
      </c>
      <c r="AU15" s="18">
        <f t="shared" si="27"/>
        <v>50.055462109080231</v>
      </c>
      <c r="AV15" s="18">
        <f>AT15-AU15</f>
        <v>32.444537890919783</v>
      </c>
      <c r="AW15" s="18">
        <f>9.6</f>
        <v>9.6</v>
      </c>
      <c r="AX15" s="14"/>
      <c r="AY15" s="14"/>
      <c r="AZ15" s="14"/>
      <c r="BA15" s="14"/>
      <c r="BB15" s="14"/>
      <c r="BC15" s="19">
        <f>28686634/1000</f>
        <v>28686.633999999998</v>
      </c>
      <c r="BD15" s="19">
        <f>11187524/1000</f>
        <v>11187.523999999999</v>
      </c>
      <c r="BE15" s="19"/>
      <c r="BF15" s="19">
        <f>29489845/1000</f>
        <v>29489.845000000001</v>
      </c>
      <c r="BG15" s="19">
        <f>6910494/1000</f>
        <v>6910.4939999999997</v>
      </c>
      <c r="BH15" s="19"/>
      <c r="BI15" s="19">
        <f>15448717/1000</f>
        <v>15448.717000000001</v>
      </c>
      <c r="BJ15" s="19">
        <f>1220266/1000</f>
        <v>1220.2660000000001</v>
      </c>
      <c r="BK15" s="19"/>
      <c r="BL15" s="19"/>
      <c r="BM15" s="19">
        <f>1098884/1000</f>
        <v>1098.884</v>
      </c>
      <c r="BN15" s="19"/>
      <c r="BO15" s="19"/>
      <c r="BP15" s="19">
        <f>135006/1000</f>
        <v>135.006</v>
      </c>
      <c r="BQ15" s="19"/>
      <c r="BR15" s="19"/>
      <c r="BS15" s="19">
        <f>1389024/1000</f>
        <v>1389.0239999999999</v>
      </c>
      <c r="BT15" s="19"/>
      <c r="BU15" s="19"/>
      <c r="BV15" s="19">
        <f>573230/1000</f>
        <v>573.23</v>
      </c>
      <c r="BW15" s="19"/>
      <c r="BX15" s="19"/>
      <c r="BY15" s="19">
        <f>(1826699+565516)/1000</f>
        <v>2392.2150000000001</v>
      </c>
      <c r="BZ15" s="19"/>
      <c r="CA15" s="19"/>
      <c r="CB15" s="19">
        <f>818032/1000</f>
        <v>818.03200000000004</v>
      </c>
      <c r="CC15" s="19"/>
      <c r="CD15" s="19"/>
      <c r="CE15" s="19">
        <f>229533/1000</f>
        <v>229.53299999999999</v>
      </c>
      <c r="CF15" s="19"/>
      <c r="CG15" s="19"/>
      <c r="CH15" s="19">
        <v>0</v>
      </c>
      <c r="CI15" s="19"/>
      <c r="CJ15" s="19"/>
      <c r="CK15" s="19"/>
      <c r="CL15" s="19"/>
      <c r="CM15" s="19"/>
      <c r="CN15" s="19">
        <v>0</v>
      </c>
      <c r="CO15" s="19"/>
      <c r="CP15" s="19"/>
      <c r="CQ15" s="19">
        <f>55557/1000</f>
        <v>55.557000000000002</v>
      </c>
      <c r="CR15" s="19"/>
      <c r="CS15" s="19"/>
      <c r="CT15" s="19">
        <f>47502/1000</f>
        <v>47.502000000000002</v>
      </c>
      <c r="CU15" s="19"/>
      <c r="CV15" s="19"/>
      <c r="CW15" s="19">
        <f>(-8212260-928790)/1000</f>
        <v>-9141.0499999999993</v>
      </c>
      <c r="CX15" s="19"/>
      <c r="CY15" s="19"/>
      <c r="CZ15" s="19">
        <f>-2815765/1000</f>
        <v>-2815.7649999999999</v>
      </c>
      <c r="DA15" s="19"/>
      <c r="DB15" s="19"/>
      <c r="DC15" s="19">
        <f>-801916/1000</f>
        <v>-801.91600000000005</v>
      </c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>
        <f>-58476/1000</f>
        <v>-58.475999999999999</v>
      </c>
      <c r="DP15" s="19"/>
      <c r="DQ15" s="19"/>
      <c r="DR15" s="19">
        <f>-221044/1000</f>
        <v>-221.04400000000001</v>
      </c>
      <c r="DS15" s="19"/>
      <c r="DT15" s="19"/>
      <c r="DU15" s="19">
        <f>3968290/1000</f>
        <v>3968.29</v>
      </c>
      <c r="DV15" s="19"/>
      <c r="DW15" s="19"/>
      <c r="DX15" s="19">
        <f>2215958/1000</f>
        <v>2215.9580000000001</v>
      </c>
      <c r="DY15" s="19"/>
      <c r="DZ15" s="19"/>
      <c r="EA15" s="19">
        <f>113104/1000</f>
        <v>113.104</v>
      </c>
      <c r="EB15" s="19"/>
      <c r="EC15" s="19"/>
      <c r="ED15" s="19"/>
      <c r="EE15" s="19"/>
      <c r="EF15" s="19"/>
      <c r="EG15" s="19">
        <f>1810/1000</f>
        <v>1.81</v>
      </c>
      <c r="EH15" s="19"/>
      <c r="EI15" s="19"/>
      <c r="EJ15" s="19"/>
      <c r="EK15" s="19"/>
      <c r="EL15" s="19"/>
      <c r="EM15" s="19">
        <f>457842/1000</f>
        <v>457.84199999999998</v>
      </c>
      <c r="EN15" s="19"/>
      <c r="EO15" s="19"/>
      <c r="EP15" s="19">
        <f>1887732/1000</f>
        <v>1887.732</v>
      </c>
      <c r="EQ15" s="19"/>
      <c r="ER15" s="19"/>
      <c r="ES15" s="19">
        <f>27983/1000</f>
        <v>27.983000000000001</v>
      </c>
      <c r="ET15" s="19"/>
    </row>
    <row r="16" spans="1:150" x14ac:dyDescent="0.25">
      <c r="A16" s="2">
        <f t="shared" si="28"/>
        <v>2019</v>
      </c>
      <c r="B16" s="3">
        <v>0.19269999999999998</v>
      </c>
      <c r="C16" s="3">
        <v>0.19500000000000001</v>
      </c>
      <c r="D16" s="3">
        <f t="shared" si="19"/>
        <v>58.546495575999998</v>
      </c>
      <c r="E16" s="3">
        <v>54.97</v>
      </c>
      <c r="F16" s="3">
        <v>3.5764955760000001</v>
      </c>
      <c r="G16" s="3">
        <v>0.53637069800000003</v>
      </c>
      <c r="H16" s="3">
        <v>32.020706216000001</v>
      </c>
      <c r="I16" s="3">
        <v>11.781775002</v>
      </c>
      <c r="J16" s="3">
        <v>10.165949845</v>
      </c>
      <c r="K16" s="3">
        <f t="shared" si="20"/>
        <v>54.692780329496394</v>
      </c>
      <c r="L16" s="3">
        <f t="shared" si="21"/>
        <v>20.123792015366519</v>
      </c>
      <c r="M16" s="3">
        <f t="shared" si="22"/>
        <v>17.36389128842638</v>
      </c>
      <c r="N16" s="3">
        <f t="shared" si="23"/>
        <v>37.487683303792899</v>
      </c>
      <c r="O16" s="3">
        <f t="shared" si="24"/>
        <v>6.1088123905850233</v>
      </c>
      <c r="P16" s="3">
        <v>20.149999999999999</v>
      </c>
      <c r="Q16" s="3">
        <v>4.84</v>
      </c>
      <c r="R16" s="3">
        <v>1.59</v>
      </c>
      <c r="S16" s="1">
        <f t="shared" si="6"/>
        <v>8.14</v>
      </c>
      <c r="T16" s="1">
        <f t="shared" si="7"/>
        <v>4.28</v>
      </c>
      <c r="U16" s="3">
        <f t="shared" si="0"/>
        <v>2.6194999999999999</v>
      </c>
      <c r="V16" s="3">
        <v>0</v>
      </c>
      <c r="W16" s="3">
        <f t="shared" si="8"/>
        <v>0.20670000000000002</v>
      </c>
      <c r="X16" s="3">
        <f t="shared" si="9"/>
        <v>1.0582</v>
      </c>
      <c r="Y16" s="3">
        <f t="shared" si="10"/>
        <v>0.55640000000000001</v>
      </c>
      <c r="Z16" s="3">
        <f t="shared" si="11"/>
        <v>22.769499999999997</v>
      </c>
      <c r="AA16" s="3">
        <f t="shared" si="12"/>
        <v>1.7967000000000002</v>
      </c>
      <c r="AB16" s="3">
        <f t="shared" si="13"/>
        <v>9.1981999999999999</v>
      </c>
      <c r="AC16" s="3">
        <f t="shared" si="14"/>
        <v>4.8364000000000003</v>
      </c>
      <c r="AD16" s="3">
        <f t="shared" si="1"/>
        <v>43.440799999999996</v>
      </c>
      <c r="AE16" s="3">
        <f t="shared" si="25"/>
        <v>8.2669337462173651</v>
      </c>
      <c r="AF16" s="3">
        <f t="shared" si="2"/>
        <v>10.074999999999999</v>
      </c>
      <c r="AG16" s="3">
        <f t="shared" si="3"/>
        <v>2.42</v>
      </c>
      <c r="AH16" s="3">
        <f t="shared" si="4"/>
        <v>0.79500000000000004</v>
      </c>
      <c r="AI16" s="3">
        <v>4.07</v>
      </c>
      <c r="AJ16" s="3">
        <v>2.14</v>
      </c>
      <c r="AK16" s="3">
        <f t="shared" si="5"/>
        <v>19.5</v>
      </c>
      <c r="AL16" s="7">
        <v>1.7401565699999999</v>
      </c>
      <c r="AM16" s="7">
        <v>0.61254427</v>
      </c>
      <c r="AN16" s="7">
        <v>2.4524497900000002</v>
      </c>
      <c r="AO16" s="18">
        <f t="shared" si="15"/>
        <v>6.5062681026014184</v>
      </c>
      <c r="AP16" s="3">
        <f t="shared" si="16"/>
        <v>281.89743589743586</v>
      </c>
      <c r="AQ16" s="3">
        <f t="shared" si="17"/>
        <v>294.4741014871795</v>
      </c>
      <c r="AR16" s="18">
        <f t="shared" si="18"/>
        <v>24.802051282051284</v>
      </c>
      <c r="AS16" s="18">
        <f t="shared" si="26"/>
        <v>8.4224898409720037</v>
      </c>
      <c r="AT16" s="18">
        <f>68.2+11.1+0.9+0.9</f>
        <v>81.100000000000009</v>
      </c>
      <c r="AU16" s="18">
        <f t="shared" si="27"/>
        <v>46.425846583279025</v>
      </c>
      <c r="AV16" s="18">
        <f>AT16-AU16</f>
        <v>34.674153416720984</v>
      </c>
      <c r="AW16" s="18">
        <f>10.4</f>
        <v>10.4</v>
      </c>
      <c r="AX16" s="14"/>
      <c r="AY16" s="14"/>
      <c r="AZ16" s="14"/>
      <c r="BA16" s="14"/>
      <c r="BB16" s="14"/>
      <c r="BC16" s="14"/>
      <c r="BD16" s="14"/>
    </row>
    <row r="17" spans="1:150" x14ac:dyDescent="0.25">
      <c r="A17" s="2">
        <f t="shared" si="28"/>
        <v>2020</v>
      </c>
      <c r="B17" s="3">
        <v>0.18105000000000002</v>
      </c>
      <c r="C17" s="3">
        <v>0.20699999999999999</v>
      </c>
      <c r="D17" s="3">
        <f t="shared" si="19"/>
        <v>53.996886566000001</v>
      </c>
      <c r="E17" s="3">
        <v>51.17</v>
      </c>
      <c r="F17" s="3">
        <v>2.8268865660000002</v>
      </c>
      <c r="G17" s="3">
        <v>0.29173733900000004</v>
      </c>
      <c r="H17" s="3">
        <v>31.069373668000001</v>
      </c>
      <c r="I17" s="3">
        <v>11.578180022999998</v>
      </c>
      <c r="J17" s="3">
        <v>7.844382457</v>
      </c>
      <c r="K17" s="3">
        <f t="shared" si="20"/>
        <v>57.539194653425305</v>
      </c>
      <c r="L17" s="3">
        <f t="shared" si="21"/>
        <v>21.442310398485795</v>
      </c>
      <c r="M17" s="3">
        <f t="shared" si="22"/>
        <v>14.527471778232748</v>
      </c>
      <c r="N17" s="3">
        <f t="shared" si="23"/>
        <v>35.969782176718539</v>
      </c>
      <c r="O17" s="3">
        <f t="shared" si="24"/>
        <v>5.235276968320604</v>
      </c>
      <c r="P17" s="3">
        <v>18.27</v>
      </c>
      <c r="Q17" s="3">
        <v>2.73</v>
      </c>
      <c r="R17" s="3">
        <v>1.1200000000000001</v>
      </c>
      <c r="S17" s="1">
        <f t="shared" si="6"/>
        <v>7.7</v>
      </c>
      <c r="T17" s="1">
        <f t="shared" si="7"/>
        <v>4.74</v>
      </c>
      <c r="U17" s="3">
        <f t="shared" si="0"/>
        <v>2.3751000000000002</v>
      </c>
      <c r="V17" s="3">
        <v>0</v>
      </c>
      <c r="W17" s="3">
        <f t="shared" si="8"/>
        <v>0.14560000000000001</v>
      </c>
      <c r="X17" s="3">
        <f t="shared" si="9"/>
        <v>1.0010000000000001</v>
      </c>
      <c r="Y17" s="3">
        <f t="shared" si="10"/>
        <v>0.61620000000000008</v>
      </c>
      <c r="Z17" s="3">
        <f t="shared" si="11"/>
        <v>20.645099999999999</v>
      </c>
      <c r="AA17" s="3">
        <f t="shared" si="12"/>
        <v>1.2656000000000001</v>
      </c>
      <c r="AB17" s="3">
        <f t="shared" si="13"/>
        <v>8.7010000000000005</v>
      </c>
      <c r="AC17" s="3">
        <f t="shared" si="14"/>
        <v>5.3562000000000003</v>
      </c>
      <c r="AD17" s="3">
        <f t="shared" si="1"/>
        <v>38.697900000000004</v>
      </c>
      <c r="AE17" s="3">
        <f t="shared" si="25"/>
        <v>5.055847056409708</v>
      </c>
      <c r="AF17" s="3">
        <f t="shared" si="2"/>
        <v>9.1349999999999998</v>
      </c>
      <c r="AG17" s="3">
        <f t="shared" si="3"/>
        <v>1.365</v>
      </c>
      <c r="AH17" s="3">
        <f t="shared" si="4"/>
        <v>0.56000000000000005</v>
      </c>
      <c r="AI17" s="3">
        <v>3.85</v>
      </c>
      <c r="AJ17" s="3">
        <v>2.37</v>
      </c>
      <c r="AK17" s="3">
        <f t="shared" si="5"/>
        <v>17.28</v>
      </c>
      <c r="AL17" s="7">
        <v>1.7974759600000001</v>
      </c>
      <c r="AM17" s="7">
        <v>0.59840740999999986</v>
      </c>
      <c r="AN17" s="7">
        <v>2.5376691600000001</v>
      </c>
      <c r="AO17" s="18">
        <f t="shared" si="15"/>
        <v>5.524499835841314</v>
      </c>
      <c r="AP17" s="3">
        <f t="shared" si="16"/>
        <v>247.19806763285027</v>
      </c>
      <c r="AQ17" s="3">
        <f t="shared" si="17"/>
        <v>259.45733893719807</v>
      </c>
      <c r="AR17" s="18">
        <f t="shared" si="18"/>
        <v>25.875362318840583</v>
      </c>
      <c r="AS17" s="18">
        <f t="shared" si="26"/>
        <v>9.9728774005131307</v>
      </c>
      <c r="AT17" s="18">
        <f>69.4+1+2.6+9.7</f>
        <v>82.7</v>
      </c>
      <c r="AU17" s="18">
        <f t="shared" si="27"/>
        <v>52.483347597015594</v>
      </c>
      <c r="AV17" s="18">
        <f>AT17-AU17</f>
        <v>30.216652402984408</v>
      </c>
      <c r="AW17" s="18">
        <f>N17-AV17</f>
        <v>5.7531297737341305</v>
      </c>
      <c r="AX17" s="14">
        <v>46.5</v>
      </c>
      <c r="AY17" s="14">
        <v>35.6</v>
      </c>
      <c r="AZ17" s="14">
        <v>16</v>
      </c>
      <c r="BA17" s="14">
        <f>4/5*100</f>
        <v>80</v>
      </c>
      <c r="BB17" s="14">
        <f>1/5*100</f>
        <v>20</v>
      </c>
      <c r="BC17" s="14"/>
      <c r="BD17" s="14"/>
    </row>
    <row r="18" spans="1:150" x14ac:dyDescent="0.25">
      <c r="A18" s="2">
        <f t="shared" si="28"/>
        <v>2021</v>
      </c>
      <c r="B18" s="3">
        <v>0.14249000000000001</v>
      </c>
      <c r="C18" s="3">
        <v>0.189</v>
      </c>
      <c r="D18" s="3">
        <f t="shared" si="19"/>
        <v>56.959129177000001</v>
      </c>
      <c r="E18" s="3">
        <v>53.67</v>
      </c>
      <c r="F18" s="3">
        <v>3.289129177</v>
      </c>
      <c r="G18" s="3">
        <v>0.40061039100000001</v>
      </c>
      <c r="H18" s="3">
        <v>33.246421939000001</v>
      </c>
      <c r="I18" s="3">
        <v>12.22175086</v>
      </c>
      <c r="J18" s="3">
        <v>7.4925597589999997</v>
      </c>
      <c r="K18" s="3">
        <f t="shared" si="20"/>
        <v>58.368908407442518</v>
      </c>
      <c r="L18" s="3">
        <f t="shared" si="21"/>
        <v>21.457053569096914</v>
      </c>
      <c r="M18" s="3">
        <f t="shared" si="22"/>
        <v>13.154273717417512</v>
      </c>
      <c r="N18" s="3">
        <f t="shared" si="23"/>
        <v>34.611327286514424</v>
      </c>
      <c r="O18" s="3">
        <f t="shared" si="24"/>
        <v>5.7745425966381259</v>
      </c>
      <c r="P18" s="3">
        <v>18.82</v>
      </c>
      <c r="Q18" s="3">
        <v>4.28</v>
      </c>
      <c r="R18" s="3">
        <v>1.18</v>
      </c>
      <c r="S18" s="1">
        <f t="shared" si="6"/>
        <v>7</v>
      </c>
      <c r="T18" s="1">
        <f t="shared" si="7"/>
        <v>4.74</v>
      </c>
      <c r="U18" s="3">
        <f t="shared" si="0"/>
        <v>2.4466000000000001</v>
      </c>
      <c r="V18" s="3">
        <v>0</v>
      </c>
      <c r="W18" s="3">
        <f t="shared" si="8"/>
        <v>0.15340000000000001</v>
      </c>
      <c r="X18" s="3">
        <f t="shared" si="9"/>
        <v>0.91</v>
      </c>
      <c r="Y18" s="3">
        <f t="shared" si="10"/>
        <v>0.61620000000000008</v>
      </c>
      <c r="Z18" s="3">
        <f t="shared" si="11"/>
        <v>21.2666</v>
      </c>
      <c r="AA18" s="3">
        <f t="shared" si="12"/>
        <v>1.3333999999999999</v>
      </c>
      <c r="AB18" s="3">
        <f t="shared" si="13"/>
        <v>7.91</v>
      </c>
      <c r="AC18" s="3">
        <f t="shared" si="14"/>
        <v>5.3562000000000003</v>
      </c>
      <c r="AD18" s="3">
        <f t="shared" si="1"/>
        <v>40.146199999999993</v>
      </c>
      <c r="AE18" s="3">
        <f t="shared" si="25"/>
        <v>7.5141598227387529</v>
      </c>
      <c r="AF18" s="3">
        <f t="shared" si="2"/>
        <v>9.41</v>
      </c>
      <c r="AG18" s="3">
        <f t="shared" si="3"/>
        <v>2.14</v>
      </c>
      <c r="AH18" s="3">
        <f t="shared" si="4"/>
        <v>0.59</v>
      </c>
      <c r="AI18" s="3">
        <v>3.5</v>
      </c>
      <c r="AJ18" s="3">
        <v>2.37</v>
      </c>
      <c r="AK18" s="3">
        <f t="shared" si="5"/>
        <v>18.010000000000002</v>
      </c>
      <c r="AL18" s="3"/>
      <c r="AM18" s="3"/>
      <c r="AN18" s="3"/>
      <c r="AO18" s="18">
        <f t="shared" si="15"/>
        <v>6.1284314831376934</v>
      </c>
      <c r="AP18" s="3">
        <f t="shared" si="16"/>
        <v>283.96825396825398</v>
      </c>
      <c r="AQ18" s="3">
        <f t="shared" si="17"/>
        <v>283.96825396825398</v>
      </c>
      <c r="AR18" s="18">
        <f t="shared" si="18"/>
        <v>28.339682539682542</v>
      </c>
      <c r="AS18" s="18">
        <f t="shared" si="26"/>
        <v>9.9798770262716605</v>
      </c>
      <c r="AT18" s="18"/>
      <c r="AU18" s="18">
        <f t="shared" si="27"/>
        <v>50.854748584703763</v>
      </c>
      <c r="AV18" s="18"/>
      <c r="AW18" s="18"/>
      <c r="AX18" s="14"/>
      <c r="AY18" s="15"/>
      <c r="AZ18" s="14"/>
      <c r="BA18" s="14"/>
      <c r="BB18" s="14"/>
      <c r="BC18" s="14"/>
      <c r="BD18" s="14"/>
    </row>
    <row r="19" spans="1:150" s="12" customFormat="1" x14ac:dyDescent="0.25">
      <c r="A19" s="10" t="s">
        <v>1</v>
      </c>
      <c r="B19" s="11">
        <f>AVERAGE(B2:B18)</f>
        <v>0.23966117647058821</v>
      </c>
      <c r="C19" s="11">
        <f>AVERAGE(C2:C18)</f>
        <v>0.18933333333333335</v>
      </c>
      <c r="D19" s="11">
        <f t="shared" ref="D19" si="29">AVERAGE(D2:D18)</f>
        <v>68.092420147533332</v>
      </c>
      <c r="E19" s="11">
        <f t="shared" ref="E19:AZ19" si="30">AVERAGE(E2:E18)</f>
        <v>64.374399999999994</v>
      </c>
      <c r="F19" s="11">
        <f>AVERAGE(F2:F18)</f>
        <v>3.7180201475333332</v>
      </c>
      <c r="G19" s="11">
        <f t="shared" si="30"/>
        <v>0.27175922899999999</v>
      </c>
      <c r="H19" s="11">
        <f t="shared" si="30"/>
        <v>36.399482528333337</v>
      </c>
      <c r="I19" s="11">
        <f t="shared" si="30"/>
        <v>13.3536975952</v>
      </c>
      <c r="J19" s="11">
        <f t="shared" si="30"/>
        <v>13.709595275933333</v>
      </c>
      <c r="K19" s="17">
        <f t="shared" si="30"/>
        <v>53.662396394443569</v>
      </c>
      <c r="L19" s="17">
        <f t="shared" si="30"/>
        <v>20.121101125914585</v>
      </c>
      <c r="M19" s="17">
        <f t="shared" si="30"/>
        <v>19.417674250216255</v>
      </c>
      <c r="N19" s="17">
        <f t="shared" ref="N19" si="31">AVERAGE(N2:N18)</f>
        <v>39.538775376130843</v>
      </c>
      <c r="O19" s="17">
        <f t="shared" si="30"/>
        <v>5.4547291541230232</v>
      </c>
      <c r="P19" s="11">
        <f t="shared" si="30"/>
        <v>24.309411764705878</v>
      </c>
      <c r="Q19" s="11">
        <f>AVERAGE(Q2:Q18)</f>
        <v>4.7164705882352953</v>
      </c>
      <c r="R19" s="11">
        <f t="shared" ref="R19:AD19" si="32">AVERAGE(R2:R18)</f>
        <v>1.7823529411764707</v>
      </c>
      <c r="S19" s="11">
        <f t="shared" si="32"/>
        <v>8.2447058823529407</v>
      </c>
      <c r="T19" s="11">
        <f t="shared" si="32"/>
        <v>2.6470588235294117</v>
      </c>
      <c r="U19" s="11">
        <f t="shared" si="32"/>
        <v>3.1602235294117644</v>
      </c>
      <c r="V19" s="11">
        <f t="shared" si="32"/>
        <v>0</v>
      </c>
      <c r="W19" s="11">
        <f t="shared" si="32"/>
        <v>0.23170588235294121</v>
      </c>
      <c r="X19" s="11">
        <f t="shared" si="32"/>
        <v>1.0718117647058825</v>
      </c>
      <c r="Y19" s="11">
        <f t="shared" si="32"/>
        <v>0.34411764705882358</v>
      </c>
      <c r="Z19" s="11">
        <f t="shared" si="32"/>
        <v>27.469635294117648</v>
      </c>
      <c r="AA19" s="11">
        <f t="shared" si="32"/>
        <v>2.0140588235294121</v>
      </c>
      <c r="AB19" s="11">
        <f t="shared" si="32"/>
        <v>9.3165176470588218</v>
      </c>
      <c r="AC19" s="11">
        <f>AVERAGE(AC2:AC18)</f>
        <v>2.9911764705882353</v>
      </c>
      <c r="AD19" s="11">
        <f t="shared" si="32"/>
        <v>46.507858823529403</v>
      </c>
      <c r="AE19" s="17">
        <f t="shared" ref="AE19" si="33">AVERAGE(AE2:AE18)</f>
        <v>6.8979596866944624</v>
      </c>
      <c r="AF19" s="11">
        <f t="shared" si="30"/>
        <v>12.154705882352939</v>
      </c>
      <c r="AG19" s="11">
        <f t="shared" si="30"/>
        <v>2.3582352941176477</v>
      </c>
      <c r="AH19" s="11">
        <f t="shared" si="30"/>
        <v>0.89117647058823535</v>
      </c>
      <c r="AI19" s="11">
        <f>AVERAGE(AI2:AI18)</f>
        <v>4.1223529411764703</v>
      </c>
      <c r="AJ19" s="11">
        <f t="shared" si="30"/>
        <v>1.3235294117647058</v>
      </c>
      <c r="AK19" s="11">
        <f t="shared" si="30"/>
        <v>20.849999999999994</v>
      </c>
      <c r="AL19" s="11">
        <f t="shared" si="30"/>
        <v>2.0905484078571428</v>
      </c>
      <c r="AM19" s="11">
        <f t="shared" si="30"/>
        <v>0.6469714757142857</v>
      </c>
      <c r="AN19" s="11">
        <f t="shared" si="30"/>
        <v>2.8892456778571431</v>
      </c>
      <c r="AO19" s="11">
        <f>AVERAGE(AO2:AO18)</f>
        <v>5.7780667834392849</v>
      </c>
      <c r="AP19" s="11">
        <f t="shared" si="30"/>
        <v>342.30730390915801</v>
      </c>
      <c r="AQ19" s="11">
        <f t="shared" si="30"/>
        <v>356.45503397150969</v>
      </c>
      <c r="AR19" s="11">
        <f t="shared" si="30"/>
        <v>17.055685764521638</v>
      </c>
      <c r="AS19" s="11">
        <f t="shared" si="30"/>
        <v>5.0514232427164805</v>
      </c>
      <c r="AT19" s="17">
        <f t="shared" ref="AT19" si="34">AVERAGE(AT2:AT18)</f>
        <v>82.740000000000009</v>
      </c>
      <c r="AU19" s="17">
        <f t="shared" si="30"/>
        <v>46.76443670774912</v>
      </c>
      <c r="AV19" s="17">
        <f t="shared" ref="AV19:AW19" si="35">AVERAGE(AV2:AV18)</f>
        <v>35.992658125609722</v>
      </c>
      <c r="AW19" s="17">
        <f t="shared" si="35"/>
        <v>8.1706259547468267</v>
      </c>
      <c r="AX19" s="11">
        <f t="shared" si="30"/>
        <v>46.5</v>
      </c>
      <c r="AY19" s="11">
        <f t="shared" si="30"/>
        <v>35.6</v>
      </c>
      <c r="AZ19" s="11">
        <f t="shared" si="30"/>
        <v>16</v>
      </c>
      <c r="BA19" s="16"/>
      <c r="BB19" s="16"/>
      <c r="BC19" s="16"/>
      <c r="BD19" s="16"/>
      <c r="BE19" s="13"/>
      <c r="BF19" s="13"/>
      <c r="BG19" s="13"/>
    </row>
    <row r="20" spans="1:150" x14ac:dyDescent="0.25">
      <c r="A20" t="s">
        <v>2</v>
      </c>
      <c r="B20" t="s">
        <v>14</v>
      </c>
      <c r="C20" t="s">
        <v>16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11</v>
      </c>
      <c r="L20" t="s">
        <v>11</v>
      </c>
      <c r="M20" t="s">
        <v>11</v>
      </c>
      <c r="N20" t="s">
        <v>11</v>
      </c>
      <c r="O20" t="s">
        <v>11</v>
      </c>
      <c r="P20" t="s">
        <v>4</v>
      </c>
      <c r="Q20" t="s">
        <v>4</v>
      </c>
      <c r="R20" t="s">
        <v>4</v>
      </c>
      <c r="S20" t="s">
        <v>4</v>
      </c>
      <c r="T20" t="s">
        <v>4</v>
      </c>
      <c r="U20" t="s">
        <v>4</v>
      </c>
      <c r="V20" t="s">
        <v>4</v>
      </c>
      <c r="W20" t="s">
        <v>4</v>
      </c>
      <c r="X20" t="s">
        <v>4</v>
      </c>
      <c r="Y20" t="s">
        <v>11</v>
      </c>
      <c r="Z20" t="s">
        <v>11</v>
      </c>
      <c r="AA20" t="s">
        <v>11</v>
      </c>
      <c r="AB20" t="s">
        <v>11</v>
      </c>
      <c r="AC20" s="3" t="s">
        <v>11</v>
      </c>
      <c r="AD20" s="3" t="s">
        <v>11</v>
      </c>
      <c r="AE20" s="3" t="s">
        <v>11</v>
      </c>
      <c r="AF20" t="s">
        <v>11</v>
      </c>
      <c r="AG20" t="s">
        <v>11</v>
      </c>
      <c r="AH20" t="s">
        <v>11</v>
      </c>
      <c r="AI20" t="s">
        <v>11</v>
      </c>
      <c r="AJ20" t="s">
        <v>11</v>
      </c>
      <c r="AK20" t="s">
        <v>11</v>
      </c>
      <c r="AL20" s="1" t="s">
        <v>9</v>
      </c>
      <c r="AM20" s="1" t="s">
        <v>9</v>
      </c>
      <c r="AN20" s="1" t="s">
        <v>9</v>
      </c>
      <c r="AO20" s="1" t="s">
        <v>11</v>
      </c>
      <c r="AP20" s="1" t="s">
        <v>11</v>
      </c>
      <c r="AQ20" s="1" t="s">
        <v>11</v>
      </c>
      <c r="AR20" s="1" t="s">
        <v>11</v>
      </c>
      <c r="AS20" s="1" t="s">
        <v>11</v>
      </c>
      <c r="AT20" s="15" t="s">
        <v>19</v>
      </c>
      <c r="AU20" s="15" t="s">
        <v>11</v>
      </c>
      <c r="AV20" s="15" t="s">
        <v>11</v>
      </c>
      <c r="AW20" s="15" t="s">
        <v>11</v>
      </c>
      <c r="AX20" s="15" t="s">
        <v>19</v>
      </c>
      <c r="AY20" s="15" t="s">
        <v>19</v>
      </c>
      <c r="AZ20" s="15" t="s">
        <v>19</v>
      </c>
      <c r="BA20" s="15" t="s">
        <v>19</v>
      </c>
      <c r="BB20" s="15" t="s">
        <v>19</v>
      </c>
      <c r="BC20" s="14" t="s">
        <v>163</v>
      </c>
      <c r="BD20" s="14" t="s">
        <v>163</v>
      </c>
      <c r="BE20" s="14" t="s">
        <v>163</v>
      </c>
      <c r="BF20" s="14" t="s">
        <v>163</v>
      </c>
      <c r="BG20" s="14" t="s">
        <v>163</v>
      </c>
      <c r="BH20" s="14" t="s">
        <v>163</v>
      </c>
      <c r="BI20" s="14" t="s">
        <v>163</v>
      </c>
      <c r="BJ20" s="14" t="s">
        <v>163</v>
      </c>
      <c r="BK20" s="14" t="s">
        <v>163</v>
      </c>
      <c r="BL20" s="14" t="s">
        <v>163</v>
      </c>
      <c r="BM20" s="14" t="s">
        <v>163</v>
      </c>
      <c r="BN20" s="14" t="s">
        <v>163</v>
      </c>
      <c r="BO20" s="14" t="s">
        <v>163</v>
      </c>
      <c r="BP20" s="14" t="s">
        <v>163</v>
      </c>
      <c r="BQ20" s="14" t="s">
        <v>163</v>
      </c>
      <c r="BR20" s="14" t="s">
        <v>163</v>
      </c>
      <c r="BS20" s="14" t="s">
        <v>163</v>
      </c>
      <c r="BT20" s="14" t="s">
        <v>163</v>
      </c>
      <c r="BU20" s="14" t="s">
        <v>163</v>
      </c>
      <c r="BV20" s="14" t="s">
        <v>163</v>
      </c>
      <c r="BW20" s="14" t="s">
        <v>163</v>
      </c>
      <c r="BX20" s="14" t="s">
        <v>163</v>
      </c>
      <c r="BY20" s="14" t="s">
        <v>163</v>
      </c>
      <c r="BZ20" s="14" t="s">
        <v>163</v>
      </c>
      <c r="CA20" s="14" t="s">
        <v>163</v>
      </c>
      <c r="CB20" s="14" t="s">
        <v>163</v>
      </c>
      <c r="CC20" s="14" t="s">
        <v>163</v>
      </c>
      <c r="CD20" s="14" t="s">
        <v>163</v>
      </c>
      <c r="CE20" s="14" t="s">
        <v>163</v>
      </c>
      <c r="CF20" s="14" t="s">
        <v>163</v>
      </c>
      <c r="CG20" s="14" t="s">
        <v>163</v>
      </c>
      <c r="CH20" s="14" t="s">
        <v>163</v>
      </c>
      <c r="CI20" s="14" t="s">
        <v>163</v>
      </c>
      <c r="CJ20" s="14" t="s">
        <v>163</v>
      </c>
      <c r="CK20" s="14" t="s">
        <v>163</v>
      </c>
      <c r="CL20" s="14" t="s">
        <v>163</v>
      </c>
      <c r="CM20" s="14" t="s">
        <v>163</v>
      </c>
      <c r="CN20" s="14" t="s">
        <v>163</v>
      </c>
      <c r="CO20" s="14" t="s">
        <v>163</v>
      </c>
      <c r="CP20" s="14" t="s">
        <v>163</v>
      </c>
      <c r="CQ20" s="14" t="s">
        <v>163</v>
      </c>
      <c r="CR20" s="14" t="s">
        <v>163</v>
      </c>
      <c r="CS20" s="14" t="s">
        <v>163</v>
      </c>
      <c r="CT20" s="14" t="s">
        <v>163</v>
      </c>
      <c r="CU20" s="14" t="s">
        <v>163</v>
      </c>
      <c r="CV20" s="14" t="s">
        <v>163</v>
      </c>
      <c r="CW20" s="14" t="s">
        <v>163</v>
      </c>
      <c r="CX20" s="14" t="s">
        <v>163</v>
      </c>
      <c r="CY20" s="14" t="s">
        <v>163</v>
      </c>
      <c r="CZ20" s="14" t="s">
        <v>163</v>
      </c>
      <c r="DA20" s="14" t="s">
        <v>163</v>
      </c>
      <c r="DB20" s="14" t="s">
        <v>163</v>
      </c>
      <c r="DC20" s="14" t="s">
        <v>163</v>
      </c>
      <c r="DD20" s="14" t="s">
        <v>163</v>
      </c>
      <c r="DE20" s="14" t="s">
        <v>163</v>
      </c>
      <c r="DF20" s="14" t="s">
        <v>163</v>
      </c>
      <c r="DG20" s="14" t="s">
        <v>163</v>
      </c>
      <c r="DH20" s="14" t="s">
        <v>163</v>
      </c>
      <c r="DI20" s="14" t="s">
        <v>163</v>
      </c>
      <c r="DJ20" s="14" t="s">
        <v>163</v>
      </c>
      <c r="DK20" s="14" t="s">
        <v>163</v>
      </c>
      <c r="DL20" s="14" t="s">
        <v>163</v>
      </c>
      <c r="DM20" s="14" t="s">
        <v>163</v>
      </c>
      <c r="DN20" s="14" t="s">
        <v>163</v>
      </c>
      <c r="DO20" s="14" t="s">
        <v>163</v>
      </c>
      <c r="DP20" s="14" t="s">
        <v>163</v>
      </c>
      <c r="DQ20" s="14" t="s">
        <v>163</v>
      </c>
      <c r="DR20" s="14" t="s">
        <v>163</v>
      </c>
      <c r="DS20" s="14" t="s">
        <v>163</v>
      </c>
      <c r="DT20" s="14" t="s">
        <v>163</v>
      </c>
      <c r="DU20" s="14" t="s">
        <v>163</v>
      </c>
      <c r="DV20" s="14" t="s">
        <v>163</v>
      </c>
      <c r="DW20" s="14" t="s">
        <v>163</v>
      </c>
      <c r="DX20" s="14" t="s">
        <v>163</v>
      </c>
      <c r="DY20" s="14" t="s">
        <v>163</v>
      </c>
      <c r="DZ20" s="14" t="s">
        <v>163</v>
      </c>
      <c r="EA20" s="14" t="s">
        <v>163</v>
      </c>
      <c r="EB20" s="14" t="s">
        <v>163</v>
      </c>
      <c r="EC20" s="14" t="s">
        <v>163</v>
      </c>
      <c r="ED20" s="14" t="s">
        <v>163</v>
      </c>
      <c r="EE20" s="14" t="s">
        <v>163</v>
      </c>
      <c r="EF20" s="14" t="s">
        <v>163</v>
      </c>
      <c r="EG20" s="14" t="s">
        <v>163</v>
      </c>
      <c r="EH20" s="14" t="s">
        <v>163</v>
      </c>
      <c r="EI20" s="14" t="s">
        <v>163</v>
      </c>
      <c r="EJ20" s="14" t="s">
        <v>163</v>
      </c>
      <c r="EK20" s="14" t="s">
        <v>163</v>
      </c>
      <c r="EL20" s="14" t="s">
        <v>163</v>
      </c>
      <c r="EM20" s="14" t="s">
        <v>163</v>
      </c>
      <c r="EN20" s="14" t="s">
        <v>163</v>
      </c>
      <c r="EO20" s="14" t="s">
        <v>163</v>
      </c>
      <c r="EP20" s="14" t="s">
        <v>163</v>
      </c>
      <c r="EQ20" s="14" t="s">
        <v>163</v>
      </c>
      <c r="ER20" s="14" t="s">
        <v>163</v>
      </c>
      <c r="ES20" s="14" t="s">
        <v>163</v>
      </c>
      <c r="ET20" s="14" t="s">
        <v>163</v>
      </c>
    </row>
    <row r="21" spans="1:150" x14ac:dyDescent="0.25">
      <c r="A21" t="s">
        <v>13</v>
      </c>
      <c r="B21" t="s">
        <v>17</v>
      </c>
      <c r="C21" t="s">
        <v>15</v>
      </c>
      <c r="U21" t="s">
        <v>18</v>
      </c>
      <c r="AR21" s="14"/>
      <c r="AS21" s="15"/>
      <c r="AT21" s="15"/>
      <c r="AU21" s="15"/>
      <c r="AV21" s="15"/>
      <c r="AW21" s="15"/>
      <c r="AX21" s="15"/>
      <c r="AY21" s="15"/>
      <c r="AZ21" s="14"/>
      <c r="BA21" s="14"/>
      <c r="BB21" s="14"/>
      <c r="BC21" s="14"/>
      <c r="BD21" s="14"/>
    </row>
    <row r="22" spans="1:150" x14ac:dyDescent="0.25">
      <c r="AR22" s="14"/>
      <c r="AS22" s="15"/>
      <c r="AT22" s="15"/>
      <c r="AU22" s="15"/>
      <c r="AV22" s="15"/>
      <c r="AW22" s="15"/>
      <c r="AX22" s="15"/>
      <c r="AY22" s="15"/>
      <c r="AZ22" s="14"/>
      <c r="BA22" s="14"/>
      <c r="BB22" s="14"/>
      <c r="BC22" s="14"/>
      <c r="BD22" s="14"/>
    </row>
    <row r="23" spans="1:150" x14ac:dyDescent="0.25"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</row>
    <row r="24" spans="1:150" x14ac:dyDescent="0.25"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736-3FA3-492A-AAA6-55F65EB4CDF9}">
  <dimension ref="A1:U37"/>
  <sheetViews>
    <sheetView zoomScaleNormal="100" workbookViewId="0">
      <selection activeCell="J38" sqref="J38"/>
    </sheetView>
  </sheetViews>
  <sheetFormatPr defaultRowHeight="15" x14ac:dyDescent="0.25"/>
  <cols>
    <col min="1" max="1" width="2.140625" customWidth="1"/>
  </cols>
  <sheetData>
    <row r="1" spans="1:2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 spans="1:2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spans="1:21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5" spans="1:21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1:21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1" x14ac:dyDescent="0.2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spans="1:21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</row>
    <row r="10" spans="1:21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</row>
    <row r="11" spans="1:21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 spans="1:21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</row>
    <row r="13" spans="1:21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 spans="1:21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</row>
    <row r="15" spans="1:21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6" spans="1:2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  <row r="17" spans="1:21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</row>
    <row r="18" spans="1:21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</row>
    <row r="19" spans="1:21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</row>
    <row r="20" spans="1:21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</row>
    <row r="21" spans="1:21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</row>
    <row r="22" spans="1:21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</row>
    <row r="23" spans="1:21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</row>
    <row r="24" spans="1:21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</row>
    <row r="25" spans="1:21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</row>
    <row r="26" spans="1:21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</row>
    <row r="27" spans="1:21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</row>
    <row r="28" spans="1:21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</row>
    <row r="29" spans="1:21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</row>
    <row r="30" spans="1:21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</row>
    <row r="31" spans="1:21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</row>
    <row r="32" spans="1:21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</row>
    <row r="33" spans="1:21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</row>
    <row r="34" spans="1:21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  <row r="35" spans="1:21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</row>
    <row r="36" spans="1:21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</row>
    <row r="37" spans="1:21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Series</vt:lpstr>
      <vt:lpstr>Fibre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2022-10-09T15:21:33Z</dcterms:created>
  <dcterms:modified xsi:type="dcterms:W3CDTF">2023-01-24T13:51:22Z</dcterms:modified>
</cp:coreProperties>
</file>