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Data\Nutrient Addition Experiments Database\"/>
    </mc:Choice>
  </mc:AlternateContent>
  <xr:revisionPtr revIDLastSave="0" documentId="13_ncr:1_{3939F19B-7D1F-406B-873E-54451554BA21}" xr6:coauthVersionLast="46" xr6:coauthVersionMax="46" xr10:uidLastSave="{00000000-0000-0000-0000-000000000000}"/>
  <bookViews>
    <workbookView xWindow="828" yWindow="-108" windowWidth="22320" windowHeight="13176" xr2:uid="{1E81D065-865C-4E4F-B119-59A43652556F}"/>
  </bookViews>
  <sheets>
    <sheet name="From Artic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0" i="1" l="1"/>
  <c r="F140" i="1"/>
  <c r="H140" i="1" s="1"/>
  <c r="D140" i="1"/>
  <c r="G139" i="1"/>
  <c r="F139" i="1"/>
  <c r="H139" i="1" s="1"/>
  <c r="E139" i="1"/>
  <c r="D139" i="1"/>
  <c r="H138" i="1"/>
  <c r="F138" i="1"/>
  <c r="H137" i="1"/>
  <c r="G137" i="1"/>
  <c r="F137" i="1"/>
  <c r="E137" i="1"/>
  <c r="D137" i="1"/>
  <c r="B137" i="1"/>
  <c r="H136" i="1"/>
  <c r="G136" i="1"/>
  <c r="F136" i="1"/>
  <c r="B136" i="1"/>
  <c r="G135" i="1"/>
  <c r="F135" i="1"/>
  <c r="H135" i="1" s="1"/>
  <c r="B135" i="1"/>
  <c r="D129" i="1"/>
  <c r="E129" i="1" s="1"/>
  <c r="D128" i="1"/>
  <c r="D127" i="1"/>
  <c r="D126" i="1"/>
  <c r="D125" i="1"/>
  <c r="D124" i="1"/>
  <c r="F125" i="1" s="1"/>
  <c r="K129" i="1"/>
  <c r="K128" i="1"/>
  <c r="K127" i="1"/>
  <c r="K126" i="1"/>
  <c r="M127" i="1" s="1"/>
  <c r="K125" i="1"/>
  <c r="L125" i="1" s="1"/>
  <c r="K124" i="1"/>
  <c r="M125" i="1"/>
  <c r="F129" i="1"/>
  <c r="E127" i="1"/>
  <c r="E125" i="1"/>
  <c r="I119" i="1"/>
  <c r="I118" i="1"/>
  <c r="I117" i="1"/>
  <c r="I116" i="1"/>
  <c r="H119" i="1"/>
  <c r="H118" i="1"/>
  <c r="H117" i="1"/>
  <c r="H116" i="1"/>
  <c r="G119" i="1"/>
  <c r="G118" i="1"/>
  <c r="G117" i="1"/>
  <c r="G116" i="1"/>
  <c r="E119" i="1"/>
  <c r="E118" i="1"/>
  <c r="E117" i="1"/>
  <c r="E116" i="1"/>
  <c r="C109" i="1"/>
  <c r="B109" i="1"/>
  <c r="C108" i="1"/>
  <c r="C107" i="1"/>
  <c r="C106" i="1"/>
  <c r="C105" i="1"/>
  <c r="F127" i="1" l="1"/>
  <c r="M129" i="1"/>
  <c r="L129" i="1"/>
  <c r="L127" i="1"/>
  <c r="C101" i="1"/>
  <c r="D101" i="1" s="1"/>
  <c r="C100" i="1"/>
  <c r="D100" i="1" s="1"/>
  <c r="B101" i="1"/>
  <c r="B100" i="1"/>
  <c r="C99" i="1"/>
  <c r="D99" i="1" s="1"/>
  <c r="B99" i="1"/>
  <c r="D88" i="1"/>
  <c r="D87" i="1"/>
  <c r="E88" i="1" l="1"/>
  <c r="E87" i="1"/>
  <c r="C89" i="1"/>
  <c r="B89" i="1"/>
  <c r="D89" i="1" l="1"/>
  <c r="E89" i="1"/>
  <c r="B79" i="1" l="1"/>
  <c r="A70" i="1"/>
  <c r="A71" i="1" s="1"/>
  <c r="A72" i="1" s="1"/>
  <c r="A73" i="1" s="1"/>
  <c r="A74" i="1" s="1"/>
  <c r="A75" i="1" s="1"/>
  <c r="A76" i="1" s="1"/>
  <c r="A77" i="1" s="1"/>
  <c r="A78" i="1" s="1"/>
  <c r="A68" i="1"/>
  <c r="G61" i="1" l="1"/>
  <c r="K61" i="1" s="1"/>
  <c r="F61" i="1"/>
  <c r="J61" i="1" s="1"/>
  <c r="F60" i="1"/>
  <c r="J60" i="1" s="1"/>
  <c r="F59" i="1"/>
  <c r="J59" i="1" s="1"/>
  <c r="F58" i="1"/>
  <c r="J58" i="1" s="1"/>
  <c r="F57" i="1"/>
  <c r="F56" i="1"/>
  <c r="F55" i="1"/>
  <c r="J55" i="1" s="1"/>
  <c r="F54" i="1"/>
  <c r="F53" i="1"/>
  <c r="F52" i="1"/>
  <c r="F51" i="1"/>
  <c r="J51" i="1" s="1"/>
  <c r="F50" i="1"/>
  <c r="E61" i="1"/>
  <c r="I61" i="1" s="1"/>
  <c r="E60" i="1"/>
  <c r="I60" i="1" s="1"/>
  <c r="E59" i="1"/>
  <c r="I59" i="1" s="1"/>
  <c r="E58" i="1"/>
  <c r="I58" i="1" s="1"/>
  <c r="E57" i="1"/>
  <c r="I57" i="1" s="1"/>
  <c r="E56" i="1"/>
  <c r="G56" i="1" s="1"/>
  <c r="E55" i="1"/>
  <c r="E54" i="1"/>
  <c r="E53" i="1"/>
  <c r="E52" i="1"/>
  <c r="E51" i="1"/>
  <c r="E50" i="1"/>
  <c r="G50" i="1" s="1"/>
  <c r="G51" i="1" l="1"/>
  <c r="K51" i="1" s="1"/>
  <c r="J52" i="1"/>
  <c r="N55" i="1" s="1"/>
  <c r="J53" i="1"/>
  <c r="I54" i="1"/>
  <c r="I55" i="1"/>
  <c r="G55" i="1"/>
  <c r="K55" i="1" s="1"/>
  <c r="G60" i="1"/>
  <c r="K60" i="1" s="1"/>
  <c r="I52" i="1"/>
  <c r="G52" i="1"/>
  <c r="K52" i="1" s="1"/>
  <c r="I53" i="1"/>
  <c r="G53" i="1"/>
  <c r="K53" i="1" s="1"/>
  <c r="J54" i="1"/>
  <c r="G54" i="1"/>
  <c r="K54" i="1" s="1"/>
  <c r="J57" i="1"/>
  <c r="G57" i="1"/>
  <c r="K57" i="1" s="1"/>
  <c r="M62" i="1"/>
  <c r="N62" i="1"/>
  <c r="G58" i="1"/>
  <c r="K58" i="1" s="1"/>
  <c r="I51" i="1"/>
  <c r="G59" i="1"/>
  <c r="K59" i="1" s="1"/>
  <c r="X38" i="1"/>
  <c r="V36" i="1"/>
  <c r="V35" i="1"/>
  <c r="T37" i="1"/>
  <c r="T38" i="1" s="1"/>
  <c r="T39" i="1" s="1"/>
  <c r="T40" i="1" s="1"/>
  <c r="T41" i="1" s="1"/>
  <c r="T42" i="1" s="1"/>
  <c r="T43" i="1" s="1"/>
  <c r="T44" i="1" s="1"/>
  <c r="V44" i="1" s="1"/>
  <c r="R38" i="1"/>
  <c r="Q38" i="1"/>
  <c r="O39" i="1"/>
  <c r="R39" i="1" s="1"/>
  <c r="Y29" i="1"/>
  <c r="Y28" i="1"/>
  <c r="Y27" i="1"/>
  <c r="Z26" i="1"/>
  <c r="AA26" i="1" s="1"/>
  <c r="Y26" i="1"/>
  <c r="Z25" i="1"/>
  <c r="AA25" i="1" s="1"/>
  <c r="Y25" i="1"/>
  <c r="Z24" i="1"/>
  <c r="AA24" i="1" s="1"/>
  <c r="Y24" i="1"/>
  <c r="Y23" i="1"/>
  <c r="Y22" i="1"/>
  <c r="Y21" i="1"/>
  <c r="Y20" i="1"/>
  <c r="Y30" i="1" s="1"/>
  <c r="W29" i="1"/>
  <c r="Q30" i="1"/>
  <c r="P30" i="1"/>
  <c r="P32" i="1" s="1"/>
  <c r="U29" i="1"/>
  <c r="V29" i="1" s="1"/>
  <c r="T29" i="1"/>
  <c r="U28" i="1"/>
  <c r="W28" i="1" s="1"/>
  <c r="T28" i="1"/>
  <c r="U27" i="1"/>
  <c r="V27" i="1" s="1"/>
  <c r="T27" i="1"/>
  <c r="T26" i="1"/>
  <c r="T25" i="1"/>
  <c r="T24" i="1"/>
  <c r="T23" i="1"/>
  <c r="U22" i="1"/>
  <c r="W22" i="1" s="1"/>
  <c r="T22" i="1"/>
  <c r="T21" i="1"/>
  <c r="T20" i="1"/>
  <c r="S26" i="1"/>
  <c r="S25" i="1"/>
  <c r="S24" i="1"/>
  <c r="S23" i="1"/>
  <c r="R29" i="1"/>
  <c r="Z29" i="1" s="1"/>
  <c r="AA29" i="1" s="1"/>
  <c r="R28" i="1"/>
  <c r="Z28" i="1" s="1"/>
  <c r="AA28" i="1" s="1"/>
  <c r="R27" i="1"/>
  <c r="Z27" i="1" s="1"/>
  <c r="AA27" i="1" s="1"/>
  <c r="R26" i="1"/>
  <c r="U26" i="1" s="1"/>
  <c r="R25" i="1"/>
  <c r="U25" i="1" s="1"/>
  <c r="R24" i="1"/>
  <c r="U24" i="1" s="1"/>
  <c r="R23" i="1"/>
  <c r="Z23" i="1" s="1"/>
  <c r="AA23" i="1" s="1"/>
  <c r="R22" i="1"/>
  <c r="Z22" i="1" s="1"/>
  <c r="AA22" i="1" s="1"/>
  <c r="R21" i="1"/>
  <c r="Z21" i="1" s="1"/>
  <c r="AA21" i="1" s="1"/>
  <c r="R20" i="1"/>
  <c r="S20" i="1" s="1"/>
  <c r="N24" i="1"/>
  <c r="N25" i="1" s="1"/>
  <c r="N26" i="1" s="1"/>
  <c r="N27" i="1" s="1"/>
  <c r="N28" i="1" s="1"/>
  <c r="N29" i="1" s="1"/>
  <c r="N23" i="1"/>
  <c r="K24" i="1"/>
  <c r="K23" i="1"/>
  <c r="K21" i="1"/>
  <c r="K20" i="1"/>
  <c r="L21" i="1"/>
  <c r="E31" i="1"/>
  <c r="E30" i="1"/>
  <c r="E29" i="1"/>
  <c r="H21" i="1" s="1"/>
  <c r="E28" i="1"/>
  <c r="H20" i="1" s="1"/>
  <c r="E27" i="1"/>
  <c r="E26" i="1"/>
  <c r="E25" i="1"/>
  <c r="E24" i="1"/>
  <c r="E23" i="1"/>
  <c r="E22" i="1"/>
  <c r="E21" i="1"/>
  <c r="E20" i="1"/>
  <c r="W25" i="1" l="1"/>
  <c r="V25" i="1"/>
  <c r="W24" i="1"/>
  <c r="V24" i="1"/>
  <c r="W26" i="1"/>
  <c r="V26" i="1"/>
  <c r="U21" i="1"/>
  <c r="V28" i="1"/>
  <c r="W27" i="1"/>
  <c r="R42" i="1"/>
  <c r="V42" i="1"/>
  <c r="S21" i="1"/>
  <c r="S30" i="1" s="1"/>
  <c r="S22" i="1"/>
  <c r="V43" i="1"/>
  <c r="Z20" i="1"/>
  <c r="M55" i="1"/>
  <c r="O62" i="1"/>
  <c r="S27" i="1"/>
  <c r="V22" i="1"/>
  <c r="S28" i="1"/>
  <c r="V37" i="1"/>
  <c r="R30" i="1"/>
  <c r="S29" i="1"/>
  <c r="V38" i="1"/>
  <c r="U23" i="1"/>
  <c r="T30" i="1"/>
  <c r="V39" i="1"/>
  <c r="U20" i="1"/>
  <c r="V40" i="1"/>
  <c r="V41" i="1"/>
  <c r="O55" i="1"/>
  <c r="R40" i="1"/>
  <c r="O40" i="1"/>
  <c r="O41" i="1"/>
  <c r="Q39" i="1"/>
  <c r="R41" i="1"/>
  <c r="V20" i="1"/>
  <c r="L24" i="1"/>
  <c r="E13" i="1"/>
  <c r="F13" i="1" s="1"/>
  <c r="E10" i="1"/>
  <c r="G10" i="1" s="1"/>
  <c r="E7" i="1"/>
  <c r="G7" i="1" s="1"/>
  <c r="E4" i="1"/>
  <c r="F4" i="1" s="1"/>
  <c r="I7" i="1" s="1"/>
  <c r="F15" i="1"/>
  <c r="F6" i="1"/>
  <c r="G15" i="1"/>
  <c r="E15" i="1"/>
  <c r="E14" i="1"/>
  <c r="D14" i="1"/>
  <c r="D13" i="1"/>
  <c r="E12" i="1"/>
  <c r="G12" i="1" s="1"/>
  <c r="E11" i="1"/>
  <c r="D11" i="1"/>
  <c r="E9" i="1"/>
  <c r="G9" i="1" s="1"/>
  <c r="E8" i="1"/>
  <c r="G8" i="1" s="1"/>
  <c r="D8" i="1"/>
  <c r="E6" i="1"/>
  <c r="G6" i="1" s="1"/>
  <c r="E5" i="1"/>
  <c r="D5" i="1"/>
  <c r="F5" i="1" s="1"/>
  <c r="I8" i="1" s="1"/>
  <c r="F8" i="1" l="1"/>
  <c r="H8" i="1" s="1"/>
  <c r="F9" i="1"/>
  <c r="H9" i="1" s="1"/>
  <c r="V21" i="1"/>
  <c r="W21" i="1"/>
  <c r="W23" i="1"/>
  <c r="V23" i="1"/>
  <c r="F14" i="1"/>
  <c r="H14" i="1" s="1"/>
  <c r="V30" i="1"/>
  <c r="G5" i="1"/>
  <c r="U30" i="1"/>
  <c r="Y32" i="1" s="1"/>
  <c r="Y33" i="1" s="1"/>
  <c r="G14" i="1"/>
  <c r="W20" i="1"/>
  <c r="W30" i="1" s="1"/>
  <c r="Z30" i="1"/>
  <c r="Z32" i="1" s="1"/>
  <c r="AA20" i="1"/>
  <c r="AA30" i="1" s="1"/>
  <c r="G11" i="1"/>
  <c r="Q40" i="1"/>
  <c r="Q42" i="1"/>
  <c r="Q41" i="1"/>
  <c r="S41" i="1" s="1"/>
  <c r="F11" i="1"/>
  <c r="I14" i="1" s="1"/>
  <c r="G13" i="1"/>
  <c r="F12" i="1"/>
  <c r="G4" i="1"/>
  <c r="I9" i="1"/>
  <c r="J9" i="1" s="1"/>
  <c r="F10" i="1"/>
  <c r="F7" i="1"/>
  <c r="J8" i="1" l="1"/>
  <c r="J14" i="1"/>
  <c r="H7" i="1"/>
  <c r="J7" i="1"/>
  <c r="H13" i="1"/>
  <c r="I13" i="1"/>
  <c r="J13" i="1" s="1"/>
  <c r="H15" i="1"/>
  <c r="I15" i="1"/>
  <c r="J15" i="1" s="1"/>
</calcChain>
</file>

<file path=xl/sharedStrings.xml><?xml version="1.0" encoding="utf-8"?>
<sst xmlns="http://schemas.openxmlformats.org/spreadsheetml/2006/main" count="197" uniqueCount="137">
  <si>
    <t>Sapling</t>
  </si>
  <si>
    <t>Control</t>
  </si>
  <si>
    <t>Leaf</t>
  </si>
  <si>
    <t>Davis et al. (2004), Table 4, annual litterfall (g/m2/yr)</t>
  </si>
  <si>
    <t>Pre-treatment</t>
  </si>
  <si>
    <t>Post treatment</t>
  </si>
  <si>
    <t>Twig+branch</t>
  </si>
  <si>
    <t>Total</t>
  </si>
  <si>
    <t>N addition</t>
  </si>
  <si>
    <t>Pole</t>
  </si>
  <si>
    <t>RR</t>
  </si>
  <si>
    <t>DA</t>
  </si>
  <si>
    <t>No difference</t>
  </si>
  <si>
    <t>Decrease</t>
  </si>
  <si>
    <t>Increase</t>
  </si>
  <si>
    <t>Conclusion</t>
  </si>
  <si>
    <t>Delta DA</t>
  </si>
  <si>
    <t>Delta DA (%)</t>
  </si>
  <si>
    <t>Adjuster</t>
  </si>
  <si>
    <t>Notes: Use of covariance adjusted leaf litterfall estimates.</t>
  </si>
  <si>
    <t>Jozsa and Brix (1989), Table 5, wood density (g/cm3)</t>
  </si>
  <si>
    <t>T0F0</t>
  </si>
  <si>
    <t>T0F2</t>
  </si>
  <si>
    <t>65-71</t>
  </si>
  <si>
    <t>72-75</t>
  </si>
  <si>
    <t>76-80</t>
  </si>
  <si>
    <t>81-93</t>
  </si>
  <si>
    <t>1972, 25% height</t>
  </si>
  <si>
    <t>Period</t>
  </si>
  <si>
    <t>1972, BH</t>
  </si>
  <si>
    <t>60-71</t>
  </si>
  <si>
    <t>1971, 25% H</t>
  </si>
  <si>
    <t>71-74</t>
  </si>
  <si>
    <t>75-83</t>
  </si>
  <si>
    <t>1971, BH</t>
  </si>
  <si>
    <t>76-</t>
  </si>
  <si>
    <t>Response</t>
  </si>
  <si>
    <t>Year</t>
  </si>
  <si>
    <t>Density</t>
  </si>
  <si>
    <t>Effect</t>
  </si>
  <si>
    <t>C vol</t>
  </si>
  <si>
    <t>F vol</t>
  </si>
  <si>
    <t>RD vol</t>
  </si>
  <si>
    <t>C biomass</t>
  </si>
  <si>
    <t>F biomasss</t>
  </si>
  <si>
    <t>RD biomass</t>
  </si>
  <si>
    <t>AD biomass</t>
  </si>
  <si>
    <t>Wood density</t>
  </si>
  <si>
    <t>Wood density response</t>
  </si>
  <si>
    <t>Volume response</t>
  </si>
  <si>
    <t>Volume C</t>
  </si>
  <si>
    <t>Volume F</t>
  </si>
  <si>
    <t>Volume DA</t>
  </si>
  <si>
    <t>Volume DR</t>
  </si>
  <si>
    <t>Mass C</t>
  </si>
  <si>
    <t>Mass F</t>
  </si>
  <si>
    <t>Mass DA</t>
  </si>
  <si>
    <t>Mass DR</t>
  </si>
  <si>
    <t>No WD effect</t>
  </si>
  <si>
    <t>With WD effect</t>
  </si>
  <si>
    <t>V response</t>
  </si>
  <si>
    <t>B response</t>
  </si>
  <si>
    <t>Brockley and Sandborn (2009)</t>
  </si>
  <si>
    <t>Treatment</t>
  </si>
  <si>
    <t>NB</t>
  </si>
  <si>
    <t>Forest floor (gC/m2)</t>
  </si>
  <si>
    <t>NSB</t>
  </si>
  <si>
    <t>Complete</t>
  </si>
  <si>
    <t>ON1</t>
  </si>
  <si>
    <t>ON2</t>
  </si>
  <si>
    <t>Site</t>
  </si>
  <si>
    <t>Crow Creek</t>
  </si>
  <si>
    <t>Mineral soil horizon (gC/m2)</t>
  </si>
  <si>
    <t>Total Soil ='] C (Fig. 11, 18).</t>
  </si>
  <si>
    <t>Forest floor (MgC/ha)</t>
  </si>
  <si>
    <t>Mineral soil horizon (MgC/ha)</t>
  </si>
  <si>
    <t>Total soil organic carbon (MgC/ha)</t>
  </si>
  <si>
    <t>Kenneth Creek (Pine)</t>
  </si>
  <si>
    <t>Crow Creek (Spruce)</t>
  </si>
  <si>
    <t>Trofymow et al (1991)</t>
  </si>
  <si>
    <t>T0F2-2</t>
  </si>
  <si>
    <t>ToF2-2a</t>
  </si>
  <si>
    <t>Trofymow and Preston (unpublished presentation 2000)</t>
  </si>
  <si>
    <t>Soil Respiration</t>
  </si>
  <si>
    <t>F2-2</t>
  </si>
  <si>
    <t>LFH</t>
  </si>
  <si>
    <t>Mineral horizon (to 65 cm)</t>
  </si>
  <si>
    <t>Total soil carbon response (%)</t>
  </si>
  <si>
    <t>Floor response (%)</t>
  </si>
  <si>
    <t>Mineral soil response (%_</t>
  </si>
  <si>
    <t>Soil C 16 years after first treatment (kg/ha)</t>
  </si>
  <si>
    <t>Response (%)</t>
  </si>
  <si>
    <t>Response (MgC/ha)</t>
  </si>
  <si>
    <t>Canary et al (2000)</t>
  </si>
  <si>
    <t>C</t>
  </si>
  <si>
    <t>Fert</t>
  </si>
  <si>
    <t>Sum</t>
  </si>
  <si>
    <t>O</t>
  </si>
  <si>
    <t>A</t>
  </si>
  <si>
    <t>0-25</t>
  </si>
  <si>
    <t>25-55</t>
  </si>
  <si>
    <t>55-85</t>
  </si>
  <si>
    <t>Organic sum</t>
  </si>
  <si>
    <t>Mineral sum</t>
  </si>
  <si>
    <t>Powers (1999), Table 3</t>
  </si>
  <si>
    <t>5-year growth of size classes (m3/ha)</t>
  </si>
  <si>
    <t>Converted to annual</t>
  </si>
  <si>
    <t>Miller and Tarrant (1983) Table 4</t>
  </si>
  <si>
    <t>Dose</t>
  </si>
  <si>
    <t>Initial Volume</t>
  </si>
  <si>
    <t>Gross growth, adj</t>
  </si>
  <si>
    <t>Mortlaity, adj</t>
  </si>
  <si>
    <t>Net</t>
  </si>
  <si>
    <t>Biomass (MgC/ha/yr)</t>
  </si>
  <si>
    <t>Volume (m3/ha/yr)</t>
  </si>
  <si>
    <t>Miller et al. 1988, Table 11</t>
  </si>
  <si>
    <t>Age</t>
  </si>
  <si>
    <t>Net PAI (m3/ha)</t>
  </si>
  <si>
    <t>Net PAI (ft3/acre)</t>
  </si>
  <si>
    <t>HIgh SI (44 m) stands, Dose: 222 kg of urea, 10-year period</t>
  </si>
  <si>
    <t>Low SI (35 m) stands, Dose: 222 kg of urea, 10-year period</t>
  </si>
  <si>
    <t>Nitrogen Use effeciency from studies</t>
  </si>
  <si>
    <t>Source</t>
  </si>
  <si>
    <t>Adams et al. (2005)</t>
  </si>
  <si>
    <t>N application (kg/ha)</t>
  </si>
  <si>
    <t>Delta (tC/ha)</t>
  </si>
  <si>
    <t>NUE applied (kgC/kgN)</t>
  </si>
  <si>
    <t>Control (tC/ha)</t>
  </si>
  <si>
    <t>Treatment (tC/ha)</t>
  </si>
  <si>
    <t>Delta (%)</t>
  </si>
  <si>
    <t>Tree Carbon</t>
  </si>
  <si>
    <t>Soil Carbon</t>
  </si>
  <si>
    <t>Albaugh et al. (2012)</t>
  </si>
  <si>
    <t>Medeira et al. (2002)</t>
  </si>
  <si>
    <t>Total ecosystem carbon</t>
  </si>
  <si>
    <t>Stemwood carbon</t>
  </si>
  <si>
    <t>Belowground 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</si>
</sst>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F26D-6593-4385-8BE7-894572CB828A}">
  <dimension ref="A1:AA140"/>
  <sheetViews>
    <sheetView tabSelected="1" topLeftCell="A123" zoomScale="145" zoomScaleNormal="145" workbookViewId="0">
      <selection activeCell="H140" sqref="H140"/>
    </sheetView>
  </sheetViews>
  <sheetFormatPr defaultRowHeight="10.199999999999999" x14ac:dyDescent="0.2"/>
  <cols>
    <col min="1" max="1" width="15.109375" style="5" customWidth="1"/>
    <col min="2" max="2" width="12" style="5" customWidth="1"/>
    <col min="3" max="4" width="13.5546875" style="5" customWidth="1"/>
    <col min="5" max="7" width="8.88671875" style="5"/>
    <col min="8" max="8" width="10.88671875" style="5" customWidth="1"/>
    <col min="9" max="9" width="9.88671875" style="5" customWidth="1"/>
    <col min="10" max="10" width="12.88671875" style="5" customWidth="1"/>
    <col min="11" max="16384" width="8.88671875" style="5"/>
  </cols>
  <sheetData>
    <row r="1" spans="1:11" s="4" customFormat="1" x14ac:dyDescent="0.2">
      <c r="A1" s="3" t="s">
        <v>3</v>
      </c>
    </row>
    <row r="2" spans="1:11" x14ac:dyDescent="0.2">
      <c r="A2" s="5" t="s">
        <v>19</v>
      </c>
    </row>
    <row r="3" spans="1:11" x14ac:dyDescent="0.2">
      <c r="D3" s="5" t="s">
        <v>4</v>
      </c>
      <c r="E3" s="5" t="s">
        <v>5</v>
      </c>
      <c r="F3" s="5" t="s">
        <v>11</v>
      </c>
      <c r="G3" s="5" t="s">
        <v>10</v>
      </c>
      <c r="H3" s="5" t="s">
        <v>16</v>
      </c>
      <c r="I3" s="5" t="s">
        <v>18</v>
      </c>
      <c r="J3" s="5" t="s">
        <v>17</v>
      </c>
      <c r="K3" s="5" t="s">
        <v>15</v>
      </c>
    </row>
    <row r="4" spans="1:11" x14ac:dyDescent="0.2">
      <c r="A4" s="5" t="s">
        <v>0</v>
      </c>
      <c r="B4" s="5" t="s">
        <v>1</v>
      </c>
      <c r="C4" s="5" t="s">
        <v>2</v>
      </c>
      <c r="D4" s="5">
        <v>236</v>
      </c>
      <c r="E4" s="5">
        <f>(255+258)/2</f>
        <v>256.5</v>
      </c>
      <c r="F4" s="5">
        <f>E4-D4</f>
        <v>20.5</v>
      </c>
      <c r="G4" s="5">
        <f t="shared" ref="G4:G15" si="0">E4/D4</f>
        <v>1.0868644067796611</v>
      </c>
      <c r="J4" s="6"/>
    </row>
    <row r="5" spans="1:11" x14ac:dyDescent="0.2">
      <c r="C5" s="5" t="s">
        <v>6</v>
      </c>
      <c r="D5" s="5">
        <f>77.4</f>
        <v>77.400000000000006</v>
      </c>
      <c r="E5" s="5">
        <f>(113+118+1.2)/2</f>
        <v>116.1</v>
      </c>
      <c r="F5" s="5">
        <f t="shared" ref="F5:F15" si="1">E5-D5</f>
        <v>38.699999999999989</v>
      </c>
      <c r="G5" s="5">
        <f t="shared" si="0"/>
        <v>1.4999999999999998</v>
      </c>
      <c r="J5" s="6"/>
    </row>
    <row r="6" spans="1:11" x14ac:dyDescent="0.2">
      <c r="C6" s="5" t="s">
        <v>7</v>
      </c>
      <c r="D6" s="5">
        <v>324</v>
      </c>
      <c r="E6" s="5">
        <f>(349+354)/2</f>
        <v>351.5</v>
      </c>
      <c r="F6" s="5">
        <f t="shared" si="1"/>
        <v>27.5</v>
      </c>
      <c r="G6" s="5">
        <f t="shared" si="0"/>
        <v>1.0848765432098766</v>
      </c>
      <c r="J6" s="6"/>
    </row>
    <row r="7" spans="1:11" x14ac:dyDescent="0.2">
      <c r="B7" s="5" t="s">
        <v>8</v>
      </c>
      <c r="C7" s="5" t="s">
        <v>2</v>
      </c>
      <c r="D7" s="5">
        <v>225</v>
      </c>
      <c r="E7" s="5">
        <f>(215+289)/2</f>
        <v>252</v>
      </c>
      <c r="F7" s="5">
        <f t="shared" si="1"/>
        <v>27</v>
      </c>
      <c r="G7" s="5">
        <f t="shared" si="0"/>
        <v>1.1200000000000001</v>
      </c>
      <c r="H7" s="5">
        <f>F7-F4</f>
        <v>6.5</v>
      </c>
      <c r="I7" s="5">
        <f>IF(F4&lt;0,IF(F7&lt;0,-1,1),1)</f>
        <v>1</v>
      </c>
      <c r="J7" s="6">
        <f>(F7-F4)/F4*100*I7</f>
        <v>31.707317073170731</v>
      </c>
      <c r="K7" s="5" t="s">
        <v>12</v>
      </c>
    </row>
    <row r="8" spans="1:11" x14ac:dyDescent="0.2">
      <c r="C8" s="5" t="s">
        <v>6</v>
      </c>
      <c r="D8" s="5">
        <f>99+25.5</f>
        <v>124.5</v>
      </c>
      <c r="E8" s="5">
        <f>(95+16.5+85+34)/2</f>
        <v>115.25</v>
      </c>
      <c r="F8" s="5">
        <f t="shared" si="1"/>
        <v>-9.25</v>
      </c>
      <c r="G8" s="5">
        <f t="shared" si="0"/>
        <v>0.92570281124497988</v>
      </c>
      <c r="H8" s="5">
        <f>F8-F5</f>
        <v>-47.949999999999989</v>
      </c>
      <c r="I8" s="5">
        <f>IF(F5&lt;0,IF(F8&lt;0,-1,1),1)</f>
        <v>1</v>
      </c>
      <c r="J8" s="6">
        <f>(F8-F5)/F5*100*I8</f>
        <v>-123.90180878552972</v>
      </c>
      <c r="K8" s="5" t="s">
        <v>13</v>
      </c>
    </row>
    <row r="9" spans="1:11" x14ac:dyDescent="0.2">
      <c r="C9" s="5" t="s">
        <v>7</v>
      </c>
      <c r="D9" s="5">
        <v>375</v>
      </c>
      <c r="E9" s="5">
        <f>(303+395)/2</f>
        <v>349</v>
      </c>
      <c r="F9" s="5">
        <f t="shared" si="1"/>
        <v>-26</v>
      </c>
      <c r="G9" s="5">
        <f t="shared" si="0"/>
        <v>0.93066666666666664</v>
      </c>
      <c r="H9" s="5">
        <f>F9-F6</f>
        <v>-53.5</v>
      </c>
      <c r="I9" s="5">
        <f>IF(F6&lt;0,IF(F9&lt;0,-1,1),1)</f>
        <v>1</v>
      </c>
      <c r="J9" s="6">
        <f>(F9-F6)/F6*100*I9</f>
        <v>-194.54545454545456</v>
      </c>
      <c r="K9" s="5" t="s">
        <v>13</v>
      </c>
    </row>
    <row r="10" spans="1:11" x14ac:dyDescent="0.2">
      <c r="A10" s="5" t="s">
        <v>9</v>
      </c>
      <c r="B10" s="5" t="s">
        <v>1</v>
      </c>
      <c r="C10" s="5" t="s">
        <v>2</v>
      </c>
      <c r="D10" s="5">
        <v>369</v>
      </c>
      <c r="E10" s="5">
        <f>(226+269)/2</f>
        <v>247.5</v>
      </c>
      <c r="F10" s="5">
        <f t="shared" si="1"/>
        <v>-121.5</v>
      </c>
      <c r="G10" s="5">
        <f t="shared" si="0"/>
        <v>0.67073170731707321</v>
      </c>
      <c r="J10" s="6"/>
    </row>
    <row r="11" spans="1:11" x14ac:dyDescent="0.2">
      <c r="C11" s="5" t="s">
        <v>6</v>
      </c>
      <c r="D11" s="5">
        <f>152+120.3</f>
        <v>272.3</v>
      </c>
      <c r="E11" s="5">
        <f>(137+57.9+105+55.7)/2</f>
        <v>177.79999999999998</v>
      </c>
      <c r="F11" s="5">
        <f t="shared" si="1"/>
        <v>-94.500000000000028</v>
      </c>
      <c r="G11" s="5">
        <f t="shared" si="0"/>
        <v>0.65295629820051404</v>
      </c>
      <c r="J11" s="6"/>
    </row>
    <row r="12" spans="1:11" x14ac:dyDescent="0.2">
      <c r="C12" s="5" t="s">
        <v>7</v>
      </c>
      <c r="D12" s="5">
        <v>667</v>
      </c>
      <c r="E12" s="5">
        <f>(489+505)/2</f>
        <v>497</v>
      </c>
      <c r="F12" s="5">
        <f t="shared" si="1"/>
        <v>-170</v>
      </c>
      <c r="G12" s="5">
        <f t="shared" si="0"/>
        <v>0.74512743628185907</v>
      </c>
      <c r="J12" s="6"/>
    </row>
    <row r="13" spans="1:11" x14ac:dyDescent="0.2">
      <c r="B13" s="5" t="s">
        <v>8</v>
      </c>
      <c r="C13" s="5" t="s">
        <v>2</v>
      </c>
      <c r="D13" s="5">
        <f>305</f>
        <v>305</v>
      </c>
      <c r="E13" s="5">
        <f>(206+305)/2</f>
        <v>255.5</v>
      </c>
      <c r="F13" s="5">
        <f t="shared" si="1"/>
        <v>-49.5</v>
      </c>
      <c r="G13" s="5">
        <f t="shared" si="0"/>
        <v>0.8377049180327869</v>
      </c>
      <c r="H13" s="5">
        <f>F13-F10</f>
        <v>72</v>
      </c>
      <c r="I13" s="5">
        <f>IF(F10&lt;0,IF(F13&lt;0,-1,1),1)</f>
        <v>-1</v>
      </c>
      <c r="J13" s="6">
        <f>(F13-F10)/F10*100*I13</f>
        <v>59.259259259259252</v>
      </c>
      <c r="K13" s="5" t="s">
        <v>14</v>
      </c>
    </row>
    <row r="14" spans="1:11" x14ac:dyDescent="0.2">
      <c r="C14" s="5" t="s">
        <v>6</v>
      </c>
      <c r="D14" s="5">
        <f>122+80</f>
        <v>202</v>
      </c>
      <c r="E14" s="5">
        <f>(114+16.8+89+88.1)/2</f>
        <v>153.94999999999999</v>
      </c>
      <c r="F14" s="5">
        <f t="shared" si="1"/>
        <v>-48.050000000000011</v>
      </c>
      <c r="G14" s="5">
        <f t="shared" si="0"/>
        <v>0.76212871287128703</v>
      </c>
      <c r="H14" s="5">
        <f>F14-F11</f>
        <v>46.450000000000017</v>
      </c>
      <c r="I14" s="5">
        <f>IF(F11&lt;0,IF(F14&lt;0,-1,1),1)</f>
        <v>-1</v>
      </c>
      <c r="J14" s="6">
        <f>(F14-F11)/F11*100*I14</f>
        <v>49.153439153439152</v>
      </c>
      <c r="K14" s="5" t="s">
        <v>14</v>
      </c>
    </row>
    <row r="15" spans="1:11" x14ac:dyDescent="0.2">
      <c r="C15" s="5" t="s">
        <v>7</v>
      </c>
      <c r="D15" s="5">
        <v>530</v>
      </c>
      <c r="E15" s="5">
        <f>(374+523)/2</f>
        <v>448.5</v>
      </c>
      <c r="F15" s="5">
        <f t="shared" si="1"/>
        <v>-81.5</v>
      </c>
      <c r="G15" s="5">
        <f t="shared" si="0"/>
        <v>0.8462264150943396</v>
      </c>
      <c r="H15" s="5">
        <f>F15-F12</f>
        <v>88.5</v>
      </c>
      <c r="I15" s="5">
        <f>IF(F12&lt;0,IF(F15&lt;0,-1,1),1)</f>
        <v>-1</v>
      </c>
      <c r="J15" s="6">
        <f>(F15-F12)/F12*100*I15</f>
        <v>52.058823529411768</v>
      </c>
      <c r="K15" s="5" t="s">
        <v>14</v>
      </c>
    </row>
    <row r="16" spans="1:11" x14ac:dyDescent="0.2">
      <c r="J16" s="6"/>
    </row>
    <row r="17" spans="1:27" x14ac:dyDescent="0.2">
      <c r="J17" s="6"/>
    </row>
    <row r="18" spans="1:27" s="4" customFormat="1" x14ac:dyDescent="0.2">
      <c r="A18" s="3" t="s">
        <v>20</v>
      </c>
      <c r="N18" s="4" t="s">
        <v>36</v>
      </c>
    </row>
    <row r="19" spans="1:27" x14ac:dyDescent="0.2">
      <c r="B19" s="5" t="s">
        <v>28</v>
      </c>
      <c r="C19" s="7" t="s">
        <v>21</v>
      </c>
      <c r="D19" s="7" t="s">
        <v>22</v>
      </c>
      <c r="E19" s="7"/>
      <c r="K19" s="5">
        <v>0.48</v>
      </c>
      <c r="N19" s="5" t="s">
        <v>37</v>
      </c>
      <c r="O19" s="5" t="s">
        <v>38</v>
      </c>
      <c r="P19" s="5" t="s">
        <v>39</v>
      </c>
      <c r="Q19" s="5" t="s">
        <v>40</v>
      </c>
      <c r="R19" s="5" t="s">
        <v>41</v>
      </c>
      <c r="S19" s="5" t="s">
        <v>42</v>
      </c>
      <c r="T19" s="5" t="s">
        <v>43</v>
      </c>
      <c r="U19" s="5" t="s">
        <v>44</v>
      </c>
      <c r="V19" s="5" t="s">
        <v>45</v>
      </c>
      <c r="W19" s="5" t="s">
        <v>46</v>
      </c>
      <c r="Y19" s="5" t="s">
        <v>43</v>
      </c>
      <c r="Z19" s="5" t="s">
        <v>44</v>
      </c>
      <c r="AA19" s="5" t="s">
        <v>11</v>
      </c>
    </row>
    <row r="20" spans="1:27" x14ac:dyDescent="0.2">
      <c r="A20" s="5" t="s">
        <v>27</v>
      </c>
      <c r="B20" s="5" t="s">
        <v>23</v>
      </c>
      <c r="C20" s="7">
        <v>0.44</v>
      </c>
      <c r="D20" s="7">
        <v>0.42</v>
      </c>
      <c r="E20" s="7">
        <f t="shared" ref="E20:E31" si="2">(D20-C20)/C20*100</f>
        <v>-4.5454545454545494</v>
      </c>
      <c r="G20" s="5" t="s">
        <v>24</v>
      </c>
      <c r="H20" s="5">
        <f>AVERAGE(E21,E25,E28,E30)</f>
        <v>-13.623248672509757</v>
      </c>
      <c r="J20" s="5">
        <v>1</v>
      </c>
      <c r="K20" s="5">
        <f>J20*K$19</f>
        <v>0.48</v>
      </c>
      <c r="N20" s="5">
        <v>1</v>
      </c>
      <c r="O20" s="5">
        <v>0.48</v>
      </c>
      <c r="P20" s="5">
        <v>0.86</v>
      </c>
      <c r="Q20" s="5">
        <v>5</v>
      </c>
      <c r="R20" s="5">
        <f>1.23*Q20</f>
        <v>6.15</v>
      </c>
      <c r="S20" s="5">
        <f>(R20-Q20)/Q20*100</f>
        <v>23.000000000000007</v>
      </c>
      <c r="T20" s="5">
        <f>Q20*O20</f>
        <v>2.4</v>
      </c>
      <c r="U20" s="5">
        <f>R20*(P20*O20)</f>
        <v>2.5387200000000001</v>
      </c>
      <c r="V20" s="5">
        <f t="shared" ref="V20:V29" si="3">(U20-T20)/T20*100</f>
        <v>5.7800000000000074</v>
      </c>
      <c r="W20" s="5">
        <f>U20-T20</f>
        <v>0.13872000000000018</v>
      </c>
      <c r="Y20" s="5">
        <f>Q20*O20</f>
        <v>2.4</v>
      </c>
      <c r="Z20" s="5">
        <f>R20*O20</f>
        <v>2.952</v>
      </c>
      <c r="AA20" s="5">
        <f>Z20-Y20</f>
        <v>0.55200000000000005</v>
      </c>
    </row>
    <row r="21" spans="1:27" x14ac:dyDescent="0.2">
      <c r="A21" s="5" t="s">
        <v>27</v>
      </c>
      <c r="B21" s="5" t="s">
        <v>24</v>
      </c>
      <c r="C21" s="7">
        <v>0.49</v>
      </c>
      <c r="D21" s="7">
        <v>0.44</v>
      </c>
      <c r="E21" s="7">
        <f t="shared" si="2"/>
        <v>-10.204081632653059</v>
      </c>
      <c r="G21" s="5" t="s">
        <v>35</v>
      </c>
      <c r="H21" s="5">
        <f>AVERAGE(E22,E26,E29,E31)</f>
        <v>-1.7094017094017084</v>
      </c>
      <c r="J21" s="5">
        <v>1.23</v>
      </c>
      <c r="K21" s="5">
        <f>J21*K$19</f>
        <v>0.59039999999999992</v>
      </c>
      <c r="L21" s="5">
        <f>(K21-K20)/K20*100</f>
        <v>22.999999999999989</v>
      </c>
      <c r="N21" s="5">
        <v>2</v>
      </c>
      <c r="O21" s="5">
        <v>0.48</v>
      </c>
      <c r="P21" s="5">
        <v>0.86</v>
      </c>
      <c r="Q21" s="5">
        <v>5</v>
      </c>
      <c r="R21" s="5">
        <f t="shared" ref="R21:R29" si="4">1.23*Q21</f>
        <v>6.15</v>
      </c>
      <c r="S21" s="5">
        <f t="shared" ref="S21:S29" si="5">(R21-Q21)/Q21*100</f>
        <v>23.000000000000007</v>
      </c>
      <c r="T21" s="5">
        <f t="shared" ref="T21:T29" si="6">Q21*O21</f>
        <v>2.4</v>
      </c>
      <c r="U21" s="5">
        <f t="shared" ref="U21:U29" si="7">R21*(P21*O21)</f>
        <v>2.5387200000000001</v>
      </c>
      <c r="V21" s="5">
        <f t="shared" si="3"/>
        <v>5.7800000000000074</v>
      </c>
      <c r="W21" s="5">
        <f t="shared" ref="W21:W29" si="8">U21-T21</f>
        <v>0.13872000000000018</v>
      </c>
      <c r="Y21" s="5">
        <f t="shared" ref="Y21:Y29" si="9">Q21*O21</f>
        <v>2.4</v>
      </c>
      <c r="Z21" s="5">
        <f t="shared" ref="Z21:Z29" si="10">R21*O21</f>
        <v>2.952</v>
      </c>
      <c r="AA21" s="5">
        <f t="shared" ref="AA21:AA29" si="11">Z21-Y21</f>
        <v>0.55200000000000005</v>
      </c>
    </row>
    <row r="22" spans="1:27" x14ac:dyDescent="0.2">
      <c r="A22" s="5" t="s">
        <v>27</v>
      </c>
      <c r="B22" s="5" t="s">
        <v>25</v>
      </c>
      <c r="C22" s="7">
        <v>0.5</v>
      </c>
      <c r="D22" s="7">
        <v>0.45</v>
      </c>
      <c r="E22" s="7">
        <f t="shared" si="2"/>
        <v>-9.9999999999999982</v>
      </c>
      <c r="N22" s="5">
        <v>3</v>
      </c>
      <c r="O22" s="5">
        <v>0.48</v>
      </c>
      <c r="P22" s="5">
        <v>0.86</v>
      </c>
      <c r="Q22" s="5">
        <v>5</v>
      </c>
      <c r="R22" s="5">
        <f t="shared" si="4"/>
        <v>6.15</v>
      </c>
      <c r="S22" s="5">
        <f t="shared" si="5"/>
        <v>23.000000000000007</v>
      </c>
      <c r="T22" s="5">
        <f t="shared" si="6"/>
        <v>2.4</v>
      </c>
      <c r="U22" s="5">
        <f t="shared" si="7"/>
        <v>2.5387200000000001</v>
      </c>
      <c r="V22" s="5">
        <f t="shared" si="3"/>
        <v>5.7800000000000074</v>
      </c>
      <c r="W22" s="5">
        <f t="shared" si="8"/>
        <v>0.13872000000000018</v>
      </c>
      <c r="Y22" s="5">
        <f t="shared" si="9"/>
        <v>2.4</v>
      </c>
      <c r="Z22" s="5">
        <f t="shared" si="10"/>
        <v>2.952</v>
      </c>
      <c r="AA22" s="5">
        <f t="shared" si="11"/>
        <v>0.55200000000000005</v>
      </c>
    </row>
    <row r="23" spans="1:27" x14ac:dyDescent="0.2">
      <c r="A23" s="5" t="s">
        <v>27</v>
      </c>
      <c r="B23" s="5" t="s">
        <v>26</v>
      </c>
      <c r="C23" s="7">
        <v>0.56000000000000005</v>
      </c>
      <c r="D23" s="7">
        <v>0.42</v>
      </c>
      <c r="E23" s="7">
        <f t="shared" si="2"/>
        <v>-25.000000000000011</v>
      </c>
      <c r="J23" s="5">
        <v>1</v>
      </c>
      <c r="K23" s="5">
        <f>J23*K$19</f>
        <v>0.48</v>
      </c>
      <c r="N23" s="5">
        <f>N22+1</f>
        <v>4</v>
      </c>
      <c r="O23" s="5">
        <v>0.48</v>
      </c>
      <c r="P23" s="5">
        <v>0.86</v>
      </c>
      <c r="Q23" s="5">
        <v>5</v>
      </c>
      <c r="R23" s="5">
        <f t="shared" si="4"/>
        <v>6.15</v>
      </c>
      <c r="S23" s="5">
        <f t="shared" si="5"/>
        <v>23.000000000000007</v>
      </c>
      <c r="T23" s="5">
        <f t="shared" si="6"/>
        <v>2.4</v>
      </c>
      <c r="U23" s="5">
        <f t="shared" si="7"/>
        <v>2.5387200000000001</v>
      </c>
      <c r="V23" s="5">
        <f t="shared" si="3"/>
        <v>5.7800000000000074</v>
      </c>
      <c r="W23" s="5">
        <f t="shared" si="8"/>
        <v>0.13872000000000018</v>
      </c>
      <c r="Y23" s="5">
        <f t="shared" si="9"/>
        <v>2.4</v>
      </c>
      <c r="Z23" s="5">
        <f t="shared" si="10"/>
        <v>2.952</v>
      </c>
      <c r="AA23" s="5">
        <f t="shared" si="11"/>
        <v>0.55200000000000005</v>
      </c>
    </row>
    <row r="24" spans="1:27" x14ac:dyDescent="0.2">
      <c r="A24" s="5" t="s">
        <v>29</v>
      </c>
      <c r="B24" s="5" t="s">
        <v>30</v>
      </c>
      <c r="C24" s="7">
        <v>0.46</v>
      </c>
      <c r="D24" s="7">
        <v>0.5</v>
      </c>
      <c r="E24" s="7">
        <f t="shared" si="2"/>
        <v>8.6956521739130395</v>
      </c>
      <c r="J24" s="5">
        <v>1.23</v>
      </c>
      <c r="K24" s="5">
        <f>J24*(0.87*K$19)</f>
        <v>0.51364799999999999</v>
      </c>
      <c r="L24" s="5">
        <f>(K24-K23)/K23*100</f>
        <v>7.0100000000000025</v>
      </c>
      <c r="N24" s="5">
        <f t="shared" ref="N24:N29" si="12">N23+1</f>
        <v>5</v>
      </c>
      <c r="O24" s="5">
        <v>0.48</v>
      </c>
      <c r="P24" s="5">
        <v>1</v>
      </c>
      <c r="Q24" s="5">
        <v>5</v>
      </c>
      <c r="R24" s="5">
        <f t="shared" si="4"/>
        <v>6.15</v>
      </c>
      <c r="S24" s="5">
        <f t="shared" si="5"/>
        <v>23.000000000000007</v>
      </c>
      <c r="T24" s="5">
        <f t="shared" si="6"/>
        <v>2.4</v>
      </c>
      <c r="U24" s="5">
        <f t="shared" si="7"/>
        <v>2.952</v>
      </c>
      <c r="V24" s="5">
        <f t="shared" si="3"/>
        <v>23.000000000000004</v>
      </c>
      <c r="W24" s="5">
        <f t="shared" si="8"/>
        <v>0.55200000000000005</v>
      </c>
      <c r="Y24" s="5">
        <f t="shared" si="9"/>
        <v>2.4</v>
      </c>
      <c r="Z24" s="5">
        <f t="shared" si="10"/>
        <v>2.952</v>
      </c>
      <c r="AA24" s="5">
        <f t="shared" si="11"/>
        <v>0.55200000000000005</v>
      </c>
    </row>
    <row r="25" spans="1:27" x14ac:dyDescent="0.2">
      <c r="A25" s="5" t="s">
        <v>29</v>
      </c>
      <c r="B25" s="5" t="s">
        <v>24</v>
      </c>
      <c r="C25" s="7">
        <v>0.55000000000000004</v>
      </c>
      <c r="D25" s="7">
        <v>0.51</v>
      </c>
      <c r="E25" s="7">
        <f t="shared" si="2"/>
        <v>-7.2727272727272778</v>
      </c>
      <c r="N25" s="5">
        <f t="shared" si="12"/>
        <v>6</v>
      </c>
      <c r="O25" s="5">
        <v>0.48</v>
      </c>
      <c r="P25" s="5">
        <v>1</v>
      </c>
      <c r="Q25" s="5">
        <v>5</v>
      </c>
      <c r="R25" s="5">
        <f t="shared" si="4"/>
        <v>6.15</v>
      </c>
      <c r="S25" s="5">
        <f t="shared" si="5"/>
        <v>23.000000000000007</v>
      </c>
      <c r="T25" s="5">
        <f t="shared" si="6"/>
        <v>2.4</v>
      </c>
      <c r="U25" s="5">
        <f t="shared" si="7"/>
        <v>2.952</v>
      </c>
      <c r="V25" s="5">
        <f t="shared" si="3"/>
        <v>23.000000000000004</v>
      </c>
      <c r="W25" s="5">
        <f t="shared" si="8"/>
        <v>0.55200000000000005</v>
      </c>
      <c r="Y25" s="5">
        <f t="shared" si="9"/>
        <v>2.4</v>
      </c>
      <c r="Z25" s="5">
        <f t="shared" si="10"/>
        <v>2.952</v>
      </c>
      <c r="AA25" s="5">
        <f t="shared" si="11"/>
        <v>0.55200000000000005</v>
      </c>
    </row>
    <row r="26" spans="1:27" x14ac:dyDescent="0.2">
      <c r="A26" s="5" t="s">
        <v>29</v>
      </c>
      <c r="B26" s="5" t="s">
        <v>25</v>
      </c>
      <c r="C26" s="7">
        <v>0.52</v>
      </c>
      <c r="D26" s="7">
        <v>0.6</v>
      </c>
      <c r="E26" s="7">
        <f t="shared" si="2"/>
        <v>15.384615384615378</v>
      </c>
      <c r="N26" s="5">
        <f t="shared" si="12"/>
        <v>7</v>
      </c>
      <c r="O26" s="5">
        <v>0.48</v>
      </c>
      <c r="P26" s="5">
        <v>1</v>
      </c>
      <c r="Q26" s="5">
        <v>5</v>
      </c>
      <c r="R26" s="5">
        <f t="shared" si="4"/>
        <v>6.15</v>
      </c>
      <c r="S26" s="5">
        <f t="shared" si="5"/>
        <v>23.000000000000007</v>
      </c>
      <c r="T26" s="5">
        <f t="shared" si="6"/>
        <v>2.4</v>
      </c>
      <c r="U26" s="5">
        <f t="shared" si="7"/>
        <v>2.952</v>
      </c>
      <c r="V26" s="5">
        <f t="shared" si="3"/>
        <v>23.000000000000004</v>
      </c>
      <c r="W26" s="5">
        <f t="shared" si="8"/>
        <v>0.55200000000000005</v>
      </c>
      <c r="Y26" s="5">
        <f t="shared" si="9"/>
        <v>2.4</v>
      </c>
      <c r="Z26" s="5">
        <f t="shared" si="10"/>
        <v>2.952</v>
      </c>
      <c r="AA26" s="5">
        <f t="shared" si="11"/>
        <v>0.55200000000000005</v>
      </c>
    </row>
    <row r="27" spans="1:27" x14ac:dyDescent="0.2">
      <c r="A27" s="5" t="s">
        <v>29</v>
      </c>
      <c r="B27" s="5" t="s">
        <v>26</v>
      </c>
      <c r="C27" s="7">
        <v>0.59</v>
      </c>
      <c r="D27" s="7">
        <v>0.52</v>
      </c>
      <c r="E27" s="7">
        <f t="shared" si="2"/>
        <v>-11.864406779661008</v>
      </c>
      <c r="N27" s="5">
        <f t="shared" si="12"/>
        <v>8</v>
      </c>
      <c r="O27" s="5">
        <v>0.48</v>
      </c>
      <c r="P27" s="5">
        <v>1</v>
      </c>
      <c r="Q27" s="5">
        <v>5</v>
      </c>
      <c r="R27" s="5">
        <f t="shared" si="4"/>
        <v>6.15</v>
      </c>
      <c r="S27" s="5">
        <f t="shared" si="5"/>
        <v>23.000000000000007</v>
      </c>
      <c r="T27" s="5">
        <f t="shared" si="6"/>
        <v>2.4</v>
      </c>
      <c r="U27" s="5">
        <f t="shared" si="7"/>
        <v>2.952</v>
      </c>
      <c r="V27" s="5">
        <f t="shared" si="3"/>
        <v>23.000000000000004</v>
      </c>
      <c r="W27" s="5">
        <f t="shared" si="8"/>
        <v>0.55200000000000005</v>
      </c>
      <c r="Y27" s="5">
        <f t="shared" si="9"/>
        <v>2.4</v>
      </c>
      <c r="Z27" s="5">
        <f t="shared" si="10"/>
        <v>2.952</v>
      </c>
      <c r="AA27" s="5">
        <f t="shared" si="11"/>
        <v>0.55200000000000005</v>
      </c>
    </row>
    <row r="28" spans="1:27" x14ac:dyDescent="0.2">
      <c r="A28" s="5" t="s">
        <v>31</v>
      </c>
      <c r="B28" s="5" t="s">
        <v>32</v>
      </c>
      <c r="C28" s="7">
        <v>0.49</v>
      </c>
      <c r="D28" s="7">
        <v>0.41</v>
      </c>
      <c r="E28" s="7">
        <f t="shared" si="2"/>
        <v>-16.326530612244902</v>
      </c>
      <c r="N28" s="5">
        <f t="shared" si="12"/>
        <v>9</v>
      </c>
      <c r="O28" s="5">
        <v>0.48</v>
      </c>
      <c r="P28" s="5">
        <v>1</v>
      </c>
      <c r="Q28" s="5">
        <v>5</v>
      </c>
      <c r="R28" s="5">
        <f t="shared" si="4"/>
        <v>6.15</v>
      </c>
      <c r="S28" s="5">
        <f t="shared" si="5"/>
        <v>23.000000000000007</v>
      </c>
      <c r="T28" s="5">
        <f t="shared" si="6"/>
        <v>2.4</v>
      </c>
      <c r="U28" s="5">
        <f t="shared" si="7"/>
        <v>2.952</v>
      </c>
      <c r="V28" s="5">
        <f t="shared" si="3"/>
        <v>23.000000000000004</v>
      </c>
      <c r="W28" s="5">
        <f t="shared" si="8"/>
        <v>0.55200000000000005</v>
      </c>
      <c r="Y28" s="5">
        <f t="shared" si="9"/>
        <v>2.4</v>
      </c>
      <c r="Z28" s="5">
        <f t="shared" si="10"/>
        <v>2.952</v>
      </c>
      <c r="AA28" s="5">
        <f t="shared" si="11"/>
        <v>0.55200000000000005</v>
      </c>
    </row>
    <row r="29" spans="1:27" x14ac:dyDescent="0.2">
      <c r="A29" s="5" t="s">
        <v>31</v>
      </c>
      <c r="B29" s="5" t="s">
        <v>33</v>
      </c>
      <c r="C29" s="7">
        <v>0.54</v>
      </c>
      <c r="D29" s="7">
        <v>0.51</v>
      </c>
      <c r="E29" s="7">
        <f t="shared" si="2"/>
        <v>-5.5555555555555598</v>
      </c>
      <c r="N29" s="5">
        <f t="shared" si="12"/>
        <v>10</v>
      </c>
      <c r="O29" s="5">
        <v>0.48</v>
      </c>
      <c r="P29" s="5">
        <v>1</v>
      </c>
      <c r="Q29" s="5">
        <v>5</v>
      </c>
      <c r="R29" s="5">
        <f t="shared" si="4"/>
        <v>6.15</v>
      </c>
      <c r="S29" s="5">
        <f t="shared" si="5"/>
        <v>23.000000000000007</v>
      </c>
      <c r="T29" s="5">
        <f t="shared" si="6"/>
        <v>2.4</v>
      </c>
      <c r="U29" s="5">
        <f t="shared" si="7"/>
        <v>2.952</v>
      </c>
      <c r="V29" s="5">
        <f t="shared" si="3"/>
        <v>23.000000000000004</v>
      </c>
      <c r="W29" s="5">
        <f t="shared" si="8"/>
        <v>0.55200000000000005</v>
      </c>
      <c r="Y29" s="5">
        <f t="shared" si="9"/>
        <v>2.4</v>
      </c>
      <c r="Z29" s="5">
        <f t="shared" si="10"/>
        <v>2.952</v>
      </c>
      <c r="AA29" s="5">
        <f t="shared" si="11"/>
        <v>0.55200000000000005</v>
      </c>
    </row>
    <row r="30" spans="1:27" x14ac:dyDescent="0.2">
      <c r="A30" s="5" t="s">
        <v>34</v>
      </c>
      <c r="B30" s="5" t="s">
        <v>32</v>
      </c>
      <c r="C30" s="7">
        <v>0.57999999999999996</v>
      </c>
      <c r="D30" s="7">
        <v>0.46</v>
      </c>
      <c r="E30" s="7">
        <f t="shared" si="2"/>
        <v>-20.689655172413783</v>
      </c>
      <c r="P30" s="5">
        <f t="shared" ref="P30:W30" si="13">AVERAGE(P20:P29)</f>
        <v>0.94399999999999995</v>
      </c>
      <c r="Q30" s="5">
        <f t="shared" si="13"/>
        <v>5</v>
      </c>
      <c r="R30" s="5">
        <f t="shared" si="13"/>
        <v>6.1499999999999995</v>
      </c>
      <c r="S30" s="5">
        <f t="shared" si="13"/>
        <v>23.000000000000004</v>
      </c>
      <c r="T30" s="5">
        <f t="shared" si="13"/>
        <v>2.3999999999999995</v>
      </c>
      <c r="U30" s="5">
        <f t="shared" si="13"/>
        <v>2.7866879999999994</v>
      </c>
      <c r="V30" s="5">
        <f t="shared" si="13"/>
        <v>16.112000000000002</v>
      </c>
      <c r="W30" s="5">
        <f t="shared" si="13"/>
        <v>0.38668800000000009</v>
      </c>
      <c r="Y30" s="5">
        <f>AVERAGE(Y20:Y29)</f>
        <v>2.3999999999999995</v>
      </c>
      <c r="Z30" s="5">
        <f>AVERAGE(Z20:Z29)</f>
        <v>2.9519999999999995</v>
      </c>
      <c r="AA30" s="5">
        <f>AVERAGE(AA20:AA29)</f>
        <v>0.55199999999999994</v>
      </c>
    </row>
    <row r="31" spans="1:27" x14ac:dyDescent="0.2">
      <c r="A31" s="5" t="s">
        <v>34</v>
      </c>
      <c r="B31" s="5" t="s">
        <v>33</v>
      </c>
      <c r="C31" s="7">
        <v>0.6</v>
      </c>
      <c r="D31" s="7">
        <v>0.56000000000000005</v>
      </c>
      <c r="E31" s="7">
        <f t="shared" si="2"/>
        <v>-6.6666666666666536</v>
      </c>
    </row>
    <row r="32" spans="1:27" x14ac:dyDescent="0.2">
      <c r="P32" s="5">
        <f>(1-P30)*100</f>
        <v>5.600000000000005</v>
      </c>
      <c r="Y32" s="5">
        <f>(U30-T30)/T30*100</f>
        <v>16.112000000000002</v>
      </c>
      <c r="Z32" s="5">
        <f>(Z30-Y30)/Y30*100</f>
        <v>23.000000000000007</v>
      </c>
    </row>
    <row r="33" spans="1:25" x14ac:dyDescent="0.2">
      <c r="Y33" s="5">
        <f>23-Y32</f>
        <v>6.8879999999999981</v>
      </c>
    </row>
    <row r="34" spans="1:25" x14ac:dyDescent="0.2">
      <c r="T34" s="5" t="s">
        <v>60</v>
      </c>
      <c r="U34" s="5" t="s">
        <v>61</v>
      </c>
    </row>
    <row r="35" spans="1:25" x14ac:dyDescent="0.2">
      <c r="N35" s="5" t="s">
        <v>47</v>
      </c>
      <c r="O35" s="5">
        <v>0.48</v>
      </c>
      <c r="T35" s="7">
        <v>1.1000000000000001</v>
      </c>
      <c r="U35" s="7">
        <v>1.0450000000000002</v>
      </c>
      <c r="V35" s="5">
        <f t="shared" ref="V35:V43" si="14">T35/U35</f>
        <v>1.0526315789473684</v>
      </c>
    </row>
    <row r="36" spans="1:25" x14ac:dyDescent="0.2">
      <c r="N36" s="5" t="s">
        <v>48</v>
      </c>
      <c r="O36" s="5">
        <v>0.95</v>
      </c>
      <c r="T36" s="7">
        <v>1.2</v>
      </c>
      <c r="U36" s="7">
        <v>1.1399999999999999</v>
      </c>
      <c r="V36" s="5">
        <f t="shared" si="14"/>
        <v>1.0526315789473684</v>
      </c>
    </row>
    <row r="37" spans="1:25" x14ac:dyDescent="0.2">
      <c r="N37" s="5" t="s">
        <v>49</v>
      </c>
      <c r="O37" s="5">
        <v>1.23</v>
      </c>
      <c r="Q37" s="5" t="s">
        <v>58</v>
      </c>
      <c r="R37" s="5" t="s">
        <v>59</v>
      </c>
      <c r="T37" s="7">
        <f t="shared" ref="T37:T44" si="15">T36+0.1</f>
        <v>1.3</v>
      </c>
      <c r="U37" s="7">
        <v>1.2350000000000001</v>
      </c>
      <c r="V37" s="5">
        <f t="shared" si="14"/>
        <v>1.0526315789473684</v>
      </c>
    </row>
    <row r="38" spans="1:25" x14ac:dyDescent="0.2">
      <c r="N38" s="5" t="s">
        <v>50</v>
      </c>
      <c r="O38" s="5">
        <v>5</v>
      </c>
      <c r="P38" s="5" t="s">
        <v>54</v>
      </c>
      <c r="Q38" s="5">
        <f>O38*O35</f>
        <v>2.4</v>
      </c>
      <c r="R38" s="5">
        <f>O38*O35</f>
        <v>2.4</v>
      </c>
      <c r="T38" s="7">
        <f t="shared" si="15"/>
        <v>1.4000000000000001</v>
      </c>
      <c r="U38" s="7">
        <v>1.33</v>
      </c>
      <c r="V38" s="5">
        <f t="shared" si="14"/>
        <v>1.0526315789473684</v>
      </c>
      <c r="X38" s="5">
        <f>0.95*23</f>
        <v>21.849999999999998</v>
      </c>
    </row>
    <row r="39" spans="1:25" x14ac:dyDescent="0.2">
      <c r="N39" s="5" t="s">
        <v>51</v>
      </c>
      <c r="O39" s="5">
        <f>O37*O38</f>
        <v>6.15</v>
      </c>
      <c r="P39" s="5" t="s">
        <v>55</v>
      </c>
      <c r="Q39" s="5">
        <f>O39*O35</f>
        <v>2.952</v>
      </c>
      <c r="R39" s="5">
        <f>O39*(O36*O35)</f>
        <v>2.8043999999999998</v>
      </c>
      <c r="T39" s="7">
        <f t="shared" si="15"/>
        <v>1.5000000000000002</v>
      </c>
      <c r="U39" s="7">
        <v>1.425</v>
      </c>
      <c r="V39" s="5">
        <f t="shared" si="14"/>
        <v>1.0526315789473686</v>
      </c>
    </row>
    <row r="40" spans="1:25" x14ac:dyDescent="0.2">
      <c r="N40" s="5" t="s">
        <v>52</v>
      </c>
      <c r="O40" s="5">
        <f>O39-O38</f>
        <v>1.1500000000000004</v>
      </c>
      <c r="P40" s="5" t="s">
        <v>56</v>
      </c>
      <c r="Q40" s="5">
        <f>Q39-Q38</f>
        <v>0.55200000000000005</v>
      </c>
      <c r="R40" s="5">
        <f>R39-R38</f>
        <v>0.40439999999999987</v>
      </c>
      <c r="T40" s="7">
        <f t="shared" si="15"/>
        <v>1.6000000000000003</v>
      </c>
      <c r="U40" s="7">
        <v>1.52</v>
      </c>
      <c r="V40" s="5">
        <f t="shared" si="14"/>
        <v>1.0526315789473686</v>
      </c>
    </row>
    <row r="41" spans="1:25" x14ac:dyDescent="0.2">
      <c r="N41" s="5" t="s">
        <v>53</v>
      </c>
      <c r="O41" s="5">
        <f>(O39-O38)/O38*100</f>
        <v>23.000000000000007</v>
      </c>
      <c r="P41" s="5" t="s">
        <v>57</v>
      </c>
      <c r="Q41" s="5">
        <f>(Q39-Q38)/Q38*100</f>
        <v>23.000000000000004</v>
      </c>
      <c r="R41" s="5">
        <f>(R39-R38)/R38*100</f>
        <v>16.849999999999994</v>
      </c>
      <c r="S41" s="5">
        <f>R41-Q41</f>
        <v>-6.1500000000000092</v>
      </c>
      <c r="T41" s="7">
        <f t="shared" si="15"/>
        <v>1.7000000000000004</v>
      </c>
      <c r="U41" s="7">
        <v>1.615</v>
      </c>
      <c r="V41" s="5">
        <f t="shared" si="14"/>
        <v>1.0526315789473686</v>
      </c>
    </row>
    <row r="42" spans="1:25" x14ac:dyDescent="0.2">
      <c r="Q42" s="5">
        <f>Q39/Q38</f>
        <v>1.23</v>
      </c>
      <c r="R42" s="5">
        <f>R39/R38</f>
        <v>1.1684999999999999</v>
      </c>
      <c r="T42" s="7">
        <f t="shared" si="15"/>
        <v>1.8000000000000005</v>
      </c>
      <c r="U42" s="7">
        <v>1.71</v>
      </c>
      <c r="V42" s="5">
        <f t="shared" si="14"/>
        <v>1.0526315789473688</v>
      </c>
    </row>
    <row r="43" spans="1:25" x14ac:dyDescent="0.2">
      <c r="T43" s="7">
        <f t="shared" si="15"/>
        <v>1.9000000000000006</v>
      </c>
      <c r="U43" s="7">
        <v>1.8049999999999999</v>
      </c>
      <c r="V43" s="5">
        <f t="shared" si="14"/>
        <v>1.0526315789473688</v>
      </c>
    </row>
    <row r="44" spans="1:25" x14ac:dyDescent="0.2">
      <c r="T44" s="7">
        <f t="shared" si="15"/>
        <v>2.0000000000000004</v>
      </c>
      <c r="U44" s="7">
        <v>1.9</v>
      </c>
      <c r="V44" s="5">
        <f>T44/U44</f>
        <v>1.0526315789473688</v>
      </c>
    </row>
    <row r="47" spans="1:25" s="3" customFormat="1" x14ac:dyDescent="0.2">
      <c r="A47" s="3" t="s">
        <v>62</v>
      </c>
    </row>
    <row r="48" spans="1:25" x14ac:dyDescent="0.2">
      <c r="A48" s="5" t="s">
        <v>73</v>
      </c>
    </row>
    <row r="49" spans="1:15" x14ac:dyDescent="0.2">
      <c r="A49" s="5" t="s">
        <v>70</v>
      </c>
      <c r="B49" s="5" t="s">
        <v>63</v>
      </c>
      <c r="C49" s="5" t="s">
        <v>65</v>
      </c>
      <c r="D49" s="5" t="s">
        <v>72</v>
      </c>
      <c r="E49" s="5" t="s">
        <v>74</v>
      </c>
      <c r="F49" s="5" t="s">
        <v>75</v>
      </c>
      <c r="G49" s="5" t="s">
        <v>76</v>
      </c>
      <c r="I49" s="5" t="s">
        <v>88</v>
      </c>
      <c r="J49" s="5" t="s">
        <v>89</v>
      </c>
      <c r="K49" s="5" t="s">
        <v>87</v>
      </c>
    </row>
    <row r="50" spans="1:15" x14ac:dyDescent="0.2">
      <c r="A50" s="5" t="s">
        <v>77</v>
      </c>
      <c r="B50" s="5" t="s">
        <v>1</v>
      </c>
      <c r="C50" s="7">
        <v>2636.22</v>
      </c>
      <c r="D50" s="7">
        <v>3064.52</v>
      </c>
      <c r="E50" s="8">
        <f>C50/1000000*10000</f>
        <v>26.362199999999998</v>
      </c>
      <c r="F50" s="8">
        <f>D50/1000000*10000</f>
        <v>30.645199999999999</v>
      </c>
      <c r="G50" s="8">
        <f>E50+F50</f>
        <v>57.007399999999997</v>
      </c>
    </row>
    <row r="51" spans="1:15" x14ac:dyDescent="0.2">
      <c r="A51" s="5" t="s">
        <v>77</v>
      </c>
      <c r="B51" s="5" t="s">
        <v>64</v>
      </c>
      <c r="C51" s="7">
        <v>2700.89</v>
      </c>
      <c r="D51" s="7">
        <v>3731.18</v>
      </c>
      <c r="E51" s="8">
        <f>C51/1000000*10000</f>
        <v>27.008900000000001</v>
      </c>
      <c r="F51" s="8">
        <f>D51/1000000*10000</f>
        <v>37.311799999999998</v>
      </c>
      <c r="G51" s="8">
        <f t="shared" ref="G51:G61" si="16">E51+F51</f>
        <v>64.320700000000002</v>
      </c>
      <c r="I51" s="6">
        <f>(E51-E50)/E50*100</f>
        <v>2.4531336534887176</v>
      </c>
      <c r="J51" s="6">
        <f>(F51-F50)/F50*100</f>
        <v>21.754140942137752</v>
      </c>
      <c r="K51" s="6">
        <f t="shared" ref="I51:K55" si="17">(G51-G$50)/G$50*100</f>
        <v>12.828685398737719</v>
      </c>
    </row>
    <row r="52" spans="1:15" x14ac:dyDescent="0.2">
      <c r="A52" s="5" t="s">
        <v>77</v>
      </c>
      <c r="B52" s="5" t="s">
        <v>66</v>
      </c>
      <c r="C52" s="7">
        <v>2374.9699999999998</v>
      </c>
      <c r="D52" s="7">
        <v>3344.09</v>
      </c>
      <c r="E52" s="8">
        <f t="shared" ref="E52:F61" si="18">C52/1000000*10000</f>
        <v>23.749699999999997</v>
      </c>
      <c r="F52" s="8">
        <f t="shared" si="18"/>
        <v>33.440899999999999</v>
      </c>
      <c r="G52" s="8">
        <f t="shared" si="16"/>
        <v>57.190599999999996</v>
      </c>
      <c r="I52" s="6">
        <f t="shared" si="17"/>
        <v>-9.9100226839945105</v>
      </c>
      <c r="J52" s="6">
        <f t="shared" si="17"/>
        <v>9.1227990027802068</v>
      </c>
      <c r="K52" s="6">
        <f t="shared" si="17"/>
        <v>0.32136178811873439</v>
      </c>
    </row>
    <row r="53" spans="1:15" x14ac:dyDescent="0.2">
      <c r="A53" s="5" t="s">
        <v>77</v>
      </c>
      <c r="B53" s="5" t="s">
        <v>67</v>
      </c>
      <c r="C53" s="7">
        <v>2635.68</v>
      </c>
      <c r="D53" s="7">
        <v>3064.52</v>
      </c>
      <c r="E53" s="8">
        <f t="shared" si="18"/>
        <v>26.356799999999996</v>
      </c>
      <c r="F53" s="8">
        <f t="shared" si="18"/>
        <v>30.645199999999999</v>
      </c>
      <c r="G53" s="8">
        <f t="shared" si="16"/>
        <v>57.001999999999995</v>
      </c>
      <c r="I53" s="6">
        <f t="shared" si="17"/>
        <v>-2.0483874638693382E-2</v>
      </c>
      <c r="J53" s="6">
        <f t="shared" si="17"/>
        <v>0</v>
      </c>
      <c r="K53" s="6">
        <f t="shared" si="17"/>
        <v>-9.4724544532843562E-3</v>
      </c>
    </row>
    <row r="54" spans="1:15" x14ac:dyDescent="0.2">
      <c r="A54" s="5" t="s">
        <v>77</v>
      </c>
      <c r="B54" s="5" t="s">
        <v>68</v>
      </c>
      <c r="C54" s="7">
        <v>2888.64</v>
      </c>
      <c r="D54" s="7">
        <v>3182.8</v>
      </c>
      <c r="E54" s="8">
        <f t="shared" si="18"/>
        <v>28.886400000000002</v>
      </c>
      <c r="F54" s="8">
        <f t="shared" si="18"/>
        <v>31.828000000000003</v>
      </c>
      <c r="G54" s="8">
        <f t="shared" si="16"/>
        <v>60.714400000000005</v>
      </c>
      <c r="I54" s="6">
        <f t="shared" ref="I54" si="19">(E54-E$50)/E$50*100</f>
        <v>9.5750734005508047</v>
      </c>
      <c r="J54" s="6">
        <f t="shared" ref="J54:J55" si="20">(F54-F$50)/F$50*100</f>
        <v>3.8596582825369188</v>
      </c>
      <c r="K54" s="6">
        <f t="shared" si="17"/>
        <v>6.5026645663545573</v>
      </c>
    </row>
    <row r="55" spans="1:15" x14ac:dyDescent="0.2">
      <c r="A55" s="5" t="s">
        <v>77</v>
      </c>
      <c r="B55" s="5" t="s">
        <v>69</v>
      </c>
      <c r="C55" s="7">
        <v>3173.94</v>
      </c>
      <c r="D55" s="7">
        <v>3376.34</v>
      </c>
      <c r="E55" s="8">
        <f t="shared" si="18"/>
        <v>31.7394</v>
      </c>
      <c r="F55" s="8">
        <f t="shared" si="18"/>
        <v>33.763400000000004</v>
      </c>
      <c r="G55" s="8">
        <f t="shared" si="16"/>
        <v>65.502800000000008</v>
      </c>
      <c r="I55" s="6">
        <f>(E55-E$50)/E$50*100</f>
        <v>20.397387167990541</v>
      </c>
      <c r="J55" s="6">
        <f t="shared" si="20"/>
        <v>10.175166094527057</v>
      </c>
      <c r="K55" s="6">
        <f t="shared" si="17"/>
        <v>14.902275844890331</v>
      </c>
      <c r="M55" s="6">
        <f>AVERAGE(I51:I55)</f>
        <v>4.499017532679372</v>
      </c>
      <c r="N55" s="6">
        <f>AVERAGE(J51:J55)</f>
        <v>8.9823528643963861</v>
      </c>
      <c r="O55" s="6">
        <f>AVERAGE(K51:K55)</f>
        <v>6.9091030287296125</v>
      </c>
    </row>
    <row r="56" spans="1:15" x14ac:dyDescent="0.2">
      <c r="A56" s="5" t="s">
        <v>78</v>
      </c>
      <c r="B56" s="5" t="s">
        <v>1</v>
      </c>
      <c r="C56" s="7">
        <v>2464.77</v>
      </c>
      <c r="D56" s="7">
        <v>3215.05</v>
      </c>
      <c r="E56" s="8">
        <f t="shared" si="18"/>
        <v>24.647699999999997</v>
      </c>
      <c r="F56" s="8">
        <f t="shared" si="18"/>
        <v>32.150500000000001</v>
      </c>
      <c r="G56" s="8">
        <f t="shared" si="16"/>
        <v>56.798199999999994</v>
      </c>
      <c r="I56" s="6"/>
      <c r="J56" s="6"/>
      <c r="K56" s="6"/>
      <c r="M56" s="6"/>
      <c r="N56" s="6"/>
      <c r="O56" s="6"/>
    </row>
    <row r="57" spans="1:15" x14ac:dyDescent="0.2">
      <c r="A57" s="5" t="s">
        <v>71</v>
      </c>
      <c r="B57" s="5" t="s">
        <v>64</v>
      </c>
      <c r="C57" s="7">
        <v>2530.11</v>
      </c>
      <c r="D57" s="7">
        <v>3118.28</v>
      </c>
      <c r="E57" s="8">
        <f t="shared" si="18"/>
        <v>25.301099999999998</v>
      </c>
      <c r="F57" s="8">
        <f t="shared" si="18"/>
        <v>31.1828</v>
      </c>
      <c r="G57" s="8">
        <f t="shared" si="16"/>
        <v>56.483899999999998</v>
      </c>
      <c r="I57" s="6">
        <f t="shared" ref="I57:J58" si="21">(E57-E$56)/E$56*100</f>
        <v>2.6509572901325535</v>
      </c>
      <c r="J57" s="6">
        <f t="shared" si="21"/>
        <v>-3.0099065333354087</v>
      </c>
      <c r="K57" s="6">
        <f>(G57-G$56)/G$56*100</f>
        <v>-0.55336260656146818</v>
      </c>
      <c r="M57" s="6"/>
      <c r="N57" s="6"/>
      <c r="O57" s="6"/>
    </row>
    <row r="58" spans="1:15" x14ac:dyDescent="0.2">
      <c r="A58" s="5" t="s">
        <v>71</v>
      </c>
      <c r="B58" s="5" t="s">
        <v>66</v>
      </c>
      <c r="C58" s="7">
        <v>2228.5100000000002</v>
      </c>
      <c r="D58" s="7">
        <v>3645.16</v>
      </c>
      <c r="E58" s="8">
        <f t="shared" si="18"/>
        <v>22.285100000000003</v>
      </c>
      <c r="F58" s="8">
        <f t="shared" si="18"/>
        <v>36.451599999999999</v>
      </c>
      <c r="G58" s="8">
        <f t="shared" si="16"/>
        <v>58.736699999999999</v>
      </c>
      <c r="I58" s="6">
        <f>(E58-E$56)/E$56*100</f>
        <v>-9.5854785639227735</v>
      </c>
      <c r="J58" s="6">
        <f t="shared" si="21"/>
        <v>13.378019004370065</v>
      </c>
      <c r="K58" s="6">
        <f>(G58-G$56)/G$56*100</f>
        <v>3.4129602698677162</v>
      </c>
      <c r="M58" s="6"/>
      <c r="N58" s="6"/>
      <c r="O58" s="6"/>
    </row>
    <row r="59" spans="1:15" x14ac:dyDescent="0.2">
      <c r="A59" s="5" t="s">
        <v>71</v>
      </c>
      <c r="B59" s="5" t="s">
        <v>67</v>
      </c>
      <c r="C59" s="7">
        <v>3181.82</v>
      </c>
      <c r="D59" s="7">
        <v>3139.78</v>
      </c>
      <c r="E59" s="8">
        <f t="shared" si="18"/>
        <v>31.818200000000001</v>
      </c>
      <c r="F59" s="8">
        <f t="shared" si="18"/>
        <v>31.3978</v>
      </c>
      <c r="G59" s="8">
        <f t="shared" si="16"/>
        <v>63.216000000000001</v>
      </c>
      <c r="I59" s="6">
        <f>(E59-E$56)/E$56*100</f>
        <v>29.091963956068945</v>
      </c>
      <c r="J59" s="6">
        <f>(F59-F$56)/F$56*100</f>
        <v>-2.341176653551269</v>
      </c>
      <c r="K59" s="6">
        <f>(G59-G$56)/G$56*100</f>
        <v>11.299301738435386</v>
      </c>
      <c r="M59" s="6"/>
      <c r="N59" s="6"/>
      <c r="O59" s="6"/>
    </row>
    <row r="60" spans="1:15" x14ac:dyDescent="0.2">
      <c r="A60" s="5" t="s">
        <v>71</v>
      </c>
      <c r="B60" s="5" t="s">
        <v>68</v>
      </c>
      <c r="C60" s="7">
        <v>3899.01</v>
      </c>
      <c r="D60" s="7">
        <v>3655.91</v>
      </c>
      <c r="E60" s="8">
        <f t="shared" si="18"/>
        <v>38.990099999999998</v>
      </c>
      <c r="F60" s="8">
        <f t="shared" si="18"/>
        <v>36.559100000000001</v>
      </c>
      <c r="G60" s="8">
        <f t="shared" si="16"/>
        <v>75.549199999999999</v>
      </c>
      <c r="I60" s="6">
        <f>(E60-E$56)/E$56*100</f>
        <v>58.189607955306187</v>
      </c>
      <c r="J60" s="6">
        <f>(F60-F$56)/F$56*100</f>
        <v>13.712383944262141</v>
      </c>
      <c r="K60" s="6">
        <f>(G60-G$56)/G$56*100</f>
        <v>33.013370142011553</v>
      </c>
      <c r="M60" s="6"/>
      <c r="N60" s="6"/>
      <c r="O60" s="6"/>
    </row>
    <row r="61" spans="1:15" x14ac:dyDescent="0.2">
      <c r="A61" s="5" t="s">
        <v>71</v>
      </c>
      <c r="B61" s="5" t="s">
        <v>69</v>
      </c>
      <c r="C61" s="7">
        <v>3084.28</v>
      </c>
      <c r="D61" s="7">
        <v>4322.58</v>
      </c>
      <c r="E61" s="8">
        <f t="shared" si="18"/>
        <v>30.8428</v>
      </c>
      <c r="F61" s="8">
        <f t="shared" si="18"/>
        <v>43.225800000000007</v>
      </c>
      <c r="G61" s="8">
        <f t="shared" si="16"/>
        <v>74.068600000000004</v>
      </c>
      <c r="I61" s="6">
        <f>(E61-E$56)/E$56*100</f>
        <v>25.134596737220939</v>
      </c>
      <c r="J61" s="6">
        <f>(F61-F$56)/F$56*100</f>
        <v>34.448297849178097</v>
      </c>
      <c r="K61" s="6">
        <f>(G61-G$56)/G$56*100</f>
        <v>30.406597392170898</v>
      </c>
      <c r="M61" s="6"/>
      <c r="N61" s="6"/>
      <c r="O61" s="6"/>
    </row>
    <row r="62" spans="1:15" x14ac:dyDescent="0.2">
      <c r="M62" s="6">
        <f>AVERAGE(I58:I62)</f>
        <v>25.707672521168327</v>
      </c>
      <c r="N62" s="6">
        <f>AVERAGE(J58:J62)</f>
        <v>14.799381036064759</v>
      </c>
      <c r="O62" s="6">
        <f>AVERAGE(K58:K62)</f>
        <v>19.533057385621387</v>
      </c>
    </row>
    <row r="65" spans="1:3" s="3" customFormat="1" x14ac:dyDescent="0.2">
      <c r="A65" s="3" t="s">
        <v>79</v>
      </c>
    </row>
    <row r="66" spans="1:3" x14ac:dyDescent="0.2">
      <c r="A66" s="5" t="s">
        <v>37</v>
      </c>
      <c r="B66" s="5" t="s">
        <v>80</v>
      </c>
      <c r="C66" s="5" t="s">
        <v>81</v>
      </c>
    </row>
    <row r="67" spans="1:3" x14ac:dyDescent="0.2">
      <c r="A67" s="5">
        <v>1972</v>
      </c>
      <c r="B67" s="5">
        <v>0.55000000000000004</v>
      </c>
    </row>
    <row r="68" spans="1:3" x14ac:dyDescent="0.2">
      <c r="A68" s="5">
        <f>A67+1</f>
        <v>1973</v>
      </c>
      <c r="B68" s="5">
        <v>0.83</v>
      </c>
    </row>
    <row r="69" spans="1:3" x14ac:dyDescent="0.2">
      <c r="A69" s="5">
        <v>1977</v>
      </c>
      <c r="B69" s="5">
        <v>1.36</v>
      </c>
    </row>
    <row r="70" spans="1:3" x14ac:dyDescent="0.2">
      <c r="A70" s="5">
        <f t="shared" ref="A70:A78" si="22">A69+1</f>
        <v>1978</v>
      </c>
      <c r="B70" s="5">
        <v>1.07</v>
      </c>
    </row>
    <row r="71" spans="1:3" x14ac:dyDescent="0.2">
      <c r="A71" s="5">
        <f t="shared" si="22"/>
        <v>1979</v>
      </c>
      <c r="B71" s="5">
        <v>1.36</v>
      </c>
    </row>
    <row r="72" spans="1:3" x14ac:dyDescent="0.2">
      <c r="A72" s="5">
        <f t="shared" si="22"/>
        <v>1980</v>
      </c>
      <c r="B72" s="5">
        <v>1.2</v>
      </c>
    </row>
    <row r="73" spans="1:3" x14ac:dyDescent="0.2">
      <c r="A73" s="5">
        <f t="shared" si="22"/>
        <v>1981</v>
      </c>
      <c r="B73" s="5">
        <v>1.03</v>
      </c>
    </row>
    <row r="74" spans="1:3" x14ac:dyDescent="0.2">
      <c r="A74" s="5">
        <f t="shared" si="22"/>
        <v>1982</v>
      </c>
      <c r="B74" s="5">
        <v>1.75</v>
      </c>
    </row>
    <row r="75" spans="1:3" x14ac:dyDescent="0.2">
      <c r="A75" s="5">
        <f t="shared" si="22"/>
        <v>1983</v>
      </c>
      <c r="B75" s="5">
        <v>1.6</v>
      </c>
    </row>
    <row r="76" spans="1:3" x14ac:dyDescent="0.2">
      <c r="A76" s="5">
        <f t="shared" si="22"/>
        <v>1984</v>
      </c>
      <c r="B76" s="5">
        <v>1.45</v>
      </c>
    </row>
    <row r="77" spans="1:3" x14ac:dyDescent="0.2">
      <c r="A77" s="5">
        <f t="shared" si="22"/>
        <v>1985</v>
      </c>
      <c r="B77" s="5">
        <v>1.3</v>
      </c>
    </row>
    <row r="78" spans="1:3" x14ac:dyDescent="0.2">
      <c r="A78" s="5">
        <f t="shared" si="22"/>
        <v>1986</v>
      </c>
      <c r="B78" s="5">
        <v>1.45</v>
      </c>
    </row>
    <row r="79" spans="1:3" x14ac:dyDescent="0.2">
      <c r="B79" s="5">
        <f>AVERAGE(B67:B78)</f>
        <v>1.2458333333333333</v>
      </c>
    </row>
    <row r="82" spans="1:5" s="4" customFormat="1" x14ac:dyDescent="0.2">
      <c r="A82" s="3" t="s">
        <v>82</v>
      </c>
      <c r="B82" s="3"/>
    </row>
    <row r="83" spans="1:5" x14ac:dyDescent="0.2">
      <c r="A83" s="5" t="s">
        <v>83</v>
      </c>
    </row>
    <row r="85" spans="1:5" x14ac:dyDescent="0.2">
      <c r="A85" s="5" t="s">
        <v>90</v>
      </c>
    </row>
    <row r="86" spans="1:5" x14ac:dyDescent="0.2">
      <c r="B86" s="7" t="s">
        <v>1</v>
      </c>
      <c r="C86" s="7" t="s">
        <v>84</v>
      </c>
      <c r="D86" s="5" t="s">
        <v>92</v>
      </c>
      <c r="E86" s="5" t="s">
        <v>91</v>
      </c>
    </row>
    <row r="87" spans="1:5" x14ac:dyDescent="0.2">
      <c r="A87" s="5" t="s">
        <v>85</v>
      </c>
      <c r="B87" s="7">
        <v>25474</v>
      </c>
      <c r="C87" s="7">
        <v>16726</v>
      </c>
      <c r="D87" s="5">
        <f>(C87-B87)/1000</f>
        <v>-8.7479999999999993</v>
      </c>
      <c r="E87" s="8">
        <f>(C87-B87)/B87*100</f>
        <v>-34.340896600455366</v>
      </c>
    </row>
    <row r="88" spans="1:5" x14ac:dyDescent="0.2">
      <c r="A88" s="5" t="s">
        <v>86</v>
      </c>
      <c r="B88" s="7">
        <v>62400</v>
      </c>
      <c r="C88" s="7">
        <v>67187</v>
      </c>
      <c r="D88" s="5">
        <f>(C88-B88)/1000</f>
        <v>4.7869999999999999</v>
      </c>
      <c r="E88" s="8">
        <f>(C88-B88)/B88*100</f>
        <v>7.6714743589743586</v>
      </c>
    </row>
    <row r="89" spans="1:5" x14ac:dyDescent="0.2">
      <c r="A89" s="5" t="s">
        <v>7</v>
      </c>
      <c r="B89" s="7">
        <f>SUM(B87:B88)</f>
        <v>87874</v>
      </c>
      <c r="C89" s="7">
        <f>SUM(C87:C88)</f>
        <v>83913</v>
      </c>
      <c r="D89" s="5">
        <f>(C89-B89)/1000</f>
        <v>-3.9609999999999999</v>
      </c>
      <c r="E89" s="8">
        <f>(C89-B89)/B89*100</f>
        <v>-4.5075904135466693</v>
      </c>
    </row>
    <row r="92" spans="1:5" s="4" customFormat="1" x14ac:dyDescent="0.2">
      <c r="A92" s="3" t="s">
        <v>93</v>
      </c>
    </row>
    <row r="93" spans="1:5" x14ac:dyDescent="0.2">
      <c r="B93" s="5" t="s">
        <v>94</v>
      </c>
      <c r="C93" s="5" t="s">
        <v>95</v>
      </c>
    </row>
    <row r="94" spans="1:5" x14ac:dyDescent="0.2">
      <c r="A94" s="5" t="s">
        <v>97</v>
      </c>
      <c r="B94" s="5">
        <v>15</v>
      </c>
      <c r="C94" s="5">
        <v>20</v>
      </c>
    </row>
    <row r="95" spans="1:5" x14ac:dyDescent="0.2">
      <c r="A95" s="5" t="s">
        <v>98</v>
      </c>
      <c r="B95" s="5">
        <v>12</v>
      </c>
      <c r="C95" s="5">
        <v>11</v>
      </c>
    </row>
    <row r="96" spans="1:5" x14ac:dyDescent="0.2">
      <c r="A96" s="5" t="s">
        <v>99</v>
      </c>
      <c r="B96" s="5">
        <v>39</v>
      </c>
      <c r="C96" s="5">
        <v>41</v>
      </c>
    </row>
    <row r="97" spans="1:4" x14ac:dyDescent="0.2">
      <c r="A97" s="5" t="s">
        <v>100</v>
      </c>
      <c r="B97" s="5">
        <v>24</v>
      </c>
      <c r="C97" s="5">
        <v>22</v>
      </c>
    </row>
    <row r="98" spans="1:4" x14ac:dyDescent="0.2">
      <c r="A98" s="5" t="s">
        <v>101</v>
      </c>
      <c r="B98" s="5">
        <v>15</v>
      </c>
      <c r="C98" s="5">
        <v>14</v>
      </c>
    </row>
    <row r="99" spans="1:4" x14ac:dyDescent="0.2">
      <c r="A99" s="5" t="s">
        <v>96</v>
      </c>
      <c r="B99" s="5">
        <f>SUM(B94:B98)</f>
        <v>105</v>
      </c>
      <c r="C99" s="5">
        <f>SUM(C94:C98)</f>
        <v>108</v>
      </c>
      <c r="D99" s="6">
        <f>(C99-B99)/B99*100</f>
        <v>2.8571428571428572</v>
      </c>
    </row>
    <row r="100" spans="1:4" x14ac:dyDescent="0.2">
      <c r="A100" s="5" t="s">
        <v>102</v>
      </c>
      <c r="B100" s="5">
        <f>SUM(B94:B95)</f>
        <v>27</v>
      </c>
      <c r="C100" s="5">
        <f>SUM(C94:C95)</f>
        <v>31</v>
      </c>
      <c r="D100" s="6">
        <f>(C100-B100)/B100*100</f>
        <v>14.814814814814813</v>
      </c>
    </row>
    <row r="101" spans="1:4" x14ac:dyDescent="0.2">
      <c r="A101" s="5" t="s">
        <v>103</v>
      </c>
      <c r="B101" s="5">
        <f>SUM(B96:B98)</f>
        <v>78</v>
      </c>
      <c r="C101" s="5">
        <f>SUM(C96:C98)</f>
        <v>77</v>
      </c>
      <c r="D101" s="6">
        <f>(C101-B101)/B101*100</f>
        <v>-1.2820512820512819</v>
      </c>
    </row>
    <row r="103" spans="1:4" s="4" customFormat="1" x14ac:dyDescent="0.2">
      <c r="A103" s="3" t="s">
        <v>104</v>
      </c>
    </row>
    <row r="104" spans="1:4" x14ac:dyDescent="0.2">
      <c r="B104" s="5" t="s">
        <v>105</v>
      </c>
      <c r="C104" s="5" t="s">
        <v>106</v>
      </c>
    </row>
    <row r="105" spans="1:4" x14ac:dyDescent="0.2">
      <c r="B105" s="5">
        <v>22</v>
      </c>
      <c r="C105" s="5">
        <f>B105/5</f>
        <v>4.4000000000000004</v>
      </c>
    </row>
    <row r="106" spans="1:4" x14ac:dyDescent="0.2">
      <c r="B106" s="5">
        <v>12.4</v>
      </c>
      <c r="C106" s="5">
        <f>B106/5</f>
        <v>2.48</v>
      </c>
    </row>
    <row r="107" spans="1:4" x14ac:dyDescent="0.2">
      <c r="B107" s="5">
        <v>8</v>
      </c>
      <c r="C107" s="5">
        <f>B107/5</f>
        <v>1.6</v>
      </c>
    </row>
    <row r="108" spans="1:4" x14ac:dyDescent="0.2">
      <c r="B108" s="5">
        <v>-14</v>
      </c>
      <c r="C108" s="5">
        <f>B108/5</f>
        <v>-2.8</v>
      </c>
    </row>
    <row r="109" spans="1:4" x14ac:dyDescent="0.2">
      <c r="A109" s="5" t="s">
        <v>7</v>
      </c>
      <c r="B109" s="5">
        <f>SUM(B105:B108)</f>
        <v>28.4</v>
      </c>
      <c r="C109" s="5">
        <f>SUM(C105:C108)</f>
        <v>5.6800000000000006</v>
      </c>
    </row>
    <row r="113" spans="1:17" x14ac:dyDescent="0.2">
      <c r="A113" s="3" t="s">
        <v>107</v>
      </c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5" t="s">
        <v>114</v>
      </c>
      <c r="G114" s="5" t="s">
        <v>113</v>
      </c>
    </row>
    <row r="115" spans="1:17" x14ac:dyDescent="0.2">
      <c r="A115" s="5" t="s">
        <v>108</v>
      </c>
      <c r="B115" s="1" t="s">
        <v>109</v>
      </c>
      <c r="C115" s="1" t="s">
        <v>110</v>
      </c>
      <c r="D115" s="5" t="s">
        <v>111</v>
      </c>
      <c r="E115" s="5" t="s">
        <v>112</v>
      </c>
    </row>
    <row r="116" spans="1:17" x14ac:dyDescent="0.2">
      <c r="A116" s="5">
        <v>0</v>
      </c>
      <c r="B116" s="1">
        <v>119.4</v>
      </c>
      <c r="C116" s="1">
        <v>8.8000000000000007</v>
      </c>
      <c r="D116" s="5">
        <v>1.9</v>
      </c>
      <c r="E116" s="5">
        <f>C116-D116</f>
        <v>6.9</v>
      </c>
      <c r="G116" s="5">
        <f>C116*0.5*0.5</f>
        <v>2.2000000000000002</v>
      </c>
      <c r="H116" s="5">
        <f>D116*0.5*0.5</f>
        <v>0.47499999999999998</v>
      </c>
      <c r="I116" s="5">
        <f>E116*0.5*0.5</f>
        <v>1.7250000000000001</v>
      </c>
    </row>
    <row r="117" spans="1:17" x14ac:dyDescent="0.2">
      <c r="A117" s="5">
        <v>157</v>
      </c>
      <c r="B117" s="1">
        <v>119.6</v>
      </c>
      <c r="C117" s="1">
        <v>13.2</v>
      </c>
      <c r="D117" s="5">
        <v>1.8</v>
      </c>
      <c r="E117" s="5">
        <f>C117-D117</f>
        <v>11.399999999999999</v>
      </c>
      <c r="G117" s="5">
        <f t="shared" ref="G117:I119" si="23">C117*0.5*0.5</f>
        <v>3.3</v>
      </c>
      <c r="H117" s="5">
        <f t="shared" si="23"/>
        <v>0.45</v>
      </c>
      <c r="I117" s="5">
        <f t="shared" si="23"/>
        <v>2.8499999999999996</v>
      </c>
    </row>
    <row r="118" spans="1:17" x14ac:dyDescent="0.2">
      <c r="A118" s="5">
        <v>314</v>
      </c>
      <c r="B118" s="1">
        <v>131.5</v>
      </c>
      <c r="C118" s="1">
        <v>16.5</v>
      </c>
      <c r="D118" s="5">
        <v>2.1</v>
      </c>
      <c r="E118" s="5">
        <f>C118-D118</f>
        <v>14.4</v>
      </c>
      <c r="G118" s="5">
        <f t="shared" si="23"/>
        <v>4.125</v>
      </c>
      <c r="H118" s="5">
        <f t="shared" si="23"/>
        <v>0.52500000000000002</v>
      </c>
      <c r="I118" s="5">
        <f t="shared" si="23"/>
        <v>3.6</v>
      </c>
    </row>
    <row r="119" spans="1:17" x14ac:dyDescent="0.2">
      <c r="A119" s="5">
        <v>471</v>
      </c>
      <c r="B119" s="1">
        <v>122.3</v>
      </c>
      <c r="C119" s="1">
        <v>18.399999999999999</v>
      </c>
      <c r="D119" s="5">
        <v>2.1</v>
      </c>
      <c r="E119" s="5">
        <f>C119-D119</f>
        <v>16.299999999999997</v>
      </c>
      <c r="G119" s="5">
        <f t="shared" si="23"/>
        <v>4.5999999999999996</v>
      </c>
      <c r="H119" s="5">
        <f t="shared" si="23"/>
        <v>0.52500000000000002</v>
      </c>
      <c r="I119" s="5">
        <f t="shared" si="23"/>
        <v>4.0749999999999993</v>
      </c>
    </row>
    <row r="120" spans="1:17" x14ac:dyDescent="0.2">
      <c r="B120" s="1"/>
      <c r="C120" s="1"/>
    </row>
    <row r="121" spans="1:17" x14ac:dyDescent="0.2">
      <c r="A121" s="3" t="s">
        <v>115</v>
      </c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5" t="s">
        <v>120</v>
      </c>
      <c r="H122" s="5" t="s">
        <v>119</v>
      </c>
    </row>
    <row r="123" spans="1:17" x14ac:dyDescent="0.2">
      <c r="A123" s="5" t="s">
        <v>116</v>
      </c>
      <c r="B123" s="1" t="s">
        <v>63</v>
      </c>
      <c r="C123" s="1" t="s">
        <v>118</v>
      </c>
      <c r="D123" s="1" t="s">
        <v>117</v>
      </c>
      <c r="H123" s="5" t="s">
        <v>116</v>
      </c>
      <c r="I123" s="1" t="s">
        <v>63</v>
      </c>
      <c r="J123" s="1" t="s">
        <v>118</v>
      </c>
      <c r="K123" s="1" t="s">
        <v>117</v>
      </c>
    </row>
    <row r="124" spans="1:17" x14ac:dyDescent="0.2">
      <c r="A124" s="5">
        <v>20</v>
      </c>
      <c r="B124" s="1">
        <v>0</v>
      </c>
      <c r="C124" s="1">
        <v>305</v>
      </c>
      <c r="D124" s="5">
        <f t="shared" ref="D124:D129" si="24">C124*0.0283/0.4046</f>
        <v>21.333415719228864</v>
      </c>
      <c r="H124" s="5">
        <v>20</v>
      </c>
      <c r="I124" s="1">
        <v>0</v>
      </c>
      <c r="J124" s="1">
        <v>407</v>
      </c>
      <c r="K124" s="5">
        <f t="shared" ref="K124:K129" si="25">J124*0.0283/0.4046</f>
        <v>28.467869500741468</v>
      </c>
    </row>
    <row r="125" spans="1:17" x14ac:dyDescent="0.2">
      <c r="A125" s="5">
        <v>20</v>
      </c>
      <c r="B125" s="1">
        <v>200</v>
      </c>
      <c r="C125" s="1">
        <v>371</v>
      </c>
      <c r="D125" s="5">
        <f t="shared" si="24"/>
        <v>25.949826989619375</v>
      </c>
      <c r="E125" s="5">
        <f>D125-D124</f>
        <v>4.6164112703905111</v>
      </c>
      <c r="F125" s="5">
        <f>(D125-D124)/D124*100</f>
        <v>21.639344262295097</v>
      </c>
      <c r="H125" s="5">
        <v>20</v>
      </c>
      <c r="I125" s="1">
        <v>200</v>
      </c>
      <c r="J125" s="1">
        <v>434</v>
      </c>
      <c r="K125" s="5">
        <f t="shared" si="25"/>
        <v>30.356401384083043</v>
      </c>
      <c r="L125" s="5">
        <f>K125-K124</f>
        <v>1.8885318833415745</v>
      </c>
      <c r="M125" s="5">
        <f>(K125-K124)/K124*100</f>
        <v>6.6339066339066441</v>
      </c>
    </row>
    <row r="126" spans="1:17" x14ac:dyDescent="0.2">
      <c r="A126" s="5">
        <v>40</v>
      </c>
      <c r="B126" s="1">
        <v>0</v>
      </c>
      <c r="C126" s="1">
        <v>284</v>
      </c>
      <c r="D126" s="5">
        <f t="shared" si="24"/>
        <v>19.864557587740979</v>
      </c>
      <c r="H126" s="5">
        <v>40</v>
      </c>
      <c r="I126" s="1">
        <v>0</v>
      </c>
      <c r="J126" s="1">
        <v>363</v>
      </c>
      <c r="K126" s="5">
        <f t="shared" si="25"/>
        <v>25.390261987147799</v>
      </c>
    </row>
    <row r="127" spans="1:17" x14ac:dyDescent="0.2">
      <c r="A127" s="5">
        <v>40</v>
      </c>
      <c r="B127" s="1">
        <v>200</v>
      </c>
      <c r="C127" s="1">
        <v>326</v>
      </c>
      <c r="D127" s="5">
        <f t="shared" si="24"/>
        <v>22.802273850716755</v>
      </c>
      <c r="E127" s="5">
        <f>D127-D126</f>
        <v>2.9377162629757763</v>
      </c>
      <c r="F127" s="5">
        <f>(D127-D126)/D126*100</f>
        <v>14.788732394366185</v>
      </c>
      <c r="H127" s="5">
        <v>40</v>
      </c>
      <c r="I127" s="1">
        <v>200</v>
      </c>
      <c r="J127" s="1">
        <v>363</v>
      </c>
      <c r="K127" s="5">
        <f t="shared" si="25"/>
        <v>25.390261987147799</v>
      </c>
      <c r="L127" s="5">
        <f>K127-K126</f>
        <v>0</v>
      </c>
      <c r="M127" s="5">
        <f>(K127-K126)/K126*100</f>
        <v>0</v>
      </c>
    </row>
    <row r="128" spans="1:17" x14ac:dyDescent="0.2">
      <c r="A128" s="5">
        <v>60</v>
      </c>
      <c r="B128" s="1">
        <v>0</v>
      </c>
      <c r="C128" s="1">
        <v>241</v>
      </c>
      <c r="D128" s="5">
        <f t="shared" si="24"/>
        <v>16.856895699456253</v>
      </c>
      <c r="H128" s="5">
        <v>60</v>
      </c>
      <c r="I128" s="1">
        <v>0</v>
      </c>
      <c r="J128" s="1">
        <v>299</v>
      </c>
      <c r="K128" s="5">
        <f t="shared" si="25"/>
        <v>20.913741967375184</v>
      </c>
    </row>
    <row r="129" spans="1:17" x14ac:dyDescent="0.2">
      <c r="A129" s="5">
        <v>60</v>
      </c>
      <c r="B129" s="1">
        <v>200</v>
      </c>
      <c r="C129" s="1">
        <v>278</v>
      </c>
      <c r="D129" s="5">
        <f t="shared" si="24"/>
        <v>19.444883835887296</v>
      </c>
      <c r="E129" s="5">
        <f>D129-D128</f>
        <v>2.5879881364310435</v>
      </c>
      <c r="F129" s="5">
        <f>(D129-D128)/D128*100</f>
        <v>15.352697095435689</v>
      </c>
      <c r="H129" s="5">
        <v>60</v>
      </c>
      <c r="I129" s="1">
        <v>200</v>
      </c>
      <c r="J129" s="1">
        <v>298</v>
      </c>
      <c r="K129" s="5">
        <f t="shared" si="25"/>
        <v>20.843796342066234</v>
      </c>
      <c r="L129" s="5">
        <f>K129-K128</f>
        <v>-6.9945625308950099E-2</v>
      </c>
      <c r="M129" s="5">
        <f>(K129-K128)/K128*100</f>
        <v>-0.33444816053513138</v>
      </c>
    </row>
    <row r="130" spans="1:17" x14ac:dyDescent="0.2">
      <c r="B130" s="1"/>
      <c r="C130" s="1"/>
    </row>
    <row r="131" spans="1:17" x14ac:dyDescent="0.2">
      <c r="B131" s="1"/>
      <c r="C131" s="1"/>
    </row>
    <row r="132" spans="1:17" x14ac:dyDescent="0.2">
      <c r="B132" s="1"/>
      <c r="C132" s="1"/>
    </row>
    <row r="133" spans="1:17" x14ac:dyDescent="0.2">
      <c r="A133" s="3" t="s">
        <v>121</v>
      </c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5" t="s">
        <v>122</v>
      </c>
      <c r="B134" s="1" t="s">
        <v>124</v>
      </c>
      <c r="D134" s="1" t="s">
        <v>127</v>
      </c>
      <c r="E134" s="5" t="s">
        <v>128</v>
      </c>
      <c r="F134" s="5" t="s">
        <v>125</v>
      </c>
      <c r="G134" s="5" t="s">
        <v>129</v>
      </c>
      <c r="H134" s="5" t="s">
        <v>126</v>
      </c>
    </row>
    <row r="135" spans="1:17" x14ac:dyDescent="0.2">
      <c r="A135" s="5" t="s">
        <v>123</v>
      </c>
      <c r="B135" s="1">
        <f>AVERAGE(672,896)</f>
        <v>784</v>
      </c>
      <c r="C135" s="5" t="s">
        <v>130</v>
      </c>
      <c r="D135" s="1">
        <v>135</v>
      </c>
      <c r="E135" s="5">
        <v>161</v>
      </c>
      <c r="F135" s="5">
        <f>E135-D135</f>
        <v>26</v>
      </c>
      <c r="G135" s="5">
        <f>(E135-D135)/D135*100</f>
        <v>19.25925925925926</v>
      </c>
      <c r="H135" s="5">
        <f>F135*1000/B135</f>
        <v>33.163265306122447</v>
      </c>
    </row>
    <row r="136" spans="1:17" x14ac:dyDescent="0.2">
      <c r="A136" s="5" t="s">
        <v>123</v>
      </c>
      <c r="B136" s="1">
        <f>AVERAGE(672,896)</f>
        <v>784</v>
      </c>
      <c r="C136" s="5" t="s">
        <v>131</v>
      </c>
      <c r="D136" s="1">
        <v>175</v>
      </c>
      <c r="E136" s="5">
        <v>260</v>
      </c>
      <c r="F136" s="5">
        <f>E136-D136</f>
        <v>85</v>
      </c>
      <c r="G136" s="5">
        <f>(E136-D136)/D136*100</f>
        <v>48.571428571428569</v>
      </c>
      <c r="H136" s="5">
        <f>F136*1000/B136</f>
        <v>108.41836734693878</v>
      </c>
    </row>
    <row r="137" spans="1:17" x14ac:dyDescent="0.2">
      <c r="A137" s="5" t="s">
        <v>123</v>
      </c>
      <c r="B137" s="1">
        <f>AVERAGE(672,896)</f>
        <v>784</v>
      </c>
      <c r="C137" s="5" t="s">
        <v>134</v>
      </c>
      <c r="D137" s="7">
        <f>SUM(D135:D136)</f>
        <v>310</v>
      </c>
      <c r="E137" s="5">
        <f>SUM(E135:E136)</f>
        <v>421</v>
      </c>
      <c r="F137" s="5">
        <f>E137-D137</f>
        <v>111</v>
      </c>
      <c r="G137" s="5">
        <f>(E137-D137)/D137*100</f>
        <v>35.806451612903231</v>
      </c>
      <c r="H137" s="5">
        <f>F137*1000/B137</f>
        <v>141.58163265306123</v>
      </c>
    </row>
    <row r="138" spans="1:17" x14ac:dyDescent="0.2">
      <c r="A138" s="5" t="s">
        <v>132</v>
      </c>
      <c r="B138" s="7">
        <v>336</v>
      </c>
      <c r="C138" s="5" t="s">
        <v>135</v>
      </c>
      <c r="F138" s="5">
        <f>3.667*24</f>
        <v>88.007999999999996</v>
      </c>
      <c r="H138" s="5">
        <f>F138*1000/B138</f>
        <v>261.92857142857144</v>
      </c>
    </row>
    <row r="139" spans="1:17" x14ac:dyDescent="0.2">
      <c r="A139" s="5" t="s">
        <v>133</v>
      </c>
      <c r="B139" s="7">
        <v>734</v>
      </c>
      <c r="C139" s="5" t="s">
        <v>134</v>
      </c>
      <c r="D139" s="7">
        <f>5.86/1000*10000</f>
        <v>58.600000000000009</v>
      </c>
      <c r="E139" s="7">
        <f>7.86/1000*10000</f>
        <v>78.600000000000009</v>
      </c>
      <c r="F139" s="5">
        <f>E139-D139</f>
        <v>20</v>
      </c>
      <c r="G139" s="5">
        <f>(E139-D139)/D139*100</f>
        <v>34.129692832764505</v>
      </c>
      <c r="H139" s="5">
        <f>F139*1000/B139</f>
        <v>27.247956403269754</v>
      </c>
    </row>
    <row r="140" spans="1:17" x14ac:dyDescent="0.2">
      <c r="A140" s="5" t="s">
        <v>133</v>
      </c>
      <c r="B140" s="7">
        <v>734</v>
      </c>
      <c r="C140" s="5" t="s">
        <v>136</v>
      </c>
      <c r="D140" s="7">
        <f>4.2/1000*10000</f>
        <v>42.000000000000007</v>
      </c>
      <c r="E140" s="7">
        <v>47</v>
      </c>
      <c r="F140" s="5">
        <f>E140-D140</f>
        <v>4.9999999999999929</v>
      </c>
      <c r="G140" s="5">
        <f>(E140-D140)/D140*100</f>
        <v>11.904761904761886</v>
      </c>
      <c r="H140" s="5">
        <f>F140*1000/B140</f>
        <v>6.8119891008174287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2022-02-08T05:43:40Z</dcterms:modified>
</cp:coreProperties>
</file>