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silviculture\"/>
    </mc:Choice>
  </mc:AlternateContent>
  <xr:revisionPtr revIDLastSave="0" documentId="13_ncr:1_{B284227F-C782-47B6-9133-A3F76BCDCDD1}" xr6:coauthVersionLast="45" xr6:coauthVersionMax="45" xr10:uidLastSave="{00000000-0000-0000-0000-000000000000}"/>
  <bookViews>
    <workbookView xWindow="828" yWindow="-108" windowWidth="22320" windowHeight="13176" activeTab="3" xr2:uid="{1E81D065-865C-4E4F-B119-59A43652556F}"/>
  </bookViews>
  <sheets>
    <sheet name="Production Emissions" sheetId="6" r:id="rId1"/>
    <sheet name="Transport Emissions" sheetId="9" r:id="rId2"/>
    <sheet name="N2O Emissions" sheetId="2" r:id="rId3"/>
    <sheet name="Footprint Response" sheetId="4" r:id="rId4"/>
    <sheet name="Soil C Response" sheetId="8" r:id="rId5"/>
    <sheet name="Econom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4" l="1"/>
  <c r="B19" i="4"/>
  <c r="B18" i="4"/>
  <c r="B11" i="6" l="1"/>
  <c r="B10" i="6"/>
  <c r="B25" i="6" l="1"/>
  <c r="B21" i="6"/>
  <c r="B13" i="6"/>
  <c r="B14" i="6" s="1"/>
  <c r="B8" i="6"/>
  <c r="B44" i="9" l="1"/>
  <c r="B43" i="9"/>
  <c r="B42" i="9"/>
  <c r="B41" i="9"/>
  <c r="B35" i="9"/>
  <c r="B34" i="9"/>
  <c r="B29" i="9"/>
  <c r="B23" i="9"/>
  <c r="B24" i="9" s="1"/>
  <c r="B30" i="9"/>
  <c r="B28" i="9"/>
  <c r="B15" i="9"/>
  <c r="B16" i="9" s="1"/>
  <c r="B17" i="9" s="1"/>
  <c r="B10" i="9"/>
  <c r="B11" i="9" s="1"/>
  <c r="B47" i="9" l="1"/>
  <c r="B33" i="4"/>
  <c r="C30" i="8" l="1"/>
  <c r="B30" i="8"/>
  <c r="C29" i="8"/>
  <c r="B29" i="8"/>
  <c r="C28" i="8"/>
  <c r="B28" i="8"/>
  <c r="B19" i="7" l="1"/>
  <c r="B20" i="7" s="1"/>
  <c r="B21" i="7" s="1"/>
  <c r="B12" i="7" l="1"/>
  <c r="B6" i="7"/>
  <c r="B8" i="7" s="1"/>
  <c r="B10" i="7" s="1"/>
  <c r="B11" i="7" s="1"/>
  <c r="B13" i="7" l="1"/>
  <c r="B14" i="7" s="1"/>
  <c r="B15" i="7" s="1"/>
  <c r="B26" i="4" l="1"/>
  <c r="B6" i="4" l="1"/>
  <c r="B12" i="4" s="1"/>
  <c r="B28" i="4" l="1"/>
  <c r="B20" i="4"/>
  <c r="E28" i="6"/>
  <c r="B5" i="6"/>
  <c r="B4" i="6"/>
  <c r="B6" i="6" s="1"/>
  <c r="E31" i="6"/>
  <c r="E30" i="6"/>
  <c r="E29" i="6"/>
  <c r="D31" i="6"/>
  <c r="D30" i="6"/>
  <c r="D29" i="6"/>
  <c r="D28" i="6"/>
  <c r="B22" i="6"/>
  <c r="B23" i="6" s="1"/>
  <c r="B8" i="2"/>
  <c r="B9" i="2" s="1"/>
  <c r="B15" i="2"/>
  <c r="B4" i="2"/>
  <c r="B16" i="2" s="1"/>
  <c r="B17" i="2" s="1"/>
  <c r="B10" i="2" l="1"/>
  <c r="B11" i="2" s="1"/>
  <c r="B13" i="4" l="1"/>
  <c r="B21" i="4" s="1"/>
  <c r="B29" i="4" l="1"/>
  <c r="B30" i="4" l="1"/>
  <c r="B39" i="4" s="1"/>
  <c r="B41" i="4" s="1"/>
  <c r="B22" i="4"/>
  <c r="B38" i="4" s="1"/>
  <c r="B40" i="4" s="1"/>
  <c r="B34" i="4" l="1"/>
</calcChain>
</file>

<file path=xl/sharedStrings.xml><?xml version="1.0" encoding="utf-8"?>
<sst xmlns="http://schemas.openxmlformats.org/spreadsheetml/2006/main" count="252" uniqueCount="157">
  <si>
    <t>Emissions (NH3-N ha-1)</t>
  </si>
  <si>
    <t>Leaf uptake fraction</t>
  </si>
  <si>
    <t>Throughfall fraction</t>
  </si>
  <si>
    <t>Forest deposition fraction</t>
  </si>
  <si>
    <t>Plant uptake of soil ammonium fraction</t>
  </si>
  <si>
    <t>Canopy uptake (kgN)</t>
  </si>
  <si>
    <t>Root uptake (kgN)</t>
  </si>
  <si>
    <t>GWP of N2O</t>
  </si>
  <si>
    <t>Ratio of N2O to N2O-N</t>
  </si>
  <si>
    <t>N2O flux (kg N2O ha-1 yr-1)</t>
  </si>
  <si>
    <t>Reference</t>
  </si>
  <si>
    <t>GHG emission (tCO2e/ha/yr)</t>
  </si>
  <si>
    <t>Parameters:</t>
  </si>
  <si>
    <t>Results using IPCC guidelines:</t>
  </si>
  <si>
    <t>Results from first measurement year at DF49 (Jassal et al. 2008). Second year flux was zero:</t>
  </si>
  <si>
    <t>Application Urea-N (kg N ha-1)</t>
  </si>
  <si>
    <t>Fraction that is emitted as N2O</t>
  </si>
  <si>
    <t>N2O emission (kg N2O ha-1)</t>
  </si>
  <si>
    <t>N2O-N emission (kg N ha-1)</t>
  </si>
  <si>
    <t>Value</t>
  </si>
  <si>
    <t>IPCC N2O emission factor</t>
  </si>
  <si>
    <t>Klein (2006)</t>
  </si>
  <si>
    <t>BC PIR</t>
  </si>
  <si>
    <t>GHG emission (tCO2e ha-1)</t>
  </si>
  <si>
    <t>Variable</t>
  </si>
  <si>
    <t>Mass of NH3</t>
  </si>
  <si>
    <t>Mass of Urea</t>
  </si>
  <si>
    <t>Emissions from ammonia production (tCO2 tNH3)</t>
  </si>
  <si>
    <t>Emissions from ammonia production (tCO2 tUrea)</t>
  </si>
  <si>
    <t>Results from Wood and Cowy 2004</t>
  </si>
  <si>
    <t>Emission factor (g CO2 kg N)</t>
  </si>
  <si>
    <t>GHG emissions (tCO2e ha-1)</t>
  </si>
  <si>
    <r>
      <t>Metric tons CO</t>
    </r>
    <r>
      <rPr>
        <sz val="8"/>
        <color rgb="FF212121"/>
        <rFont val="Source Sans Pro"/>
        <family val="2"/>
      </rPr>
      <t>2</t>
    </r>
    <r>
      <rPr>
        <sz val="10"/>
        <color rgb="FF212121"/>
        <rFont val="Source Sans Pro"/>
        <family val="2"/>
      </rPr>
      <t>/therm</t>
    </r>
  </si>
  <si>
    <t>EPA</t>
  </si>
  <si>
    <t>MMBtu / therm</t>
  </si>
  <si>
    <t>Urea energy consumption (MMBtu tUrea-1)</t>
  </si>
  <si>
    <t>MMBtu per application</t>
  </si>
  <si>
    <t>therm per application</t>
  </si>
  <si>
    <t>tCO2e/app</t>
  </si>
  <si>
    <t>kgCO2e/kgN</t>
  </si>
  <si>
    <t>Urea production:</t>
  </si>
  <si>
    <t>Ammonia production:</t>
  </si>
  <si>
    <t>EPA 2017 (Energy Star report: Energy Efficiency and Cost Saving Opportunities for Ammonia and Nitrogenous Fertilizer Production)</t>
  </si>
  <si>
    <t>Dose (kgN/ha)</t>
  </si>
  <si>
    <t>Fraction volatilized</t>
  </si>
  <si>
    <t>Time period</t>
  </si>
  <si>
    <t>Benefit canopy uptake (tCO2e/ha)</t>
  </si>
  <si>
    <t>Benefit root uptake (tCO2e/ha)</t>
  </si>
  <si>
    <t>Benefit total (tCO2e/ha)</t>
  </si>
  <si>
    <t>GHG benefit (tCO2e/ha)</t>
  </si>
  <si>
    <t>Cost ($/ha)</t>
  </si>
  <si>
    <t>Total merch volume production (m3)</t>
  </si>
  <si>
    <t>Log prices ($ per 1000 bd ft)</t>
  </si>
  <si>
    <t>Bd ft per m3</t>
  </si>
  <si>
    <t>Total merch volume production (bd ft)</t>
  </si>
  <si>
    <t>Utilization ratio</t>
  </si>
  <si>
    <t>Total area treated (ha)</t>
  </si>
  <si>
    <t>Gross revenue ($)</t>
  </si>
  <si>
    <t>Net revenue ($M)</t>
  </si>
  <si>
    <t>Cost ($M)</t>
  </si>
  <si>
    <t>Gross revenue ($M)</t>
  </si>
  <si>
    <t>Profit ratio</t>
  </si>
  <si>
    <t>GHG Benefit</t>
  </si>
  <si>
    <t>Mitigation cost ($/tCO2e)</t>
  </si>
  <si>
    <t>Adams et al. 2005</t>
  </si>
  <si>
    <t>Pseudotsuga menziesii var. menziesii</t>
  </si>
  <si>
    <t>Brockley and Sanborn 2009</t>
  </si>
  <si>
    <t>Picea glauca</t>
  </si>
  <si>
    <t>Pinus contorta</t>
  </si>
  <si>
    <t>Canary et al 2000</t>
  </si>
  <si>
    <t>Frey et al 2014</t>
  </si>
  <si>
    <t>Deciduous mixed</t>
  </si>
  <si>
    <t>Pinus resinosa</t>
  </si>
  <si>
    <t>Gundale et al. 2014, Maaroufie et al. 2015</t>
  </si>
  <si>
    <t>Picea abies</t>
  </si>
  <si>
    <t>Hungate et al. 2007</t>
  </si>
  <si>
    <t>Pinus ponderosa</t>
  </si>
  <si>
    <t>Pregitzer et al. 2008</t>
  </si>
  <si>
    <t>Trofymow and Preston 2000</t>
  </si>
  <si>
    <t>Mean</t>
  </si>
  <si>
    <t>Median</t>
  </si>
  <si>
    <t>SE</t>
  </si>
  <si>
    <t>Species</t>
  </si>
  <si>
    <t>Jassal et al. (2008)</t>
  </si>
  <si>
    <t>Application</t>
  </si>
  <si>
    <t>GHG benefit from volatilization losses / footprint N deposition:</t>
  </si>
  <si>
    <t>GHG benefit of interior region:</t>
  </si>
  <si>
    <t>GHG benefit of coastal region:</t>
  </si>
  <si>
    <t>GHG benefit (total):</t>
  </si>
  <si>
    <t>Based on implementation level from RL analysis</t>
  </si>
  <si>
    <t>From overlay of mean annual N deposition with BC Land Cover Scheme</t>
  </si>
  <si>
    <t>See description of "standard application"</t>
  </si>
  <si>
    <t>Fraction of footprint that is interior region</t>
  </si>
  <si>
    <t>Fraction of footprint that is coastal region</t>
  </si>
  <si>
    <t>Actual response (MgC/ha)</t>
  </si>
  <si>
    <t>Relative response (%)</t>
  </si>
  <si>
    <t>Particulate fraction</t>
  </si>
  <si>
    <t>Distance (km)</t>
  </si>
  <si>
    <t>Notes</t>
  </si>
  <si>
    <t>Emissions per standard application (tCO2e/ha)</t>
  </si>
  <si>
    <t>Emissions factor for specified distance (tCO2e per t shipped by rail)</t>
  </si>
  <si>
    <t>Mass of standard application (t/ha)</t>
  </si>
  <si>
    <r>
      <rPr>
        <b/>
        <sz val="11"/>
        <color theme="1"/>
        <rFont val="Calibri"/>
        <family val="2"/>
        <scheme val="minor"/>
      </rPr>
      <t>Leg A:</t>
    </r>
    <r>
      <rPr>
        <sz val="11"/>
        <color theme="1"/>
        <rFont val="Calibri"/>
        <family val="2"/>
        <scheme val="minor"/>
      </rPr>
      <t xml:space="preserve"> Rail shipping of fertilizer from Saskatoon to Vancouver.</t>
    </r>
  </si>
  <si>
    <r>
      <rPr>
        <b/>
        <sz val="11"/>
        <color theme="1"/>
        <rFont val="Calibri"/>
        <family val="2"/>
        <scheme val="minor"/>
      </rPr>
      <t>Leg B:</t>
    </r>
    <r>
      <rPr>
        <sz val="11"/>
        <color theme="1"/>
        <rFont val="Calibri"/>
        <family val="2"/>
        <scheme val="minor"/>
      </rPr>
      <t xml:space="preserve"> Rail shipping of fertilizer from Vancouver to Prince George.</t>
    </r>
  </si>
  <si>
    <t>CN emissions calculator (www.cn.ca/en/delivering-responsibly/environment/emissions/carbon-calculator/)</t>
  </si>
  <si>
    <t>Staff</t>
  </si>
  <si>
    <t>Fraction of interior projects</t>
  </si>
  <si>
    <t>Fraction of Vancouver Island projects</t>
  </si>
  <si>
    <t>Fraction nof barge projects</t>
  </si>
  <si>
    <t>Emissions per standard app adjusted to reflect fraction of interior projects (tCO2e/ha)</t>
  </si>
  <si>
    <t>Distance (nautical miles)</t>
  </si>
  <si>
    <t>Emissions per standard app adjusted to reflect fraction of coast projects (tCO2e/ha)</t>
  </si>
  <si>
    <t>Emissions factor for specified distance (tCO2e per t shipped by vessel)</t>
  </si>
  <si>
    <r>
      <rPr>
        <b/>
        <sz val="11"/>
        <color theme="1"/>
        <rFont val="Calibri"/>
        <family val="2"/>
        <scheme val="minor"/>
      </rPr>
      <t>Leg C:</t>
    </r>
    <r>
      <rPr>
        <sz val="11"/>
        <color theme="1"/>
        <rFont val="Calibri"/>
        <family val="2"/>
        <scheme val="minor"/>
      </rPr>
      <t xml:space="preserve"> Vessel shipping of fertilizer from Vancouver to Nanaimo.</t>
    </r>
  </si>
  <si>
    <t>Guestimation</t>
  </si>
  <si>
    <t>Distance (Vancouver to Liverpool) (Nautical miles)</t>
  </si>
  <si>
    <t>Mass (t)</t>
  </si>
  <si>
    <t>Emissions (tCO2e)</t>
  </si>
  <si>
    <t>Emissions (tCO2e per tonne shipped)</t>
  </si>
  <si>
    <t>Emissions (tCO2e per tonne shipped and per nautical mile)</t>
  </si>
  <si>
    <r>
      <rPr>
        <b/>
        <sz val="11"/>
        <color theme="1"/>
        <rFont val="Calibri"/>
        <family val="2"/>
        <scheme val="minor"/>
      </rPr>
      <t>Leg E:</t>
    </r>
    <r>
      <rPr>
        <sz val="11"/>
        <color theme="1"/>
        <rFont val="Calibri"/>
        <family val="2"/>
        <scheme val="minor"/>
      </rPr>
      <t xml:space="preserve"> Trucking from freight hub to staging sites.</t>
    </r>
  </si>
  <si>
    <r>
      <rPr>
        <b/>
        <sz val="11"/>
        <color theme="1"/>
        <rFont val="Calibri"/>
        <family val="2"/>
        <scheme val="minor"/>
      </rPr>
      <t>Leg D:</t>
    </r>
    <r>
      <rPr>
        <sz val="11"/>
        <color theme="1"/>
        <rFont val="Calibri"/>
        <family val="2"/>
        <scheme val="minor"/>
      </rPr>
      <t xml:space="preserve"> Vessel shipping of fertilizer from Nanaimo to Barge staging sites.</t>
    </r>
  </si>
  <si>
    <r>
      <t xml:space="preserve">Vessel emission factors: </t>
    </r>
    <r>
      <rPr>
        <sz val="11"/>
        <color theme="1"/>
        <rFont val="Calibri"/>
        <family val="2"/>
        <scheme val="minor"/>
      </rPr>
      <t>The CN calculator doesn’t allow you to specify an exact distance so it must be inferred from a specified example (Vancouver to Liverpool)</t>
    </r>
  </si>
  <si>
    <t>Distance, average Vancouver Island (km)</t>
  </si>
  <si>
    <t>Distance, average barge (km)</t>
  </si>
  <si>
    <t>Emission factor (tCO2e per tonne per km)</t>
  </si>
  <si>
    <t>Distance, average Interior (km)</t>
  </si>
  <si>
    <t>Total:</t>
  </si>
  <si>
    <t>Transport to staging sites (tCO2e/ha)</t>
  </si>
  <si>
    <t>Emissions, Barge (tCO2e/ha)</t>
  </si>
  <si>
    <t>Emissions, Vancouver Island (tCO2e/ha)</t>
  </si>
  <si>
    <t>Emissions, Interior (tCO2e/ha)</t>
  </si>
  <si>
    <r>
      <rPr>
        <b/>
        <sz val="11"/>
        <color theme="1"/>
        <rFont val="Calibri"/>
        <family val="2"/>
        <scheme val="minor"/>
      </rPr>
      <t>Table 1.</t>
    </r>
    <r>
      <rPr>
        <sz val="11"/>
        <color theme="1"/>
        <rFont val="Calibri"/>
        <family val="2"/>
        <scheme val="minor"/>
      </rPr>
      <t xml:space="preserve"> Greenhouse gas emissions from production of urea, expressed per standard application.</t>
    </r>
  </si>
  <si>
    <r>
      <rPr>
        <b/>
        <sz val="11"/>
        <color theme="1"/>
        <rFont val="Calibri"/>
        <family val="2"/>
        <scheme val="minor"/>
      </rPr>
      <t>Table 2.</t>
    </r>
    <r>
      <rPr>
        <sz val="11"/>
        <color theme="1"/>
        <rFont val="Calibri"/>
        <family val="2"/>
        <scheme val="minor"/>
      </rPr>
      <t xml:space="preserve"> Greenhouse gas emissions from transport of fertilizer, expressed per standard application.</t>
    </r>
  </si>
  <si>
    <r>
      <t xml:space="preserve">Table 3. </t>
    </r>
    <r>
      <rPr>
        <sz val="11"/>
        <color theme="1"/>
        <rFont val="Calibri"/>
        <family val="2"/>
        <scheme val="minor"/>
      </rPr>
      <t>Denitrification N2O emissions, expressed per standard application.</t>
    </r>
  </si>
  <si>
    <r>
      <rPr>
        <b/>
        <sz val="11"/>
        <color theme="1"/>
        <rFont val="Calibri"/>
        <family val="2"/>
        <scheme val="minor"/>
      </rPr>
      <t xml:space="preserve">Table 4. </t>
    </r>
    <r>
      <rPr>
        <sz val="11"/>
        <color theme="1"/>
        <rFont val="Calibri"/>
        <family val="2"/>
        <scheme val="minor"/>
      </rPr>
      <t>GHG balance response over the footprint of treatment areas, expressed per standard application.</t>
    </r>
  </si>
  <si>
    <r>
      <t>Figure 5.</t>
    </r>
    <r>
      <rPr>
        <sz val="8"/>
        <color theme="1"/>
        <rFont val="Arial"/>
        <family val="2"/>
      </rPr>
      <t xml:space="preserve"> Summary of observed organic carbon response of organic and mineral soil horizons. Data taken from Experimental Nutrient Application Database.</t>
    </r>
  </si>
  <si>
    <r>
      <rPr>
        <b/>
        <sz val="11"/>
        <color theme="1"/>
        <rFont val="Calibri"/>
        <family val="2"/>
        <scheme val="minor"/>
      </rPr>
      <t xml:space="preserve">Table 6. </t>
    </r>
    <r>
      <rPr>
        <sz val="11"/>
        <color theme="1"/>
        <rFont val="Calibri"/>
        <family val="2"/>
        <scheme val="minor"/>
      </rPr>
      <t>Economics.</t>
    </r>
  </si>
  <si>
    <t>Liu et al. (2020)</t>
  </si>
  <si>
    <t>t NH3 per t Urea-1</t>
  </si>
  <si>
    <t>Standard dose of nitrogen (t Urea ha-1)</t>
  </si>
  <si>
    <t>Standard dose of nitrogen (kg N ha-1)</t>
  </si>
  <si>
    <t>NRCAN (2007) Canada ranks most efficient of all other regions</t>
  </si>
  <si>
    <t>Scott and Perry (2008)</t>
  </si>
  <si>
    <t>FCI demo 10-year response (Apr 2021)</t>
  </si>
  <si>
    <t>Applied NUE for ecosystem (kgC/kgN)</t>
  </si>
  <si>
    <t>Utilized NUE for ecosystem (kgC/kgN)</t>
  </si>
  <si>
    <t>Percent increase in GHG benefit (cumu. 2050) from including footprint responses:</t>
  </si>
  <si>
    <t>Interior w/o footprint (tCO2e/ha)</t>
  </si>
  <si>
    <t>Coastal w/o footprint (tCO2e/ha)</t>
  </si>
  <si>
    <t>Interior w footprint (tCO2e/ha)</t>
  </si>
  <si>
    <t>Coastal w footprint (tCO2e/ha)</t>
  </si>
  <si>
    <t>Interior change (%)</t>
  </si>
  <si>
    <t>Coastal change (%)</t>
  </si>
  <si>
    <t>From demo (April 14, 2021)</t>
  </si>
  <si>
    <t>Utilized NUE from VNGT config (kgC/kgN)</t>
  </si>
  <si>
    <t>Applied NUE from VNGT config (kgC/kgN)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</si>
</sst>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Source Sans Pro"/>
      <family val="2"/>
    </font>
    <font>
      <sz val="8"/>
      <color rgb="FF212121"/>
      <name val="Source Sans Pro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 vertical="top"/>
    </xf>
    <xf numFmtId="4" fontId="0" fillId="0" borderId="0" xfId="0" applyNumberFormat="1"/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vertical="top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Fill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Fill="1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7" fillId="2" borderId="0" xfId="0" applyFont="1" applyFill="1"/>
    <xf numFmtId="0" fontId="9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1" fillId="4" borderId="0" xfId="0" applyFont="1" applyFill="1"/>
    <xf numFmtId="0" fontId="7" fillId="4" borderId="0" xfId="0" applyFont="1" applyFill="1"/>
    <xf numFmtId="0" fontId="6" fillId="4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0" fillId="2" borderId="0" xfId="0" applyFont="1" applyFill="1"/>
    <xf numFmtId="0" fontId="11" fillId="2" borderId="0" xfId="0" applyFont="1" applyFill="1"/>
    <xf numFmtId="2" fontId="0" fillId="2" borderId="0" xfId="0" applyNumberFormat="1" applyFill="1"/>
    <xf numFmtId="0" fontId="1" fillId="0" borderId="0" xfId="0" applyFont="1" applyFill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3A88-4C78-4B99-8994-6411E467EBFA}">
  <dimension ref="A1:L31"/>
  <sheetViews>
    <sheetView workbookViewId="0">
      <selection activeCell="A36" sqref="A36"/>
    </sheetView>
  </sheetViews>
  <sheetFormatPr defaultRowHeight="14.4" x14ac:dyDescent="0.3"/>
  <cols>
    <col min="1" max="1" width="45.33203125" customWidth="1"/>
    <col min="3" max="3" width="12.6640625" customWidth="1"/>
    <col min="4" max="4" width="12" customWidth="1"/>
    <col min="5" max="5" width="12.109375" customWidth="1"/>
  </cols>
  <sheetData>
    <row r="1" spans="1:5" x14ac:dyDescent="0.3">
      <c r="A1" s="29" t="s">
        <v>132</v>
      </c>
      <c r="B1" s="29"/>
      <c r="C1" s="29"/>
      <c r="D1" s="29"/>
      <c r="E1" s="29"/>
    </row>
    <row r="2" spans="1:5" s="18" customFormat="1" x14ac:dyDescent="0.3">
      <c r="A2" s="3" t="s">
        <v>24</v>
      </c>
      <c r="B2" s="22" t="s">
        <v>19</v>
      </c>
      <c r="C2" s="22" t="s">
        <v>10</v>
      </c>
      <c r="D2"/>
      <c r="E2"/>
    </row>
    <row r="3" spans="1:5" x14ac:dyDescent="0.3">
      <c r="A3" s="19" t="s">
        <v>41</v>
      </c>
      <c r="B3" s="20"/>
      <c r="C3" s="20"/>
      <c r="D3" s="20"/>
      <c r="E3" s="20"/>
    </row>
    <row r="4" spans="1:5" x14ac:dyDescent="0.3">
      <c r="A4" t="s">
        <v>25</v>
      </c>
      <c r="B4">
        <f>14+3</f>
        <v>17</v>
      </c>
    </row>
    <row r="5" spans="1:5" x14ac:dyDescent="0.3">
      <c r="A5" t="s">
        <v>26</v>
      </c>
      <c r="B5">
        <f>2*14+4*1+1*12+1*16</f>
        <v>60</v>
      </c>
    </row>
    <row r="6" spans="1:5" x14ac:dyDescent="0.3">
      <c r="A6" t="s">
        <v>139</v>
      </c>
      <c r="B6">
        <f>2*B4/B5</f>
        <v>0.56666666666666665</v>
      </c>
    </row>
    <row r="7" spans="1:5" x14ac:dyDescent="0.3">
      <c r="A7" t="s">
        <v>141</v>
      </c>
      <c r="B7">
        <v>200</v>
      </c>
    </row>
    <row r="8" spans="1:5" x14ac:dyDescent="0.3">
      <c r="A8" t="s">
        <v>140</v>
      </c>
      <c r="B8">
        <f>B7/0.46/1000</f>
        <v>0.43478260869565211</v>
      </c>
    </row>
    <row r="9" spans="1:5" x14ac:dyDescent="0.3">
      <c r="A9" t="s">
        <v>27</v>
      </c>
      <c r="B9">
        <v>1.81</v>
      </c>
      <c r="C9" t="s">
        <v>142</v>
      </c>
    </row>
    <row r="10" spans="1:5" x14ac:dyDescent="0.3">
      <c r="A10" t="s">
        <v>28</v>
      </c>
      <c r="B10">
        <f>B$6*B9</f>
        <v>1.0256666666666667</v>
      </c>
    </row>
    <row r="11" spans="1:5" x14ac:dyDescent="0.3">
      <c r="A11" t="s">
        <v>31</v>
      </c>
      <c r="B11">
        <f>B10*B$8</f>
        <v>0.44594202898550722</v>
      </c>
      <c r="C11" t="s">
        <v>142</v>
      </c>
    </row>
    <row r="12" spans="1:5" x14ac:dyDescent="0.3">
      <c r="A12" t="s">
        <v>27</v>
      </c>
      <c r="B12">
        <v>2.6</v>
      </c>
      <c r="C12" t="s">
        <v>138</v>
      </c>
    </row>
    <row r="13" spans="1:5" x14ac:dyDescent="0.3">
      <c r="A13" t="s">
        <v>28</v>
      </c>
      <c r="B13">
        <f>B$6*B12</f>
        <v>1.4733333333333334</v>
      </c>
    </row>
    <row r="14" spans="1:5" x14ac:dyDescent="0.3">
      <c r="A14" t="s">
        <v>31</v>
      </c>
      <c r="B14">
        <f>B13*B$8</f>
        <v>0.64057971014492743</v>
      </c>
      <c r="C14" t="s">
        <v>138</v>
      </c>
    </row>
    <row r="15" spans="1:5" x14ac:dyDescent="0.3">
      <c r="A15" t="s">
        <v>31</v>
      </c>
      <c r="B15">
        <v>0.8</v>
      </c>
      <c r="C15" t="s">
        <v>143</v>
      </c>
    </row>
    <row r="17" spans="1:12" x14ac:dyDescent="0.3">
      <c r="A17" s="19" t="s">
        <v>40</v>
      </c>
      <c r="B17" s="20"/>
      <c r="C17" s="20"/>
      <c r="D17" s="20"/>
      <c r="E17" s="20"/>
    </row>
    <row r="18" spans="1:12" x14ac:dyDescent="0.3">
      <c r="A18" s="5" t="s">
        <v>32</v>
      </c>
      <c r="B18">
        <v>5.3E-3</v>
      </c>
      <c r="C18" t="s">
        <v>33</v>
      </c>
    </row>
    <row r="19" spans="1:12" s="18" customFormat="1" x14ac:dyDescent="0.3">
      <c r="A19" t="s">
        <v>34</v>
      </c>
      <c r="B19">
        <v>0.1</v>
      </c>
      <c r="C19" t="s">
        <v>33</v>
      </c>
      <c r="D19"/>
      <c r="E19"/>
      <c r="F19"/>
      <c r="G19"/>
      <c r="H19"/>
      <c r="I19"/>
      <c r="J19"/>
      <c r="K19"/>
      <c r="L19"/>
    </row>
    <row r="20" spans="1:12" x14ac:dyDescent="0.3">
      <c r="A20" t="s">
        <v>35</v>
      </c>
      <c r="B20">
        <v>5.2</v>
      </c>
      <c r="C20" t="s">
        <v>42</v>
      </c>
      <c r="F20" s="18"/>
      <c r="G20" s="18"/>
      <c r="H20" s="18"/>
      <c r="I20" s="18"/>
      <c r="J20" s="18"/>
      <c r="K20" s="18"/>
      <c r="L20" s="18"/>
    </row>
    <row r="21" spans="1:12" x14ac:dyDescent="0.3">
      <c r="A21" t="s">
        <v>36</v>
      </c>
      <c r="B21">
        <f>B8*B20</f>
        <v>2.2608695652173911</v>
      </c>
    </row>
    <row r="22" spans="1:12" x14ac:dyDescent="0.3">
      <c r="A22" t="s">
        <v>37</v>
      </c>
      <c r="B22">
        <f>B21/B19</f>
        <v>22.60869565217391</v>
      </c>
    </row>
    <row r="23" spans="1:12" x14ac:dyDescent="0.3">
      <c r="A23" t="s">
        <v>31</v>
      </c>
      <c r="B23">
        <f>B22*B18</f>
        <v>0.11982608695652172</v>
      </c>
    </row>
    <row r="25" spans="1:12" x14ac:dyDescent="0.3">
      <c r="B25">
        <f>B23+B14</f>
        <v>0.76040579710144918</v>
      </c>
    </row>
    <row r="27" spans="1:12" x14ac:dyDescent="0.3">
      <c r="A27" s="19" t="s">
        <v>29</v>
      </c>
      <c r="B27" s="20"/>
      <c r="C27" s="21" t="s">
        <v>84</v>
      </c>
      <c r="D27" s="21" t="s">
        <v>38</v>
      </c>
      <c r="E27" s="21" t="s">
        <v>39</v>
      </c>
    </row>
    <row r="28" spans="1:12" x14ac:dyDescent="0.3">
      <c r="A28" t="s">
        <v>30</v>
      </c>
      <c r="B28">
        <v>4019</v>
      </c>
      <c r="C28">
        <v>200</v>
      </c>
      <c r="D28">
        <f>B28*C28/1000000</f>
        <v>0.80379999999999996</v>
      </c>
      <c r="E28">
        <f>B28/1000</f>
        <v>4.0190000000000001</v>
      </c>
    </row>
    <row r="29" spans="1:12" x14ac:dyDescent="0.3">
      <c r="A29" t="s">
        <v>30</v>
      </c>
      <c r="B29">
        <v>1316</v>
      </c>
      <c r="C29">
        <v>200</v>
      </c>
      <c r="D29">
        <f>B29*C29/1000000</f>
        <v>0.26319999999999999</v>
      </c>
      <c r="E29">
        <f>B29/1000</f>
        <v>1.3160000000000001</v>
      </c>
    </row>
    <row r="30" spans="1:12" x14ac:dyDescent="0.3">
      <c r="A30" t="s">
        <v>30</v>
      </c>
      <c r="B30">
        <v>913</v>
      </c>
      <c r="C30">
        <v>200</v>
      </c>
      <c r="D30">
        <f>B30*C30/1000000</f>
        <v>0.18260000000000001</v>
      </c>
      <c r="E30">
        <f>B30/1000</f>
        <v>0.91300000000000003</v>
      </c>
    </row>
    <row r="31" spans="1:12" x14ac:dyDescent="0.3">
      <c r="A31" t="s">
        <v>30</v>
      </c>
      <c r="B31">
        <v>1707</v>
      </c>
      <c r="C31">
        <v>200</v>
      </c>
      <c r="D31">
        <f>B31*C31/1000000</f>
        <v>0.34139999999999998</v>
      </c>
      <c r="E31">
        <f>B31/1000</f>
        <v>1.7070000000000001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36F1-226E-4D2B-813A-223DF1078A35}">
  <dimension ref="A1:F47"/>
  <sheetViews>
    <sheetView workbookViewId="0">
      <selection activeCell="B47" sqref="B47"/>
    </sheetView>
  </sheetViews>
  <sheetFormatPr defaultRowHeight="14.4" x14ac:dyDescent="0.3"/>
  <cols>
    <col min="1" max="1" width="72.33203125" customWidth="1"/>
    <col min="2" max="2" width="15.5546875" style="4" customWidth="1"/>
    <col min="3" max="3" width="12.77734375" customWidth="1"/>
    <col min="5" max="6" width="8.88671875" style="18"/>
  </cols>
  <sheetData>
    <row r="1" spans="1:4" x14ac:dyDescent="0.3">
      <c r="A1" s="29" t="s">
        <v>133</v>
      </c>
      <c r="B1" s="30"/>
      <c r="C1" s="29"/>
      <c r="D1" s="29"/>
    </row>
    <row r="2" spans="1:4" x14ac:dyDescent="0.3">
      <c r="A2" s="6" t="s">
        <v>24</v>
      </c>
      <c r="B2" s="34" t="s">
        <v>19</v>
      </c>
      <c r="C2" s="6" t="s">
        <v>10</v>
      </c>
      <c r="D2" s="6" t="s">
        <v>98</v>
      </c>
    </row>
    <row r="3" spans="1:4" x14ac:dyDescent="0.3">
      <c r="A3" t="s">
        <v>101</v>
      </c>
      <c r="B3" s="4">
        <v>0.435</v>
      </c>
      <c r="C3" t="s">
        <v>105</v>
      </c>
    </row>
    <row r="4" spans="1:4" x14ac:dyDescent="0.3">
      <c r="A4" t="s">
        <v>106</v>
      </c>
      <c r="B4" s="4">
        <v>0.45</v>
      </c>
      <c r="C4" t="s">
        <v>105</v>
      </c>
    </row>
    <row r="5" spans="1:4" x14ac:dyDescent="0.3">
      <c r="A5" t="s">
        <v>107</v>
      </c>
      <c r="B5" s="4">
        <v>0.5</v>
      </c>
      <c r="C5" t="s">
        <v>105</v>
      </c>
    </row>
    <row r="6" spans="1:4" x14ac:dyDescent="0.3">
      <c r="A6" t="s">
        <v>108</v>
      </c>
      <c r="B6" s="4">
        <v>0.05</v>
      </c>
      <c r="C6" t="s">
        <v>105</v>
      </c>
    </row>
    <row r="8" spans="1:4" x14ac:dyDescent="0.3">
      <c r="A8" s="7" t="s">
        <v>102</v>
      </c>
      <c r="B8" s="35"/>
      <c r="C8" s="7"/>
      <c r="D8" s="7"/>
    </row>
    <row r="9" spans="1:4" x14ac:dyDescent="0.3">
      <c r="A9" t="s">
        <v>97</v>
      </c>
      <c r="B9" s="4">
        <v>1198</v>
      </c>
    </row>
    <row r="10" spans="1:4" x14ac:dyDescent="0.3">
      <c r="A10" t="s">
        <v>100</v>
      </c>
      <c r="B10" s="4">
        <f>17/1000</f>
        <v>1.7000000000000001E-2</v>
      </c>
      <c r="C10" t="s">
        <v>104</v>
      </c>
    </row>
    <row r="11" spans="1:4" x14ac:dyDescent="0.3">
      <c r="A11" t="s">
        <v>99</v>
      </c>
      <c r="B11" s="4">
        <f>B10*B3</f>
        <v>7.3950000000000005E-3</v>
      </c>
    </row>
    <row r="13" spans="1:4" x14ac:dyDescent="0.3">
      <c r="A13" s="7" t="s">
        <v>103</v>
      </c>
      <c r="B13" s="35"/>
      <c r="C13" s="7"/>
      <c r="D13" s="7"/>
    </row>
    <row r="14" spans="1:4" x14ac:dyDescent="0.3">
      <c r="A14" t="s">
        <v>97</v>
      </c>
      <c r="B14" s="4">
        <v>516</v>
      </c>
    </row>
    <row r="15" spans="1:4" x14ac:dyDescent="0.3">
      <c r="A15" t="s">
        <v>100</v>
      </c>
      <c r="B15" s="4">
        <f>7/1000</f>
        <v>7.0000000000000001E-3</v>
      </c>
      <c r="C15" t="s">
        <v>104</v>
      </c>
    </row>
    <row r="16" spans="1:4" x14ac:dyDescent="0.3">
      <c r="A16" t="s">
        <v>99</v>
      </c>
      <c r="B16" s="4">
        <f>B3*B15</f>
        <v>3.045E-3</v>
      </c>
    </row>
    <row r="17" spans="1:4" x14ac:dyDescent="0.3">
      <c r="A17" t="s">
        <v>109</v>
      </c>
      <c r="B17" s="4">
        <f>B4*B16</f>
        <v>1.3702499999999999E-3</v>
      </c>
    </row>
    <row r="19" spans="1:4" x14ac:dyDescent="0.3">
      <c r="A19" s="6" t="s">
        <v>122</v>
      </c>
      <c r="B19" s="35"/>
      <c r="C19" s="7"/>
      <c r="D19" s="7"/>
    </row>
    <row r="20" spans="1:4" x14ac:dyDescent="0.3">
      <c r="A20" t="s">
        <v>116</v>
      </c>
      <c r="B20" s="4">
        <v>1000</v>
      </c>
    </row>
    <row r="21" spans="1:4" x14ac:dyDescent="0.3">
      <c r="A21" t="s">
        <v>115</v>
      </c>
      <c r="B21" s="4">
        <v>11374</v>
      </c>
    </row>
    <row r="22" spans="1:4" x14ac:dyDescent="0.3">
      <c r="A22" t="s">
        <v>117</v>
      </c>
      <c r="B22" s="4">
        <v>84</v>
      </c>
      <c r="C22" t="s">
        <v>104</v>
      </c>
    </row>
    <row r="23" spans="1:4" x14ac:dyDescent="0.3">
      <c r="A23" t="s">
        <v>118</v>
      </c>
      <c r="B23" s="4">
        <f>B22/B20</f>
        <v>8.4000000000000005E-2</v>
      </c>
      <c r="C23" t="s">
        <v>104</v>
      </c>
    </row>
    <row r="24" spans="1:4" x14ac:dyDescent="0.3">
      <c r="A24" t="s">
        <v>119</v>
      </c>
      <c r="B24" s="4">
        <f>B23/B21</f>
        <v>7.3852646386495524E-6</v>
      </c>
      <c r="C24" t="s">
        <v>104</v>
      </c>
    </row>
    <row r="26" spans="1:4" x14ac:dyDescent="0.3">
      <c r="A26" s="7" t="s">
        <v>113</v>
      </c>
      <c r="B26" s="35"/>
      <c r="C26" s="7"/>
      <c r="D26" s="7"/>
    </row>
    <row r="27" spans="1:4" x14ac:dyDescent="0.3">
      <c r="A27" t="s">
        <v>97</v>
      </c>
      <c r="B27" s="4">
        <v>72</v>
      </c>
    </row>
    <row r="28" spans="1:4" x14ac:dyDescent="0.3">
      <c r="A28" t="s">
        <v>110</v>
      </c>
      <c r="B28" s="4">
        <f>0.539957*B27</f>
        <v>38.876904000000003</v>
      </c>
    </row>
    <row r="29" spans="1:4" x14ac:dyDescent="0.3">
      <c r="A29" t="s">
        <v>112</v>
      </c>
      <c r="B29" s="4">
        <f>B24*B28</f>
        <v>2.8711622437137334E-4</v>
      </c>
      <c r="C29" t="s">
        <v>104</v>
      </c>
    </row>
    <row r="30" spans="1:4" x14ac:dyDescent="0.3">
      <c r="A30" t="s">
        <v>111</v>
      </c>
      <c r="B30" s="4">
        <f>B29*B3*(B5+B6)</f>
        <v>6.8692556680851073E-5</v>
      </c>
    </row>
    <row r="32" spans="1:4" x14ac:dyDescent="0.3">
      <c r="A32" s="7" t="s">
        <v>121</v>
      </c>
      <c r="B32" s="35"/>
      <c r="C32" s="7"/>
      <c r="D32" s="7"/>
    </row>
    <row r="33" spans="1:4" x14ac:dyDescent="0.3">
      <c r="A33" t="s">
        <v>110</v>
      </c>
      <c r="B33" s="4">
        <v>100</v>
      </c>
      <c r="C33" t="s">
        <v>114</v>
      </c>
    </row>
    <row r="34" spans="1:4" x14ac:dyDescent="0.3">
      <c r="A34" t="s">
        <v>112</v>
      </c>
      <c r="B34" s="4">
        <f>B33*B24</f>
        <v>7.3852646386495522E-4</v>
      </c>
      <c r="C34" t="s">
        <v>104</v>
      </c>
    </row>
    <row r="35" spans="1:4" x14ac:dyDescent="0.3">
      <c r="A35" t="s">
        <v>111</v>
      </c>
      <c r="B35" s="4">
        <f>B34*B3*B6</f>
        <v>1.6062950589062777E-5</v>
      </c>
    </row>
    <row r="37" spans="1:4" x14ac:dyDescent="0.3">
      <c r="A37" s="7" t="s">
        <v>120</v>
      </c>
      <c r="B37" s="35"/>
      <c r="C37" s="7"/>
      <c r="D37" s="7"/>
    </row>
    <row r="38" spans="1:4" x14ac:dyDescent="0.3">
      <c r="A38" t="s">
        <v>126</v>
      </c>
      <c r="B38" s="4">
        <v>300</v>
      </c>
    </row>
    <row r="39" spans="1:4" x14ac:dyDescent="0.3">
      <c r="A39" t="s">
        <v>123</v>
      </c>
      <c r="B39" s="4">
        <v>300</v>
      </c>
    </row>
    <row r="40" spans="1:4" x14ac:dyDescent="0.3">
      <c r="A40" t="s">
        <v>124</v>
      </c>
      <c r="B40" s="4">
        <v>80</v>
      </c>
    </row>
    <row r="41" spans="1:4" x14ac:dyDescent="0.3">
      <c r="A41" t="s">
        <v>125</v>
      </c>
      <c r="B41" s="4">
        <f>64/1000/1000</f>
        <v>6.3999999999999997E-5</v>
      </c>
      <c r="C41" t="s">
        <v>104</v>
      </c>
    </row>
    <row r="42" spans="1:4" x14ac:dyDescent="0.3">
      <c r="A42" t="s">
        <v>131</v>
      </c>
      <c r="B42" s="4">
        <f>B41*B38*B3*B4</f>
        <v>3.7584000000000003E-3</v>
      </c>
    </row>
    <row r="43" spans="1:4" x14ac:dyDescent="0.3">
      <c r="A43" t="s">
        <v>130</v>
      </c>
      <c r="B43" s="4">
        <f>B41*B39*B3*B5</f>
        <v>4.176E-3</v>
      </c>
    </row>
    <row r="44" spans="1:4" x14ac:dyDescent="0.3">
      <c r="A44" t="s">
        <v>129</v>
      </c>
      <c r="B44" s="4">
        <f>B41*B40*B3*B6</f>
        <v>1.1136E-4</v>
      </c>
    </row>
    <row r="46" spans="1:4" x14ac:dyDescent="0.3">
      <c r="A46" s="6" t="s">
        <v>127</v>
      </c>
      <c r="B46" s="35"/>
      <c r="C46" s="7"/>
      <c r="D46" s="7"/>
    </row>
    <row r="47" spans="1:4" x14ac:dyDescent="0.3">
      <c r="A47" t="s">
        <v>128</v>
      </c>
      <c r="B47" s="4">
        <f>B11+B17+B30+B35+B42+B43+B44</f>
        <v>1.6895765507269917E-2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707C-1A5E-4DB6-B6B6-4AF470A308A0}">
  <dimension ref="A1:M29"/>
  <sheetViews>
    <sheetView workbookViewId="0">
      <selection activeCell="A2" sqref="A2"/>
    </sheetView>
  </sheetViews>
  <sheetFormatPr defaultRowHeight="14.4" x14ac:dyDescent="0.3"/>
  <cols>
    <col min="1" max="1" width="31.5546875" customWidth="1"/>
    <col min="2" max="2" width="15.109375" customWidth="1"/>
    <col min="3" max="3" width="40.88671875" customWidth="1"/>
  </cols>
  <sheetData>
    <row r="1" spans="1:13" s="18" customFormat="1" x14ac:dyDescent="0.3">
      <c r="A1" s="31" t="s">
        <v>134</v>
      </c>
      <c r="B1" s="29"/>
      <c r="C1" s="29"/>
    </row>
    <row r="2" spans="1:13" x14ac:dyDescent="0.3">
      <c r="A2" s="6" t="s">
        <v>12</v>
      </c>
      <c r="B2" s="34" t="s">
        <v>19</v>
      </c>
      <c r="C2" s="6" t="s">
        <v>10</v>
      </c>
    </row>
    <row r="3" spans="1:13" x14ac:dyDescent="0.3">
      <c r="A3" t="s">
        <v>7</v>
      </c>
      <c r="B3" s="4">
        <v>298</v>
      </c>
      <c r="C3" t="s">
        <v>22</v>
      </c>
      <c r="J3" s="2"/>
      <c r="L3" s="2"/>
    </row>
    <row r="4" spans="1:13" x14ac:dyDescent="0.3">
      <c r="A4" s="2" t="s">
        <v>8</v>
      </c>
      <c r="B4" s="4">
        <f>(2*14+16)/(2*14)</f>
        <v>1.5714285714285714</v>
      </c>
      <c r="J4" s="2"/>
      <c r="L4" s="2"/>
    </row>
    <row r="5" spans="1:13" x14ac:dyDescent="0.3">
      <c r="A5" t="s">
        <v>20</v>
      </c>
      <c r="B5" s="4">
        <v>0.01</v>
      </c>
      <c r="C5" t="s">
        <v>21</v>
      </c>
      <c r="J5" s="2"/>
      <c r="L5" s="2"/>
    </row>
    <row r="6" spans="1:13" x14ac:dyDescent="0.3">
      <c r="A6" s="36" t="s">
        <v>13</v>
      </c>
      <c r="B6" s="35"/>
      <c r="C6" s="7"/>
      <c r="J6" s="2"/>
      <c r="L6" s="2"/>
      <c r="M6" s="2"/>
    </row>
    <row r="7" spans="1:13" x14ac:dyDescent="0.3">
      <c r="A7" s="2" t="s">
        <v>15</v>
      </c>
      <c r="B7" s="4">
        <v>200</v>
      </c>
      <c r="L7" s="2"/>
    </row>
    <row r="8" spans="1:13" x14ac:dyDescent="0.3">
      <c r="A8" s="2" t="s">
        <v>16</v>
      </c>
      <c r="B8" s="4">
        <f>B5</f>
        <v>0.01</v>
      </c>
      <c r="L8" s="2"/>
    </row>
    <row r="9" spans="1:13" x14ac:dyDescent="0.3">
      <c r="A9" t="s">
        <v>18</v>
      </c>
      <c r="B9" s="4">
        <f>B8*B7</f>
        <v>2</v>
      </c>
      <c r="L9" s="2"/>
    </row>
    <row r="10" spans="1:13" x14ac:dyDescent="0.3">
      <c r="A10" t="s">
        <v>17</v>
      </c>
      <c r="B10" s="4">
        <f>B9*B4</f>
        <v>3.1428571428571428</v>
      </c>
      <c r="J10" s="2"/>
      <c r="L10" s="2"/>
      <c r="M10" s="2"/>
    </row>
    <row r="11" spans="1:13" x14ac:dyDescent="0.3">
      <c r="A11" s="2" t="s">
        <v>23</v>
      </c>
      <c r="B11" s="4">
        <f>B10/1000*B3</f>
        <v>0.93657142857142861</v>
      </c>
      <c r="L11" s="2"/>
      <c r="M11" s="2"/>
    </row>
    <row r="12" spans="1:13" x14ac:dyDescent="0.3">
      <c r="A12" s="36" t="s">
        <v>14</v>
      </c>
      <c r="B12" s="35"/>
      <c r="C12" s="7"/>
      <c r="L12" s="2"/>
      <c r="M12" s="2"/>
    </row>
    <row r="13" spans="1:13" x14ac:dyDescent="0.3">
      <c r="A13" s="2" t="s">
        <v>15</v>
      </c>
      <c r="B13">
        <v>200</v>
      </c>
      <c r="C13" t="s">
        <v>83</v>
      </c>
      <c r="J13" s="2"/>
      <c r="L13" s="2"/>
    </row>
    <row r="14" spans="1:13" x14ac:dyDescent="0.3">
      <c r="A14" t="s">
        <v>9</v>
      </c>
      <c r="B14" s="4">
        <v>16</v>
      </c>
      <c r="C14" t="s">
        <v>83</v>
      </c>
      <c r="L14" s="2"/>
    </row>
    <row r="15" spans="1:13" x14ac:dyDescent="0.3">
      <c r="A15" s="2" t="s">
        <v>11</v>
      </c>
      <c r="B15" s="4">
        <f>B14/1000*B3</f>
        <v>4.7679999999999998</v>
      </c>
      <c r="L15" s="2"/>
    </row>
    <row r="16" spans="1:13" x14ac:dyDescent="0.3">
      <c r="A16" t="s">
        <v>18</v>
      </c>
      <c r="B16">
        <f>B14/B4</f>
        <v>10.181818181818182</v>
      </c>
      <c r="L16" s="2"/>
    </row>
    <row r="17" spans="1:12" x14ac:dyDescent="0.3">
      <c r="A17" s="2" t="s">
        <v>16</v>
      </c>
      <c r="B17" s="4">
        <f>B16/B13</f>
        <v>5.0909090909090911E-2</v>
      </c>
      <c r="D17" s="2"/>
      <c r="L17" s="2"/>
    </row>
    <row r="18" spans="1:12" x14ac:dyDescent="0.3">
      <c r="B18" s="4"/>
      <c r="L18" s="2"/>
    </row>
    <row r="19" spans="1:12" x14ac:dyDescent="0.3">
      <c r="B19" s="4"/>
    </row>
    <row r="20" spans="1:12" x14ac:dyDescent="0.3">
      <c r="B20" s="4"/>
    </row>
    <row r="21" spans="1:12" x14ac:dyDescent="0.3">
      <c r="B21" s="4"/>
    </row>
    <row r="22" spans="1:12" x14ac:dyDescent="0.3">
      <c r="D22" s="2"/>
    </row>
    <row r="23" spans="1:12" x14ac:dyDescent="0.3">
      <c r="D23" s="2"/>
    </row>
    <row r="24" spans="1:12" x14ac:dyDescent="0.3">
      <c r="D24" s="2"/>
    </row>
    <row r="25" spans="1:12" x14ac:dyDescent="0.3">
      <c r="D25" s="2"/>
    </row>
    <row r="26" spans="1:12" x14ac:dyDescent="0.3">
      <c r="D26" s="2"/>
    </row>
    <row r="27" spans="1:12" x14ac:dyDescent="0.3">
      <c r="D27" s="2"/>
    </row>
    <row r="28" spans="1:12" x14ac:dyDescent="0.3">
      <c r="D28" s="2"/>
    </row>
    <row r="29" spans="1:12" x14ac:dyDescent="0.3">
      <c r="D29" s="2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7448-68AD-4EEC-9600-55379D8CF7AC}">
  <dimension ref="A1:U41"/>
  <sheetViews>
    <sheetView tabSelected="1" zoomScale="130" zoomScaleNormal="130" workbookViewId="0"/>
  </sheetViews>
  <sheetFormatPr defaultRowHeight="14.4" x14ac:dyDescent="0.3"/>
  <cols>
    <col min="1" max="1" width="44.109375" customWidth="1"/>
    <col min="2" max="2" width="11.5546875" customWidth="1"/>
    <col min="3" max="3" width="60.6640625" customWidth="1"/>
    <col min="4" max="4" width="11.109375" customWidth="1"/>
    <col min="5" max="5" width="18" customWidth="1"/>
    <col min="10" max="12" width="8.88671875" style="2"/>
    <col min="13" max="13" width="3.6640625" style="2" customWidth="1"/>
    <col min="14" max="16" width="8.88671875" style="2"/>
    <col min="17" max="17" width="2.77734375" style="2" customWidth="1"/>
    <col min="18" max="21" width="8.88671875" style="2"/>
  </cols>
  <sheetData>
    <row r="1" spans="1:7" x14ac:dyDescent="0.3">
      <c r="A1" s="29" t="s">
        <v>135</v>
      </c>
      <c r="B1" s="29"/>
      <c r="C1" s="29"/>
      <c r="D1" s="23"/>
    </row>
    <row r="2" spans="1:7" x14ac:dyDescent="0.3">
      <c r="A2" s="17" t="s">
        <v>24</v>
      </c>
      <c r="B2" s="40" t="s">
        <v>19</v>
      </c>
      <c r="C2" s="17" t="s">
        <v>10</v>
      </c>
      <c r="D2" s="23"/>
    </row>
    <row r="3" spans="1:7" x14ac:dyDescent="0.3">
      <c r="A3" s="6" t="s">
        <v>85</v>
      </c>
      <c r="B3" s="7"/>
      <c r="C3" s="7"/>
      <c r="E3" s="17"/>
      <c r="F3" s="18"/>
      <c r="G3" s="18"/>
    </row>
    <row r="4" spans="1:7" x14ac:dyDescent="0.3">
      <c r="A4" t="s">
        <v>43</v>
      </c>
      <c r="B4">
        <v>200</v>
      </c>
      <c r="C4" t="s">
        <v>91</v>
      </c>
      <c r="E4" s="18"/>
      <c r="F4" s="18"/>
      <c r="G4" s="18"/>
    </row>
    <row r="5" spans="1:7" x14ac:dyDescent="0.3">
      <c r="A5" t="s">
        <v>44</v>
      </c>
      <c r="B5">
        <v>0.25</v>
      </c>
      <c r="E5" s="18"/>
      <c r="F5" s="18"/>
      <c r="G5" s="18"/>
    </row>
    <row r="6" spans="1:7" x14ac:dyDescent="0.3">
      <c r="A6" t="s">
        <v>0</v>
      </c>
      <c r="B6">
        <f>B5*B4</f>
        <v>50</v>
      </c>
      <c r="E6" s="24"/>
      <c r="F6" s="24"/>
      <c r="G6" s="24"/>
    </row>
    <row r="7" spans="1:7" x14ac:dyDescent="0.3">
      <c r="A7" t="s">
        <v>3</v>
      </c>
      <c r="B7">
        <v>0.71</v>
      </c>
      <c r="C7" t="s">
        <v>90</v>
      </c>
      <c r="E7" s="24"/>
      <c r="F7" s="24"/>
      <c r="G7" s="24"/>
    </row>
    <row r="8" spans="1:7" x14ac:dyDescent="0.3">
      <c r="A8" t="s">
        <v>96</v>
      </c>
      <c r="B8" s="8">
        <v>0.1</v>
      </c>
      <c r="E8" s="18"/>
      <c r="F8" s="18"/>
      <c r="G8" s="18"/>
    </row>
    <row r="9" spans="1:7" x14ac:dyDescent="0.3">
      <c r="A9" t="s">
        <v>1</v>
      </c>
      <c r="B9" s="8">
        <v>0.8</v>
      </c>
      <c r="E9" s="18"/>
      <c r="F9" s="18"/>
      <c r="G9" s="18"/>
    </row>
    <row r="10" spans="1:7" x14ac:dyDescent="0.3">
      <c r="A10" t="s">
        <v>2</v>
      </c>
      <c r="B10" s="8">
        <v>0.1</v>
      </c>
      <c r="E10" s="18"/>
      <c r="F10" s="24"/>
      <c r="G10" s="24"/>
    </row>
    <row r="11" spans="1:7" x14ac:dyDescent="0.3">
      <c r="A11" t="s">
        <v>4</v>
      </c>
      <c r="B11" s="8">
        <v>0.2</v>
      </c>
      <c r="E11" s="18"/>
      <c r="F11" s="24"/>
      <c r="G11" s="18"/>
    </row>
    <row r="12" spans="1:7" x14ac:dyDescent="0.3">
      <c r="A12" t="s">
        <v>5</v>
      </c>
      <c r="B12" s="8">
        <f>B7*B6*B9</f>
        <v>28.400000000000002</v>
      </c>
      <c r="E12" s="18"/>
      <c r="F12" s="25"/>
      <c r="G12" s="18"/>
    </row>
    <row r="13" spans="1:7" x14ac:dyDescent="0.3">
      <c r="A13" t="s">
        <v>6</v>
      </c>
      <c r="B13" s="8">
        <f>B7*B6*B10*B11</f>
        <v>0.71000000000000008</v>
      </c>
      <c r="E13" s="18"/>
      <c r="F13" s="18"/>
      <c r="G13" s="18"/>
    </row>
    <row r="14" spans="1:7" x14ac:dyDescent="0.3">
      <c r="A14" t="s">
        <v>45</v>
      </c>
      <c r="B14">
        <v>10</v>
      </c>
    </row>
    <row r="15" spans="1:7" x14ac:dyDescent="0.3">
      <c r="A15" s="6" t="s">
        <v>86</v>
      </c>
      <c r="B15" s="7"/>
      <c r="C15" s="7"/>
    </row>
    <row r="16" spans="1:7" x14ac:dyDescent="0.3">
      <c r="A16" t="s">
        <v>145</v>
      </c>
      <c r="B16">
        <v>33</v>
      </c>
      <c r="C16" t="s">
        <v>144</v>
      </c>
    </row>
    <row r="17" spans="1:6" x14ac:dyDescent="0.3">
      <c r="A17" t="s">
        <v>156</v>
      </c>
      <c r="B17">
        <v>19</v>
      </c>
      <c r="C17" t="s">
        <v>144</v>
      </c>
      <c r="E17" s="2"/>
      <c r="F17" s="2"/>
    </row>
    <row r="18" spans="1:6" x14ac:dyDescent="0.3">
      <c r="A18" t="s">
        <v>146</v>
      </c>
      <c r="B18">
        <f>B16/B11</f>
        <v>165</v>
      </c>
      <c r="E18" s="2"/>
      <c r="F18" s="2"/>
    </row>
    <row r="19" spans="1:6" x14ac:dyDescent="0.3">
      <c r="A19" t="s">
        <v>155</v>
      </c>
      <c r="B19">
        <f>B17/B11</f>
        <v>95</v>
      </c>
      <c r="E19" s="2"/>
      <c r="F19" s="2"/>
    </row>
    <row r="20" spans="1:6" x14ac:dyDescent="0.3">
      <c r="A20" t="s">
        <v>46</v>
      </c>
      <c r="B20" s="1">
        <f>B19*B12/1000*3.667</f>
        <v>9.8935659999999999</v>
      </c>
      <c r="E20" s="2"/>
      <c r="F20" s="2"/>
    </row>
    <row r="21" spans="1:6" x14ac:dyDescent="0.3">
      <c r="A21" t="s">
        <v>47</v>
      </c>
      <c r="B21" s="1">
        <f>B16*B13/1000*3.667</f>
        <v>8.5917810000000011E-2</v>
      </c>
      <c r="E21" s="2"/>
      <c r="F21" s="2"/>
    </row>
    <row r="22" spans="1:6" x14ac:dyDescent="0.3">
      <c r="A22" t="s">
        <v>48</v>
      </c>
      <c r="B22" s="1">
        <f>B21+B20</f>
        <v>9.9794838099999996</v>
      </c>
      <c r="E22" s="2"/>
      <c r="F22" s="2"/>
    </row>
    <row r="23" spans="1:6" x14ac:dyDescent="0.3">
      <c r="A23" s="37" t="s">
        <v>87</v>
      </c>
      <c r="B23" s="38"/>
      <c r="C23" s="38"/>
    </row>
    <row r="24" spans="1:6" x14ac:dyDescent="0.3">
      <c r="A24" t="s">
        <v>145</v>
      </c>
      <c r="B24">
        <v>63</v>
      </c>
      <c r="C24" t="s">
        <v>144</v>
      </c>
    </row>
    <row r="25" spans="1:6" x14ac:dyDescent="0.3">
      <c r="A25" t="s">
        <v>156</v>
      </c>
      <c r="B25">
        <v>36</v>
      </c>
      <c r="C25" t="s">
        <v>144</v>
      </c>
    </row>
    <row r="26" spans="1:6" x14ac:dyDescent="0.3">
      <c r="A26" t="s">
        <v>146</v>
      </c>
      <c r="B26">
        <f>B24/B11</f>
        <v>315</v>
      </c>
    </row>
    <row r="27" spans="1:6" x14ac:dyDescent="0.3">
      <c r="A27" t="s">
        <v>155</v>
      </c>
      <c r="B27">
        <f>B25/B11</f>
        <v>180</v>
      </c>
    </row>
    <row r="28" spans="1:6" x14ac:dyDescent="0.3">
      <c r="A28" t="s">
        <v>46</v>
      </c>
      <c r="B28" s="1">
        <f>B27*B12/1000*3.667</f>
        <v>18.745704</v>
      </c>
    </row>
    <row r="29" spans="1:6" x14ac:dyDescent="0.3">
      <c r="A29" t="s">
        <v>47</v>
      </c>
      <c r="B29" s="1">
        <f>B24*B13/1000*4.667</f>
        <v>0.20875491000000002</v>
      </c>
      <c r="E29" s="8"/>
    </row>
    <row r="30" spans="1:6" x14ac:dyDescent="0.3">
      <c r="A30" t="s">
        <v>48</v>
      </c>
      <c r="B30" s="1">
        <f>B29+B28</f>
        <v>18.95445891</v>
      </c>
    </row>
    <row r="31" spans="1:6" x14ac:dyDescent="0.3">
      <c r="A31" s="6" t="s">
        <v>88</v>
      </c>
      <c r="B31" s="39"/>
      <c r="C31" s="7"/>
    </row>
    <row r="32" spans="1:6" x14ac:dyDescent="0.3">
      <c r="A32" t="s">
        <v>92</v>
      </c>
      <c r="B32">
        <v>0.49</v>
      </c>
      <c r="C32" t="s">
        <v>89</v>
      </c>
    </row>
    <row r="33" spans="1:3" x14ac:dyDescent="0.3">
      <c r="A33" t="s">
        <v>93</v>
      </c>
      <c r="B33">
        <f>1-B32</f>
        <v>0.51</v>
      </c>
      <c r="C33" t="s">
        <v>89</v>
      </c>
    </row>
    <row r="34" spans="1:3" x14ac:dyDescent="0.3">
      <c r="A34" t="s">
        <v>49</v>
      </c>
      <c r="B34" s="8">
        <f>B32*B22+B33*B30</f>
        <v>14.556721111</v>
      </c>
    </row>
    <row r="35" spans="1:3" x14ac:dyDescent="0.3">
      <c r="A35" s="6" t="s">
        <v>147</v>
      </c>
      <c r="B35" s="7"/>
      <c r="C35" s="7"/>
    </row>
    <row r="36" spans="1:3" x14ac:dyDescent="0.3">
      <c r="A36" t="s">
        <v>148</v>
      </c>
      <c r="B36">
        <v>36</v>
      </c>
      <c r="C36" t="s">
        <v>154</v>
      </c>
    </row>
    <row r="37" spans="1:3" x14ac:dyDescent="0.3">
      <c r="A37" t="s">
        <v>149</v>
      </c>
      <c r="B37">
        <v>63</v>
      </c>
      <c r="C37" t="s">
        <v>154</v>
      </c>
    </row>
    <row r="38" spans="1:3" x14ac:dyDescent="0.3">
      <c r="A38" t="s">
        <v>150</v>
      </c>
      <c r="B38" s="1">
        <f>B36+B22</f>
        <v>45.979483809999998</v>
      </c>
    </row>
    <row r="39" spans="1:3" x14ac:dyDescent="0.3">
      <c r="A39" t="s">
        <v>151</v>
      </c>
      <c r="B39" s="1">
        <f>B37+B30</f>
        <v>81.95445891</v>
      </c>
    </row>
    <row r="40" spans="1:3" x14ac:dyDescent="0.3">
      <c r="A40" t="s">
        <v>152</v>
      </c>
      <c r="B40" s="41">
        <f>B38/B36*100-100</f>
        <v>27.720788361111119</v>
      </c>
    </row>
    <row r="41" spans="1:3" x14ac:dyDescent="0.3">
      <c r="A41" t="s">
        <v>153</v>
      </c>
      <c r="B41" s="41">
        <f>B39/B37*100-100</f>
        <v>30.08644271428571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C127-49D9-48E0-8E32-0A3A5463AC01}">
  <dimension ref="A1:D30"/>
  <sheetViews>
    <sheetView zoomScale="130" zoomScaleNormal="130" workbookViewId="0">
      <selection activeCell="A2" sqref="A2"/>
    </sheetView>
  </sheetViews>
  <sheetFormatPr defaultRowHeight="14.4" x14ac:dyDescent="0.3"/>
  <cols>
    <col min="1" max="1" width="27.109375" customWidth="1"/>
    <col min="2" max="2" width="19.5546875" customWidth="1"/>
    <col min="3" max="3" width="16.6640625" customWidth="1"/>
    <col min="4" max="4" width="28.77734375" customWidth="1"/>
  </cols>
  <sheetData>
    <row r="1" spans="1:4" x14ac:dyDescent="0.3">
      <c r="A1" s="32" t="s">
        <v>136</v>
      </c>
      <c r="B1" s="33"/>
      <c r="C1" s="33"/>
      <c r="D1" s="33"/>
    </row>
    <row r="2" spans="1:4" x14ac:dyDescent="0.3">
      <c r="A2" s="26" t="s">
        <v>82</v>
      </c>
      <c r="B2" s="26" t="s">
        <v>94</v>
      </c>
      <c r="C2" s="26" t="s">
        <v>95</v>
      </c>
      <c r="D2" s="26" t="s">
        <v>10</v>
      </c>
    </row>
    <row r="3" spans="1:4" x14ac:dyDescent="0.3">
      <c r="A3" s="15" t="s">
        <v>65</v>
      </c>
      <c r="B3" s="15">
        <v>-9.1999999999999993</v>
      </c>
      <c r="C3" s="15">
        <v>-10.9</v>
      </c>
      <c r="D3" s="16" t="s">
        <v>64</v>
      </c>
    </row>
    <row r="4" spans="1:4" x14ac:dyDescent="0.3">
      <c r="A4" s="15" t="s">
        <v>65</v>
      </c>
      <c r="B4" s="15">
        <v>38.200000000000003</v>
      </c>
      <c r="C4" s="15">
        <v>51.5</v>
      </c>
      <c r="D4" s="16" t="s">
        <v>64</v>
      </c>
    </row>
    <row r="5" spans="1:4" x14ac:dyDescent="0.3">
      <c r="A5" s="15" t="s">
        <v>65</v>
      </c>
      <c r="B5" s="15">
        <v>246.6</v>
      </c>
      <c r="C5" s="15">
        <v>155.4</v>
      </c>
      <c r="D5" s="16" t="s">
        <v>64</v>
      </c>
    </row>
    <row r="6" spans="1:4" x14ac:dyDescent="0.3">
      <c r="A6" s="15" t="s">
        <v>65</v>
      </c>
      <c r="B6" s="15">
        <v>59</v>
      </c>
      <c r="C6" s="15">
        <v>15.4</v>
      </c>
      <c r="D6" s="16" t="s">
        <v>64</v>
      </c>
    </row>
    <row r="7" spans="1:4" x14ac:dyDescent="0.3">
      <c r="A7" s="15" t="s">
        <v>67</v>
      </c>
      <c r="B7" s="15">
        <v>-0.1</v>
      </c>
      <c r="C7" s="15">
        <v>-0.2</v>
      </c>
      <c r="D7" s="15" t="s">
        <v>66</v>
      </c>
    </row>
    <row r="8" spans="1:4" x14ac:dyDescent="0.3">
      <c r="A8" s="15" t="s">
        <v>67</v>
      </c>
      <c r="B8" s="15">
        <v>1.9</v>
      </c>
      <c r="C8" s="15">
        <v>3.3</v>
      </c>
      <c r="D8" s="15" t="s">
        <v>66</v>
      </c>
    </row>
    <row r="9" spans="1:4" x14ac:dyDescent="0.3">
      <c r="A9" s="15" t="s">
        <v>67</v>
      </c>
      <c r="B9" s="15">
        <v>6.4</v>
      </c>
      <c r="C9" s="15">
        <v>11.3</v>
      </c>
      <c r="D9" s="15" t="s">
        <v>66</v>
      </c>
    </row>
    <row r="10" spans="1:4" x14ac:dyDescent="0.3">
      <c r="A10" s="15" t="s">
        <v>67</v>
      </c>
      <c r="B10" s="15">
        <v>18.7</v>
      </c>
      <c r="C10" s="15">
        <v>32.9</v>
      </c>
      <c r="D10" s="15" t="s">
        <v>66</v>
      </c>
    </row>
    <row r="11" spans="1:4" x14ac:dyDescent="0.3">
      <c r="A11" s="15" t="s">
        <v>67</v>
      </c>
      <c r="B11" s="15">
        <v>17.3</v>
      </c>
      <c r="C11" s="15">
        <v>30.5</v>
      </c>
      <c r="D11" s="15" t="s">
        <v>66</v>
      </c>
    </row>
    <row r="12" spans="1:4" x14ac:dyDescent="0.3">
      <c r="A12" s="15" t="s">
        <v>68</v>
      </c>
      <c r="B12" s="15">
        <v>7.3</v>
      </c>
      <c r="C12" s="15">
        <v>12.8</v>
      </c>
      <c r="D12" s="15" t="s">
        <v>66</v>
      </c>
    </row>
    <row r="13" spans="1:4" x14ac:dyDescent="0.3">
      <c r="A13" s="15" t="s">
        <v>68</v>
      </c>
      <c r="B13" s="15">
        <v>0.2</v>
      </c>
      <c r="C13" s="15">
        <v>0.4</v>
      </c>
      <c r="D13" s="15" t="s">
        <v>66</v>
      </c>
    </row>
    <row r="14" spans="1:4" x14ac:dyDescent="0.3">
      <c r="A14" s="15" t="s">
        <v>68</v>
      </c>
      <c r="B14" s="15">
        <v>0</v>
      </c>
      <c r="C14" s="15">
        <v>0</v>
      </c>
      <c r="D14" s="15" t="s">
        <v>66</v>
      </c>
    </row>
    <row r="15" spans="1:4" x14ac:dyDescent="0.3">
      <c r="A15" s="15" t="s">
        <v>68</v>
      </c>
      <c r="B15" s="15">
        <v>3.7</v>
      </c>
      <c r="C15" s="15">
        <v>6.5</v>
      </c>
      <c r="D15" s="15" t="s">
        <v>66</v>
      </c>
    </row>
    <row r="16" spans="1:4" x14ac:dyDescent="0.3">
      <c r="A16" s="15" t="s">
        <v>68</v>
      </c>
      <c r="B16" s="15">
        <v>8.5</v>
      </c>
      <c r="C16" s="15">
        <v>14.9</v>
      </c>
      <c r="D16" s="15" t="s">
        <v>66</v>
      </c>
    </row>
    <row r="17" spans="1:4" x14ac:dyDescent="0.3">
      <c r="A17" s="15" t="s">
        <v>65</v>
      </c>
      <c r="B17" s="15">
        <v>3</v>
      </c>
      <c r="C17" s="15">
        <v>2.9</v>
      </c>
      <c r="D17" s="15" t="s">
        <v>69</v>
      </c>
    </row>
    <row r="18" spans="1:4" x14ac:dyDescent="0.3">
      <c r="A18" s="15" t="s">
        <v>71</v>
      </c>
      <c r="B18" s="15">
        <v>17.5</v>
      </c>
      <c r="C18" s="15">
        <v>14.3</v>
      </c>
      <c r="D18" s="15" t="s">
        <v>70</v>
      </c>
    </row>
    <row r="19" spans="1:4" x14ac:dyDescent="0.3">
      <c r="A19" s="15" t="s">
        <v>71</v>
      </c>
      <c r="B19" s="15">
        <v>87.5</v>
      </c>
      <c r="C19" s="15">
        <v>71.400000000000006</v>
      </c>
      <c r="D19" s="15" t="s">
        <v>70</v>
      </c>
    </row>
    <row r="20" spans="1:4" x14ac:dyDescent="0.3">
      <c r="A20" s="15" t="s">
        <v>72</v>
      </c>
      <c r="B20" s="15">
        <v>10</v>
      </c>
      <c r="C20" s="15">
        <v>6.3</v>
      </c>
      <c r="D20" s="15" t="s">
        <v>70</v>
      </c>
    </row>
    <row r="21" spans="1:4" x14ac:dyDescent="0.3">
      <c r="A21" s="15" t="s">
        <v>72</v>
      </c>
      <c r="B21" s="15">
        <v>5</v>
      </c>
      <c r="C21" s="15">
        <v>3.1</v>
      </c>
      <c r="D21" s="15" t="s">
        <v>70</v>
      </c>
    </row>
    <row r="22" spans="1:4" x14ac:dyDescent="0.3">
      <c r="A22" s="15" t="s">
        <v>74</v>
      </c>
      <c r="B22" s="15">
        <v>3.4</v>
      </c>
      <c r="C22" s="15">
        <v>9.8000000000000007</v>
      </c>
      <c r="D22" s="15" t="s">
        <v>73</v>
      </c>
    </row>
    <row r="23" spans="1:4" x14ac:dyDescent="0.3">
      <c r="A23" s="15" t="s">
        <v>74</v>
      </c>
      <c r="B23" s="15">
        <v>6.8</v>
      </c>
      <c r="C23" s="15">
        <v>19.600000000000001</v>
      </c>
      <c r="D23" s="15" t="s">
        <v>73</v>
      </c>
    </row>
    <row r="24" spans="1:4" x14ac:dyDescent="0.3">
      <c r="A24" s="15" t="s">
        <v>76</v>
      </c>
      <c r="B24" s="15">
        <v>-9.1999999999999993</v>
      </c>
      <c r="C24" s="15">
        <v>-14.2</v>
      </c>
      <c r="D24" s="16" t="s">
        <v>75</v>
      </c>
    </row>
    <row r="25" spans="1:4" x14ac:dyDescent="0.3">
      <c r="A25" s="15" t="s">
        <v>76</v>
      </c>
      <c r="B25" s="15">
        <v>0.6</v>
      </c>
      <c r="C25" s="15">
        <v>1.4</v>
      </c>
      <c r="D25" s="16" t="s">
        <v>75</v>
      </c>
    </row>
    <row r="26" spans="1:4" x14ac:dyDescent="0.3">
      <c r="A26" s="15" t="s">
        <v>71</v>
      </c>
      <c r="B26" s="15">
        <v>38.9</v>
      </c>
      <c r="C26" s="15">
        <v>11.8</v>
      </c>
      <c r="D26" s="15" t="s">
        <v>77</v>
      </c>
    </row>
    <row r="27" spans="1:4" x14ac:dyDescent="0.3">
      <c r="A27" s="15" t="s">
        <v>65</v>
      </c>
      <c r="B27" s="15">
        <v>-3.96</v>
      </c>
      <c r="C27" s="15">
        <v>-4.5</v>
      </c>
      <c r="D27" s="15" t="s">
        <v>78</v>
      </c>
    </row>
    <row r="28" spans="1:4" x14ac:dyDescent="0.3">
      <c r="A28" s="27" t="s">
        <v>79</v>
      </c>
      <c r="B28" s="28">
        <f>AVERAGE(B3:B27)</f>
        <v>22.321599999999993</v>
      </c>
      <c r="C28" s="28">
        <f>AVERAGE(C3:C27)</f>
        <v>17.828000000000003</v>
      </c>
      <c r="D28" s="7"/>
    </row>
    <row r="29" spans="1:4" x14ac:dyDescent="0.3">
      <c r="A29" s="27" t="s">
        <v>80</v>
      </c>
      <c r="B29" s="28">
        <f>MEDIAN(B3:B27)</f>
        <v>6.4</v>
      </c>
      <c r="C29" s="28">
        <f>MEDIAN(C3:C27)</f>
        <v>9.8000000000000007</v>
      </c>
      <c r="D29" s="7"/>
    </row>
    <row r="30" spans="1:4" x14ac:dyDescent="0.3">
      <c r="A30" s="27" t="s">
        <v>81</v>
      </c>
      <c r="B30" s="28">
        <f>STDEV(B3:B27)/SQRT(COUNT(B3:B27))</f>
        <v>10.326431776110597</v>
      </c>
      <c r="C30" s="28">
        <f>STDEV(C3:C27)/SQRT(COUNT(C3:C27))</f>
        <v>6.8306210552189182</v>
      </c>
      <c r="D30" s="7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B444-DA86-46C3-9325-6709E921F8CA}">
  <dimension ref="A1:C21"/>
  <sheetViews>
    <sheetView workbookViewId="0">
      <selection activeCell="A27" sqref="A1:A27"/>
    </sheetView>
  </sheetViews>
  <sheetFormatPr defaultRowHeight="14.4" x14ac:dyDescent="0.3"/>
  <cols>
    <col min="1" max="1" width="33.88671875" customWidth="1"/>
    <col min="2" max="2" width="23.109375" customWidth="1"/>
    <col min="3" max="3" width="16.33203125" customWidth="1"/>
  </cols>
  <sheetData>
    <row r="1" spans="1:3" x14ac:dyDescent="0.3">
      <c r="A1" s="29" t="s">
        <v>137</v>
      </c>
      <c r="B1" s="29"/>
      <c r="C1" s="29"/>
    </row>
    <row r="2" spans="1:3" x14ac:dyDescent="0.3">
      <c r="A2" s="6" t="s">
        <v>24</v>
      </c>
      <c r="B2" s="6" t="s">
        <v>19</v>
      </c>
      <c r="C2" s="6" t="s">
        <v>10</v>
      </c>
    </row>
    <row r="3" spans="1:3" x14ac:dyDescent="0.3">
      <c r="A3" t="s">
        <v>56</v>
      </c>
      <c r="B3" s="9">
        <v>404760</v>
      </c>
    </row>
    <row r="4" spans="1:3" x14ac:dyDescent="0.3">
      <c r="A4" t="s">
        <v>51</v>
      </c>
      <c r="B4" s="13">
        <v>4000000</v>
      </c>
    </row>
    <row r="5" spans="1:3" x14ac:dyDescent="0.3">
      <c r="A5" t="s">
        <v>55</v>
      </c>
      <c r="B5">
        <v>0.75</v>
      </c>
    </row>
    <row r="6" spans="1:3" x14ac:dyDescent="0.3">
      <c r="A6" t="s">
        <v>51</v>
      </c>
      <c r="B6" s="13">
        <f>B5*B4</f>
        <v>3000000</v>
      </c>
    </row>
    <row r="7" spans="1:3" x14ac:dyDescent="0.3">
      <c r="A7" t="s">
        <v>53</v>
      </c>
      <c r="B7" s="11">
        <v>423.77600000000001</v>
      </c>
    </row>
    <row r="8" spans="1:3" x14ac:dyDescent="0.3">
      <c r="A8" t="s">
        <v>54</v>
      </c>
      <c r="B8" s="9">
        <f>B7*B6</f>
        <v>1271328000</v>
      </c>
    </row>
    <row r="9" spans="1:3" x14ac:dyDescent="0.3">
      <c r="A9" t="s">
        <v>52</v>
      </c>
      <c r="B9" s="11">
        <v>900</v>
      </c>
    </row>
    <row r="10" spans="1:3" x14ac:dyDescent="0.3">
      <c r="A10" t="s">
        <v>57</v>
      </c>
      <c r="B10" s="12">
        <f>B9*B8/1000</f>
        <v>1144195200</v>
      </c>
    </row>
    <row r="11" spans="1:3" x14ac:dyDescent="0.3">
      <c r="A11" t="s">
        <v>60</v>
      </c>
      <c r="B11" s="9">
        <f>B10/1000000</f>
        <v>1144.1952000000001</v>
      </c>
    </row>
    <row r="12" spans="1:3" x14ac:dyDescent="0.3">
      <c r="A12" t="s">
        <v>50</v>
      </c>
      <c r="B12" s="14">
        <f>535+0.1*535</f>
        <v>588.5</v>
      </c>
      <c r="C12" s="12"/>
    </row>
    <row r="13" spans="1:3" x14ac:dyDescent="0.3">
      <c r="A13" t="s">
        <v>59</v>
      </c>
      <c r="B13" s="13">
        <f>B3*B12/1000000</f>
        <v>238.20125999999999</v>
      </c>
    </row>
    <row r="14" spans="1:3" x14ac:dyDescent="0.3">
      <c r="A14" t="s">
        <v>58</v>
      </c>
      <c r="B14" s="12">
        <f>B11-B13</f>
        <v>905.99394000000007</v>
      </c>
    </row>
    <row r="15" spans="1:3" x14ac:dyDescent="0.3">
      <c r="A15" t="s">
        <v>61</v>
      </c>
      <c r="B15" s="10">
        <f>B14/B13</f>
        <v>3.8034808883882483</v>
      </c>
    </row>
    <row r="16" spans="1:3" x14ac:dyDescent="0.3">
      <c r="B16" s="10"/>
    </row>
    <row r="17" spans="1:2" x14ac:dyDescent="0.3">
      <c r="A17" t="s">
        <v>56</v>
      </c>
      <c r="B17" s="9">
        <v>404760</v>
      </c>
    </row>
    <row r="18" spans="1:2" x14ac:dyDescent="0.3">
      <c r="A18" t="s">
        <v>62</v>
      </c>
      <c r="B18" s="9">
        <v>12000000</v>
      </c>
    </row>
    <row r="19" spans="1:2" x14ac:dyDescent="0.3">
      <c r="A19" t="s">
        <v>50</v>
      </c>
      <c r="B19" s="14">
        <f>535+0.1*535</f>
        <v>588.5</v>
      </c>
    </row>
    <row r="20" spans="1:2" x14ac:dyDescent="0.3">
      <c r="A20" t="s">
        <v>59</v>
      </c>
      <c r="B20" s="13">
        <f>B19*B17</f>
        <v>238201260</v>
      </c>
    </row>
    <row r="21" spans="1:2" x14ac:dyDescent="0.3">
      <c r="A21" t="s">
        <v>63</v>
      </c>
      <c r="B21">
        <f>B20/B18</f>
        <v>19.850104999999999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 Emissions</vt:lpstr>
      <vt:lpstr>Transport Emissions</vt:lpstr>
      <vt:lpstr>N2O Emissions</vt:lpstr>
      <vt:lpstr>Footprint Response</vt:lpstr>
      <vt:lpstr>Soil C Response</vt:lpstr>
      <vt:lpstr>Economics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2020-07-21T14:39:50Z</dcterms:created>
  <dcterms:modified xsi:type="dcterms:W3CDTF">2021-04-15T06:53:20Z</dcterms:modified>
</cp:coreProperties>
</file>