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44DE82C-4595-475C-86CE-8715A0E2980A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New" sheetId="2" r:id="rId1"/>
    <sheet name="Old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C24" i="2"/>
  <c r="B24" i="2"/>
  <c r="E21" i="2"/>
  <c r="E22" i="2" s="1"/>
  <c r="C21" i="2"/>
  <c r="C22" i="2" s="1"/>
  <c r="B21" i="2"/>
  <c r="B22" i="2" s="1"/>
  <c r="E38" i="2"/>
  <c r="E37" i="2"/>
  <c r="E36" i="2"/>
  <c r="C38" i="2"/>
  <c r="C37" i="2"/>
  <c r="C36" i="2"/>
  <c r="B38" i="2"/>
  <c r="B37" i="2"/>
  <c r="B36" i="2"/>
  <c r="E30" i="2"/>
  <c r="E29" i="2"/>
  <c r="D30" i="2"/>
  <c r="C30" i="2"/>
  <c r="C29" i="2"/>
  <c r="B30" i="2"/>
  <c r="B29" i="2"/>
  <c r="E28" i="2"/>
  <c r="E31" i="2" s="1"/>
  <c r="C28" i="2"/>
  <c r="C31" i="2" s="1"/>
  <c r="B28" i="2"/>
  <c r="B31" i="2" s="1"/>
  <c r="D26" i="2"/>
  <c r="D28" i="2" s="1"/>
  <c r="D31" i="2" s="1"/>
  <c r="F30" i="2" l="1"/>
  <c r="D29" i="2"/>
  <c r="F29" i="2" s="1"/>
  <c r="F31" i="2"/>
  <c r="I7" i="2"/>
  <c r="D10" i="2"/>
  <c r="C10" i="2"/>
  <c r="B10" i="2"/>
  <c r="I6" i="2"/>
  <c r="D7" i="2"/>
  <c r="C7" i="2"/>
  <c r="B7" i="2"/>
  <c r="E2" i="1"/>
  <c r="E35" i="1"/>
  <c r="B13" i="1"/>
  <c r="E14" i="2" l="1"/>
  <c r="C14" i="2"/>
  <c r="B14" i="2"/>
  <c r="D14" i="2" s="1"/>
  <c r="C13" i="2"/>
  <c r="B13" i="2"/>
  <c r="D13" i="2" s="1"/>
  <c r="F7" i="2"/>
  <c r="F10" i="2"/>
  <c r="E17" i="2"/>
  <c r="C17" i="2"/>
  <c r="B17" i="2"/>
  <c r="E13" i="2"/>
  <c r="B8" i="1"/>
  <c r="B9" i="1" s="1"/>
  <c r="F13" i="2" l="1"/>
  <c r="F17" i="2"/>
  <c r="E5" i="1"/>
  <c r="E3" i="1"/>
  <c r="E4" i="1"/>
  <c r="E9" i="1"/>
  <c r="E13" i="1" s="1"/>
  <c r="E6" i="1" l="1"/>
  <c r="E31" i="1" s="1"/>
</calcChain>
</file>

<file path=xl/sharedStrings.xml><?xml version="1.0" encoding="utf-8"?>
<sst xmlns="http://schemas.openxmlformats.org/spreadsheetml/2006/main" count="121" uniqueCount="74">
  <si>
    <t>Fibre (m3)</t>
  </si>
  <si>
    <t>Wood density (t DM/m3)</t>
  </si>
  <si>
    <t>Carbon content</t>
  </si>
  <si>
    <t>Fibre (tC)</t>
  </si>
  <si>
    <t>E_CO2 (tCO2e)</t>
  </si>
  <si>
    <t>OB_fCO2</t>
  </si>
  <si>
    <t>OB_fCH4</t>
  </si>
  <si>
    <t>GWP_CO2</t>
  </si>
  <si>
    <t>GWP_CH4</t>
  </si>
  <si>
    <t>GWP_CO</t>
  </si>
  <si>
    <t>GWP_N2O</t>
  </si>
  <si>
    <t>E_CH4 (tCO2e)</t>
  </si>
  <si>
    <t>E_N2O (tCO2e)</t>
  </si>
  <si>
    <t>EF_N2O (kg N2O kg CO2-1)</t>
  </si>
  <si>
    <t>E_CO (tCO2e)</t>
  </si>
  <si>
    <t>OB_fCO</t>
  </si>
  <si>
    <t>E_Total (tCO2e)</t>
  </si>
  <si>
    <t>Parameters:</t>
  </si>
  <si>
    <t>Scenario: Commercial harvest to bioenergy</t>
  </si>
  <si>
    <t>CtoCO2</t>
  </si>
  <si>
    <t>CtoCH4</t>
  </si>
  <si>
    <t>CtoCO</t>
  </si>
  <si>
    <t>Variables:</t>
  </si>
  <si>
    <t>Fibre (tDM)</t>
  </si>
  <si>
    <t>UTOL, Jan 30 2019</t>
  </si>
  <si>
    <t>Cbrunner</t>
  </si>
  <si>
    <t>UTOL GHG benefit per ODT</t>
  </si>
  <si>
    <t>Simple sheet</t>
  </si>
  <si>
    <t>UTOL GHG benefit per ODT with new smolder30/flamer70 fraction (just new SF split)</t>
  </si>
  <si>
    <t>UTOL GHG benefit per ODT with new SF split and new emissions profile per phase</t>
  </si>
  <si>
    <t>GHG benefit per ODT:</t>
  </si>
  <si>
    <t>Comparison (GHG benefit):</t>
  </si>
  <si>
    <t>Scenario: Open burning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</si>
  <si>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GHG emissions from combustion of biomass.</t>
    </r>
  </si>
  <si>
    <t>Description</t>
  </si>
  <si>
    <t>Source</t>
  </si>
  <si>
    <t>CO2</t>
  </si>
  <si>
    <t>CH4</t>
  </si>
  <si>
    <t>N2O</t>
  </si>
  <si>
    <t>CO</t>
  </si>
  <si>
    <t>Total</t>
  </si>
  <si>
    <t>Input variables:</t>
  </si>
  <si>
    <t>GWP</t>
  </si>
  <si>
    <t>Fuel quantity (ODT)</t>
  </si>
  <si>
    <t>Wood fuel / wood waste (industrial combustion):</t>
  </si>
  <si>
    <t>Emission factor (g/kg fuel)</t>
  </si>
  <si>
    <t>NIR</t>
  </si>
  <si>
    <t>Emission (tCO2e)</t>
  </si>
  <si>
    <t>Carbon content (tC/ODT)</t>
  </si>
  <si>
    <t>Pellet stove:</t>
  </si>
  <si>
    <t>Open burning:</t>
  </si>
  <si>
    <t>Fraction of carbon emitted</t>
  </si>
  <si>
    <t>Kurz et al. (2009)</t>
  </si>
  <si>
    <t>Carbon dioxide mixing ratios</t>
  </si>
  <si>
    <t>Emission factor for N2O (kg N2O kg CO2-1)</t>
  </si>
  <si>
    <t>Value</t>
  </si>
  <si>
    <t>Lamlom et al. ?</t>
  </si>
  <si>
    <t>Wood hypothetically burned as 100% CO2:</t>
  </si>
  <si>
    <t>Aurell et al. (2019) Wet</t>
  </si>
  <si>
    <t>Aurell et al. (2019) Dry</t>
  </si>
  <si>
    <t>Urbanski et al. (2009) - Boreal Forest</t>
  </si>
  <si>
    <t>Urbanski et al. (2009) - Temperate Forest</t>
  </si>
  <si>
    <t>Urbanski et al. (2009) - Average</t>
  </si>
  <si>
    <t>n/a</t>
  </si>
  <si>
    <t>fcgadgets Biophysical Parameters Table</t>
  </si>
  <si>
    <t>McMeeking et al. (2009) - Montane</t>
  </si>
  <si>
    <t>McMeeking et al. (2009) - Coastal Plain</t>
  </si>
  <si>
    <t>McMeeking et al. (2009) - Boreal</t>
  </si>
  <si>
    <t>Prescribed burning studies:</t>
  </si>
  <si>
    <t>Wildfire studies:</t>
  </si>
  <si>
    <t>Lab studies:</t>
  </si>
  <si>
    <t>Aurell et al. (2019) Average</t>
  </si>
  <si>
    <t>Kurz et al. (2009) backed out from first principles and assuming carbon content as specified</t>
  </si>
  <si>
    <t>Akagi et al. (2013) S.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</si>
</sst>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2" fontId="0" fillId="2" borderId="1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Alignment="1">
      <alignment horizontal="left" vertical="top"/>
    </xf>
    <xf numFmtId="0" fontId="1" fillId="3" borderId="0" xfId="0" applyFont="1" applyFill="1"/>
    <xf numFmtId="166" fontId="0" fillId="3" borderId="0" xfId="0" applyNumberFormat="1" applyFill="1" applyAlignment="1">
      <alignment horizontal="right"/>
    </xf>
    <xf numFmtId="166" fontId="2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 vertical="top"/>
    </xf>
    <xf numFmtId="166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abSelected="1" workbookViewId="0">
      <selection activeCell="G31" sqref="A31:G31"/>
    </sheetView>
  </sheetViews>
  <sheetFormatPr defaultRowHeight="14.4" x14ac:dyDescent="0.3"/>
  <cols>
    <col min="1" max="1" width="41.44140625" customWidth="1"/>
    <col min="2" max="5" width="9.33203125" style="13" customWidth="1"/>
    <col min="6" max="6" width="9.5546875" style="13" customWidth="1"/>
    <col min="7" max="7" width="40.44140625" style="3" customWidth="1"/>
    <col min="8" max="8" width="39" style="8" customWidth="1"/>
    <col min="9" max="9" width="8.88671875" style="8"/>
  </cols>
  <sheetData>
    <row r="1" spans="1:10" x14ac:dyDescent="0.3">
      <c r="A1" t="s">
        <v>33</v>
      </c>
    </row>
    <row r="2" spans="1:10" x14ac:dyDescent="0.3">
      <c r="A2" s="1" t="s">
        <v>34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2" t="s">
        <v>35</v>
      </c>
      <c r="H2" s="9" t="s">
        <v>41</v>
      </c>
    </row>
    <row r="3" spans="1:10" x14ac:dyDescent="0.3">
      <c r="A3" t="s">
        <v>42</v>
      </c>
      <c r="B3" s="13">
        <v>1</v>
      </c>
      <c r="C3" s="13">
        <v>28</v>
      </c>
      <c r="D3" s="13">
        <v>265</v>
      </c>
      <c r="E3" s="13">
        <v>3.3</v>
      </c>
      <c r="G3" s="3" t="s">
        <v>64</v>
      </c>
      <c r="H3" s="8" t="s">
        <v>43</v>
      </c>
      <c r="I3" s="12">
        <v>1</v>
      </c>
    </row>
    <row r="4" spans="1:10" x14ac:dyDescent="0.3">
      <c r="A4" t="s">
        <v>53</v>
      </c>
      <c r="B4" s="13">
        <v>3.6669999999999998</v>
      </c>
      <c r="C4" s="13">
        <v>1.333</v>
      </c>
      <c r="E4" s="13">
        <v>2.3330000000000002</v>
      </c>
      <c r="G4" s="3" t="s">
        <v>64</v>
      </c>
    </row>
    <row r="5" spans="1:10" x14ac:dyDescent="0.3">
      <c r="A5" s="1" t="s">
        <v>44</v>
      </c>
      <c r="H5" s="9" t="s">
        <v>17</v>
      </c>
      <c r="I5" s="9" t="s">
        <v>55</v>
      </c>
      <c r="J5" s="1" t="s">
        <v>35</v>
      </c>
    </row>
    <row r="6" spans="1:10" x14ac:dyDescent="0.3">
      <c r="A6" t="s">
        <v>45</v>
      </c>
      <c r="B6" s="13">
        <v>1715</v>
      </c>
      <c r="C6" s="13">
        <v>0.1</v>
      </c>
      <c r="D6" s="13">
        <v>7.0000000000000007E-2</v>
      </c>
      <c r="G6" s="3" t="s">
        <v>46</v>
      </c>
      <c r="H6" s="8" t="s">
        <v>48</v>
      </c>
      <c r="I6" s="8">
        <f>0.5*I3</f>
        <v>0.5</v>
      </c>
      <c r="J6" t="s">
        <v>56</v>
      </c>
    </row>
    <row r="7" spans="1:10" x14ac:dyDescent="0.3">
      <c r="A7" t="s">
        <v>47</v>
      </c>
      <c r="B7" s="13">
        <f>B3*B6/1000*$I$3</f>
        <v>1.7150000000000001</v>
      </c>
      <c r="C7" s="13">
        <f>C3*C6/1000*$I$3</f>
        <v>2.8000000000000004E-3</v>
      </c>
      <c r="D7" s="13">
        <f>D3*D6/1000*$I$3</f>
        <v>1.8550000000000001E-2</v>
      </c>
      <c r="F7" s="15">
        <f>SUM(B7:E7)</f>
        <v>1.7363500000000001</v>
      </c>
      <c r="G7" s="3" t="s">
        <v>46</v>
      </c>
      <c r="H7" s="8" t="s">
        <v>54</v>
      </c>
      <c r="I7" s="10">
        <f>0.17*0.001</f>
        <v>1.7000000000000001E-4</v>
      </c>
      <c r="J7" s="11" t="s">
        <v>52</v>
      </c>
    </row>
    <row r="8" spans="1:10" x14ac:dyDescent="0.3">
      <c r="A8" s="1" t="s">
        <v>49</v>
      </c>
      <c r="F8" s="15"/>
    </row>
    <row r="9" spans="1:10" x14ac:dyDescent="0.3">
      <c r="A9" t="s">
        <v>45</v>
      </c>
      <c r="B9" s="13">
        <v>1652</v>
      </c>
      <c r="C9" s="13">
        <v>4.12</v>
      </c>
      <c r="D9" s="13">
        <v>5.8999999999999997E-2</v>
      </c>
      <c r="F9" s="15"/>
      <c r="G9" s="3" t="s">
        <v>46</v>
      </c>
    </row>
    <row r="10" spans="1:10" x14ac:dyDescent="0.3">
      <c r="A10" t="s">
        <v>47</v>
      </c>
      <c r="B10" s="13">
        <f>$I$3*B9/1000*B3</f>
        <v>1.6519999999999999</v>
      </c>
      <c r="C10" s="13">
        <f>$I$3*C9/1000*C3</f>
        <v>0.11536000000000002</v>
      </c>
      <c r="D10" s="13">
        <f>$I$3*D9/1000*D3</f>
        <v>1.5635E-2</v>
      </c>
      <c r="F10" s="15">
        <f>SUM(B10:E10)</f>
        <v>1.7829950000000001</v>
      </c>
      <c r="G10" s="3" t="s">
        <v>46</v>
      </c>
    </row>
    <row r="11" spans="1:10" x14ac:dyDescent="0.3">
      <c r="A11" s="17" t="s">
        <v>50</v>
      </c>
      <c r="B11" s="18"/>
      <c r="C11" s="18"/>
      <c r="D11" s="18"/>
      <c r="E11" s="18"/>
      <c r="F11" s="19"/>
      <c r="G11" s="20"/>
    </row>
    <row r="12" spans="1:10" x14ac:dyDescent="0.3">
      <c r="A12" s="21" t="s">
        <v>51</v>
      </c>
      <c r="B12" s="18">
        <v>0.9</v>
      </c>
      <c r="C12" s="18">
        <v>0.01</v>
      </c>
      <c r="D12" s="18"/>
      <c r="E12" s="18">
        <v>0.09</v>
      </c>
      <c r="F12" s="19"/>
      <c r="G12" s="22" t="s">
        <v>52</v>
      </c>
    </row>
    <row r="13" spans="1:10" x14ac:dyDescent="0.3">
      <c r="A13" s="21" t="s">
        <v>47</v>
      </c>
      <c r="B13" s="18">
        <f>$I$6*B12*B4*B3</f>
        <v>1.65015</v>
      </c>
      <c r="C13" s="18">
        <f>$I$6*C12*C4*C3</f>
        <v>0.18662000000000001</v>
      </c>
      <c r="D13" s="18">
        <f>I7*B13*D3</f>
        <v>7.4339257500000006E-2</v>
      </c>
      <c r="E13" s="18">
        <f>$I$6*E12*E4*E3</f>
        <v>0.34645049999999999</v>
      </c>
      <c r="F13" s="19">
        <f>SUM(B13:E13)</f>
        <v>2.2575597575000002</v>
      </c>
      <c r="G13" s="22" t="s">
        <v>52</v>
      </c>
    </row>
    <row r="14" spans="1:10" x14ac:dyDescent="0.3">
      <c r="A14" s="21" t="s">
        <v>45</v>
      </c>
      <c r="B14" s="18">
        <f>$I$3*$I$6*B12*B4*1000</f>
        <v>1650.15</v>
      </c>
      <c r="C14" s="18">
        <f>$I$3*$I$6*C12*C4*1000</f>
        <v>6.665</v>
      </c>
      <c r="D14" s="18">
        <f>I7*B14</f>
        <v>0.28052550000000004</v>
      </c>
      <c r="E14" s="18">
        <f>$I$3*$I$6*E12*E4*1000</f>
        <v>104.98500000000001</v>
      </c>
      <c r="F14" s="19"/>
      <c r="G14" s="22" t="s">
        <v>72</v>
      </c>
    </row>
    <row r="15" spans="1:10" x14ac:dyDescent="0.3">
      <c r="A15" s="1" t="s">
        <v>57</v>
      </c>
      <c r="F15" s="15"/>
    </row>
    <row r="16" spans="1:10" x14ac:dyDescent="0.3">
      <c r="A16" t="s">
        <v>51</v>
      </c>
      <c r="B16" s="13">
        <v>1</v>
      </c>
      <c r="C16" s="13">
        <v>0</v>
      </c>
      <c r="E16" s="13">
        <v>0</v>
      </c>
      <c r="F16" s="15"/>
      <c r="G16" s="16" t="s">
        <v>63</v>
      </c>
    </row>
    <row r="17" spans="1:7" x14ac:dyDescent="0.3">
      <c r="A17" t="s">
        <v>47</v>
      </c>
      <c r="B17" s="13">
        <f>$I$6*B16*B4*B$3</f>
        <v>1.8334999999999999</v>
      </c>
      <c r="C17" s="13">
        <f>$I$6*C16*C4*C$3</f>
        <v>0</v>
      </c>
      <c r="D17" s="13">
        <v>0</v>
      </c>
      <c r="E17" s="13">
        <f>$I$6*E16*E4*E$3</f>
        <v>0</v>
      </c>
      <c r="F17" s="15">
        <f>SUM(B17:E17)</f>
        <v>1.8334999999999999</v>
      </c>
      <c r="G17" s="16" t="s">
        <v>63</v>
      </c>
    </row>
    <row r="18" spans="1:7" x14ac:dyDescent="0.3">
      <c r="A18" s="1" t="s">
        <v>68</v>
      </c>
    </row>
    <row r="19" spans="1:7" x14ac:dyDescent="0.3">
      <c r="A19" t="s">
        <v>45</v>
      </c>
      <c r="B19" s="13">
        <v>1689</v>
      </c>
      <c r="C19" s="13">
        <v>5.7</v>
      </c>
      <c r="E19" s="13">
        <v>82</v>
      </c>
      <c r="G19" s="3" t="s">
        <v>58</v>
      </c>
    </row>
    <row r="20" spans="1:7" x14ac:dyDescent="0.3">
      <c r="A20" t="s">
        <v>45</v>
      </c>
      <c r="B20" s="13">
        <v>1785</v>
      </c>
      <c r="C20" s="13">
        <v>1.1000000000000001</v>
      </c>
      <c r="E20" s="13">
        <v>29</v>
      </c>
      <c r="G20" s="3" t="s">
        <v>59</v>
      </c>
    </row>
    <row r="21" spans="1:7" x14ac:dyDescent="0.3">
      <c r="A21" t="s">
        <v>45</v>
      </c>
      <c r="B21" s="13">
        <f>AVERAGE(B19:B20)</f>
        <v>1737</v>
      </c>
      <c r="C21" s="13">
        <f>AVERAGE(C19:C20)</f>
        <v>3.4000000000000004</v>
      </c>
      <c r="E21" s="13">
        <f>AVERAGE(E19:E20)</f>
        <v>55.5</v>
      </c>
      <c r="G21" s="3" t="s">
        <v>71</v>
      </c>
    </row>
    <row r="22" spans="1:7" x14ac:dyDescent="0.3">
      <c r="A22" t="s">
        <v>47</v>
      </c>
      <c r="B22" s="13">
        <f>B21/1000*B$3*$I$3</f>
        <v>1.7370000000000001</v>
      </c>
      <c r="C22" s="13">
        <f>C21/1000*C$3*$I$3</f>
        <v>9.5200000000000007E-2</v>
      </c>
      <c r="E22" s="13">
        <f>E21/1000*E$3*$I$3</f>
        <v>0.18314999999999998</v>
      </c>
      <c r="G22" s="3" t="s">
        <v>71</v>
      </c>
    </row>
    <row r="23" spans="1:7" x14ac:dyDescent="0.3">
      <c r="A23" t="s">
        <v>45</v>
      </c>
      <c r="B23" s="13">
        <v>1675</v>
      </c>
      <c r="C23" s="13">
        <v>2.66</v>
      </c>
      <c r="E23" s="13">
        <v>79</v>
      </c>
      <c r="G23" s="3" t="s">
        <v>73</v>
      </c>
    </row>
    <row r="24" spans="1:7" x14ac:dyDescent="0.3">
      <c r="A24" t="s">
        <v>47</v>
      </c>
      <c r="B24" s="13">
        <f>B23/1000*B3*$I$3</f>
        <v>1.675</v>
      </c>
      <c r="C24" s="13">
        <f>C23/1000*C3*$I$3</f>
        <v>7.4480000000000005E-2</v>
      </c>
      <c r="E24" s="13">
        <f>E23/1000*E3*$I$3</f>
        <v>0.26069999999999999</v>
      </c>
      <c r="G24" s="3" t="s">
        <v>73</v>
      </c>
    </row>
    <row r="25" spans="1:7" x14ac:dyDescent="0.3">
      <c r="A25" s="1" t="s">
        <v>69</v>
      </c>
    </row>
    <row r="26" spans="1:7" x14ac:dyDescent="0.3">
      <c r="A26" t="s">
        <v>45</v>
      </c>
      <c r="B26" s="13">
        <v>1604</v>
      </c>
      <c r="C26" s="13">
        <v>4.5</v>
      </c>
      <c r="D26" s="13">
        <f>(0.14+0.4)/2</f>
        <v>0.27</v>
      </c>
      <c r="E26" s="13">
        <v>105</v>
      </c>
      <c r="G26" s="3" t="s">
        <v>60</v>
      </c>
    </row>
    <row r="27" spans="1:7" x14ac:dyDescent="0.3">
      <c r="A27" t="s">
        <v>45</v>
      </c>
      <c r="B27" s="13">
        <v>1619</v>
      </c>
      <c r="C27" s="13">
        <v>3.4</v>
      </c>
      <c r="D27" s="13">
        <v>0.16</v>
      </c>
      <c r="E27" s="13">
        <v>89.6</v>
      </c>
      <c r="G27" s="3" t="s">
        <v>61</v>
      </c>
    </row>
    <row r="28" spans="1:7" x14ac:dyDescent="0.3">
      <c r="A28" t="s">
        <v>45</v>
      </c>
      <c r="B28" s="13">
        <f>AVERAGE(B26:B27)</f>
        <v>1611.5</v>
      </c>
      <c r="C28" s="13">
        <f>AVERAGE(C26:C27)</f>
        <v>3.95</v>
      </c>
      <c r="D28" s="13">
        <f>AVERAGE(D26:D27)</f>
        <v>0.21500000000000002</v>
      </c>
      <c r="E28" s="13">
        <f>AVERAGE(E26:E27)</f>
        <v>97.3</v>
      </c>
      <c r="G28" s="3" t="s">
        <v>62</v>
      </c>
    </row>
    <row r="29" spans="1:7" x14ac:dyDescent="0.3">
      <c r="A29" t="s">
        <v>47</v>
      </c>
      <c r="B29" s="13">
        <f>B26/1000*$I$3*B3</f>
        <v>1.6040000000000001</v>
      </c>
      <c r="C29" s="13">
        <f>C26/1000*$I$3*C3</f>
        <v>0.126</v>
      </c>
      <c r="D29" s="13">
        <f>D26/1000*$I$3*D3</f>
        <v>7.1550000000000002E-2</v>
      </c>
      <c r="E29" s="13">
        <f>E26/1000*$I$3*E3</f>
        <v>0.34649999999999997</v>
      </c>
      <c r="F29" s="14">
        <f>SUM(B29:E29)</f>
        <v>2.14805</v>
      </c>
      <c r="G29" s="3" t="s">
        <v>60</v>
      </c>
    </row>
    <row r="30" spans="1:7" x14ac:dyDescent="0.3">
      <c r="A30" t="s">
        <v>47</v>
      </c>
      <c r="B30" s="13">
        <f>B27/1000*$I$3*B3</f>
        <v>1.619</v>
      </c>
      <c r="C30" s="13">
        <f>C27/1000*$I$3*C3</f>
        <v>9.5199999999999993E-2</v>
      </c>
      <c r="D30" s="13">
        <f>D27/1000*$I$3*D3</f>
        <v>4.24E-2</v>
      </c>
      <c r="E30" s="13">
        <f>E27/1000*$I$3*E3</f>
        <v>0.29568</v>
      </c>
      <c r="F30" s="14">
        <f>SUM(B30:E30)</f>
        <v>2.0522800000000001</v>
      </c>
      <c r="G30" s="3" t="s">
        <v>61</v>
      </c>
    </row>
    <row r="31" spans="1:7" x14ac:dyDescent="0.3">
      <c r="A31" s="21" t="s">
        <v>47</v>
      </c>
      <c r="B31" s="18">
        <f>B28/1000*$I$3*B3</f>
        <v>1.6114999999999999</v>
      </c>
      <c r="C31" s="18">
        <f>C28/1000*$I$3*C3</f>
        <v>0.1106</v>
      </c>
      <c r="D31" s="18">
        <f>D28/1000*$I$3*D3</f>
        <v>5.6975000000000005E-2</v>
      </c>
      <c r="E31" s="18">
        <f>E28/1000*$I$3*E3</f>
        <v>0.32108999999999999</v>
      </c>
      <c r="F31" s="23">
        <f>SUM(B31:E31)</f>
        <v>2.1001650000000001</v>
      </c>
      <c r="G31" s="20" t="s">
        <v>62</v>
      </c>
    </row>
    <row r="32" spans="1:7" x14ac:dyDescent="0.3">
      <c r="A32" s="1" t="s">
        <v>70</v>
      </c>
    </row>
    <row r="33" spans="1:7" x14ac:dyDescent="0.3">
      <c r="A33" t="s">
        <v>45</v>
      </c>
      <c r="B33" s="13">
        <v>1552</v>
      </c>
      <c r="C33" s="13">
        <v>3.7</v>
      </c>
      <c r="E33" s="13">
        <v>92</v>
      </c>
      <c r="G33" s="3" t="s">
        <v>65</v>
      </c>
    </row>
    <row r="34" spans="1:7" x14ac:dyDescent="0.3">
      <c r="A34" t="s">
        <v>45</v>
      </c>
      <c r="B34" s="13">
        <v>1632</v>
      </c>
      <c r="C34" s="13">
        <v>2.5</v>
      </c>
      <c r="E34" s="13">
        <v>93.2</v>
      </c>
      <c r="G34" s="3" t="s">
        <v>66</v>
      </c>
    </row>
    <row r="35" spans="1:7" x14ac:dyDescent="0.3">
      <c r="A35" t="s">
        <v>45</v>
      </c>
      <c r="B35" s="13">
        <v>1311</v>
      </c>
      <c r="C35" s="13">
        <v>1.4</v>
      </c>
      <c r="E35" s="13">
        <v>70.599999999999994</v>
      </c>
      <c r="G35" s="3" t="s">
        <v>67</v>
      </c>
    </row>
    <row r="36" spans="1:7" x14ac:dyDescent="0.3">
      <c r="A36" t="s">
        <v>47</v>
      </c>
      <c r="B36" s="13">
        <f>B33/1000*B$3*$I$3</f>
        <v>1.552</v>
      </c>
      <c r="C36" s="13">
        <f>C33/1000*C$3*$I$3</f>
        <v>0.1036</v>
      </c>
      <c r="E36" s="13">
        <f>E33/1000*E$3*$I$3</f>
        <v>0.30359999999999998</v>
      </c>
      <c r="F36" s="14"/>
      <c r="G36" s="3" t="s">
        <v>65</v>
      </c>
    </row>
    <row r="37" spans="1:7" x14ac:dyDescent="0.3">
      <c r="A37" t="s">
        <v>47</v>
      </c>
      <c r="B37" s="13">
        <f>B34/1000*B$3*$I$3</f>
        <v>1.6319999999999999</v>
      </c>
      <c r="C37" s="13">
        <f>C34/1000*C$3*$I$3</f>
        <v>7.0000000000000007E-2</v>
      </c>
      <c r="E37" s="13">
        <f>E34/1000*E$3*$I$3</f>
        <v>0.30756</v>
      </c>
      <c r="F37" s="14"/>
      <c r="G37" s="3" t="s">
        <v>66</v>
      </c>
    </row>
    <row r="38" spans="1:7" x14ac:dyDescent="0.3">
      <c r="A38" t="s">
        <v>47</v>
      </c>
      <c r="B38" s="13">
        <f>B35/1000*B$3*$I$3</f>
        <v>1.3109999999999999</v>
      </c>
      <c r="C38" s="13">
        <f>C35/1000*C$3*$I$3</f>
        <v>3.9199999999999999E-2</v>
      </c>
      <c r="E38" s="13">
        <f>E35/1000*E$3*$I$3</f>
        <v>0.23297999999999996</v>
      </c>
      <c r="F38" s="14"/>
      <c r="G38" s="3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E4" sqref="E4"/>
    </sheetView>
  </sheetViews>
  <sheetFormatPr defaultRowHeight="14.4" x14ac:dyDescent="0.3"/>
  <cols>
    <col min="1" max="1" width="25.88671875" style="3" customWidth="1"/>
    <col min="2" max="3" width="9.109375" style="3"/>
    <col min="4" max="4" width="41" style="3" customWidth="1"/>
    <col min="5" max="5" width="12.109375" style="3" customWidth="1"/>
    <col min="6" max="6" width="9.109375" style="3"/>
  </cols>
  <sheetData>
    <row r="1" spans="1:5" x14ac:dyDescent="0.3">
      <c r="A1" s="2" t="s">
        <v>22</v>
      </c>
      <c r="D1" s="2" t="s">
        <v>32</v>
      </c>
    </row>
    <row r="2" spans="1:5" x14ac:dyDescent="0.3">
      <c r="A2" s="4" t="s">
        <v>0</v>
      </c>
      <c r="B2" s="4">
        <v>2.44</v>
      </c>
      <c r="D2" s="3" t="s">
        <v>4</v>
      </c>
      <c r="E2" s="5">
        <f>B10*B9*B14*B18</f>
        <v>1.6508100599999997</v>
      </c>
    </row>
    <row r="3" spans="1:5" x14ac:dyDescent="0.3">
      <c r="A3" s="2"/>
      <c r="B3" s="2"/>
      <c r="D3" s="3" t="s">
        <v>11</v>
      </c>
      <c r="E3" s="5">
        <f>B9*B11*B15*B19</f>
        <v>0.16669165</v>
      </c>
    </row>
    <row r="4" spans="1:5" x14ac:dyDescent="0.3">
      <c r="D4" s="3" t="s">
        <v>12</v>
      </c>
      <c r="E4" s="5">
        <f>E2*B13*B16*B20</f>
        <v>0.19510887781318678</v>
      </c>
    </row>
    <row r="5" spans="1:5" x14ac:dyDescent="0.3">
      <c r="A5" s="2" t="s">
        <v>17</v>
      </c>
      <c r="D5" s="3" t="s">
        <v>14</v>
      </c>
      <c r="E5" s="5">
        <f>B9*B12*B17</f>
        <v>0.14855939999999998</v>
      </c>
    </row>
    <row r="6" spans="1:5" x14ac:dyDescent="0.3">
      <c r="A6" s="3" t="s">
        <v>1</v>
      </c>
      <c r="B6" s="3">
        <v>0.41</v>
      </c>
      <c r="D6" s="3" t="s">
        <v>16</v>
      </c>
      <c r="E6" s="5">
        <f>SUM(E2:E5)</f>
        <v>2.1611699878131865</v>
      </c>
    </row>
    <row r="7" spans="1:5" x14ac:dyDescent="0.3">
      <c r="A7" s="3" t="s">
        <v>2</v>
      </c>
      <c r="B7" s="3">
        <v>0.5</v>
      </c>
      <c r="E7" s="5"/>
    </row>
    <row r="8" spans="1:5" x14ac:dyDescent="0.3">
      <c r="A8" s="3" t="s">
        <v>23</v>
      </c>
      <c r="B8" s="3">
        <f>B2*B6</f>
        <v>1.0004</v>
      </c>
      <c r="D8" s="2" t="s">
        <v>18</v>
      </c>
      <c r="E8" s="5"/>
    </row>
    <row r="9" spans="1:5" x14ac:dyDescent="0.3">
      <c r="A9" s="3" t="s">
        <v>3</v>
      </c>
      <c r="B9" s="3">
        <f>B7*B8</f>
        <v>0.50019999999999998</v>
      </c>
      <c r="D9" s="3" t="s">
        <v>4</v>
      </c>
      <c r="E9" s="5">
        <f>1*B9*3.667</f>
        <v>1.8342333999999998</v>
      </c>
    </row>
    <row r="10" spans="1:5" x14ac:dyDescent="0.3">
      <c r="A10" s="3" t="s">
        <v>5</v>
      </c>
      <c r="B10" s="3">
        <v>0.9</v>
      </c>
      <c r="D10" s="3" t="s">
        <v>11</v>
      </c>
      <c r="E10" s="5">
        <v>0</v>
      </c>
    </row>
    <row r="11" spans="1:5" x14ac:dyDescent="0.3">
      <c r="A11" s="3" t="s">
        <v>6</v>
      </c>
      <c r="B11" s="3">
        <v>0.01</v>
      </c>
      <c r="D11" s="3" t="s">
        <v>12</v>
      </c>
      <c r="E11" s="5">
        <v>0</v>
      </c>
    </row>
    <row r="12" spans="1:5" x14ac:dyDescent="0.3">
      <c r="A12" s="3" t="s">
        <v>15</v>
      </c>
      <c r="B12" s="3">
        <v>0.09</v>
      </c>
      <c r="D12" s="3" t="s">
        <v>14</v>
      </c>
      <c r="E12" s="5">
        <v>0</v>
      </c>
    </row>
    <row r="13" spans="1:5" x14ac:dyDescent="0.3">
      <c r="A13" s="3" t="s">
        <v>13</v>
      </c>
      <c r="B13" s="3">
        <f>0.17*0.001</f>
        <v>1.7000000000000001E-4</v>
      </c>
      <c r="D13" s="3" t="s">
        <v>16</v>
      </c>
      <c r="E13" s="5">
        <f>SUM(E9:E12)</f>
        <v>1.8342333999999998</v>
      </c>
    </row>
    <row r="14" spans="1:5" x14ac:dyDescent="0.3">
      <c r="A14" s="3" t="s">
        <v>7</v>
      </c>
      <c r="B14" s="3">
        <v>1</v>
      </c>
      <c r="E14" s="5"/>
    </row>
    <row r="15" spans="1:5" x14ac:dyDescent="0.3">
      <c r="A15" s="3" t="s">
        <v>8</v>
      </c>
      <c r="B15" s="3">
        <v>25</v>
      </c>
      <c r="D15" s="2"/>
      <c r="E15" s="5"/>
    </row>
    <row r="16" spans="1:5" x14ac:dyDescent="0.3">
      <c r="A16" s="3" t="s">
        <v>10</v>
      </c>
      <c r="B16" s="3">
        <v>298</v>
      </c>
      <c r="E16" s="7"/>
    </row>
    <row r="17" spans="1:5" x14ac:dyDescent="0.3">
      <c r="A17" s="3" t="s">
        <v>9</v>
      </c>
      <c r="B17" s="3">
        <v>3.3</v>
      </c>
      <c r="E17" s="7"/>
    </row>
    <row r="18" spans="1:5" x14ac:dyDescent="0.3">
      <c r="A18" s="3" t="s">
        <v>19</v>
      </c>
      <c r="B18" s="3">
        <v>3.6669999999999998</v>
      </c>
      <c r="E18" s="7"/>
    </row>
    <row r="19" spans="1:5" x14ac:dyDescent="0.3">
      <c r="A19" s="3" t="s">
        <v>20</v>
      </c>
      <c r="B19" s="3">
        <v>1.333</v>
      </c>
    </row>
    <row r="20" spans="1:5" x14ac:dyDescent="0.3">
      <c r="A20" s="3" t="s">
        <v>21</v>
      </c>
      <c r="B20" s="3">
        <v>2.3330000000000002</v>
      </c>
      <c r="D20" s="1"/>
      <c r="E20"/>
    </row>
    <row r="21" spans="1:5" x14ac:dyDescent="0.3">
      <c r="E21" s="7"/>
    </row>
    <row r="22" spans="1:5" x14ac:dyDescent="0.3">
      <c r="E22" s="7"/>
    </row>
    <row r="26" spans="1:5" x14ac:dyDescent="0.3">
      <c r="D26" s="2" t="s">
        <v>31</v>
      </c>
    </row>
    <row r="27" spans="1:5" x14ac:dyDescent="0.3">
      <c r="D27" s="3" t="s">
        <v>24</v>
      </c>
      <c r="E27" s="3">
        <v>15.8</v>
      </c>
    </row>
    <row r="28" spans="1:5" x14ac:dyDescent="0.3">
      <c r="D28" s="3" t="s">
        <v>25</v>
      </c>
      <c r="E28" s="3">
        <v>16.8</v>
      </c>
    </row>
    <row r="30" spans="1:5" x14ac:dyDescent="0.3">
      <c r="D30" s="2" t="s">
        <v>30</v>
      </c>
    </row>
    <row r="31" spans="1:5" x14ac:dyDescent="0.3">
      <c r="D31" s="3" t="s">
        <v>27</v>
      </c>
      <c r="E31" s="6">
        <f>E16/B8</f>
        <v>0</v>
      </c>
    </row>
    <row r="32" spans="1:5" x14ac:dyDescent="0.3">
      <c r="D32" s="3" t="s">
        <v>26</v>
      </c>
      <c r="E32" s="6">
        <v>0.41</v>
      </c>
    </row>
    <row r="33" spans="4:5" x14ac:dyDescent="0.3">
      <c r="D33" s="3" t="s">
        <v>29</v>
      </c>
      <c r="E33" s="6">
        <v>1.24</v>
      </c>
    </row>
    <row r="34" spans="4:5" x14ac:dyDescent="0.3">
      <c r="D34" s="3" t="s">
        <v>28</v>
      </c>
      <c r="E34" s="6">
        <v>0.92</v>
      </c>
    </row>
    <row r="35" spans="4:5" x14ac:dyDescent="0.3">
      <c r="D35" s="3" t="s">
        <v>25</v>
      </c>
      <c r="E35" s="6">
        <f>16.8/(20*2)</f>
        <v>0.42000000000000004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Old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2019-01-30T18:40:18Z</dcterms:created>
  <dcterms:modified xsi:type="dcterms:W3CDTF">2022-11-05T18:13:32Z</dcterms:modified>
</cp:coreProperties>
</file>