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176D8995-9B24-4B4D-AB4F-0F6D59667212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Default" sheetId="5" r:id="rId1"/>
    <sheet name="PulpCalculations" sheetId="6" r:id="rId2"/>
    <sheet name="Dymond12_UpdateFrozen" sheetId="7" r:id="rId3"/>
    <sheet name="Ghafghazi16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5" l="1"/>
  <c r="O47" i="5"/>
  <c r="N4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6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N106" i="5"/>
  <c r="M106" i="5"/>
  <c r="L106" i="5"/>
  <c r="N105" i="5"/>
  <c r="M105" i="5"/>
  <c r="L105" i="5"/>
  <c r="N104" i="5"/>
  <c r="M104" i="5"/>
  <c r="L104" i="5"/>
  <c r="N103" i="5"/>
  <c r="M103" i="5"/>
  <c r="L103" i="5"/>
  <c r="N102" i="5"/>
  <c r="M102" i="5"/>
  <c r="L102" i="5"/>
  <c r="N101" i="5"/>
  <c r="M101" i="5"/>
  <c r="L101" i="5"/>
  <c r="N100" i="5"/>
  <c r="M100" i="5"/>
  <c r="L100" i="5"/>
  <c r="N99" i="5"/>
  <c r="M99" i="5"/>
  <c r="L99" i="5"/>
  <c r="N98" i="5"/>
  <c r="M98" i="5"/>
  <c r="L98" i="5"/>
  <c r="N97" i="5"/>
  <c r="M97" i="5"/>
  <c r="L97" i="5"/>
  <c r="N96" i="5"/>
  <c r="M96" i="5"/>
  <c r="L96" i="5"/>
  <c r="N95" i="5"/>
  <c r="M95" i="5"/>
  <c r="L95" i="5"/>
  <c r="N94" i="5"/>
  <c r="M94" i="5"/>
  <c r="L94" i="5"/>
  <c r="N93" i="5"/>
  <c r="M93" i="5"/>
  <c r="L93" i="5"/>
  <c r="N92" i="5"/>
  <c r="M92" i="5"/>
  <c r="L92" i="5"/>
  <c r="N91" i="5"/>
  <c r="M91" i="5"/>
  <c r="L91" i="5"/>
  <c r="N90" i="5"/>
  <c r="M90" i="5"/>
  <c r="L90" i="5"/>
  <c r="N89" i="5"/>
  <c r="M89" i="5"/>
  <c r="L89" i="5"/>
  <c r="N88" i="5"/>
  <c r="M88" i="5"/>
  <c r="L88" i="5"/>
  <c r="N87" i="5"/>
  <c r="M87" i="5"/>
  <c r="L87" i="5"/>
  <c r="N86" i="5"/>
  <c r="M86" i="5"/>
  <c r="L86" i="5"/>
  <c r="N85" i="5"/>
  <c r="M85" i="5"/>
  <c r="L85" i="5"/>
  <c r="N84" i="5"/>
  <c r="M84" i="5"/>
  <c r="L84" i="5"/>
  <c r="N83" i="5"/>
  <c r="M83" i="5"/>
  <c r="L83" i="5"/>
  <c r="N82" i="5"/>
  <c r="M82" i="5"/>
  <c r="L82" i="5"/>
  <c r="N81" i="5"/>
  <c r="M81" i="5"/>
  <c r="L81" i="5"/>
  <c r="N80" i="5"/>
  <c r="M80" i="5"/>
  <c r="L80" i="5"/>
  <c r="N79" i="5"/>
  <c r="M79" i="5"/>
  <c r="L79" i="5"/>
  <c r="N78" i="5"/>
  <c r="M78" i="5"/>
  <c r="L78" i="5"/>
  <c r="N77" i="5"/>
  <c r="M77" i="5"/>
  <c r="L77" i="5"/>
  <c r="N76" i="5"/>
  <c r="M76" i="5"/>
  <c r="L76" i="5"/>
  <c r="N75" i="5"/>
  <c r="M75" i="5"/>
  <c r="L75" i="5"/>
  <c r="N74" i="5"/>
  <c r="M74" i="5"/>
  <c r="L74" i="5"/>
  <c r="N73" i="5"/>
  <c r="M73" i="5"/>
  <c r="L73" i="5"/>
  <c r="N72" i="5"/>
  <c r="M72" i="5"/>
  <c r="L72" i="5"/>
  <c r="N71" i="5"/>
  <c r="M71" i="5"/>
  <c r="L71" i="5"/>
  <c r="N70" i="5"/>
  <c r="M70" i="5"/>
  <c r="L70" i="5"/>
  <c r="N69" i="5"/>
  <c r="M69" i="5"/>
  <c r="L69" i="5"/>
  <c r="N68" i="5"/>
  <c r="M68" i="5"/>
  <c r="L68" i="5"/>
  <c r="N67" i="5"/>
  <c r="M67" i="5"/>
  <c r="L67" i="5"/>
  <c r="N66" i="5"/>
  <c r="M66" i="5"/>
  <c r="L66" i="5"/>
  <c r="N65" i="5"/>
  <c r="M65" i="5"/>
  <c r="L65" i="5"/>
  <c r="N64" i="5"/>
  <c r="M64" i="5"/>
  <c r="L64" i="5"/>
  <c r="N63" i="5"/>
  <c r="M63" i="5"/>
  <c r="L63" i="5"/>
  <c r="N62" i="5"/>
  <c r="M62" i="5"/>
  <c r="L62" i="5"/>
  <c r="N61" i="5"/>
  <c r="M61" i="5"/>
  <c r="L61" i="5"/>
  <c r="N60" i="5"/>
  <c r="M60" i="5"/>
  <c r="L60" i="5"/>
  <c r="N59" i="5"/>
  <c r="M59" i="5"/>
  <c r="L59" i="5"/>
  <c r="N58" i="5"/>
  <c r="M58" i="5"/>
  <c r="L58" i="5"/>
  <c r="N57" i="5"/>
  <c r="M57" i="5"/>
  <c r="L57" i="5"/>
  <c r="N56" i="5"/>
  <c r="M56" i="5"/>
  <c r="L56" i="5"/>
  <c r="N55" i="5"/>
  <c r="M55" i="5"/>
  <c r="L55" i="5"/>
  <c r="N54" i="5"/>
  <c r="M54" i="5"/>
  <c r="L54" i="5"/>
  <c r="N53" i="5"/>
  <c r="M53" i="5"/>
  <c r="L53" i="5"/>
  <c r="N52" i="5"/>
  <c r="M52" i="5"/>
  <c r="L52" i="5"/>
  <c r="N51" i="5"/>
  <c r="M51" i="5"/>
  <c r="L51" i="5"/>
  <c r="N50" i="5"/>
  <c r="M50" i="5"/>
  <c r="L50" i="5"/>
  <c r="N49" i="5"/>
  <c r="M49" i="5"/>
  <c r="L49" i="5"/>
  <c r="N48" i="5"/>
  <c r="M48" i="5"/>
  <c r="L48" i="5"/>
  <c r="N47" i="5"/>
  <c r="M47" i="5"/>
  <c r="L47" i="5"/>
  <c r="N46" i="5"/>
  <c r="M46" i="5"/>
  <c r="L46" i="5"/>
  <c r="M45" i="5"/>
  <c r="L45" i="5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N39" i="5"/>
  <c r="M39" i="5"/>
  <c r="L39" i="5"/>
  <c r="N38" i="5"/>
  <c r="M38" i="5"/>
  <c r="L38" i="5"/>
  <c r="N37" i="5"/>
  <c r="M37" i="5"/>
  <c r="L37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N2" i="5"/>
  <c r="M2" i="5"/>
  <c r="L2" i="5"/>
  <c r="J45" i="5"/>
  <c r="G45" i="5"/>
  <c r="D45" i="5"/>
  <c r="I28" i="5" l="1"/>
  <c r="I27" i="5"/>
  <c r="I26" i="5"/>
  <c r="I25" i="5"/>
  <c r="I24" i="5"/>
  <c r="I23" i="5"/>
  <c r="I22" i="5"/>
  <c r="I17" i="5"/>
  <c r="I14" i="5"/>
  <c r="I13" i="5"/>
  <c r="I12" i="5"/>
  <c r="I11" i="5"/>
  <c r="I10" i="5"/>
  <c r="I9" i="5"/>
  <c r="I8" i="5"/>
  <c r="I6" i="5"/>
  <c r="F8" i="5"/>
  <c r="G5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28" i="5"/>
  <c r="F27" i="5"/>
  <c r="F26" i="5"/>
  <c r="F25" i="5"/>
  <c r="F24" i="5"/>
  <c r="F23" i="5"/>
  <c r="F22" i="5"/>
  <c r="F17" i="5"/>
  <c r="G15" i="5" s="1"/>
  <c r="F14" i="5"/>
  <c r="F13" i="5"/>
  <c r="F12" i="5"/>
  <c r="F11" i="5"/>
  <c r="F10" i="5"/>
  <c r="F9" i="5"/>
  <c r="F6" i="5"/>
  <c r="J5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J15" i="5"/>
  <c r="D5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28" i="5"/>
  <c r="B27" i="5"/>
  <c r="B26" i="5"/>
  <c r="B25" i="5"/>
  <c r="B24" i="5"/>
  <c r="B23" i="5"/>
  <c r="B22" i="5"/>
  <c r="B17" i="5"/>
  <c r="B14" i="5"/>
  <c r="B13" i="5"/>
  <c r="B12" i="5"/>
  <c r="B11" i="5"/>
  <c r="B10" i="5"/>
  <c r="B9" i="5"/>
  <c r="B8" i="5"/>
  <c r="B6" i="5"/>
  <c r="D51" i="8"/>
  <c r="E51" i="8" s="1"/>
  <c r="B50" i="8"/>
  <c r="D48" i="8"/>
  <c r="B47" i="8"/>
  <c r="D44" i="8"/>
  <c r="E44" i="8" s="1"/>
  <c r="C44" i="8"/>
  <c r="C43" i="8"/>
  <c r="B43" i="8"/>
  <c r="B41" i="8"/>
  <c r="C40" i="8"/>
  <c r="C39" i="8"/>
  <c r="C38" i="8"/>
  <c r="D37" i="8"/>
  <c r="C36" i="8"/>
  <c r="B34" i="8"/>
  <c r="C33" i="8"/>
  <c r="C32" i="8"/>
  <c r="C31" i="8"/>
  <c r="D30" i="8"/>
  <c r="E30" i="8" s="1"/>
  <c r="C29" i="8"/>
  <c r="B27" i="8"/>
  <c r="C24" i="8" s="1"/>
  <c r="C26" i="8"/>
  <c r="C25" i="8"/>
  <c r="D20" i="8"/>
  <c r="E20" i="8" s="1"/>
  <c r="C19" i="8"/>
  <c r="B17" i="8"/>
  <c r="C12" i="8" s="1"/>
  <c r="C16" i="8"/>
  <c r="C15" i="8"/>
  <c r="C14" i="8"/>
  <c r="C13" i="8"/>
  <c r="C9" i="8"/>
  <c r="C8" i="8"/>
  <c r="C7" i="8"/>
  <c r="D5" i="8"/>
  <c r="E5" i="8" s="1"/>
  <c r="C4" i="8"/>
  <c r="D3" i="8"/>
  <c r="E37" i="8" s="1"/>
  <c r="D95" i="7"/>
  <c r="B78" i="7"/>
  <c r="B77" i="7"/>
  <c r="D71" i="7" s="1"/>
  <c r="B76" i="7"/>
  <c r="B75" i="7"/>
  <c r="B74" i="7"/>
  <c r="B73" i="7"/>
  <c r="B72" i="7"/>
  <c r="B70" i="7"/>
  <c r="B69" i="7"/>
  <c r="B68" i="7"/>
  <c r="B67" i="7"/>
  <c r="B66" i="7"/>
  <c r="B65" i="7"/>
  <c r="D63" i="7" s="1"/>
  <c r="B64" i="7"/>
  <c r="B62" i="7"/>
  <c r="B61" i="7"/>
  <c r="B60" i="7"/>
  <c r="B59" i="7"/>
  <c r="B58" i="7"/>
  <c r="B57" i="7"/>
  <c r="B56" i="7"/>
  <c r="D51" i="7"/>
  <c r="B50" i="7"/>
  <c r="B49" i="7"/>
  <c r="D41" i="7" s="1"/>
  <c r="B48" i="7"/>
  <c r="B47" i="7"/>
  <c r="B46" i="7"/>
  <c r="B45" i="7"/>
  <c r="B44" i="7"/>
  <c r="D39" i="7"/>
  <c r="D35" i="7"/>
  <c r="B33" i="7"/>
  <c r="B32" i="7"/>
  <c r="D32" i="7" s="1"/>
  <c r="D22" i="7"/>
  <c r="D12" i="7"/>
  <c r="D2" i="7"/>
  <c r="J20" i="5" l="1"/>
  <c r="G20" i="5"/>
  <c r="D38" i="5"/>
  <c r="G38" i="5"/>
  <c r="G29" i="5"/>
  <c r="G2" i="5"/>
  <c r="J2" i="5"/>
  <c r="J29" i="5"/>
  <c r="J38" i="5"/>
  <c r="D20" i="5"/>
  <c r="E48" i="8"/>
  <c r="E3" i="8" s="1"/>
  <c r="C6" i="8"/>
  <c r="C21" i="8"/>
  <c r="C10" i="8"/>
  <c r="C22" i="8"/>
  <c r="C11" i="8"/>
  <c r="C23" i="8"/>
  <c r="D52" i="5"/>
  <c r="D80" i="5" l="1"/>
  <c r="D29" i="5" l="1"/>
  <c r="D2" i="5"/>
  <c r="D15" i="5"/>
  <c r="B22" i="6"/>
  <c r="B21" i="6"/>
  <c r="B20" i="6"/>
</calcChain>
</file>

<file path=xl/sharedStrings.xml><?xml version="1.0" encoding="utf-8"?>
<sst xmlns="http://schemas.openxmlformats.org/spreadsheetml/2006/main" count="545" uniqueCount="263">
  <si>
    <t>Paper</t>
  </si>
  <si>
    <t>Fuel</t>
  </si>
  <si>
    <t>Name</t>
  </si>
  <si>
    <t>Value</t>
  </si>
  <si>
    <t>Description</t>
  </si>
  <si>
    <t>QAQC</t>
  </si>
  <si>
    <t>RemovedMerchToFirewood</t>
  </si>
  <si>
    <t>RemovedNonMerchToFirewood</t>
  </si>
  <si>
    <t>Mechanical</t>
  </si>
  <si>
    <t>Chemical</t>
  </si>
  <si>
    <t>Percent of chips sent to mechanical and chemical mills (Dymon 2012, Table 5)</t>
  </si>
  <si>
    <t>Using these because they are most recent</t>
  </si>
  <si>
    <t>Pulp yield and disposal (Dymond 2012, Table 6)</t>
  </si>
  <si>
    <t>Effluent</t>
  </si>
  <si>
    <t>Weighted average fractions:</t>
  </si>
  <si>
    <t>See PulpCalculations tab</t>
  </si>
  <si>
    <t>SFH_hl</t>
  </si>
  <si>
    <t>MFH_hl</t>
  </si>
  <si>
    <t>Comm_hl</t>
  </si>
  <si>
    <t>Furn_hl</t>
  </si>
  <si>
    <t>Repairs_hl</t>
  </si>
  <si>
    <t>Other_hl</t>
  </si>
  <si>
    <t>Paper_hl</t>
  </si>
  <si>
    <t>Firewood_hl</t>
  </si>
  <si>
    <t>Dymond (2012)</t>
  </si>
  <si>
    <t>Set equal to MFH half life</t>
  </si>
  <si>
    <t>Ship_hl</t>
  </si>
  <si>
    <t>PaperRecycleRate</t>
  </si>
  <si>
    <t>Questions</t>
  </si>
  <si>
    <t>DumpWood_hl</t>
  </si>
  <si>
    <t>DumpPaper_hl</t>
  </si>
  <si>
    <t>PaperToDumpPaper</t>
  </si>
  <si>
    <t>SFHToDumpWood</t>
  </si>
  <si>
    <t>MFHToDumpWood</t>
  </si>
  <si>
    <t>CommToDumpWood</t>
  </si>
  <si>
    <t>FurnToDumpWood</t>
  </si>
  <si>
    <t>ShipToDumpWood</t>
  </si>
  <si>
    <t>RepairsToDumpWood</t>
  </si>
  <si>
    <t>OtherToDumpWood</t>
  </si>
  <si>
    <t>Skog (2008), Table 7</t>
  </si>
  <si>
    <t>Skog (2008), Table 6</t>
  </si>
  <si>
    <t>EffluentPulp_hl</t>
  </si>
  <si>
    <t>RemovedSnagStemToFirewood</t>
  </si>
  <si>
    <t>PaperToLandfillPaper</t>
  </si>
  <si>
    <t>SFHToLandfillWood</t>
  </si>
  <si>
    <t>MFHToLandfillWood</t>
  </si>
  <si>
    <t>CommToLandfillWood</t>
  </si>
  <si>
    <t>FurnToLandfillWood</t>
  </si>
  <si>
    <t>ShipToLandfillWood</t>
  </si>
  <si>
    <t>RepairsToLandfillWood</t>
  </si>
  <si>
    <t>OtherToLandfillWood</t>
  </si>
  <si>
    <t>ToLandfillWoodDegradableFrac</t>
  </si>
  <si>
    <t>ToLandfillPaperDegradableFrac</t>
  </si>
  <si>
    <t>LandfillWoodDegradable_hl</t>
  </si>
  <si>
    <t>LandfillPaperDegradable_hl</t>
  </si>
  <si>
    <t>LandfillDegradableFracEmitCO2</t>
  </si>
  <si>
    <t>Dymond (2012), National Council for Air and Stream Improvement, Inc: Critical review of
forest products decomposition in municipal solid waste landfills. NC: Research
Triangle Park; 2004. Technical Bulletin No. 0872.</t>
  </si>
  <si>
    <t>LandfillMethaneEmit_GasColSysEffic</t>
  </si>
  <si>
    <t>LandfillMethaneEmit_GasColSysProp</t>
  </si>
  <si>
    <t>LandfillMethaneOxidizedToCO2</t>
  </si>
  <si>
    <t>Domtar says 0.2</t>
  </si>
  <si>
    <t>Domtar says 0.39</t>
  </si>
  <si>
    <t>Domtar: 22% goes to fuel; 78% goes to pulp; 50% of pulp goes to paper, 50% goes to longer-lived products</t>
  </si>
  <si>
    <t>Cants_hl</t>
  </si>
  <si>
    <t>Brian Watson suggested 10-year lifespan</t>
  </si>
  <si>
    <t>CantsToDumpWood</t>
  </si>
  <si>
    <t>CantsToLandfillWood</t>
  </si>
  <si>
    <t>Assumed equal to shipping</t>
  </si>
  <si>
    <t>Energy_hl</t>
  </si>
  <si>
    <t>EnergyCombustionFracEmitCO2</t>
  </si>
  <si>
    <t>RemovedMerchToChipperMill</t>
  </si>
  <si>
    <t>RemovedMerchToPulpMill</t>
  </si>
  <si>
    <t>RemovedMerchToLumberMill</t>
  </si>
  <si>
    <t>RemovedMerchToPlywoodMill</t>
  </si>
  <si>
    <t>RemovedMerchToOSBMill</t>
  </si>
  <si>
    <t>RemovedMerchToMDFMill</t>
  </si>
  <si>
    <t>RemovedNonMerchToChipperMill</t>
  </si>
  <si>
    <t>RemovedNonMerchToPulpMill</t>
  </si>
  <si>
    <t>RemovedNonMerchToLumberMill</t>
  </si>
  <si>
    <t>RemovedNonMerchToPlywoodMill</t>
  </si>
  <si>
    <t>RemovedNonMerchToOSBMill</t>
  </si>
  <si>
    <t>RemovedNonMerchToMDFMill</t>
  </si>
  <si>
    <t>RemovedSnagStemToChipperMill</t>
  </si>
  <si>
    <t>RemovedSnagStemToPulpMill</t>
  </si>
  <si>
    <t>RemovedSnagStemToLumberMill</t>
  </si>
  <si>
    <t>RemovedSnagStemToPlywoodMill</t>
  </si>
  <si>
    <t>RemovedSnagStemToOSBMill</t>
  </si>
  <si>
    <t>RemovedSnagStemToMDFMill</t>
  </si>
  <si>
    <t>PulpMillChipsToPaper</t>
  </si>
  <si>
    <t>PulpMillChipsToEffluent</t>
  </si>
  <si>
    <t>PulpMillChipsToPowerGeneration</t>
  </si>
  <si>
    <t>LumberMillToPulpMillChips</t>
  </si>
  <si>
    <t>LumberMillToPowerGeneration</t>
  </si>
  <si>
    <t>LumberMillToSFH</t>
  </si>
  <si>
    <t>LumberMillToMFH</t>
  </si>
  <si>
    <t>LumberMillToCom</t>
  </si>
  <si>
    <t>LumberMillToFurn</t>
  </si>
  <si>
    <t>LumberMillToShip</t>
  </si>
  <si>
    <t>LumberMillToRepairs</t>
  </si>
  <si>
    <t>LumberMillToOther</t>
  </si>
  <si>
    <t>PlywoodMillToPulpMillChips</t>
  </si>
  <si>
    <t>PlywoodMillToPowerGeneration</t>
  </si>
  <si>
    <t>PlywoodMillToSFH</t>
  </si>
  <si>
    <t>PlywoodMillToMFH</t>
  </si>
  <si>
    <t>PlywoodMillToCom</t>
  </si>
  <si>
    <t>PlywoodMillToFurn</t>
  </si>
  <si>
    <t>PlywoodMillToShip</t>
  </si>
  <si>
    <t>PlywoodMillToRepairs</t>
  </si>
  <si>
    <t>PlywoodMillToOther</t>
  </si>
  <si>
    <t>OSBMillToPowerGeneration</t>
  </si>
  <si>
    <t>OSBMillToSFH</t>
  </si>
  <si>
    <t>OSBMillToMFH</t>
  </si>
  <si>
    <t>OSBMillToCom</t>
  </si>
  <si>
    <t>OSBMillToFurn</t>
  </si>
  <si>
    <t>OSBMillToShip</t>
  </si>
  <si>
    <t>OSBMillToRepairs</t>
  </si>
  <si>
    <t>OSBMillToOther</t>
  </si>
  <si>
    <t>MDFMillToSFH</t>
  </si>
  <si>
    <t>MDFMillToMFH</t>
  </si>
  <si>
    <t>MDFMillToCom</t>
  </si>
  <si>
    <t>MDFMillToFurn</t>
  </si>
  <si>
    <t>MDFMillToShip</t>
  </si>
  <si>
    <t>MDFMillToRepairs</t>
  </si>
  <si>
    <t>MDFMillToOther</t>
  </si>
  <si>
    <t>RemovedMerchToPelletMill</t>
  </si>
  <si>
    <t>RemovedNonMerchToPelletMill</t>
  </si>
  <si>
    <t>RemovedSnagStemToPelletMill</t>
  </si>
  <si>
    <t>PulpMillChipsToSpecialtyPulpProducts</t>
  </si>
  <si>
    <t>MDFMillToPowerGeneration</t>
  </si>
  <si>
    <t>PelletMillChipsToPellets</t>
  </si>
  <si>
    <t>PelletMillChipsToPowerGeneration</t>
  </si>
  <si>
    <t>PlywoodMillToPelletMillChips</t>
  </si>
  <si>
    <t>ChipperMillToPulpMillChips</t>
  </si>
  <si>
    <t>ChipperMillToPelletMillChips</t>
  </si>
  <si>
    <t>ChipperMillToPowerGeneration</t>
  </si>
  <si>
    <t>RemovedMerchToPolePostMill</t>
  </si>
  <si>
    <t>RemovedMerchToShakeShingleMill</t>
  </si>
  <si>
    <t>RemovedNonMerchToPolePostMill</t>
  </si>
  <si>
    <t>RemovedNonMerchToShakeShingleMill</t>
  </si>
  <si>
    <t>RemovedSnagStemToPolePostMill</t>
  </si>
  <si>
    <t>RemovedSnagStemToShakeShingleMill</t>
  </si>
  <si>
    <t>PolePostMillToOther</t>
  </si>
  <si>
    <t>ShakeShingleMillToSFH</t>
  </si>
  <si>
    <t>ShakeShingleMillToMFH</t>
  </si>
  <si>
    <t>ShakeShingleMillToCom</t>
  </si>
  <si>
    <t>LumberMillToPelletMillChips</t>
  </si>
  <si>
    <t>Checked Sept 2021</t>
  </si>
  <si>
    <t>?</t>
  </si>
  <si>
    <t>Caren's summary of mills summed to 97% so perhaps the missing 3% go to pole/post and shake/shingle</t>
  </si>
  <si>
    <t>Currently splitting 50/50, check this</t>
  </si>
  <si>
    <t>Assuming the same as merch</t>
  </si>
  <si>
    <t>PlywoodMillToOSBMill</t>
  </si>
  <si>
    <t>PlywoodMillToMDFMill</t>
  </si>
  <si>
    <t>Unless incremental haul, this is actually bark on the sawlogs and pulp logs, so it is set the same as merch</t>
  </si>
  <si>
    <t>Variable</t>
  </si>
  <si>
    <t>ODT x 1e6</t>
  </si>
  <si>
    <t>% of total export</t>
  </si>
  <si>
    <t>Total from forest</t>
  </si>
  <si>
    <t>Total from forest (%)</t>
  </si>
  <si>
    <t>Total harvest</t>
  </si>
  <si>
    <t>Total input to sawmill</t>
  </si>
  <si>
    <t>Forest to Sawmill</t>
  </si>
  <si>
    <t>Sawmill to lumber</t>
  </si>
  <si>
    <t>Sawmill woodchips to pulp mill</t>
  </si>
  <si>
    <t>Sawmill internal use of bioenergy</t>
  </si>
  <si>
    <t>Sawmill hogfuel to IPPs</t>
  </si>
  <si>
    <t>Sawmill sawdust and shavings to IPPs</t>
  </si>
  <si>
    <t>Sawmill sawdust and shavings to surplus</t>
  </si>
  <si>
    <t>Sawmill hogfuel to surplus</t>
  </si>
  <si>
    <t>Sawmill sawdust and shavings to pellet mill</t>
  </si>
  <si>
    <t>Sawmill to particleboard mill</t>
  </si>
  <si>
    <t>Sawmill sawdust and shavings to export</t>
  </si>
  <si>
    <t>Sawmill sawdust and shavings woodchip exports</t>
  </si>
  <si>
    <t>Sawmill export total</t>
  </si>
  <si>
    <t>Total input to pulp mill</t>
  </si>
  <si>
    <t>Forest to pulp mill</t>
  </si>
  <si>
    <t>Pulpmill woodchips to internal bioenergy</t>
  </si>
  <si>
    <t>Pulpmill byproducts to internal bioenergy</t>
  </si>
  <si>
    <t>Pulpmill to chemical pulp</t>
  </si>
  <si>
    <t>Pulpmill to mechanical pulp</t>
  </si>
  <si>
    <t>Pulpmill to IPP</t>
  </si>
  <si>
    <t>Pulpmill to electricity</t>
  </si>
  <si>
    <t>Pulpmill export total</t>
  </si>
  <si>
    <t>Total input to plywood mill</t>
  </si>
  <si>
    <t>Forest to plywood mill</t>
  </si>
  <si>
    <t>Plywood mill to plywood</t>
  </si>
  <si>
    <t>Plywood mill to IPP</t>
  </si>
  <si>
    <t>Plywood mill to internal bioenergy</t>
  </si>
  <si>
    <t>Plywood export total</t>
  </si>
  <si>
    <t>Total input to OSB mill</t>
  </si>
  <si>
    <t>Forest to OSB mill</t>
  </si>
  <si>
    <t>OSB mill to OSB</t>
  </si>
  <si>
    <t>OSB mill to intenral bioenergy</t>
  </si>
  <si>
    <t>OSB mill to IPP</t>
  </si>
  <si>
    <t>OSB mill export total</t>
  </si>
  <si>
    <t>Total input to pellet mill</t>
  </si>
  <si>
    <t>Forest logging residues to Pellet Mill</t>
  </si>
  <si>
    <t>To Pellet Mill Total</t>
  </si>
  <si>
    <t>Total input to IPPs</t>
  </si>
  <si>
    <t>Forest to IPPs</t>
  </si>
  <si>
    <t>Forest to log exports</t>
  </si>
  <si>
    <t>Total input to raw log exports</t>
  </si>
  <si>
    <t>Total input from residue imports</t>
  </si>
  <si>
    <t>Imports to pulpmill</t>
  </si>
  <si>
    <t>SawMillToSFH</t>
  </si>
  <si>
    <t>SawMillToMFH</t>
  </si>
  <si>
    <t>SawMillToCom</t>
  </si>
  <si>
    <t>SawMillToFurn</t>
  </si>
  <si>
    <t>SawMillToShip</t>
  </si>
  <si>
    <t>SawMillToRepairs</t>
  </si>
  <si>
    <t>SawMillToOther</t>
  </si>
  <si>
    <t>Ghafghazi 2016</t>
  </si>
  <si>
    <t>SawMillToIPP</t>
  </si>
  <si>
    <t>SawMillToMDFMill</t>
  </si>
  <si>
    <t>Surplus sent to pulp</t>
  </si>
  <si>
    <t>PlywoodMillToIPP</t>
  </si>
  <si>
    <t>OSBMillToIPP</t>
  </si>
  <si>
    <t>ChipperMillToPowerFacility</t>
  </si>
  <si>
    <t>PlywoodMillToPowerFacility</t>
  </si>
  <si>
    <t>OSBMillToPowerFacility</t>
  </si>
  <si>
    <t>SawMillToPowerFacility</t>
  </si>
  <si>
    <t>SawMillToPulpMill</t>
  </si>
  <si>
    <t>SawMillToPelletMill</t>
  </si>
  <si>
    <t>SawMillToLogExport</t>
  </si>
  <si>
    <t>PulpMillToPaper</t>
  </si>
  <si>
    <t>PulpMillToPowerFacility</t>
  </si>
  <si>
    <t>PulpMillToIPP</t>
  </si>
  <si>
    <t>PulpMillToEffluent</t>
  </si>
  <si>
    <t>PulpMillToSpecialtyPulpProducts</t>
  </si>
  <si>
    <t>LogExportToPowerFacility</t>
  </si>
  <si>
    <t>LogExportToSFH</t>
  </si>
  <si>
    <t>LogExportToMFH</t>
  </si>
  <si>
    <t>LogExportToCom</t>
  </si>
  <si>
    <t>LogExportToFurn</t>
  </si>
  <si>
    <t>LogExportToShip</t>
  </si>
  <si>
    <t>LogExportToRepairs</t>
  </si>
  <si>
    <t>LogExportToOther</t>
  </si>
  <si>
    <t>LogExportToFirewood</t>
  </si>
  <si>
    <t>PiledStemwoodToFirewoodDom</t>
  </si>
  <si>
    <t xml:space="preserve">Dymond (2012), </t>
  </si>
  <si>
    <t>National Council for Air and Stream Improvement, Inc: Critical review of forest products decomposition in municipal solid waste landfills. NC: Research Triangle Park; 2004. Technical Bulletin No. 0872.</t>
  </si>
  <si>
    <t>Guess work</t>
  </si>
  <si>
    <t>Needs work</t>
  </si>
  <si>
    <t>Not in use</t>
  </si>
  <si>
    <t>n/a</t>
  </si>
  <si>
    <t>B Watson pers comm.</t>
  </si>
  <si>
    <t>GFS22</t>
  </si>
  <si>
    <t>Coast</t>
  </si>
  <si>
    <t>Coast Description</t>
  </si>
  <si>
    <t>Coast QA</t>
  </si>
  <si>
    <t>Interior</t>
  </si>
  <si>
    <t>Interior QA</t>
  </si>
  <si>
    <t>Coast Notes</t>
  </si>
  <si>
    <t>Interior Notes</t>
  </si>
  <si>
    <t>GFS22 Notes</t>
  </si>
  <si>
    <t>GFS22 QA</t>
  </si>
  <si>
    <t>PelletMillToDomRNG</t>
  </si>
  <si>
    <t>PelletMillToDomGrid</t>
  </si>
  <si>
    <t>PelletMillToPelletExport</t>
  </si>
  <si>
    <t>BurnUneconomic</t>
  </si>
  <si>
    <t>LeaveUneconomicStanding</t>
  </si>
  <si>
    <t>UseUnecomicForPellets</t>
  </si>
  <si>
    <t>Energy Production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</si>
</sst>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DE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5" fontId="1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164" fontId="3" fillId="0" borderId="0" xfId="0" applyNumberFormat="1" applyFont="1" applyAlignment="1">
      <alignment horizontal="left"/>
    </xf>
    <xf numFmtId="0" fontId="0" fillId="3" borderId="0" xfId="0" applyFill="1"/>
    <xf numFmtId="164" fontId="1" fillId="4" borderId="0" xfId="0" applyNumberFormat="1" applyFont="1" applyFill="1" applyAlignment="1">
      <alignment horizontal="left" vertical="top"/>
    </xf>
    <xf numFmtId="0" fontId="1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1" fillId="2" borderId="0" xfId="0" applyFont="1" applyFill="1"/>
    <xf numFmtId="0" fontId="4" fillId="4" borderId="0" xfId="0" applyFont="1" applyFill="1" applyAlignment="1">
      <alignment horizontal="left" vertical="top"/>
    </xf>
    <xf numFmtId="164" fontId="4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2" borderId="0" xfId="0" applyFont="1" applyFill="1"/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"/>
  <sheetViews>
    <sheetView tabSelected="1" topLeftCell="A19" zoomScale="85" zoomScaleNormal="85" workbookViewId="0">
      <selection activeCell="O45" sqref="O45"/>
    </sheetView>
  </sheetViews>
  <sheetFormatPr defaultRowHeight="14.4" x14ac:dyDescent="0.3"/>
  <cols>
    <col min="1" max="1" width="48.109375" customWidth="1"/>
    <col min="2" max="2" width="9.109375" style="3" customWidth="1"/>
    <col min="3" max="3" width="18.6640625" customWidth="1"/>
    <col min="4" max="4" width="10" style="7" customWidth="1"/>
    <col min="5" max="5" width="12.21875" style="26" customWidth="1"/>
    <col min="6" max="6" width="9.33203125" style="3" customWidth="1"/>
    <col min="7" max="7" width="11.6640625" style="7" customWidth="1"/>
    <col min="8" max="8" width="13.6640625" style="26" customWidth="1"/>
    <col min="9" max="9" width="8.5546875" customWidth="1"/>
    <col min="10" max="10" width="10" style="7" customWidth="1"/>
    <col min="11" max="11" width="13.21875" customWidth="1"/>
    <col min="12" max="15" width="8.88671875" style="1"/>
  </cols>
  <sheetData>
    <row r="1" spans="1:15" x14ac:dyDescent="0.3">
      <c r="A1" s="8" t="s">
        <v>2</v>
      </c>
      <c r="B1" s="29" t="s">
        <v>247</v>
      </c>
      <c r="C1" s="30" t="s">
        <v>248</v>
      </c>
      <c r="D1" s="34" t="s">
        <v>249</v>
      </c>
      <c r="E1" s="31" t="s">
        <v>252</v>
      </c>
      <c r="F1" s="35" t="s">
        <v>250</v>
      </c>
      <c r="G1" s="36" t="s">
        <v>251</v>
      </c>
      <c r="H1" s="32" t="s">
        <v>253</v>
      </c>
      <c r="I1" s="37" t="s">
        <v>246</v>
      </c>
      <c r="J1" s="38" t="s">
        <v>255</v>
      </c>
      <c r="K1" s="33" t="s">
        <v>254</v>
      </c>
      <c r="L1" s="1" t="s">
        <v>259</v>
      </c>
      <c r="M1" s="1" t="s">
        <v>260</v>
      </c>
      <c r="N1" s="1" t="s">
        <v>261</v>
      </c>
      <c r="O1" s="1" t="s">
        <v>262</v>
      </c>
    </row>
    <row r="2" spans="1:15" x14ac:dyDescent="0.3">
      <c r="A2" s="24" t="s">
        <v>221</v>
      </c>
      <c r="B2" s="13">
        <v>0.35499999999999998</v>
      </c>
      <c r="C2" s="12" t="s">
        <v>211</v>
      </c>
      <c r="D2" s="14">
        <f>SUM(B2:B14)</f>
        <v>0.99992536999999992</v>
      </c>
      <c r="E2" s="22" t="s">
        <v>214</v>
      </c>
      <c r="F2" s="13">
        <v>0.35499999999999998</v>
      </c>
      <c r="G2" s="14">
        <f>SUM(F2:F14)</f>
        <v>0.99992536999999992</v>
      </c>
      <c r="H2" s="22" t="s">
        <v>214</v>
      </c>
      <c r="I2" s="13">
        <v>0.35499999999999998</v>
      </c>
      <c r="J2" s="27">
        <f>SUM(I2:I14)</f>
        <v>0.99992536999999992</v>
      </c>
      <c r="L2" s="3">
        <f>F2</f>
        <v>0.35499999999999998</v>
      </c>
      <c r="M2" s="3">
        <f>F2</f>
        <v>0.35499999999999998</v>
      </c>
      <c r="N2" s="3">
        <f>F2</f>
        <v>0.35499999999999998</v>
      </c>
      <c r="O2" s="3">
        <f>F2</f>
        <v>0.35499999999999998</v>
      </c>
    </row>
    <row r="3" spans="1:15" x14ac:dyDescent="0.3">
      <c r="A3" s="24" t="s">
        <v>213</v>
      </c>
      <c r="B3" s="13">
        <v>7.0000000000000001E-3</v>
      </c>
      <c r="C3" s="12" t="s">
        <v>211</v>
      </c>
      <c r="D3" s="14"/>
      <c r="E3" s="22"/>
      <c r="F3" s="13">
        <v>7.0000000000000001E-3</v>
      </c>
      <c r="G3" s="14"/>
      <c r="H3" s="22"/>
      <c r="I3" s="13">
        <v>7.0000000000000001E-3</v>
      </c>
      <c r="L3" s="3">
        <f t="shared" ref="L3:L66" si="0">F3</f>
        <v>7.0000000000000001E-3</v>
      </c>
      <c r="M3" s="3">
        <f t="shared" ref="M3:M66" si="1">F3</f>
        <v>7.0000000000000001E-3</v>
      </c>
      <c r="N3" s="3">
        <f t="shared" ref="N3:N66" si="2">F3</f>
        <v>7.0000000000000001E-3</v>
      </c>
      <c r="O3" s="3">
        <f t="shared" ref="O3:O66" si="3">F3</f>
        <v>7.0000000000000001E-3</v>
      </c>
    </row>
    <row r="4" spans="1:15" x14ac:dyDescent="0.3">
      <c r="A4" s="24" t="s">
        <v>222</v>
      </c>
      <c r="B4" s="13">
        <v>6.8000000000000005E-2</v>
      </c>
      <c r="C4" s="12" t="s">
        <v>211</v>
      </c>
      <c r="D4" s="14"/>
      <c r="E4" s="22"/>
      <c r="F4" s="13">
        <v>6.8000000000000005E-2</v>
      </c>
      <c r="G4" s="14"/>
      <c r="H4" s="22"/>
      <c r="I4" s="13">
        <v>6.8000000000000005E-2</v>
      </c>
      <c r="L4" s="3">
        <f t="shared" si="0"/>
        <v>6.8000000000000005E-2</v>
      </c>
      <c r="M4" s="3">
        <f t="shared" si="1"/>
        <v>6.8000000000000005E-2</v>
      </c>
      <c r="N4" s="3">
        <f t="shared" si="2"/>
        <v>6.8000000000000005E-2</v>
      </c>
      <c r="O4" s="3">
        <f t="shared" si="3"/>
        <v>6.8000000000000005E-2</v>
      </c>
    </row>
    <row r="5" spans="1:15" x14ac:dyDescent="0.3">
      <c r="A5" s="24" t="s">
        <v>220</v>
      </c>
      <c r="B5" s="13">
        <v>4.2999999999999997E-2</v>
      </c>
      <c r="C5" s="12" t="s">
        <v>211</v>
      </c>
      <c r="D5" s="14"/>
      <c r="E5" s="22"/>
      <c r="F5" s="13">
        <v>4.2999999999999997E-2</v>
      </c>
      <c r="G5" s="14"/>
      <c r="H5" s="22"/>
      <c r="I5" s="13">
        <v>4.2999999999999997E-2</v>
      </c>
      <c r="L5" s="3">
        <f t="shared" si="0"/>
        <v>4.2999999999999997E-2</v>
      </c>
      <c r="M5" s="3">
        <f t="shared" si="1"/>
        <v>4.2999999999999997E-2</v>
      </c>
      <c r="N5" s="3">
        <f t="shared" si="2"/>
        <v>4.2999999999999997E-2</v>
      </c>
      <c r="O5" s="3">
        <f t="shared" si="3"/>
        <v>4.2999999999999997E-2</v>
      </c>
    </row>
    <row r="6" spans="1:15" x14ac:dyDescent="0.3">
      <c r="A6" s="24" t="s">
        <v>212</v>
      </c>
      <c r="B6" s="13">
        <f>0.052+0.031</f>
        <v>8.299999999999999E-2</v>
      </c>
      <c r="C6" s="12" t="s">
        <v>211</v>
      </c>
      <c r="D6" s="14"/>
      <c r="E6" s="22"/>
      <c r="F6" s="13">
        <f>0.052+0.031</f>
        <v>8.299999999999999E-2</v>
      </c>
      <c r="G6" s="14"/>
      <c r="H6" s="22"/>
      <c r="I6" s="13">
        <f>0.052+0.031</f>
        <v>8.299999999999999E-2</v>
      </c>
      <c r="L6" s="3">
        <f t="shared" si="0"/>
        <v>8.299999999999999E-2</v>
      </c>
      <c r="M6" s="3">
        <f t="shared" si="1"/>
        <v>8.299999999999999E-2</v>
      </c>
      <c r="N6" s="3">
        <f t="shared" si="2"/>
        <v>8.299999999999999E-2</v>
      </c>
      <c r="O6" s="3">
        <f t="shared" si="3"/>
        <v>8.299999999999999E-2</v>
      </c>
    </row>
    <row r="7" spans="1:15" x14ac:dyDescent="0.3">
      <c r="A7" s="24" t="s">
        <v>223</v>
      </c>
      <c r="B7" s="13">
        <v>5.0000000000000001E-3</v>
      </c>
      <c r="C7" s="12" t="s">
        <v>211</v>
      </c>
      <c r="D7" s="14"/>
      <c r="E7" s="22"/>
      <c r="F7" s="13">
        <v>0</v>
      </c>
      <c r="G7" s="14"/>
      <c r="H7" s="22"/>
      <c r="I7" s="13">
        <v>0</v>
      </c>
      <c r="L7" s="3">
        <f t="shared" si="0"/>
        <v>0</v>
      </c>
      <c r="M7" s="3">
        <f t="shared" si="1"/>
        <v>0</v>
      </c>
      <c r="N7" s="3">
        <f t="shared" si="2"/>
        <v>0</v>
      </c>
      <c r="O7" s="3">
        <f t="shared" si="3"/>
        <v>0</v>
      </c>
    </row>
    <row r="8" spans="1:15" x14ac:dyDescent="0.3">
      <c r="A8" s="24" t="s">
        <v>204</v>
      </c>
      <c r="B8" s="13">
        <f>0.439*0.2755</f>
        <v>0.12094450000000001</v>
      </c>
      <c r="C8" s="12" t="s">
        <v>211</v>
      </c>
      <c r="D8" s="14"/>
      <c r="E8" s="22"/>
      <c r="F8" s="13">
        <f>0.439*0.2755+0.005</f>
        <v>0.12594450000000001</v>
      </c>
      <c r="G8" s="14"/>
      <c r="H8" s="22"/>
      <c r="I8" s="13">
        <f>0.439*0.2755+0.005</f>
        <v>0.12594450000000001</v>
      </c>
      <c r="L8" s="3">
        <f t="shared" si="0"/>
        <v>0.12594450000000001</v>
      </c>
      <c r="M8" s="3">
        <f t="shared" si="1"/>
        <v>0.12594450000000001</v>
      </c>
      <c r="N8" s="3">
        <f t="shared" si="2"/>
        <v>0.12594450000000001</v>
      </c>
      <c r="O8" s="3">
        <f t="shared" si="3"/>
        <v>0.12594450000000001</v>
      </c>
    </row>
    <row r="9" spans="1:15" x14ac:dyDescent="0.3">
      <c r="A9" s="24" t="s">
        <v>205</v>
      </c>
      <c r="B9" s="13">
        <f>0.439*0.01857</f>
        <v>8.1522299999999999E-3</v>
      </c>
      <c r="C9" s="12" t="s">
        <v>211</v>
      </c>
      <c r="D9" s="14"/>
      <c r="E9" s="22"/>
      <c r="F9" s="13">
        <f>0.439*0.01857</f>
        <v>8.1522299999999999E-3</v>
      </c>
      <c r="G9" s="14"/>
      <c r="H9" s="22"/>
      <c r="I9" s="13">
        <f>0.439*0.01857</f>
        <v>8.1522299999999999E-3</v>
      </c>
      <c r="L9" s="3">
        <f t="shared" si="0"/>
        <v>8.1522299999999999E-3</v>
      </c>
      <c r="M9" s="3">
        <f t="shared" si="1"/>
        <v>8.1522299999999999E-3</v>
      </c>
      <c r="N9" s="3">
        <f t="shared" si="2"/>
        <v>8.1522299999999999E-3</v>
      </c>
      <c r="O9" s="3">
        <f t="shared" si="3"/>
        <v>8.1522299999999999E-3</v>
      </c>
    </row>
    <row r="10" spans="1:15" x14ac:dyDescent="0.3">
      <c r="A10" s="24" t="s">
        <v>206</v>
      </c>
      <c r="B10" s="13">
        <f>0.439*0.0774</f>
        <v>3.3978599999999998E-2</v>
      </c>
      <c r="C10" s="12" t="s">
        <v>211</v>
      </c>
      <c r="D10" s="14"/>
      <c r="E10" s="22"/>
      <c r="F10" s="13">
        <f>0.439*0.0774</f>
        <v>3.3978599999999998E-2</v>
      </c>
      <c r="G10" s="14"/>
      <c r="H10" s="22"/>
      <c r="I10" s="13">
        <f>0.439*0.0774</f>
        <v>3.3978599999999998E-2</v>
      </c>
      <c r="L10" s="3">
        <f t="shared" si="0"/>
        <v>3.3978599999999998E-2</v>
      </c>
      <c r="M10" s="3">
        <f t="shared" si="1"/>
        <v>3.3978599999999998E-2</v>
      </c>
      <c r="N10" s="3">
        <f t="shared" si="2"/>
        <v>3.3978599999999998E-2</v>
      </c>
      <c r="O10" s="3">
        <f t="shared" si="3"/>
        <v>3.3978599999999998E-2</v>
      </c>
    </row>
    <row r="11" spans="1:15" x14ac:dyDescent="0.3">
      <c r="A11" s="24" t="s">
        <v>207</v>
      </c>
      <c r="B11" s="13">
        <f>0.439*0.1269</f>
        <v>5.5709100000000004E-2</v>
      </c>
      <c r="C11" s="12" t="s">
        <v>211</v>
      </c>
      <c r="D11" s="14"/>
      <c r="E11" s="22"/>
      <c r="F11" s="13">
        <f>0.439*0.1269</f>
        <v>5.5709100000000004E-2</v>
      </c>
      <c r="G11" s="14"/>
      <c r="H11" s="22"/>
      <c r="I11" s="13">
        <f>0.439*0.1269</f>
        <v>5.5709100000000004E-2</v>
      </c>
      <c r="L11" s="3">
        <f t="shared" si="0"/>
        <v>5.5709100000000004E-2</v>
      </c>
      <c r="M11" s="3">
        <f t="shared" si="1"/>
        <v>5.5709100000000004E-2</v>
      </c>
      <c r="N11" s="3">
        <f t="shared" si="2"/>
        <v>5.5709100000000004E-2</v>
      </c>
      <c r="O11" s="3">
        <f t="shared" si="3"/>
        <v>5.5709100000000004E-2</v>
      </c>
    </row>
    <row r="12" spans="1:15" x14ac:dyDescent="0.3">
      <c r="A12" s="24" t="s">
        <v>208</v>
      </c>
      <c r="B12" s="13">
        <f>0.439*0.0928</f>
        <v>4.0739199999999996E-2</v>
      </c>
      <c r="C12" s="12" t="s">
        <v>211</v>
      </c>
      <c r="D12" s="14"/>
      <c r="E12" s="22"/>
      <c r="F12" s="13">
        <f>0.439*0.0928</f>
        <v>4.0739199999999996E-2</v>
      </c>
      <c r="G12" s="14"/>
      <c r="H12" s="22"/>
      <c r="I12" s="13">
        <f>0.439*0.0928</f>
        <v>4.0739199999999996E-2</v>
      </c>
      <c r="L12" s="3">
        <f t="shared" si="0"/>
        <v>4.0739199999999996E-2</v>
      </c>
      <c r="M12" s="3">
        <f t="shared" si="1"/>
        <v>4.0739199999999996E-2</v>
      </c>
      <c r="N12" s="3">
        <f t="shared" si="2"/>
        <v>4.0739199999999996E-2</v>
      </c>
      <c r="O12" s="3">
        <f t="shared" si="3"/>
        <v>4.0739199999999996E-2</v>
      </c>
    </row>
    <row r="13" spans="1:15" x14ac:dyDescent="0.3">
      <c r="A13" s="24" t="s">
        <v>209</v>
      </c>
      <c r="B13" s="13">
        <f>0.439*0.26006</f>
        <v>0.11416634000000001</v>
      </c>
      <c r="C13" s="12" t="s">
        <v>211</v>
      </c>
      <c r="D13" s="14"/>
      <c r="E13" s="22"/>
      <c r="F13" s="13">
        <f>0.439*0.26006</f>
        <v>0.11416634000000001</v>
      </c>
      <c r="G13" s="14"/>
      <c r="H13" s="22"/>
      <c r="I13" s="13">
        <f>0.439*0.26006</f>
        <v>0.11416634000000001</v>
      </c>
      <c r="L13" s="3">
        <f t="shared" si="0"/>
        <v>0.11416634000000001</v>
      </c>
      <c r="M13" s="3">
        <f t="shared" si="1"/>
        <v>0.11416634000000001</v>
      </c>
      <c r="N13" s="3">
        <f t="shared" si="2"/>
        <v>0.11416634000000001</v>
      </c>
      <c r="O13" s="3">
        <f t="shared" si="3"/>
        <v>0.11416634000000001</v>
      </c>
    </row>
    <row r="14" spans="1:15" x14ac:dyDescent="0.3">
      <c r="A14" s="24" t="s">
        <v>210</v>
      </c>
      <c r="B14" s="13">
        <f>0.439*0.1486</f>
        <v>6.5235399999999999E-2</v>
      </c>
      <c r="C14" s="12" t="s">
        <v>211</v>
      </c>
      <c r="D14" s="14"/>
      <c r="E14" s="22"/>
      <c r="F14" s="13">
        <f>0.439*0.1486</f>
        <v>6.5235399999999999E-2</v>
      </c>
      <c r="G14" s="14"/>
      <c r="H14" s="22"/>
      <c r="I14" s="13">
        <f>0.439*0.1486</f>
        <v>6.5235399999999999E-2</v>
      </c>
      <c r="L14" s="3">
        <f t="shared" si="0"/>
        <v>6.5235399999999999E-2</v>
      </c>
      <c r="M14" s="3">
        <f t="shared" si="1"/>
        <v>6.5235399999999999E-2</v>
      </c>
      <c r="N14" s="3">
        <f t="shared" si="2"/>
        <v>6.5235399999999999E-2</v>
      </c>
      <c r="O14" s="3">
        <f t="shared" si="3"/>
        <v>6.5235399999999999E-2</v>
      </c>
    </row>
    <row r="15" spans="1:15" x14ac:dyDescent="0.3">
      <c r="A15" s="23" t="s">
        <v>224</v>
      </c>
      <c r="B15" s="13">
        <v>0.26100000000000001</v>
      </c>
      <c r="C15" s="12" t="s">
        <v>211</v>
      </c>
      <c r="D15" s="14">
        <f>SUM(B15:B18)</f>
        <v>1</v>
      </c>
      <c r="E15" s="22" t="s">
        <v>61</v>
      </c>
      <c r="F15" s="13">
        <v>0.26100000000000001</v>
      </c>
      <c r="G15" s="14">
        <f>SUM(F15:F19)</f>
        <v>1</v>
      </c>
      <c r="H15" s="22" t="s">
        <v>61</v>
      </c>
      <c r="I15" s="13">
        <v>0.26100000000000001</v>
      </c>
      <c r="J15" s="27">
        <f>SUM(I15:I19)</f>
        <v>1</v>
      </c>
      <c r="L15" s="3">
        <f t="shared" si="0"/>
        <v>0.26100000000000001</v>
      </c>
      <c r="M15" s="3">
        <f t="shared" si="1"/>
        <v>0.26100000000000001</v>
      </c>
      <c r="N15" s="3">
        <f t="shared" si="2"/>
        <v>0.26100000000000001</v>
      </c>
      <c r="O15" s="3">
        <f t="shared" si="3"/>
        <v>0.26100000000000001</v>
      </c>
    </row>
    <row r="16" spans="1:15" x14ac:dyDescent="0.3">
      <c r="A16" s="23" t="s">
        <v>225</v>
      </c>
      <c r="B16" s="13">
        <v>0.63800000000000001</v>
      </c>
      <c r="C16" s="12" t="s">
        <v>211</v>
      </c>
      <c r="D16" s="15"/>
      <c r="E16" s="22" t="s">
        <v>60</v>
      </c>
      <c r="F16" s="13">
        <v>0.63800000000000001</v>
      </c>
      <c r="G16" s="15"/>
      <c r="H16" s="22" t="s">
        <v>60</v>
      </c>
      <c r="I16" s="13">
        <v>0.63800000000000001</v>
      </c>
      <c r="L16" s="3">
        <f t="shared" si="0"/>
        <v>0.63800000000000001</v>
      </c>
      <c r="M16" s="3">
        <f t="shared" si="1"/>
        <v>0.63800000000000001</v>
      </c>
      <c r="N16" s="3">
        <f t="shared" si="2"/>
        <v>0.63800000000000001</v>
      </c>
      <c r="O16" s="3">
        <f t="shared" si="3"/>
        <v>0.63800000000000001</v>
      </c>
    </row>
    <row r="17" spans="1:15" x14ac:dyDescent="0.3">
      <c r="A17" s="23" t="s">
        <v>226</v>
      </c>
      <c r="B17" s="13">
        <f>0.033+0.068</f>
        <v>0.10100000000000001</v>
      </c>
      <c r="C17" s="12" t="s">
        <v>211</v>
      </c>
      <c r="D17" s="15"/>
      <c r="E17" s="22"/>
      <c r="F17" s="13">
        <f>0.033+0.068</f>
        <v>0.10100000000000001</v>
      </c>
      <c r="G17" s="15"/>
      <c r="H17" s="22"/>
      <c r="I17" s="13">
        <f>0.033+0.068</f>
        <v>0.10100000000000001</v>
      </c>
      <c r="L17" s="3">
        <f t="shared" si="0"/>
        <v>0.10100000000000001</v>
      </c>
      <c r="M17" s="3">
        <f t="shared" si="1"/>
        <v>0.10100000000000001</v>
      </c>
      <c r="N17" s="3">
        <f t="shared" si="2"/>
        <v>0.10100000000000001</v>
      </c>
      <c r="O17" s="3">
        <f t="shared" si="3"/>
        <v>0.10100000000000001</v>
      </c>
    </row>
    <row r="18" spans="1:15" x14ac:dyDescent="0.3">
      <c r="A18" s="23" t="s">
        <v>227</v>
      </c>
      <c r="B18" s="13">
        <v>0</v>
      </c>
      <c r="C18" s="12" t="s">
        <v>243</v>
      </c>
      <c r="D18" s="15"/>
      <c r="E18" s="22"/>
      <c r="F18" s="13">
        <v>0</v>
      </c>
      <c r="G18" s="15"/>
      <c r="H18" s="22"/>
      <c r="I18" s="13">
        <v>0</v>
      </c>
      <c r="L18" s="3">
        <f t="shared" si="0"/>
        <v>0</v>
      </c>
      <c r="M18" s="3">
        <f t="shared" si="1"/>
        <v>0</v>
      </c>
      <c r="N18" s="3">
        <f t="shared" si="2"/>
        <v>0</v>
      </c>
      <c r="O18" s="3">
        <f t="shared" si="3"/>
        <v>0</v>
      </c>
    </row>
    <row r="19" spans="1:15" x14ac:dyDescent="0.3">
      <c r="A19" s="23" t="s">
        <v>228</v>
      </c>
      <c r="B19" s="13">
        <v>0</v>
      </c>
      <c r="C19" s="12" t="s">
        <v>243</v>
      </c>
      <c r="D19" s="15"/>
      <c r="E19" s="22" t="s">
        <v>62</v>
      </c>
      <c r="F19" s="13">
        <v>0</v>
      </c>
      <c r="G19" s="15"/>
      <c r="H19" s="22" t="s">
        <v>62</v>
      </c>
      <c r="I19" s="13">
        <v>0</v>
      </c>
      <c r="L19" s="3">
        <f t="shared" si="0"/>
        <v>0</v>
      </c>
      <c r="M19" s="3">
        <f t="shared" si="1"/>
        <v>0</v>
      </c>
      <c r="N19" s="3">
        <f t="shared" si="2"/>
        <v>0</v>
      </c>
      <c r="O19" s="3">
        <f t="shared" si="3"/>
        <v>0</v>
      </c>
    </row>
    <row r="20" spans="1:15" x14ac:dyDescent="0.3">
      <c r="A20" s="24" t="s">
        <v>218</v>
      </c>
      <c r="B20" s="3">
        <v>0.19</v>
      </c>
      <c r="C20" s="12" t="s">
        <v>211</v>
      </c>
      <c r="D20" s="27">
        <f>SUM(B20:B28)</f>
        <v>1.0004400000000002</v>
      </c>
      <c r="E20" s="22"/>
      <c r="F20" s="3">
        <v>0.19</v>
      </c>
      <c r="G20" s="27">
        <f>SUM(F20:F28)</f>
        <v>1.0004400000000002</v>
      </c>
      <c r="H20" s="22"/>
      <c r="I20" s="3">
        <v>0.19</v>
      </c>
      <c r="J20" s="27">
        <f>SUM(I20:I28)</f>
        <v>1.0004400000000002</v>
      </c>
      <c r="L20" s="3">
        <f t="shared" si="0"/>
        <v>0.19</v>
      </c>
      <c r="M20" s="3">
        <f t="shared" si="1"/>
        <v>0.19</v>
      </c>
      <c r="N20" s="3">
        <f t="shared" si="2"/>
        <v>0.19</v>
      </c>
      <c r="O20" s="3">
        <f t="shared" si="3"/>
        <v>0.19</v>
      </c>
    </row>
    <row r="21" spans="1:15" x14ac:dyDescent="0.3">
      <c r="A21" s="24" t="s">
        <v>215</v>
      </c>
      <c r="B21" s="13">
        <v>2.8000000000000001E-2</v>
      </c>
      <c r="C21" s="12" t="s">
        <v>211</v>
      </c>
      <c r="D21" s="14"/>
      <c r="E21" s="22"/>
      <c r="F21" s="13">
        <v>2.8000000000000001E-2</v>
      </c>
      <c r="G21" s="14"/>
      <c r="H21" s="22"/>
      <c r="I21" s="13">
        <v>2.8000000000000001E-2</v>
      </c>
      <c r="L21" s="3">
        <f t="shared" si="0"/>
        <v>2.8000000000000001E-2</v>
      </c>
      <c r="M21" s="3">
        <f t="shared" si="1"/>
        <v>2.8000000000000001E-2</v>
      </c>
      <c r="N21" s="3">
        <f t="shared" si="2"/>
        <v>2.8000000000000001E-2</v>
      </c>
      <c r="O21" s="3">
        <f t="shared" si="3"/>
        <v>2.8000000000000001E-2</v>
      </c>
    </row>
    <row r="22" spans="1:15" x14ac:dyDescent="0.3">
      <c r="A22" s="24" t="s">
        <v>102</v>
      </c>
      <c r="B22" s="13">
        <f>0.775*0.28</f>
        <v>0.21700000000000003</v>
      </c>
      <c r="C22" s="12" t="s">
        <v>211</v>
      </c>
      <c r="D22" s="14"/>
      <c r="E22" s="22"/>
      <c r="F22" s="13">
        <f>0.775*0.28</f>
        <v>0.21700000000000003</v>
      </c>
      <c r="G22" s="14"/>
      <c r="H22" s="22"/>
      <c r="I22" s="13">
        <f>0.775*0.28</f>
        <v>0.21700000000000003</v>
      </c>
      <c r="L22" s="3">
        <f t="shared" si="0"/>
        <v>0.21700000000000003</v>
      </c>
      <c r="M22" s="3">
        <f t="shared" si="1"/>
        <v>0.21700000000000003</v>
      </c>
      <c r="N22" s="3">
        <f t="shared" si="2"/>
        <v>0.21700000000000003</v>
      </c>
      <c r="O22" s="3">
        <f t="shared" si="3"/>
        <v>0.21700000000000003</v>
      </c>
    </row>
    <row r="23" spans="1:15" x14ac:dyDescent="0.3">
      <c r="A23" s="24" t="s">
        <v>103</v>
      </c>
      <c r="B23" s="13">
        <f>0.775*0.014</f>
        <v>1.085E-2</v>
      </c>
      <c r="C23" s="12" t="s">
        <v>211</v>
      </c>
      <c r="D23" s="14"/>
      <c r="E23" s="22"/>
      <c r="F23" s="13">
        <f>0.775*0.014</f>
        <v>1.085E-2</v>
      </c>
      <c r="G23" s="14"/>
      <c r="H23" s="22"/>
      <c r="I23" s="13">
        <f>0.775*0.014</f>
        <v>1.085E-2</v>
      </c>
      <c r="L23" s="3">
        <f t="shared" si="0"/>
        <v>1.085E-2</v>
      </c>
      <c r="M23" s="3">
        <f t="shared" si="1"/>
        <v>1.085E-2</v>
      </c>
      <c r="N23" s="3">
        <f t="shared" si="2"/>
        <v>1.085E-2</v>
      </c>
      <c r="O23" s="3">
        <f t="shared" si="3"/>
        <v>1.085E-2</v>
      </c>
    </row>
    <row r="24" spans="1:15" x14ac:dyDescent="0.3">
      <c r="A24" s="24" t="s">
        <v>104</v>
      </c>
      <c r="B24" s="13">
        <f>0.775*0.08</f>
        <v>6.2000000000000006E-2</v>
      </c>
      <c r="C24" s="12" t="s">
        <v>211</v>
      </c>
      <c r="D24" s="14"/>
      <c r="E24" s="22"/>
      <c r="F24" s="13">
        <f>0.775*0.08</f>
        <v>6.2000000000000006E-2</v>
      </c>
      <c r="G24" s="14"/>
      <c r="H24" s="22"/>
      <c r="I24" s="13">
        <f>0.775*0.08</f>
        <v>6.2000000000000006E-2</v>
      </c>
      <c r="L24" s="3">
        <f t="shared" si="0"/>
        <v>6.2000000000000006E-2</v>
      </c>
      <c r="M24" s="3">
        <f t="shared" si="1"/>
        <v>6.2000000000000006E-2</v>
      </c>
      <c r="N24" s="3">
        <f t="shared" si="2"/>
        <v>6.2000000000000006E-2</v>
      </c>
      <c r="O24" s="3">
        <f t="shared" si="3"/>
        <v>6.2000000000000006E-2</v>
      </c>
    </row>
    <row r="25" spans="1:15" x14ac:dyDescent="0.3">
      <c r="A25" s="24" t="s">
        <v>105</v>
      </c>
      <c r="B25" s="13">
        <f>0.775*0.13</f>
        <v>0.10075000000000001</v>
      </c>
      <c r="C25" s="12" t="s">
        <v>211</v>
      </c>
      <c r="D25" s="14"/>
      <c r="E25" s="22"/>
      <c r="F25" s="13">
        <f>0.775*0.13</f>
        <v>0.10075000000000001</v>
      </c>
      <c r="G25" s="14"/>
      <c r="H25" s="22"/>
      <c r="I25" s="13">
        <f>0.775*0.13</f>
        <v>0.10075000000000001</v>
      </c>
      <c r="L25" s="3">
        <f t="shared" si="0"/>
        <v>0.10075000000000001</v>
      </c>
      <c r="M25" s="3">
        <f t="shared" si="1"/>
        <v>0.10075000000000001</v>
      </c>
      <c r="N25" s="3">
        <f t="shared" si="2"/>
        <v>0.10075000000000001</v>
      </c>
      <c r="O25" s="3">
        <f t="shared" si="3"/>
        <v>0.10075000000000001</v>
      </c>
    </row>
    <row r="26" spans="1:15" x14ac:dyDescent="0.3">
      <c r="A26" s="24" t="s">
        <v>106</v>
      </c>
      <c r="B26" s="13">
        <f>0.775*0.097</f>
        <v>7.5175000000000006E-2</v>
      </c>
      <c r="C26" s="12" t="s">
        <v>211</v>
      </c>
      <c r="D26" s="14"/>
      <c r="E26" s="22"/>
      <c r="F26" s="13">
        <f>0.775*0.097</f>
        <v>7.5175000000000006E-2</v>
      </c>
      <c r="G26" s="14"/>
      <c r="H26" s="22"/>
      <c r="I26" s="13">
        <f>0.775*0.097</f>
        <v>7.5175000000000006E-2</v>
      </c>
      <c r="L26" s="3">
        <f t="shared" si="0"/>
        <v>7.5175000000000006E-2</v>
      </c>
      <c r="M26" s="3">
        <f t="shared" si="1"/>
        <v>7.5175000000000006E-2</v>
      </c>
      <c r="N26" s="3">
        <f t="shared" si="2"/>
        <v>7.5175000000000006E-2</v>
      </c>
      <c r="O26" s="3">
        <f t="shared" si="3"/>
        <v>7.5175000000000006E-2</v>
      </c>
    </row>
    <row r="27" spans="1:15" x14ac:dyDescent="0.3">
      <c r="A27" s="24" t="s">
        <v>107</v>
      </c>
      <c r="B27" s="13">
        <f>0.775*0.26</f>
        <v>0.20150000000000001</v>
      </c>
      <c r="C27" s="12" t="s">
        <v>211</v>
      </c>
      <c r="D27" s="14"/>
      <c r="E27" s="22"/>
      <c r="F27" s="13">
        <f>0.775*0.26</f>
        <v>0.20150000000000001</v>
      </c>
      <c r="G27" s="14"/>
      <c r="H27" s="22"/>
      <c r="I27" s="13">
        <f>0.775*0.26</f>
        <v>0.20150000000000001</v>
      </c>
      <c r="L27" s="3">
        <f t="shared" si="0"/>
        <v>0.20150000000000001</v>
      </c>
      <c r="M27" s="3">
        <f t="shared" si="1"/>
        <v>0.20150000000000001</v>
      </c>
      <c r="N27" s="3">
        <f t="shared" si="2"/>
        <v>0.20150000000000001</v>
      </c>
      <c r="O27" s="3">
        <f t="shared" si="3"/>
        <v>0.20150000000000001</v>
      </c>
    </row>
    <row r="28" spans="1:15" x14ac:dyDescent="0.3">
      <c r="A28" s="24" t="s">
        <v>108</v>
      </c>
      <c r="B28" s="13">
        <f>0.775*0.1486</f>
        <v>0.11516500000000002</v>
      </c>
      <c r="C28" s="12" t="s">
        <v>211</v>
      </c>
      <c r="D28" s="14"/>
      <c r="E28" s="22"/>
      <c r="F28" s="13">
        <f>0.775*0.1486</f>
        <v>0.11516500000000002</v>
      </c>
      <c r="G28" s="14"/>
      <c r="H28" s="22"/>
      <c r="I28" s="13">
        <f>0.775*0.1486</f>
        <v>0.11516500000000002</v>
      </c>
      <c r="L28" s="3">
        <f t="shared" si="0"/>
        <v>0.11516500000000002</v>
      </c>
      <c r="M28" s="3">
        <f t="shared" si="1"/>
        <v>0.11516500000000002</v>
      </c>
      <c r="N28" s="3">
        <f t="shared" si="2"/>
        <v>0.11516500000000002</v>
      </c>
      <c r="O28" s="3">
        <f t="shared" si="3"/>
        <v>0.11516500000000002</v>
      </c>
    </row>
    <row r="29" spans="1:15" x14ac:dyDescent="0.3">
      <c r="A29" s="23" t="s">
        <v>219</v>
      </c>
      <c r="B29" s="13">
        <v>0.151</v>
      </c>
      <c r="C29" s="12" t="s">
        <v>211</v>
      </c>
      <c r="D29" s="14">
        <f>SUM(B29:B37)</f>
        <v>0.99986247000000006</v>
      </c>
      <c r="E29" s="22"/>
      <c r="F29" s="13">
        <v>0.151</v>
      </c>
      <c r="G29" s="14">
        <f>SUM(F29:F37)</f>
        <v>0.99986247000000006</v>
      </c>
      <c r="H29" s="22"/>
      <c r="I29" s="13">
        <v>0.151</v>
      </c>
      <c r="J29" s="27">
        <f>SUM(I29:I37)</f>
        <v>0.99986247000000006</v>
      </c>
      <c r="L29" s="3">
        <f t="shared" si="0"/>
        <v>0.151</v>
      </c>
      <c r="M29" s="3">
        <f t="shared" si="1"/>
        <v>0.151</v>
      </c>
      <c r="N29" s="3">
        <f t="shared" si="2"/>
        <v>0.151</v>
      </c>
      <c r="O29" s="3">
        <f t="shared" si="3"/>
        <v>0.151</v>
      </c>
    </row>
    <row r="30" spans="1:15" x14ac:dyDescent="0.3">
      <c r="A30" s="23" t="s">
        <v>216</v>
      </c>
      <c r="B30" s="13">
        <v>0.04</v>
      </c>
      <c r="C30" s="12" t="s">
        <v>211</v>
      </c>
      <c r="D30" s="14"/>
      <c r="E30" s="22"/>
      <c r="F30" s="13">
        <v>0.04</v>
      </c>
      <c r="G30" s="14"/>
      <c r="H30" s="22"/>
      <c r="I30" s="13">
        <v>0.04</v>
      </c>
      <c r="L30" s="3">
        <f t="shared" si="0"/>
        <v>0.04</v>
      </c>
      <c r="M30" s="3">
        <f t="shared" si="1"/>
        <v>0.04</v>
      </c>
      <c r="N30" s="3">
        <f t="shared" si="2"/>
        <v>0.04</v>
      </c>
      <c r="O30" s="3">
        <f t="shared" si="3"/>
        <v>0.04</v>
      </c>
    </row>
    <row r="31" spans="1:15" x14ac:dyDescent="0.3">
      <c r="A31" s="23" t="s">
        <v>110</v>
      </c>
      <c r="B31" s="13">
        <f>0.809*0.2755</f>
        <v>0.22287950000000004</v>
      </c>
      <c r="C31" s="12" t="s">
        <v>211</v>
      </c>
      <c r="D31" s="14"/>
      <c r="E31" s="22"/>
      <c r="F31" s="13">
        <f>0.809*0.2755</f>
        <v>0.22287950000000004</v>
      </c>
      <c r="G31" s="14"/>
      <c r="H31" s="22"/>
      <c r="I31" s="13">
        <f>0.809*0.2755</f>
        <v>0.22287950000000004</v>
      </c>
      <c r="L31" s="3">
        <f t="shared" si="0"/>
        <v>0.22287950000000004</v>
      </c>
      <c r="M31" s="3">
        <f t="shared" si="1"/>
        <v>0.22287950000000004</v>
      </c>
      <c r="N31" s="3">
        <f t="shared" si="2"/>
        <v>0.22287950000000004</v>
      </c>
      <c r="O31" s="3">
        <f t="shared" si="3"/>
        <v>0.22287950000000004</v>
      </c>
    </row>
    <row r="32" spans="1:15" x14ac:dyDescent="0.3">
      <c r="A32" s="23" t="s">
        <v>111</v>
      </c>
      <c r="B32" s="13">
        <f>0.809*0.01857</f>
        <v>1.5023130000000001E-2</v>
      </c>
      <c r="C32" s="12" t="s">
        <v>211</v>
      </c>
      <c r="D32" s="14"/>
      <c r="E32" s="22"/>
      <c r="F32" s="13">
        <f>0.809*0.01857</f>
        <v>1.5023130000000001E-2</v>
      </c>
      <c r="G32" s="14"/>
      <c r="H32" s="22"/>
      <c r="I32" s="13">
        <f>0.809*0.01857</f>
        <v>1.5023130000000001E-2</v>
      </c>
      <c r="L32" s="3">
        <f t="shared" si="0"/>
        <v>1.5023130000000001E-2</v>
      </c>
      <c r="M32" s="3">
        <f t="shared" si="1"/>
        <v>1.5023130000000001E-2</v>
      </c>
      <c r="N32" s="3">
        <f t="shared" si="2"/>
        <v>1.5023130000000001E-2</v>
      </c>
      <c r="O32" s="3">
        <f t="shared" si="3"/>
        <v>1.5023130000000001E-2</v>
      </c>
    </row>
    <row r="33" spans="1:15" x14ac:dyDescent="0.3">
      <c r="A33" s="23" t="s">
        <v>112</v>
      </c>
      <c r="B33" s="13">
        <f>0.809*0.0774</f>
        <v>6.2616599999999994E-2</v>
      </c>
      <c r="C33" s="12" t="s">
        <v>211</v>
      </c>
      <c r="D33" s="14"/>
      <c r="E33" s="22"/>
      <c r="F33" s="13">
        <f>0.809*0.0774</f>
        <v>6.2616599999999994E-2</v>
      </c>
      <c r="G33" s="14"/>
      <c r="H33" s="22"/>
      <c r="I33" s="13">
        <f>0.809*0.0774</f>
        <v>6.2616599999999994E-2</v>
      </c>
      <c r="L33" s="3">
        <f t="shared" si="0"/>
        <v>6.2616599999999994E-2</v>
      </c>
      <c r="M33" s="3">
        <f t="shared" si="1"/>
        <v>6.2616599999999994E-2</v>
      </c>
      <c r="N33" s="3">
        <f t="shared" si="2"/>
        <v>6.2616599999999994E-2</v>
      </c>
      <c r="O33" s="3">
        <f t="shared" si="3"/>
        <v>6.2616599999999994E-2</v>
      </c>
    </row>
    <row r="34" spans="1:15" x14ac:dyDescent="0.3">
      <c r="A34" s="23" t="s">
        <v>113</v>
      </c>
      <c r="B34" s="13">
        <f>0.809*0.1269</f>
        <v>0.10266210000000002</v>
      </c>
      <c r="C34" s="12" t="s">
        <v>211</v>
      </c>
      <c r="D34" s="14"/>
      <c r="E34" s="22"/>
      <c r="F34" s="13">
        <f>0.809*0.1269</f>
        <v>0.10266210000000002</v>
      </c>
      <c r="G34" s="14"/>
      <c r="H34" s="22"/>
      <c r="I34" s="13">
        <f>0.809*0.1269</f>
        <v>0.10266210000000002</v>
      </c>
      <c r="L34" s="3">
        <f t="shared" si="0"/>
        <v>0.10266210000000002</v>
      </c>
      <c r="M34" s="3">
        <f t="shared" si="1"/>
        <v>0.10266210000000002</v>
      </c>
      <c r="N34" s="3">
        <f t="shared" si="2"/>
        <v>0.10266210000000002</v>
      </c>
      <c r="O34" s="3">
        <f t="shared" si="3"/>
        <v>0.10266210000000002</v>
      </c>
    </row>
    <row r="35" spans="1:15" x14ac:dyDescent="0.3">
      <c r="A35" s="23" t="s">
        <v>114</v>
      </c>
      <c r="B35" s="13">
        <f>0.809*0.0928</f>
        <v>7.5075199999999995E-2</v>
      </c>
      <c r="C35" s="12" t="s">
        <v>211</v>
      </c>
      <c r="D35" s="14"/>
      <c r="E35" s="22"/>
      <c r="F35" s="13">
        <f>0.809*0.0928</f>
        <v>7.5075199999999995E-2</v>
      </c>
      <c r="G35" s="14"/>
      <c r="H35" s="22"/>
      <c r="I35" s="13">
        <f>0.809*0.0928</f>
        <v>7.5075199999999995E-2</v>
      </c>
      <c r="L35" s="3">
        <f t="shared" si="0"/>
        <v>7.5075199999999995E-2</v>
      </c>
      <c r="M35" s="3">
        <f t="shared" si="1"/>
        <v>7.5075199999999995E-2</v>
      </c>
      <c r="N35" s="3">
        <f t="shared" si="2"/>
        <v>7.5075199999999995E-2</v>
      </c>
      <c r="O35" s="3">
        <f t="shared" si="3"/>
        <v>7.5075199999999995E-2</v>
      </c>
    </row>
    <row r="36" spans="1:15" x14ac:dyDescent="0.3">
      <c r="A36" s="23" t="s">
        <v>115</v>
      </c>
      <c r="B36" s="13">
        <f>0.809*0.26006</f>
        <v>0.21038854000000001</v>
      </c>
      <c r="C36" s="12" t="s">
        <v>211</v>
      </c>
      <c r="D36" s="14"/>
      <c r="E36" s="22"/>
      <c r="F36" s="13">
        <f>0.809*0.26006</f>
        <v>0.21038854000000001</v>
      </c>
      <c r="G36" s="14"/>
      <c r="H36" s="22"/>
      <c r="I36" s="13">
        <f>0.809*0.26006</f>
        <v>0.21038854000000001</v>
      </c>
      <c r="L36" s="3">
        <f t="shared" si="0"/>
        <v>0.21038854000000001</v>
      </c>
      <c r="M36" s="3">
        <f t="shared" si="1"/>
        <v>0.21038854000000001</v>
      </c>
      <c r="N36" s="3">
        <f t="shared" si="2"/>
        <v>0.21038854000000001</v>
      </c>
      <c r="O36" s="3">
        <f t="shared" si="3"/>
        <v>0.21038854000000001</v>
      </c>
    </row>
    <row r="37" spans="1:15" x14ac:dyDescent="0.3">
      <c r="A37" s="23" t="s">
        <v>116</v>
      </c>
      <c r="B37" s="13">
        <f>0.809*0.1486</f>
        <v>0.12021740000000002</v>
      </c>
      <c r="C37" s="12" t="s">
        <v>211</v>
      </c>
      <c r="D37" s="14"/>
      <c r="E37" s="22"/>
      <c r="F37" s="13">
        <f>0.809*0.1486</f>
        <v>0.12021740000000002</v>
      </c>
      <c r="G37" s="14"/>
      <c r="H37" s="22"/>
      <c r="I37" s="13">
        <f>0.809*0.1486</f>
        <v>0.12021740000000002</v>
      </c>
      <c r="L37" s="3">
        <f t="shared" si="0"/>
        <v>0.12021740000000002</v>
      </c>
      <c r="M37" s="3">
        <f t="shared" si="1"/>
        <v>0.12021740000000002</v>
      </c>
      <c r="N37" s="3">
        <f t="shared" si="2"/>
        <v>0.12021740000000002</v>
      </c>
      <c r="O37" s="3">
        <f t="shared" si="3"/>
        <v>0.12021740000000002</v>
      </c>
    </row>
    <row r="38" spans="1:15" x14ac:dyDescent="0.3">
      <c r="A38" s="24" t="s">
        <v>117</v>
      </c>
      <c r="B38" s="13">
        <f>1*0.2755</f>
        <v>0.27550000000000002</v>
      </c>
      <c r="C38" s="12" t="s">
        <v>211</v>
      </c>
      <c r="D38" s="14">
        <f>SUM(B38:B44)</f>
        <v>0.99983</v>
      </c>
      <c r="E38" s="22"/>
      <c r="F38" s="13">
        <f>1*0.2755</f>
        <v>0.27550000000000002</v>
      </c>
      <c r="G38" s="14">
        <f>SUM(F38:F44)</f>
        <v>0.99983</v>
      </c>
      <c r="H38" s="22"/>
      <c r="I38" s="13">
        <f>1*0.2755</f>
        <v>0.27550000000000002</v>
      </c>
      <c r="J38" s="27">
        <f>SUM(I38:I44)</f>
        <v>0.99983</v>
      </c>
      <c r="L38" s="3">
        <f t="shared" si="0"/>
        <v>0.27550000000000002</v>
      </c>
      <c r="M38" s="3">
        <f t="shared" si="1"/>
        <v>0.27550000000000002</v>
      </c>
      <c r="N38" s="3">
        <f t="shared" si="2"/>
        <v>0.27550000000000002</v>
      </c>
      <c r="O38" s="3">
        <f t="shared" si="3"/>
        <v>0.27550000000000002</v>
      </c>
    </row>
    <row r="39" spans="1:15" x14ac:dyDescent="0.3">
      <c r="A39" s="24" t="s">
        <v>118</v>
      </c>
      <c r="B39" s="13">
        <f>1*0.01857</f>
        <v>1.857E-2</v>
      </c>
      <c r="C39" s="12" t="s">
        <v>211</v>
      </c>
      <c r="D39" s="14"/>
      <c r="E39" s="22"/>
      <c r="F39" s="13">
        <f>1*0.01857</f>
        <v>1.857E-2</v>
      </c>
      <c r="G39" s="14"/>
      <c r="H39" s="22"/>
      <c r="I39" s="13">
        <f>1*0.01857</f>
        <v>1.857E-2</v>
      </c>
      <c r="L39" s="3">
        <f t="shared" si="0"/>
        <v>1.857E-2</v>
      </c>
      <c r="M39" s="3">
        <f t="shared" si="1"/>
        <v>1.857E-2</v>
      </c>
      <c r="N39" s="3">
        <f t="shared" si="2"/>
        <v>1.857E-2</v>
      </c>
      <c r="O39" s="3">
        <f t="shared" si="3"/>
        <v>1.857E-2</v>
      </c>
    </row>
    <row r="40" spans="1:15" x14ac:dyDescent="0.3">
      <c r="A40" s="24" t="s">
        <v>119</v>
      </c>
      <c r="B40" s="13">
        <f>1*0.0774</f>
        <v>7.7399999999999997E-2</v>
      </c>
      <c r="C40" s="12" t="s">
        <v>211</v>
      </c>
      <c r="D40" s="14"/>
      <c r="E40" s="22"/>
      <c r="F40" s="13">
        <f>1*0.0774</f>
        <v>7.7399999999999997E-2</v>
      </c>
      <c r="G40" s="14"/>
      <c r="H40" s="22"/>
      <c r="I40" s="13">
        <f>1*0.0774</f>
        <v>7.7399999999999997E-2</v>
      </c>
      <c r="L40" s="3">
        <f t="shared" si="0"/>
        <v>7.7399999999999997E-2</v>
      </c>
      <c r="M40" s="3">
        <f t="shared" si="1"/>
        <v>7.7399999999999997E-2</v>
      </c>
      <c r="N40" s="3">
        <f t="shared" si="2"/>
        <v>7.7399999999999997E-2</v>
      </c>
      <c r="O40" s="3">
        <f t="shared" si="3"/>
        <v>7.7399999999999997E-2</v>
      </c>
    </row>
    <row r="41" spans="1:15" x14ac:dyDescent="0.3">
      <c r="A41" s="24" t="s">
        <v>120</v>
      </c>
      <c r="B41" s="13">
        <f>1*0.1269</f>
        <v>0.12690000000000001</v>
      </c>
      <c r="C41" s="12" t="s">
        <v>211</v>
      </c>
      <c r="D41" s="14"/>
      <c r="E41" s="22"/>
      <c r="F41" s="13">
        <f>1*0.1269</f>
        <v>0.12690000000000001</v>
      </c>
      <c r="G41" s="14"/>
      <c r="H41" s="22"/>
      <c r="I41" s="13">
        <f>1*0.1269</f>
        <v>0.12690000000000001</v>
      </c>
      <c r="L41" s="3">
        <f t="shared" si="0"/>
        <v>0.12690000000000001</v>
      </c>
      <c r="M41" s="3">
        <f t="shared" si="1"/>
        <v>0.12690000000000001</v>
      </c>
      <c r="N41" s="3">
        <f t="shared" si="2"/>
        <v>0.12690000000000001</v>
      </c>
      <c r="O41" s="3">
        <f t="shared" si="3"/>
        <v>0.12690000000000001</v>
      </c>
    </row>
    <row r="42" spans="1:15" x14ac:dyDescent="0.3">
      <c r="A42" s="24" t="s">
        <v>121</v>
      </c>
      <c r="B42" s="13">
        <f>1*0.0928</f>
        <v>9.2799999999999994E-2</v>
      </c>
      <c r="C42" s="12" t="s">
        <v>211</v>
      </c>
      <c r="D42" s="14"/>
      <c r="E42" s="22"/>
      <c r="F42" s="13">
        <f>1*0.0928</f>
        <v>9.2799999999999994E-2</v>
      </c>
      <c r="G42" s="14"/>
      <c r="H42" s="22"/>
      <c r="I42" s="13">
        <f>1*0.0928</f>
        <v>9.2799999999999994E-2</v>
      </c>
      <c r="L42" s="3">
        <f t="shared" si="0"/>
        <v>9.2799999999999994E-2</v>
      </c>
      <c r="M42" s="3">
        <f t="shared" si="1"/>
        <v>9.2799999999999994E-2</v>
      </c>
      <c r="N42" s="3">
        <f t="shared" si="2"/>
        <v>9.2799999999999994E-2</v>
      </c>
      <c r="O42" s="3">
        <f t="shared" si="3"/>
        <v>9.2799999999999994E-2</v>
      </c>
    </row>
    <row r="43" spans="1:15" x14ac:dyDescent="0.3">
      <c r="A43" s="24" t="s">
        <v>122</v>
      </c>
      <c r="B43" s="13">
        <f>1*0.26006</f>
        <v>0.26006000000000001</v>
      </c>
      <c r="C43" s="12" t="s">
        <v>211</v>
      </c>
      <c r="D43" s="14"/>
      <c r="E43" s="22"/>
      <c r="F43" s="13">
        <f>1*0.26006</f>
        <v>0.26006000000000001</v>
      </c>
      <c r="G43" s="14"/>
      <c r="H43" s="22"/>
      <c r="I43" s="13">
        <f>1*0.26006</f>
        <v>0.26006000000000001</v>
      </c>
      <c r="L43" s="3">
        <f t="shared" si="0"/>
        <v>0.26006000000000001</v>
      </c>
      <c r="M43" s="3">
        <f t="shared" si="1"/>
        <v>0.26006000000000001</v>
      </c>
      <c r="N43" s="3">
        <f t="shared" si="2"/>
        <v>0.26006000000000001</v>
      </c>
      <c r="O43" s="3">
        <f t="shared" si="3"/>
        <v>0.26006000000000001</v>
      </c>
    </row>
    <row r="44" spans="1:15" x14ac:dyDescent="0.3">
      <c r="A44" s="24" t="s">
        <v>123</v>
      </c>
      <c r="B44" s="13">
        <f>1*0.1486</f>
        <v>0.14860000000000001</v>
      </c>
      <c r="C44" s="12" t="s">
        <v>211</v>
      </c>
      <c r="D44" s="14"/>
      <c r="E44" s="22"/>
      <c r="F44" s="13">
        <f>1*0.1486</f>
        <v>0.14860000000000001</v>
      </c>
      <c r="G44" s="14"/>
      <c r="H44" s="22"/>
      <c r="I44" s="13">
        <f>1*0.1486</f>
        <v>0.14860000000000001</v>
      </c>
      <c r="L44" s="3">
        <f t="shared" si="0"/>
        <v>0.14860000000000001</v>
      </c>
      <c r="M44" s="3">
        <f t="shared" si="1"/>
        <v>0.14860000000000001</v>
      </c>
      <c r="N44" s="3">
        <f t="shared" si="2"/>
        <v>0.14860000000000001</v>
      </c>
      <c r="O44" s="3">
        <f t="shared" si="3"/>
        <v>0.14860000000000001</v>
      </c>
    </row>
    <row r="45" spans="1:15" x14ac:dyDescent="0.3">
      <c r="A45" s="23" t="s">
        <v>258</v>
      </c>
      <c r="B45" s="13">
        <v>0.95</v>
      </c>
      <c r="C45" s="12" t="s">
        <v>244</v>
      </c>
      <c r="D45" s="14">
        <f>SUM(B45:B47)</f>
        <v>1</v>
      </c>
      <c r="E45" s="22"/>
      <c r="F45" s="13">
        <v>0.95</v>
      </c>
      <c r="G45" s="14">
        <f>SUM(F45:F47)</f>
        <v>1</v>
      </c>
      <c r="H45" s="22"/>
      <c r="I45" s="13">
        <v>0.95</v>
      </c>
      <c r="J45" s="27">
        <f>SUM(I45:I47)</f>
        <v>1</v>
      </c>
      <c r="L45" s="3">
        <f t="shared" si="0"/>
        <v>0.95</v>
      </c>
      <c r="M45" s="3">
        <f t="shared" si="1"/>
        <v>0.95</v>
      </c>
      <c r="N45" s="3">
        <f t="shared" si="2"/>
        <v>0.95</v>
      </c>
      <c r="O45" s="3">
        <f t="shared" si="3"/>
        <v>0.95</v>
      </c>
    </row>
    <row r="46" spans="1:15" x14ac:dyDescent="0.3">
      <c r="A46" s="23" t="s">
        <v>256</v>
      </c>
      <c r="B46" s="13">
        <v>0</v>
      </c>
      <c r="C46" s="12" t="s">
        <v>244</v>
      </c>
      <c r="D46" s="14"/>
      <c r="E46" s="22"/>
      <c r="F46" s="13">
        <v>0</v>
      </c>
      <c r="G46" s="14"/>
      <c r="H46" s="22"/>
      <c r="I46" s="13">
        <v>0</v>
      </c>
      <c r="J46" s="27"/>
      <c r="L46" s="3">
        <f t="shared" si="0"/>
        <v>0</v>
      </c>
      <c r="M46" s="3">
        <f t="shared" si="1"/>
        <v>0</v>
      </c>
      <c r="N46" s="3">
        <f t="shared" si="2"/>
        <v>0</v>
      </c>
      <c r="O46" s="3">
        <f t="shared" si="3"/>
        <v>0</v>
      </c>
    </row>
    <row r="47" spans="1:15" x14ac:dyDescent="0.3">
      <c r="A47" s="23" t="s">
        <v>257</v>
      </c>
      <c r="B47" s="13">
        <v>0.05</v>
      </c>
      <c r="C47" s="12" t="s">
        <v>244</v>
      </c>
      <c r="D47" s="14"/>
      <c r="E47" s="22"/>
      <c r="F47" s="13">
        <v>0.05</v>
      </c>
      <c r="G47" s="14"/>
      <c r="H47" s="22"/>
      <c r="I47" s="13">
        <v>0.05</v>
      </c>
      <c r="J47" s="27"/>
      <c r="L47" s="3">
        <f t="shared" si="0"/>
        <v>0.05</v>
      </c>
      <c r="M47" s="3">
        <f t="shared" si="1"/>
        <v>0.05</v>
      </c>
      <c r="N47" s="3">
        <f t="shared" si="2"/>
        <v>0.05</v>
      </c>
      <c r="O47" s="3">
        <f t="shared" si="3"/>
        <v>0.05</v>
      </c>
    </row>
    <row r="48" spans="1:15" x14ac:dyDescent="0.3">
      <c r="A48" s="24" t="s">
        <v>141</v>
      </c>
      <c r="B48" s="13">
        <v>1</v>
      </c>
      <c r="C48" s="12" t="s">
        <v>243</v>
      </c>
      <c r="D48" s="14"/>
      <c r="E48" s="22"/>
      <c r="F48" s="13">
        <v>1</v>
      </c>
      <c r="G48" s="14"/>
      <c r="H48" s="22"/>
      <c r="I48" s="13">
        <v>0</v>
      </c>
      <c r="L48" s="3">
        <f t="shared" si="0"/>
        <v>1</v>
      </c>
      <c r="M48" s="3">
        <f t="shared" si="1"/>
        <v>1</v>
      </c>
      <c r="N48" s="3">
        <f t="shared" si="2"/>
        <v>1</v>
      </c>
      <c r="O48" s="3">
        <f t="shared" si="3"/>
        <v>1</v>
      </c>
    </row>
    <row r="49" spans="1:15" x14ac:dyDescent="0.3">
      <c r="A49" s="23" t="s">
        <v>142</v>
      </c>
      <c r="B49" s="13">
        <v>0.8</v>
      </c>
      <c r="C49" s="12" t="s">
        <v>243</v>
      </c>
      <c r="D49" s="14"/>
      <c r="E49" s="22"/>
      <c r="F49" s="13">
        <v>0.8</v>
      </c>
      <c r="G49" s="14"/>
      <c r="H49" s="22"/>
      <c r="I49" s="13">
        <v>0</v>
      </c>
      <c r="L49" s="3">
        <f t="shared" si="0"/>
        <v>0.8</v>
      </c>
      <c r="M49" s="3">
        <f t="shared" si="1"/>
        <v>0.8</v>
      </c>
      <c r="N49" s="3">
        <f t="shared" si="2"/>
        <v>0.8</v>
      </c>
      <c r="O49" s="3">
        <f t="shared" si="3"/>
        <v>0.8</v>
      </c>
    </row>
    <row r="50" spans="1:15" x14ac:dyDescent="0.3">
      <c r="A50" s="23" t="s">
        <v>143</v>
      </c>
      <c r="B50" s="13">
        <v>0.1</v>
      </c>
      <c r="C50" s="12" t="s">
        <v>243</v>
      </c>
      <c r="D50" s="14"/>
      <c r="E50" s="22"/>
      <c r="F50" s="13">
        <v>0.1</v>
      </c>
      <c r="G50" s="14"/>
      <c r="H50" s="22"/>
      <c r="I50" s="13">
        <v>0</v>
      </c>
      <c r="L50" s="3">
        <f t="shared" si="0"/>
        <v>0.1</v>
      </c>
      <c r="M50" s="3">
        <f t="shared" si="1"/>
        <v>0.1</v>
      </c>
      <c r="N50" s="3">
        <f t="shared" si="2"/>
        <v>0.1</v>
      </c>
      <c r="O50" s="3">
        <f t="shared" si="3"/>
        <v>0.1</v>
      </c>
    </row>
    <row r="51" spans="1:15" x14ac:dyDescent="0.3">
      <c r="A51" s="23" t="s">
        <v>144</v>
      </c>
      <c r="B51" s="13">
        <v>0.1</v>
      </c>
      <c r="C51" s="12" t="s">
        <v>243</v>
      </c>
      <c r="D51" s="14"/>
      <c r="E51" s="22"/>
      <c r="F51" s="13">
        <v>0.1</v>
      </c>
      <c r="G51" s="14"/>
      <c r="H51" s="22"/>
      <c r="I51" s="13">
        <v>0</v>
      </c>
      <c r="L51" s="3">
        <f t="shared" si="0"/>
        <v>0.1</v>
      </c>
      <c r="M51" s="3">
        <f t="shared" si="1"/>
        <v>0.1</v>
      </c>
      <c r="N51" s="3">
        <f t="shared" si="2"/>
        <v>0.1</v>
      </c>
      <c r="O51" s="3">
        <f t="shared" si="3"/>
        <v>0.1</v>
      </c>
    </row>
    <row r="52" spans="1:15" x14ac:dyDescent="0.3">
      <c r="A52" s="24" t="s">
        <v>132</v>
      </c>
      <c r="B52" s="13">
        <v>0</v>
      </c>
      <c r="C52" s="12" t="s">
        <v>243</v>
      </c>
      <c r="D52" s="14">
        <f>SUM(B52:B54)</f>
        <v>0</v>
      </c>
      <c r="E52" s="22"/>
      <c r="F52" s="13">
        <v>0</v>
      </c>
      <c r="G52" s="14"/>
      <c r="H52" s="22"/>
      <c r="I52" s="13">
        <v>0</v>
      </c>
      <c r="L52" s="3">
        <f t="shared" si="0"/>
        <v>0</v>
      </c>
      <c r="M52" s="3">
        <f t="shared" si="1"/>
        <v>0</v>
      </c>
      <c r="N52" s="3">
        <f t="shared" si="2"/>
        <v>0</v>
      </c>
      <c r="O52" s="3">
        <f t="shared" si="3"/>
        <v>0</v>
      </c>
    </row>
    <row r="53" spans="1:15" x14ac:dyDescent="0.3">
      <c r="A53" s="24" t="s">
        <v>133</v>
      </c>
      <c r="B53" s="13">
        <v>0</v>
      </c>
      <c r="C53" s="12" t="s">
        <v>243</v>
      </c>
      <c r="D53" s="15"/>
      <c r="E53" s="22"/>
      <c r="F53" s="13">
        <v>0</v>
      </c>
      <c r="G53" s="15"/>
      <c r="H53" s="22"/>
      <c r="I53" s="13">
        <v>0</v>
      </c>
      <c r="L53" s="3">
        <f t="shared" si="0"/>
        <v>0</v>
      </c>
      <c r="M53" s="3">
        <f t="shared" si="1"/>
        <v>0</v>
      </c>
      <c r="N53" s="3">
        <f t="shared" si="2"/>
        <v>0</v>
      </c>
      <c r="O53" s="3">
        <f t="shared" si="3"/>
        <v>0</v>
      </c>
    </row>
    <row r="54" spans="1:15" x14ac:dyDescent="0.3">
      <c r="A54" s="24" t="s">
        <v>217</v>
      </c>
      <c r="B54" s="13">
        <v>0</v>
      </c>
      <c r="C54" s="12" t="s">
        <v>243</v>
      </c>
      <c r="D54" s="15"/>
      <c r="F54" s="13">
        <v>0</v>
      </c>
      <c r="G54" s="15"/>
      <c r="I54" s="13">
        <v>0</v>
      </c>
      <c r="L54" s="3">
        <f t="shared" si="0"/>
        <v>0</v>
      </c>
      <c r="M54" s="3">
        <f t="shared" si="1"/>
        <v>0</v>
      </c>
      <c r="N54" s="3">
        <f t="shared" si="2"/>
        <v>0</v>
      </c>
      <c r="O54" s="3">
        <f t="shared" si="3"/>
        <v>0</v>
      </c>
    </row>
    <row r="55" spans="1:15" x14ac:dyDescent="0.3">
      <c r="A55" s="23" t="s">
        <v>229</v>
      </c>
      <c r="B55" s="13">
        <v>0.15</v>
      </c>
      <c r="C55" s="12" t="s">
        <v>242</v>
      </c>
      <c r="D55" s="14">
        <f>SUM(B55:B63)</f>
        <v>1</v>
      </c>
      <c r="E55" s="22"/>
      <c r="F55" s="13">
        <v>0.15</v>
      </c>
      <c r="G55" s="14">
        <f>SUM(F55:F63)</f>
        <v>1</v>
      </c>
      <c r="H55" s="22"/>
      <c r="I55" s="13">
        <v>0.15</v>
      </c>
      <c r="J55" s="27">
        <f>SUM(I55:I63)</f>
        <v>1</v>
      </c>
      <c r="L55" s="3">
        <f t="shared" si="0"/>
        <v>0.15</v>
      </c>
      <c r="M55" s="3">
        <f t="shared" si="1"/>
        <v>0.15</v>
      </c>
      <c r="N55" s="3">
        <f t="shared" si="2"/>
        <v>0.15</v>
      </c>
      <c r="O55" s="3">
        <f t="shared" si="3"/>
        <v>0.15</v>
      </c>
    </row>
    <row r="56" spans="1:15" x14ac:dyDescent="0.3">
      <c r="A56" s="23" t="s">
        <v>230</v>
      </c>
      <c r="B56" s="13">
        <v>2.5000000000000001E-2</v>
      </c>
      <c r="C56" s="12" t="s">
        <v>242</v>
      </c>
      <c r="D56" s="14"/>
      <c r="E56" s="22"/>
      <c r="F56" s="13">
        <v>2.5000000000000001E-2</v>
      </c>
      <c r="G56" s="14"/>
      <c r="H56" s="22"/>
      <c r="I56" s="13">
        <v>2.5000000000000001E-2</v>
      </c>
      <c r="L56" s="3">
        <f t="shared" si="0"/>
        <v>2.5000000000000001E-2</v>
      </c>
      <c r="M56" s="3">
        <f t="shared" si="1"/>
        <v>2.5000000000000001E-2</v>
      </c>
      <c r="N56" s="3">
        <f t="shared" si="2"/>
        <v>2.5000000000000001E-2</v>
      </c>
      <c r="O56" s="3">
        <f t="shared" si="3"/>
        <v>2.5000000000000001E-2</v>
      </c>
    </row>
    <row r="57" spans="1:15" x14ac:dyDescent="0.3">
      <c r="A57" s="23" t="s">
        <v>231</v>
      </c>
      <c r="B57" s="13">
        <v>2.5000000000000001E-2</v>
      </c>
      <c r="C57" s="12" t="s">
        <v>242</v>
      </c>
      <c r="D57" s="14"/>
      <c r="E57" s="22"/>
      <c r="F57" s="13">
        <v>2.5000000000000001E-2</v>
      </c>
      <c r="G57" s="14"/>
      <c r="H57" s="22"/>
      <c r="I57" s="13">
        <v>2.5000000000000001E-2</v>
      </c>
      <c r="L57" s="3">
        <f t="shared" si="0"/>
        <v>2.5000000000000001E-2</v>
      </c>
      <c r="M57" s="3">
        <f t="shared" si="1"/>
        <v>2.5000000000000001E-2</v>
      </c>
      <c r="N57" s="3">
        <f t="shared" si="2"/>
        <v>2.5000000000000001E-2</v>
      </c>
      <c r="O57" s="3">
        <f t="shared" si="3"/>
        <v>2.5000000000000001E-2</v>
      </c>
    </row>
    <row r="58" spans="1:15" x14ac:dyDescent="0.3">
      <c r="A58" s="23" t="s">
        <v>232</v>
      </c>
      <c r="B58" s="13">
        <v>0.1</v>
      </c>
      <c r="C58" s="12" t="s">
        <v>242</v>
      </c>
      <c r="D58" s="14"/>
      <c r="E58" s="22"/>
      <c r="F58" s="13">
        <v>0.1</v>
      </c>
      <c r="G58" s="14"/>
      <c r="H58" s="22"/>
      <c r="I58" s="13">
        <v>0.1</v>
      </c>
      <c r="L58" s="3">
        <f t="shared" si="0"/>
        <v>0.1</v>
      </c>
      <c r="M58" s="3">
        <f t="shared" si="1"/>
        <v>0.1</v>
      </c>
      <c r="N58" s="3">
        <f t="shared" si="2"/>
        <v>0.1</v>
      </c>
      <c r="O58" s="3">
        <f t="shared" si="3"/>
        <v>0.1</v>
      </c>
    </row>
    <row r="59" spans="1:15" x14ac:dyDescent="0.3">
      <c r="A59" s="23" t="s">
        <v>233</v>
      </c>
      <c r="B59" s="13">
        <v>0.15</v>
      </c>
      <c r="C59" s="12" t="s">
        <v>242</v>
      </c>
      <c r="D59" s="14"/>
      <c r="E59" s="22"/>
      <c r="F59" s="13">
        <v>0.15</v>
      </c>
      <c r="G59" s="14"/>
      <c r="H59" s="22"/>
      <c r="I59" s="13">
        <v>0.15</v>
      </c>
      <c r="L59" s="3">
        <f t="shared" si="0"/>
        <v>0.15</v>
      </c>
      <c r="M59" s="3">
        <f t="shared" si="1"/>
        <v>0.15</v>
      </c>
      <c r="N59" s="3">
        <f t="shared" si="2"/>
        <v>0.15</v>
      </c>
      <c r="O59" s="3">
        <f t="shared" si="3"/>
        <v>0.15</v>
      </c>
    </row>
    <row r="60" spans="1:15" x14ac:dyDescent="0.3">
      <c r="A60" s="23" t="s">
        <v>234</v>
      </c>
      <c r="B60" s="13">
        <v>0.15</v>
      </c>
      <c r="C60" s="12" t="s">
        <v>242</v>
      </c>
      <c r="D60" s="14"/>
      <c r="E60" s="22"/>
      <c r="F60" s="13">
        <v>0.15</v>
      </c>
      <c r="G60" s="14"/>
      <c r="H60" s="22"/>
      <c r="I60" s="13">
        <v>0.15</v>
      </c>
      <c r="L60" s="3">
        <f t="shared" si="0"/>
        <v>0.15</v>
      </c>
      <c r="M60" s="3">
        <f t="shared" si="1"/>
        <v>0.15</v>
      </c>
      <c r="N60" s="3">
        <f t="shared" si="2"/>
        <v>0.15</v>
      </c>
      <c r="O60" s="3">
        <f t="shared" si="3"/>
        <v>0.15</v>
      </c>
    </row>
    <row r="61" spans="1:15" x14ac:dyDescent="0.3">
      <c r="A61" s="23" t="s">
        <v>235</v>
      </c>
      <c r="B61" s="13">
        <v>0.15</v>
      </c>
      <c r="C61" s="12" t="s">
        <v>242</v>
      </c>
      <c r="D61" s="14"/>
      <c r="E61" s="22"/>
      <c r="F61" s="13">
        <v>0.15</v>
      </c>
      <c r="G61" s="14"/>
      <c r="H61" s="22"/>
      <c r="I61" s="13">
        <v>0.15</v>
      </c>
      <c r="L61" s="3">
        <f t="shared" si="0"/>
        <v>0.15</v>
      </c>
      <c r="M61" s="3">
        <f t="shared" si="1"/>
        <v>0.15</v>
      </c>
      <c r="N61" s="3">
        <f t="shared" si="2"/>
        <v>0.15</v>
      </c>
      <c r="O61" s="3">
        <f t="shared" si="3"/>
        <v>0.15</v>
      </c>
    </row>
    <row r="62" spans="1:15" ht="15" customHeight="1" x14ac:dyDescent="0.3">
      <c r="A62" s="23" t="s">
        <v>236</v>
      </c>
      <c r="B62" s="13">
        <v>0.15</v>
      </c>
      <c r="C62" s="12" t="s">
        <v>242</v>
      </c>
      <c r="D62" s="14"/>
      <c r="E62" s="22"/>
      <c r="F62" s="13">
        <v>0.15</v>
      </c>
      <c r="G62" s="14"/>
      <c r="H62" s="22"/>
      <c r="I62" s="13">
        <v>0.15</v>
      </c>
      <c r="L62" s="3">
        <f t="shared" si="0"/>
        <v>0.15</v>
      </c>
      <c r="M62" s="3">
        <f t="shared" si="1"/>
        <v>0.15</v>
      </c>
      <c r="N62" s="3">
        <f t="shared" si="2"/>
        <v>0.15</v>
      </c>
      <c r="O62" s="3">
        <f t="shared" si="3"/>
        <v>0.15</v>
      </c>
    </row>
    <row r="63" spans="1:15" ht="15" customHeight="1" x14ac:dyDescent="0.3">
      <c r="A63" s="23" t="s">
        <v>237</v>
      </c>
      <c r="B63" s="3">
        <v>0.1</v>
      </c>
      <c r="C63" s="12" t="s">
        <v>242</v>
      </c>
      <c r="D63" s="14"/>
      <c r="E63" s="22"/>
      <c r="F63" s="3">
        <v>0.1</v>
      </c>
      <c r="G63" s="14"/>
      <c r="H63" s="22"/>
      <c r="I63" s="3">
        <v>0.1</v>
      </c>
      <c r="L63" s="3">
        <f t="shared" si="0"/>
        <v>0.1</v>
      </c>
      <c r="M63" s="3">
        <f t="shared" si="1"/>
        <v>0.1</v>
      </c>
      <c r="N63" s="3">
        <f t="shared" si="2"/>
        <v>0.1</v>
      </c>
      <c r="O63" s="3">
        <f t="shared" si="3"/>
        <v>0.1</v>
      </c>
    </row>
    <row r="64" spans="1:15" x14ac:dyDescent="0.3">
      <c r="A64" s="24" t="s">
        <v>16</v>
      </c>
      <c r="B64" s="13">
        <v>90</v>
      </c>
      <c r="C64" s="12" t="s">
        <v>24</v>
      </c>
      <c r="D64" s="14"/>
      <c r="E64" s="22"/>
      <c r="F64" s="13">
        <v>90</v>
      </c>
      <c r="G64" s="14"/>
      <c r="H64" s="22"/>
      <c r="I64" s="13">
        <v>90</v>
      </c>
      <c r="L64" s="3">
        <f t="shared" si="0"/>
        <v>90</v>
      </c>
      <c r="M64" s="3">
        <f t="shared" si="1"/>
        <v>90</v>
      </c>
      <c r="N64" s="3">
        <f t="shared" si="2"/>
        <v>90</v>
      </c>
      <c r="O64" s="3">
        <f t="shared" si="3"/>
        <v>90</v>
      </c>
    </row>
    <row r="65" spans="1:15" x14ac:dyDescent="0.3">
      <c r="A65" s="24" t="s">
        <v>17</v>
      </c>
      <c r="B65" s="13">
        <v>75</v>
      </c>
      <c r="C65" s="12" t="s">
        <v>24</v>
      </c>
      <c r="D65" s="14"/>
      <c r="E65" s="22"/>
      <c r="F65" s="13">
        <v>75</v>
      </c>
      <c r="G65" s="14"/>
      <c r="H65" s="22"/>
      <c r="I65" s="13">
        <v>75</v>
      </c>
      <c r="L65" s="3">
        <f t="shared" si="0"/>
        <v>75</v>
      </c>
      <c r="M65" s="3">
        <f t="shared" si="1"/>
        <v>75</v>
      </c>
      <c r="N65" s="3">
        <f t="shared" si="2"/>
        <v>75</v>
      </c>
      <c r="O65" s="3">
        <f t="shared" si="3"/>
        <v>75</v>
      </c>
    </row>
    <row r="66" spans="1:15" x14ac:dyDescent="0.3">
      <c r="A66" s="24" t="s">
        <v>18</v>
      </c>
      <c r="B66" s="13">
        <v>75</v>
      </c>
      <c r="C66" s="12" t="s">
        <v>25</v>
      </c>
      <c r="D66" s="14"/>
      <c r="E66" s="22"/>
      <c r="F66" s="13">
        <v>75</v>
      </c>
      <c r="G66" s="14"/>
      <c r="H66" s="22"/>
      <c r="I66" s="13">
        <v>75</v>
      </c>
      <c r="L66" s="3">
        <f t="shared" si="0"/>
        <v>75</v>
      </c>
      <c r="M66" s="3">
        <f t="shared" si="1"/>
        <v>75</v>
      </c>
      <c r="N66" s="3">
        <f t="shared" si="2"/>
        <v>75</v>
      </c>
      <c r="O66" s="3">
        <f t="shared" si="3"/>
        <v>75</v>
      </c>
    </row>
    <row r="67" spans="1:15" x14ac:dyDescent="0.3">
      <c r="A67" s="24" t="s">
        <v>19</v>
      </c>
      <c r="B67" s="13">
        <v>38</v>
      </c>
      <c r="C67" s="12" t="s">
        <v>24</v>
      </c>
      <c r="D67" s="14"/>
      <c r="E67" s="22"/>
      <c r="F67" s="13">
        <v>38</v>
      </c>
      <c r="G67" s="14"/>
      <c r="H67" s="22"/>
      <c r="I67" s="13">
        <v>38</v>
      </c>
      <c r="L67" s="3">
        <f t="shared" ref="L67:L106" si="4">F67</f>
        <v>38</v>
      </c>
      <c r="M67" s="3">
        <f t="shared" ref="M67:M106" si="5">F67</f>
        <v>38</v>
      </c>
      <c r="N67" s="3">
        <f t="shared" ref="N67:N106" si="6">F67</f>
        <v>38</v>
      </c>
      <c r="O67" s="3">
        <f t="shared" ref="O67:O106" si="7">F67</f>
        <v>38</v>
      </c>
    </row>
    <row r="68" spans="1:15" x14ac:dyDescent="0.3">
      <c r="A68" s="24" t="s">
        <v>26</v>
      </c>
      <c r="B68" s="13">
        <v>2</v>
      </c>
      <c r="C68" s="12" t="s">
        <v>24</v>
      </c>
      <c r="D68" s="14"/>
      <c r="E68" s="22"/>
      <c r="F68" s="13">
        <v>2</v>
      </c>
      <c r="G68" s="14"/>
      <c r="H68" s="22"/>
      <c r="I68" s="13">
        <v>2</v>
      </c>
      <c r="L68" s="3">
        <f t="shared" si="4"/>
        <v>2</v>
      </c>
      <c r="M68" s="3">
        <f t="shared" si="5"/>
        <v>2</v>
      </c>
      <c r="N68" s="3">
        <f t="shared" si="6"/>
        <v>2</v>
      </c>
      <c r="O68" s="3">
        <f t="shared" si="7"/>
        <v>2</v>
      </c>
    </row>
    <row r="69" spans="1:15" x14ac:dyDescent="0.3">
      <c r="A69" s="24" t="s">
        <v>20</v>
      </c>
      <c r="B69" s="13">
        <v>30</v>
      </c>
      <c r="C69" s="12" t="s">
        <v>24</v>
      </c>
      <c r="D69" s="14"/>
      <c r="E69" s="25"/>
      <c r="F69" s="13">
        <v>30</v>
      </c>
      <c r="G69" s="14"/>
      <c r="H69" s="25"/>
      <c r="I69" s="13">
        <v>30</v>
      </c>
      <c r="L69" s="3">
        <f t="shared" si="4"/>
        <v>30</v>
      </c>
      <c r="M69" s="3">
        <f t="shared" si="5"/>
        <v>30</v>
      </c>
      <c r="N69" s="3">
        <f t="shared" si="6"/>
        <v>30</v>
      </c>
      <c r="O69" s="3">
        <f t="shared" si="7"/>
        <v>30</v>
      </c>
    </row>
    <row r="70" spans="1:15" x14ac:dyDescent="0.3">
      <c r="A70" s="24" t="s">
        <v>21</v>
      </c>
      <c r="B70" s="13">
        <v>38</v>
      </c>
      <c r="C70" s="12" t="s">
        <v>24</v>
      </c>
      <c r="D70" s="15"/>
      <c r="E70" s="25"/>
      <c r="F70" s="13">
        <v>38</v>
      </c>
      <c r="G70" s="15"/>
      <c r="H70" s="25"/>
      <c r="I70" s="13">
        <v>38</v>
      </c>
      <c r="L70" s="3">
        <f t="shared" si="4"/>
        <v>38</v>
      </c>
      <c r="M70" s="3">
        <f t="shared" si="5"/>
        <v>38</v>
      </c>
      <c r="N70" s="3">
        <f t="shared" si="6"/>
        <v>38</v>
      </c>
      <c r="O70" s="3">
        <f t="shared" si="7"/>
        <v>38</v>
      </c>
    </row>
    <row r="71" spans="1:15" x14ac:dyDescent="0.3">
      <c r="A71" s="24" t="s">
        <v>22</v>
      </c>
      <c r="B71" s="13">
        <v>2.5</v>
      </c>
      <c r="C71" s="12" t="s">
        <v>24</v>
      </c>
      <c r="D71" s="15"/>
      <c r="E71" s="25"/>
      <c r="F71" s="13">
        <v>2.5</v>
      </c>
      <c r="G71" s="15"/>
      <c r="H71" s="25"/>
      <c r="I71" s="13">
        <v>2.5</v>
      </c>
      <c r="L71" s="3">
        <f t="shared" si="4"/>
        <v>2.5</v>
      </c>
      <c r="M71" s="3">
        <f t="shared" si="5"/>
        <v>2.5</v>
      </c>
      <c r="N71" s="3">
        <f t="shared" si="6"/>
        <v>2.5</v>
      </c>
      <c r="O71" s="3">
        <f t="shared" si="7"/>
        <v>2.5</v>
      </c>
    </row>
    <row r="72" spans="1:15" x14ac:dyDescent="0.3">
      <c r="A72" s="24" t="s">
        <v>68</v>
      </c>
      <c r="B72" s="13">
        <v>1</v>
      </c>
      <c r="C72" s="12" t="s">
        <v>24</v>
      </c>
      <c r="D72" s="15"/>
      <c r="E72" s="25"/>
      <c r="F72" s="13">
        <v>1</v>
      </c>
      <c r="G72" s="15"/>
      <c r="H72" s="25"/>
      <c r="I72" s="13">
        <v>1</v>
      </c>
      <c r="L72" s="3">
        <f t="shared" si="4"/>
        <v>1</v>
      </c>
      <c r="M72" s="3">
        <f t="shared" si="5"/>
        <v>1</v>
      </c>
      <c r="N72" s="3">
        <f t="shared" si="6"/>
        <v>1</v>
      </c>
      <c r="O72" s="3">
        <f t="shared" si="7"/>
        <v>1</v>
      </c>
    </row>
    <row r="73" spans="1:15" x14ac:dyDescent="0.3">
      <c r="A73" s="24" t="s">
        <v>23</v>
      </c>
      <c r="B73" s="13">
        <v>2</v>
      </c>
      <c r="C73" s="12" t="s">
        <v>24</v>
      </c>
      <c r="D73" s="15"/>
      <c r="E73" s="22"/>
      <c r="F73" s="13">
        <v>2</v>
      </c>
      <c r="G73" s="15"/>
      <c r="H73" s="22"/>
      <c r="I73" s="13">
        <v>2</v>
      </c>
      <c r="L73" s="3">
        <f t="shared" si="4"/>
        <v>2</v>
      </c>
      <c r="M73" s="3">
        <f t="shared" si="5"/>
        <v>2</v>
      </c>
      <c r="N73" s="3">
        <f t="shared" si="6"/>
        <v>2</v>
      </c>
      <c r="O73" s="3">
        <f t="shared" si="7"/>
        <v>2</v>
      </c>
    </row>
    <row r="74" spans="1:15" x14ac:dyDescent="0.3">
      <c r="A74" s="24" t="s">
        <v>63</v>
      </c>
      <c r="B74" s="13">
        <v>10</v>
      </c>
      <c r="C74" s="12" t="s">
        <v>245</v>
      </c>
      <c r="D74" s="15"/>
      <c r="E74" s="22"/>
      <c r="F74" s="13">
        <v>10</v>
      </c>
      <c r="G74" s="15"/>
      <c r="H74" s="22"/>
      <c r="I74" s="13">
        <v>10</v>
      </c>
      <c r="L74" s="3">
        <f t="shared" si="4"/>
        <v>10</v>
      </c>
      <c r="M74" s="3">
        <f t="shared" si="5"/>
        <v>10</v>
      </c>
      <c r="N74" s="3">
        <f t="shared" si="6"/>
        <v>10</v>
      </c>
      <c r="O74" s="3">
        <f t="shared" si="7"/>
        <v>10</v>
      </c>
    </row>
    <row r="75" spans="1:15" x14ac:dyDescent="0.3">
      <c r="A75" s="24" t="s">
        <v>53</v>
      </c>
      <c r="B75" s="13">
        <v>29</v>
      </c>
      <c r="C75" s="12" t="s">
        <v>39</v>
      </c>
      <c r="D75" s="15"/>
      <c r="E75" s="22"/>
      <c r="F75" s="13">
        <v>29</v>
      </c>
      <c r="G75" s="15"/>
      <c r="H75" s="22"/>
      <c r="I75" s="13">
        <v>29</v>
      </c>
      <c r="L75" s="3">
        <f t="shared" si="4"/>
        <v>29</v>
      </c>
      <c r="M75" s="3">
        <f t="shared" si="5"/>
        <v>29</v>
      </c>
      <c r="N75" s="3">
        <f t="shared" si="6"/>
        <v>29</v>
      </c>
      <c r="O75" s="3">
        <f t="shared" si="7"/>
        <v>29</v>
      </c>
    </row>
    <row r="76" spans="1:15" x14ac:dyDescent="0.3">
      <c r="A76" s="24" t="s">
        <v>54</v>
      </c>
      <c r="B76" s="13">
        <v>14.5</v>
      </c>
      <c r="C76" s="12" t="s">
        <v>39</v>
      </c>
      <c r="D76" s="15"/>
      <c r="E76" s="22"/>
      <c r="F76" s="13">
        <v>14.5</v>
      </c>
      <c r="G76" s="15"/>
      <c r="H76" s="22"/>
      <c r="I76" s="13">
        <v>14.5</v>
      </c>
      <c r="L76" s="3">
        <f t="shared" si="4"/>
        <v>14.5</v>
      </c>
      <c r="M76" s="3">
        <f t="shared" si="5"/>
        <v>14.5</v>
      </c>
      <c r="N76" s="3">
        <f t="shared" si="6"/>
        <v>14.5</v>
      </c>
      <c r="O76" s="3">
        <f t="shared" si="7"/>
        <v>14.5</v>
      </c>
    </row>
    <row r="77" spans="1:15" x14ac:dyDescent="0.3">
      <c r="A77" s="24" t="s">
        <v>29</v>
      </c>
      <c r="B77" s="13">
        <v>16.5</v>
      </c>
      <c r="C77" s="12" t="s">
        <v>39</v>
      </c>
      <c r="D77" s="15"/>
      <c r="E77" s="22"/>
      <c r="F77" s="13">
        <v>16.5</v>
      </c>
      <c r="G77" s="15"/>
      <c r="H77" s="22"/>
      <c r="I77" s="13">
        <v>16.5</v>
      </c>
      <c r="L77" s="3">
        <f t="shared" si="4"/>
        <v>16.5</v>
      </c>
      <c r="M77" s="3">
        <f t="shared" si="5"/>
        <v>16.5</v>
      </c>
      <c r="N77" s="3">
        <f t="shared" si="6"/>
        <v>16.5</v>
      </c>
      <c r="O77" s="3">
        <f t="shared" si="7"/>
        <v>16.5</v>
      </c>
    </row>
    <row r="78" spans="1:15" x14ac:dyDescent="0.3">
      <c r="A78" s="24" t="s">
        <v>30</v>
      </c>
      <c r="B78" s="13">
        <v>8.25</v>
      </c>
      <c r="C78" s="12" t="s">
        <v>39</v>
      </c>
      <c r="F78" s="13">
        <v>8.25</v>
      </c>
      <c r="I78" s="13">
        <v>8.25</v>
      </c>
      <c r="L78" s="3">
        <f t="shared" si="4"/>
        <v>8.25</v>
      </c>
      <c r="M78" s="3">
        <f t="shared" si="5"/>
        <v>8.25</v>
      </c>
      <c r="N78" s="3">
        <f t="shared" si="6"/>
        <v>8.25</v>
      </c>
      <c r="O78" s="3">
        <f t="shared" si="7"/>
        <v>8.25</v>
      </c>
    </row>
    <row r="79" spans="1:15" x14ac:dyDescent="0.3">
      <c r="A79" s="24" t="s">
        <v>41</v>
      </c>
      <c r="B79" s="13">
        <v>5</v>
      </c>
      <c r="C79" s="12" t="s">
        <v>24</v>
      </c>
      <c r="F79" s="13">
        <v>5</v>
      </c>
      <c r="I79" s="13">
        <v>5</v>
      </c>
      <c r="L79" s="3">
        <f t="shared" si="4"/>
        <v>5</v>
      </c>
      <c r="M79" s="3">
        <f t="shared" si="5"/>
        <v>5</v>
      </c>
      <c r="N79" s="3">
        <f t="shared" si="6"/>
        <v>5</v>
      </c>
      <c r="O79" s="3">
        <f t="shared" si="7"/>
        <v>5</v>
      </c>
    </row>
    <row r="80" spans="1:15" x14ac:dyDescent="0.3">
      <c r="A80" s="23" t="s">
        <v>27</v>
      </c>
      <c r="B80" s="13">
        <v>0.42</v>
      </c>
      <c r="C80" s="12" t="s">
        <v>24</v>
      </c>
      <c r="D80" s="14">
        <f>SUM(B81:B82)</f>
        <v>1</v>
      </c>
      <c r="E80" s="22"/>
      <c r="F80" s="13">
        <v>0.42</v>
      </c>
      <c r="G80" s="14"/>
      <c r="H80" s="22"/>
      <c r="I80" s="13">
        <v>0.42</v>
      </c>
      <c r="J80" s="27"/>
      <c r="L80" s="3">
        <f t="shared" si="4"/>
        <v>0.42</v>
      </c>
      <c r="M80" s="3">
        <f t="shared" si="5"/>
        <v>0.42</v>
      </c>
      <c r="N80" s="3">
        <f t="shared" si="6"/>
        <v>0.42</v>
      </c>
      <c r="O80" s="3">
        <f t="shared" si="7"/>
        <v>0.42</v>
      </c>
    </row>
    <row r="81" spans="1:15" x14ac:dyDescent="0.3">
      <c r="A81" s="23" t="s">
        <v>31</v>
      </c>
      <c r="B81" s="13">
        <v>0.5</v>
      </c>
      <c r="C81" s="12" t="s">
        <v>24</v>
      </c>
      <c r="D81" s="15"/>
      <c r="E81" s="22"/>
      <c r="F81" s="13">
        <v>0.5</v>
      </c>
      <c r="G81" s="15"/>
      <c r="H81" s="22"/>
      <c r="I81" s="13">
        <v>0.5</v>
      </c>
      <c r="L81" s="3">
        <f t="shared" si="4"/>
        <v>0.5</v>
      </c>
      <c r="M81" s="3">
        <f t="shared" si="5"/>
        <v>0.5</v>
      </c>
      <c r="N81" s="3">
        <f t="shared" si="6"/>
        <v>0.5</v>
      </c>
      <c r="O81" s="3">
        <f t="shared" si="7"/>
        <v>0.5</v>
      </c>
    </row>
    <row r="82" spans="1:15" x14ac:dyDescent="0.3">
      <c r="A82" s="23" t="s">
        <v>43</v>
      </c>
      <c r="B82" s="13">
        <v>0.5</v>
      </c>
      <c r="C82" s="12" t="s">
        <v>24</v>
      </c>
      <c r="D82" s="15"/>
      <c r="E82" s="22"/>
      <c r="F82" s="13">
        <v>0.5</v>
      </c>
      <c r="G82" s="15"/>
      <c r="H82" s="22"/>
      <c r="I82" s="13">
        <v>0.5</v>
      </c>
      <c r="L82" s="3">
        <f t="shared" si="4"/>
        <v>0.5</v>
      </c>
      <c r="M82" s="3">
        <f t="shared" si="5"/>
        <v>0.5</v>
      </c>
      <c r="N82" s="3">
        <f t="shared" si="6"/>
        <v>0.5</v>
      </c>
      <c r="O82" s="3">
        <f t="shared" si="7"/>
        <v>0.5</v>
      </c>
    </row>
    <row r="83" spans="1:15" x14ac:dyDescent="0.3">
      <c r="A83" s="24" t="s">
        <v>32</v>
      </c>
      <c r="B83" s="13">
        <v>0.03</v>
      </c>
      <c r="C83" s="12" t="s">
        <v>40</v>
      </c>
      <c r="D83" s="15"/>
      <c r="E83" s="22"/>
      <c r="F83" s="13">
        <v>0.03</v>
      </c>
      <c r="G83" s="15"/>
      <c r="H83" s="22"/>
      <c r="I83" s="13">
        <v>0.03</v>
      </c>
      <c r="L83" s="3">
        <f t="shared" si="4"/>
        <v>0.03</v>
      </c>
      <c r="M83" s="3">
        <f t="shared" si="5"/>
        <v>0.03</v>
      </c>
      <c r="N83" s="3">
        <f t="shared" si="6"/>
        <v>0.03</v>
      </c>
      <c r="O83" s="3">
        <f t="shared" si="7"/>
        <v>0.03</v>
      </c>
    </row>
    <row r="84" spans="1:15" x14ac:dyDescent="0.3">
      <c r="A84" s="24" t="s">
        <v>44</v>
      </c>
      <c r="B84" s="13">
        <v>0.97</v>
      </c>
      <c r="C84" s="12" t="s">
        <v>40</v>
      </c>
      <c r="D84" s="15"/>
      <c r="E84" s="22"/>
      <c r="F84" s="13">
        <v>0.97</v>
      </c>
      <c r="G84" s="15"/>
      <c r="H84" s="22"/>
      <c r="I84" s="13">
        <v>0.97</v>
      </c>
      <c r="L84" s="3">
        <f t="shared" si="4"/>
        <v>0.97</v>
      </c>
      <c r="M84" s="3">
        <f t="shared" si="5"/>
        <v>0.97</v>
      </c>
      <c r="N84" s="3">
        <f t="shared" si="6"/>
        <v>0.97</v>
      </c>
      <c r="O84" s="3">
        <f t="shared" si="7"/>
        <v>0.97</v>
      </c>
    </row>
    <row r="85" spans="1:15" x14ac:dyDescent="0.3">
      <c r="A85" s="23" t="s">
        <v>33</v>
      </c>
      <c r="B85" s="13">
        <v>0.03</v>
      </c>
      <c r="C85" s="12" t="s">
        <v>40</v>
      </c>
      <c r="D85" s="15"/>
      <c r="E85" s="22"/>
      <c r="F85" s="13">
        <v>0.03</v>
      </c>
      <c r="G85" s="15"/>
      <c r="H85" s="22"/>
      <c r="I85" s="13">
        <v>0.03</v>
      </c>
      <c r="L85" s="3">
        <f t="shared" si="4"/>
        <v>0.03</v>
      </c>
      <c r="M85" s="3">
        <f t="shared" si="5"/>
        <v>0.03</v>
      </c>
      <c r="N85" s="3">
        <f t="shared" si="6"/>
        <v>0.03</v>
      </c>
      <c r="O85" s="3">
        <f t="shared" si="7"/>
        <v>0.03</v>
      </c>
    </row>
    <row r="86" spans="1:15" ht="15.75" customHeight="1" x14ac:dyDescent="0.3">
      <c r="A86" s="23" t="s">
        <v>45</v>
      </c>
      <c r="B86" s="13">
        <v>0.97</v>
      </c>
      <c r="C86" s="12" t="s">
        <v>40</v>
      </c>
      <c r="D86" s="15"/>
      <c r="E86" s="22"/>
      <c r="F86" s="13">
        <v>0.97</v>
      </c>
      <c r="G86" s="15"/>
      <c r="H86" s="22"/>
      <c r="I86" s="13">
        <v>0.97</v>
      </c>
      <c r="L86" s="3">
        <f t="shared" si="4"/>
        <v>0.97</v>
      </c>
      <c r="M86" s="3">
        <f t="shared" si="5"/>
        <v>0.97</v>
      </c>
      <c r="N86" s="3">
        <f t="shared" si="6"/>
        <v>0.97</v>
      </c>
      <c r="O86" s="3">
        <f t="shared" si="7"/>
        <v>0.97</v>
      </c>
    </row>
    <row r="87" spans="1:15" x14ac:dyDescent="0.3">
      <c r="A87" s="24" t="s">
        <v>34</v>
      </c>
      <c r="B87" s="13">
        <v>0.03</v>
      </c>
      <c r="C87" s="12" t="s">
        <v>40</v>
      </c>
      <c r="D87" s="15"/>
      <c r="E87" s="22"/>
      <c r="F87" s="13">
        <v>0.03</v>
      </c>
      <c r="G87" s="15"/>
      <c r="H87" s="22"/>
      <c r="I87" s="13">
        <v>0.03</v>
      </c>
      <c r="L87" s="3">
        <f t="shared" si="4"/>
        <v>0.03</v>
      </c>
      <c r="M87" s="3">
        <f t="shared" si="5"/>
        <v>0.03</v>
      </c>
      <c r="N87" s="3">
        <f t="shared" si="6"/>
        <v>0.03</v>
      </c>
      <c r="O87" s="3">
        <f t="shared" si="7"/>
        <v>0.03</v>
      </c>
    </row>
    <row r="88" spans="1:15" x14ac:dyDescent="0.3">
      <c r="A88" s="24" t="s">
        <v>46</v>
      </c>
      <c r="B88" s="13">
        <v>0.97</v>
      </c>
      <c r="C88" s="12" t="s">
        <v>40</v>
      </c>
      <c r="D88" s="15"/>
      <c r="E88" s="22"/>
      <c r="F88" s="13">
        <v>0.97</v>
      </c>
      <c r="G88" s="15"/>
      <c r="H88" s="22"/>
      <c r="I88" s="13">
        <v>0.97</v>
      </c>
      <c r="L88" s="3">
        <f t="shared" si="4"/>
        <v>0.97</v>
      </c>
      <c r="M88" s="3">
        <f t="shared" si="5"/>
        <v>0.97</v>
      </c>
      <c r="N88" s="3">
        <f t="shared" si="6"/>
        <v>0.97</v>
      </c>
      <c r="O88" s="3">
        <f t="shared" si="7"/>
        <v>0.97</v>
      </c>
    </row>
    <row r="89" spans="1:15" ht="15.6" customHeight="1" x14ac:dyDescent="0.3">
      <c r="A89" s="23" t="s">
        <v>35</v>
      </c>
      <c r="B89" s="13">
        <v>0.03</v>
      </c>
      <c r="C89" s="12" t="s">
        <v>40</v>
      </c>
      <c r="D89" s="15"/>
      <c r="E89" s="22"/>
      <c r="F89" s="13">
        <v>0.03</v>
      </c>
      <c r="G89" s="15"/>
      <c r="H89" s="22"/>
      <c r="I89" s="13">
        <v>0.03</v>
      </c>
      <c r="L89" s="3">
        <f t="shared" si="4"/>
        <v>0.03</v>
      </c>
      <c r="M89" s="3">
        <f t="shared" si="5"/>
        <v>0.03</v>
      </c>
      <c r="N89" s="3">
        <f t="shared" si="6"/>
        <v>0.03</v>
      </c>
      <c r="O89" s="3">
        <f t="shared" si="7"/>
        <v>0.03</v>
      </c>
    </row>
    <row r="90" spans="1:15" x14ac:dyDescent="0.3">
      <c r="A90" s="23" t="s">
        <v>47</v>
      </c>
      <c r="B90" s="13">
        <v>0.97</v>
      </c>
      <c r="C90" s="12" t="s">
        <v>40</v>
      </c>
      <c r="D90" s="15"/>
      <c r="E90" s="22"/>
      <c r="F90" s="13">
        <v>0.97</v>
      </c>
      <c r="G90" s="15"/>
      <c r="H90" s="22"/>
      <c r="I90" s="13">
        <v>0.97</v>
      </c>
      <c r="L90" s="3">
        <f t="shared" si="4"/>
        <v>0.97</v>
      </c>
      <c r="M90" s="3">
        <f t="shared" si="5"/>
        <v>0.97</v>
      </c>
      <c r="N90" s="3">
        <f t="shared" si="6"/>
        <v>0.97</v>
      </c>
      <c r="O90" s="3">
        <f t="shared" si="7"/>
        <v>0.97</v>
      </c>
    </row>
    <row r="91" spans="1:15" x14ac:dyDescent="0.3">
      <c r="A91" s="24" t="s">
        <v>36</v>
      </c>
      <c r="B91" s="13">
        <v>0.03</v>
      </c>
      <c r="C91" s="12" t="s">
        <v>40</v>
      </c>
      <c r="D91" s="15"/>
      <c r="E91" s="22"/>
      <c r="F91" s="13">
        <v>0.03</v>
      </c>
      <c r="G91" s="15"/>
      <c r="H91" s="22"/>
      <c r="I91" s="13">
        <v>0.03</v>
      </c>
      <c r="L91" s="3">
        <f t="shared" si="4"/>
        <v>0.03</v>
      </c>
      <c r="M91" s="3">
        <f t="shared" si="5"/>
        <v>0.03</v>
      </c>
      <c r="N91" s="3">
        <f t="shared" si="6"/>
        <v>0.03</v>
      </c>
      <c r="O91" s="3">
        <f t="shared" si="7"/>
        <v>0.03</v>
      </c>
    </row>
    <row r="92" spans="1:15" x14ac:dyDescent="0.3">
      <c r="A92" s="24" t="s">
        <v>48</v>
      </c>
      <c r="B92" s="13">
        <v>0.97</v>
      </c>
      <c r="C92" s="12" t="s">
        <v>40</v>
      </c>
      <c r="D92" s="15"/>
      <c r="E92" s="22"/>
      <c r="F92" s="13">
        <v>0.97</v>
      </c>
      <c r="G92" s="15"/>
      <c r="H92" s="22"/>
      <c r="I92" s="13">
        <v>0.97</v>
      </c>
      <c r="L92" s="3">
        <f t="shared" si="4"/>
        <v>0.97</v>
      </c>
      <c r="M92" s="3">
        <f t="shared" si="5"/>
        <v>0.97</v>
      </c>
      <c r="N92" s="3">
        <f t="shared" si="6"/>
        <v>0.97</v>
      </c>
      <c r="O92" s="3">
        <f t="shared" si="7"/>
        <v>0.97</v>
      </c>
    </row>
    <row r="93" spans="1:15" x14ac:dyDescent="0.3">
      <c r="A93" s="23" t="s">
        <v>37</v>
      </c>
      <c r="B93" s="13">
        <v>0.03</v>
      </c>
      <c r="C93" s="12" t="s">
        <v>40</v>
      </c>
      <c r="D93" s="15"/>
      <c r="E93" s="22"/>
      <c r="F93" s="13">
        <v>0.03</v>
      </c>
      <c r="G93" s="15"/>
      <c r="H93" s="22"/>
      <c r="I93" s="13">
        <v>0.03</v>
      </c>
      <c r="L93" s="3">
        <f t="shared" si="4"/>
        <v>0.03</v>
      </c>
      <c r="M93" s="3">
        <f t="shared" si="5"/>
        <v>0.03</v>
      </c>
      <c r="N93" s="3">
        <f t="shared" si="6"/>
        <v>0.03</v>
      </c>
      <c r="O93" s="3">
        <f t="shared" si="7"/>
        <v>0.03</v>
      </c>
    </row>
    <row r="94" spans="1:15" x14ac:dyDescent="0.3">
      <c r="A94" s="23" t="s">
        <v>49</v>
      </c>
      <c r="B94" s="13">
        <v>0.97</v>
      </c>
      <c r="C94" s="12" t="s">
        <v>40</v>
      </c>
      <c r="D94" s="15"/>
      <c r="E94" s="22"/>
      <c r="F94" s="13">
        <v>0.97</v>
      </c>
      <c r="G94" s="15"/>
      <c r="H94" s="22"/>
      <c r="I94" s="13">
        <v>0.97</v>
      </c>
      <c r="L94" s="3">
        <f t="shared" si="4"/>
        <v>0.97</v>
      </c>
      <c r="M94" s="3">
        <f t="shared" si="5"/>
        <v>0.97</v>
      </c>
      <c r="N94" s="3">
        <f t="shared" si="6"/>
        <v>0.97</v>
      </c>
      <c r="O94" s="3">
        <f t="shared" si="7"/>
        <v>0.97</v>
      </c>
    </row>
    <row r="95" spans="1:15" x14ac:dyDescent="0.3">
      <c r="A95" s="24" t="s">
        <v>38</v>
      </c>
      <c r="B95" s="13">
        <v>0.03</v>
      </c>
      <c r="C95" s="12" t="s">
        <v>40</v>
      </c>
      <c r="D95" s="15"/>
      <c r="E95" s="22"/>
      <c r="F95" s="13">
        <v>0.03</v>
      </c>
      <c r="G95" s="15"/>
      <c r="H95" s="22"/>
      <c r="I95" s="13">
        <v>0.03</v>
      </c>
      <c r="L95" s="3">
        <f t="shared" si="4"/>
        <v>0.03</v>
      </c>
      <c r="M95" s="3">
        <f t="shared" si="5"/>
        <v>0.03</v>
      </c>
      <c r="N95" s="3">
        <f t="shared" si="6"/>
        <v>0.03</v>
      </c>
      <c r="O95" s="3">
        <f t="shared" si="7"/>
        <v>0.03</v>
      </c>
    </row>
    <row r="96" spans="1:15" x14ac:dyDescent="0.3">
      <c r="A96" s="24" t="s">
        <v>50</v>
      </c>
      <c r="B96" s="13">
        <v>0.97</v>
      </c>
      <c r="C96" s="12" t="s">
        <v>40</v>
      </c>
      <c r="D96" s="15"/>
      <c r="E96" s="22"/>
      <c r="F96" s="13">
        <v>0.97</v>
      </c>
      <c r="G96" s="15"/>
      <c r="H96" s="22"/>
      <c r="I96" s="13">
        <v>0.97</v>
      </c>
      <c r="L96" s="3">
        <f t="shared" si="4"/>
        <v>0.97</v>
      </c>
      <c r="M96" s="3">
        <f t="shared" si="5"/>
        <v>0.97</v>
      </c>
      <c r="N96" s="3">
        <f t="shared" si="6"/>
        <v>0.97</v>
      </c>
      <c r="O96" s="3">
        <f t="shared" si="7"/>
        <v>0.97</v>
      </c>
    </row>
    <row r="97" spans="1:15" x14ac:dyDescent="0.3">
      <c r="A97" s="23" t="s">
        <v>65</v>
      </c>
      <c r="B97" s="13">
        <v>0.03</v>
      </c>
      <c r="C97" s="12" t="s">
        <v>67</v>
      </c>
      <c r="D97" s="15"/>
      <c r="E97" s="22"/>
      <c r="F97" s="13">
        <v>0.03</v>
      </c>
      <c r="G97" s="15"/>
      <c r="H97" s="22"/>
      <c r="I97" s="13">
        <v>0.03</v>
      </c>
      <c r="L97" s="3">
        <f t="shared" si="4"/>
        <v>0.03</v>
      </c>
      <c r="M97" s="3">
        <f t="shared" si="5"/>
        <v>0.03</v>
      </c>
      <c r="N97" s="3">
        <f t="shared" si="6"/>
        <v>0.03</v>
      </c>
      <c r="O97" s="3">
        <f t="shared" si="7"/>
        <v>0.03</v>
      </c>
    </row>
    <row r="98" spans="1:15" x14ac:dyDescent="0.3">
      <c r="A98" s="23" t="s">
        <v>66</v>
      </c>
      <c r="B98" s="13">
        <v>0.97</v>
      </c>
      <c r="C98" s="12" t="s">
        <v>67</v>
      </c>
      <c r="D98" s="15"/>
      <c r="E98" s="22"/>
      <c r="F98" s="13">
        <v>0.97</v>
      </c>
      <c r="G98" s="15"/>
      <c r="H98" s="22"/>
      <c r="I98" s="13">
        <v>0.97</v>
      </c>
      <c r="L98" s="3">
        <f t="shared" si="4"/>
        <v>0.97</v>
      </c>
      <c r="M98" s="3">
        <f t="shared" si="5"/>
        <v>0.97</v>
      </c>
      <c r="N98" s="3">
        <f t="shared" si="6"/>
        <v>0.97</v>
      </c>
      <c r="O98" s="3">
        <f t="shared" si="7"/>
        <v>0.97</v>
      </c>
    </row>
    <row r="99" spans="1:15" x14ac:dyDescent="0.3">
      <c r="A99" s="24" t="s">
        <v>51</v>
      </c>
      <c r="B99" s="13">
        <v>0.23</v>
      </c>
      <c r="C99" s="12" t="s">
        <v>24</v>
      </c>
      <c r="D99" s="15"/>
      <c r="E99" s="22"/>
      <c r="F99" s="13">
        <v>0.23</v>
      </c>
      <c r="G99" s="15"/>
      <c r="H99" s="22"/>
      <c r="I99" s="13">
        <v>0.23</v>
      </c>
      <c r="L99" s="3">
        <f t="shared" si="4"/>
        <v>0.23</v>
      </c>
      <c r="M99" s="3">
        <f t="shared" si="5"/>
        <v>0.23</v>
      </c>
      <c r="N99" s="3">
        <f t="shared" si="6"/>
        <v>0.23</v>
      </c>
      <c r="O99" s="3">
        <f t="shared" si="7"/>
        <v>0.23</v>
      </c>
    </row>
    <row r="100" spans="1:15" x14ac:dyDescent="0.3">
      <c r="A100" s="24" t="s">
        <v>52</v>
      </c>
      <c r="B100" s="13">
        <v>0.56000000000000005</v>
      </c>
      <c r="C100" s="12" t="s">
        <v>24</v>
      </c>
      <c r="D100" s="15"/>
      <c r="E100" s="22"/>
      <c r="F100" s="13">
        <v>0.56000000000000005</v>
      </c>
      <c r="G100" s="15"/>
      <c r="H100" s="22"/>
      <c r="I100" s="13">
        <v>0.56000000000000005</v>
      </c>
      <c r="L100" s="3">
        <f t="shared" si="4"/>
        <v>0.56000000000000005</v>
      </c>
      <c r="M100" s="3">
        <f t="shared" si="5"/>
        <v>0.56000000000000005</v>
      </c>
      <c r="N100" s="3">
        <f t="shared" si="6"/>
        <v>0.56000000000000005</v>
      </c>
      <c r="O100" s="3">
        <f t="shared" si="7"/>
        <v>0.56000000000000005</v>
      </c>
    </row>
    <row r="101" spans="1:15" x14ac:dyDescent="0.3">
      <c r="A101" s="23" t="s">
        <v>55</v>
      </c>
      <c r="B101" s="13">
        <v>0.5</v>
      </c>
      <c r="C101" s="16" t="s">
        <v>239</v>
      </c>
      <c r="D101" s="15"/>
      <c r="E101" s="22" t="s">
        <v>240</v>
      </c>
      <c r="F101" s="13">
        <v>0.5</v>
      </c>
      <c r="G101" s="15"/>
      <c r="H101" s="22" t="s">
        <v>240</v>
      </c>
      <c r="I101" s="13">
        <v>0.5</v>
      </c>
      <c r="L101" s="3">
        <f t="shared" si="4"/>
        <v>0.5</v>
      </c>
      <c r="M101" s="3">
        <f t="shared" si="5"/>
        <v>0.5</v>
      </c>
      <c r="N101" s="3">
        <f t="shared" si="6"/>
        <v>0.5</v>
      </c>
      <c r="O101" s="3">
        <f t="shared" si="7"/>
        <v>0.5</v>
      </c>
    </row>
    <row r="102" spans="1:15" x14ac:dyDescent="0.3">
      <c r="A102" s="23" t="s">
        <v>69</v>
      </c>
      <c r="B102" s="13">
        <v>0.99999850000000001</v>
      </c>
      <c r="C102" s="12" t="s">
        <v>24</v>
      </c>
      <c r="D102" s="15"/>
      <c r="E102" s="22"/>
      <c r="F102" s="13">
        <v>0.99999850000000001</v>
      </c>
      <c r="G102" s="15"/>
      <c r="H102" s="22"/>
      <c r="I102" s="13">
        <v>0.99999850000000001</v>
      </c>
      <c r="L102" s="3">
        <f t="shared" si="4"/>
        <v>0.99999850000000001</v>
      </c>
      <c r="M102" s="3">
        <f t="shared" si="5"/>
        <v>0.99999850000000001</v>
      </c>
      <c r="N102" s="3">
        <f t="shared" si="6"/>
        <v>0.99999850000000001</v>
      </c>
      <c r="O102" s="3">
        <f t="shared" si="7"/>
        <v>0.99999850000000001</v>
      </c>
    </row>
    <row r="103" spans="1:15" x14ac:dyDescent="0.3">
      <c r="A103" s="23" t="s">
        <v>58</v>
      </c>
      <c r="B103" s="13">
        <v>0.98</v>
      </c>
      <c r="C103" s="12" t="s">
        <v>24</v>
      </c>
      <c r="D103" s="15"/>
      <c r="E103" s="22"/>
      <c r="F103" s="13">
        <v>0.98</v>
      </c>
      <c r="G103" s="15"/>
      <c r="H103" s="22"/>
      <c r="I103" s="13">
        <v>0.98</v>
      </c>
      <c r="L103" s="3">
        <f t="shared" si="4"/>
        <v>0.98</v>
      </c>
      <c r="M103" s="3">
        <f t="shared" si="5"/>
        <v>0.98</v>
      </c>
      <c r="N103" s="3">
        <f t="shared" si="6"/>
        <v>0.98</v>
      </c>
      <c r="O103" s="3">
        <f t="shared" si="7"/>
        <v>0.98</v>
      </c>
    </row>
    <row r="104" spans="1:15" x14ac:dyDescent="0.3">
      <c r="A104" s="23" t="s">
        <v>57</v>
      </c>
      <c r="B104" s="13">
        <v>0.85</v>
      </c>
      <c r="C104" s="12" t="s">
        <v>24</v>
      </c>
      <c r="D104" s="15"/>
      <c r="F104" s="13">
        <v>0.85</v>
      </c>
      <c r="G104" s="15"/>
      <c r="I104" s="13">
        <v>0.85</v>
      </c>
      <c r="L104" s="3">
        <f t="shared" si="4"/>
        <v>0.85</v>
      </c>
      <c r="M104" s="3">
        <f t="shared" si="5"/>
        <v>0.85</v>
      </c>
      <c r="N104" s="3">
        <f t="shared" si="6"/>
        <v>0.85</v>
      </c>
      <c r="O104" s="3">
        <f t="shared" si="7"/>
        <v>0.85</v>
      </c>
    </row>
    <row r="105" spans="1:15" x14ac:dyDescent="0.3">
      <c r="A105" s="23" t="s">
        <v>59</v>
      </c>
      <c r="B105" s="13">
        <v>0.22</v>
      </c>
      <c r="C105" s="12" t="s">
        <v>24</v>
      </c>
      <c r="F105" s="13">
        <v>0.22</v>
      </c>
      <c r="I105" s="13">
        <v>0.22</v>
      </c>
      <c r="L105" s="3">
        <f t="shared" si="4"/>
        <v>0.22</v>
      </c>
      <c r="M105" s="3">
        <f t="shared" si="5"/>
        <v>0.22</v>
      </c>
      <c r="N105" s="3">
        <f t="shared" si="6"/>
        <v>0.22</v>
      </c>
      <c r="O105" s="3">
        <f t="shared" si="7"/>
        <v>0.22</v>
      </c>
    </row>
    <row r="106" spans="1:15" x14ac:dyDescent="0.3">
      <c r="A106" s="28" t="s">
        <v>238</v>
      </c>
      <c r="B106" s="3">
        <v>0.02</v>
      </c>
      <c r="C106" s="12" t="s">
        <v>241</v>
      </c>
      <c r="F106" s="3">
        <v>0.02</v>
      </c>
      <c r="I106" s="3">
        <v>0.02</v>
      </c>
      <c r="L106" s="3">
        <f t="shared" si="4"/>
        <v>0.02</v>
      </c>
      <c r="M106" s="3">
        <f t="shared" si="5"/>
        <v>0.02</v>
      </c>
      <c r="N106" s="3">
        <f t="shared" si="6"/>
        <v>0.02</v>
      </c>
      <c r="O106" s="3">
        <f t="shared" si="7"/>
        <v>0.02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0" sqref="B20:B22"/>
    </sheetView>
  </sheetViews>
  <sheetFormatPr defaultRowHeight="14.4" x14ac:dyDescent="0.3"/>
  <cols>
    <col min="1" max="1" width="18" customWidth="1"/>
    <col min="2" max="2" width="15.109375" customWidth="1"/>
    <col min="3" max="3" width="15.33203125" customWidth="1"/>
  </cols>
  <sheetData>
    <row r="1" spans="1:4" x14ac:dyDescent="0.3">
      <c r="A1" t="s">
        <v>10</v>
      </c>
    </row>
    <row r="2" spans="1:4" x14ac:dyDescent="0.3">
      <c r="B2" s="4" t="s">
        <v>8</v>
      </c>
      <c r="C2" s="4" t="s">
        <v>9</v>
      </c>
    </row>
    <row r="3" spans="1:4" x14ac:dyDescent="0.3">
      <c r="B3" s="1">
        <v>12</v>
      </c>
      <c r="C3" s="1">
        <v>88</v>
      </c>
      <c r="D3" t="s">
        <v>11</v>
      </c>
    </row>
    <row r="4" spans="1:4" x14ac:dyDescent="0.3">
      <c r="B4" s="1">
        <v>16</v>
      </c>
      <c r="C4" s="1">
        <v>84</v>
      </c>
    </row>
    <row r="5" spans="1:4" x14ac:dyDescent="0.3">
      <c r="B5" s="1">
        <v>18</v>
      </c>
      <c r="C5" s="1">
        <v>82</v>
      </c>
    </row>
    <row r="6" spans="1:4" x14ac:dyDescent="0.3">
      <c r="B6" s="1">
        <v>30</v>
      </c>
      <c r="C6" s="1">
        <v>70</v>
      </c>
    </row>
    <row r="8" spans="1:4" x14ac:dyDescent="0.3">
      <c r="A8" t="s">
        <v>12</v>
      </c>
    </row>
    <row r="9" spans="1:4" x14ac:dyDescent="0.3">
      <c r="B9" s="4" t="s">
        <v>8</v>
      </c>
      <c r="C9" s="4" t="s">
        <v>9</v>
      </c>
    </row>
    <row r="10" spans="1:4" x14ac:dyDescent="0.3">
      <c r="A10" t="s">
        <v>0</v>
      </c>
      <c r="B10" s="1">
        <v>93</v>
      </c>
      <c r="C10" s="1">
        <v>45</v>
      </c>
      <c r="D10" t="s">
        <v>11</v>
      </c>
    </row>
    <row r="11" spans="1:4" x14ac:dyDescent="0.3">
      <c r="B11" s="1">
        <v>95</v>
      </c>
      <c r="C11" s="1">
        <v>38</v>
      </c>
    </row>
    <row r="12" spans="1:4" x14ac:dyDescent="0.3">
      <c r="B12" s="1"/>
      <c r="C12" s="1"/>
    </row>
    <row r="13" spans="1:4" x14ac:dyDescent="0.3">
      <c r="A13" t="s">
        <v>1</v>
      </c>
      <c r="B13" s="1">
        <v>6.9</v>
      </c>
      <c r="C13" s="1">
        <v>53.9</v>
      </c>
      <c r="D13" t="s">
        <v>11</v>
      </c>
    </row>
    <row r="14" spans="1:4" x14ac:dyDescent="0.3">
      <c r="B14" s="1"/>
      <c r="C14" s="1">
        <v>31</v>
      </c>
    </row>
    <row r="15" spans="1:4" x14ac:dyDescent="0.3">
      <c r="B15" s="1"/>
      <c r="C15" s="1"/>
    </row>
    <row r="16" spans="1:4" x14ac:dyDescent="0.3">
      <c r="A16" t="s">
        <v>13</v>
      </c>
      <c r="B16" s="1">
        <v>0.1</v>
      </c>
      <c r="C16" s="1">
        <v>1.1000000000000001</v>
      </c>
      <c r="D16" t="s">
        <v>11</v>
      </c>
    </row>
    <row r="17" spans="1:3" x14ac:dyDescent="0.3">
      <c r="B17" s="1">
        <v>5</v>
      </c>
      <c r="C17" s="1">
        <v>31</v>
      </c>
    </row>
    <row r="19" spans="1:3" x14ac:dyDescent="0.3">
      <c r="A19" s="4" t="s">
        <v>14</v>
      </c>
    </row>
    <row r="20" spans="1:3" x14ac:dyDescent="0.3">
      <c r="A20" t="s">
        <v>0</v>
      </c>
      <c r="B20" s="3">
        <f>((B3*B10)+(C3*C10))/SUM(B3:C3)/100</f>
        <v>0.50759999999999994</v>
      </c>
    </row>
    <row r="21" spans="1:3" x14ac:dyDescent="0.3">
      <c r="A21" t="s">
        <v>1</v>
      </c>
      <c r="B21" s="3">
        <f>((B3*B13)+(C3*C13))/SUM(B3:C3)/100</f>
        <v>0.48259999999999997</v>
      </c>
    </row>
    <row r="22" spans="1:3" x14ac:dyDescent="0.3">
      <c r="A22" t="s">
        <v>13</v>
      </c>
      <c r="B22" s="3">
        <f>((B3*B16)+(C3*C16))/SUM(B3:C3)/100</f>
        <v>9.8000000000000014E-3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850D-2ABB-4BC8-A0F7-DA4BB6037C16}">
  <dimension ref="A1:E124"/>
  <sheetViews>
    <sheetView workbookViewId="0">
      <selection activeCell="E7" sqref="E7"/>
    </sheetView>
  </sheetViews>
  <sheetFormatPr defaultRowHeight="14.4" x14ac:dyDescent="0.3"/>
  <cols>
    <col min="1" max="1" width="34.5546875" customWidth="1"/>
    <col min="3" max="3" width="22" customWidth="1"/>
    <col min="4" max="4" width="6" bestFit="1" customWidth="1"/>
  </cols>
  <sheetData>
    <row r="1" spans="1:5" x14ac:dyDescent="0.3">
      <c r="A1" s="8" t="s">
        <v>2</v>
      </c>
      <c r="B1" s="9" t="s">
        <v>3</v>
      </c>
      <c r="C1" s="8" t="s">
        <v>4</v>
      </c>
      <c r="D1" s="10" t="s">
        <v>5</v>
      </c>
      <c r="E1" s="11" t="s">
        <v>28</v>
      </c>
    </row>
    <row r="2" spans="1:5" x14ac:dyDescent="0.3">
      <c r="A2" s="12" t="s">
        <v>70</v>
      </c>
      <c r="B2" s="13">
        <v>0.05</v>
      </c>
      <c r="C2" s="12" t="s">
        <v>146</v>
      </c>
      <c r="D2" s="14">
        <f>SUM(B2:B11)</f>
        <v>1</v>
      </c>
      <c r="E2" s="11"/>
    </row>
    <row r="3" spans="1:5" x14ac:dyDescent="0.3">
      <c r="A3" s="12" t="s">
        <v>71</v>
      </c>
      <c r="B3" s="13">
        <v>0</v>
      </c>
      <c r="C3" s="12" t="s">
        <v>146</v>
      </c>
      <c r="D3" s="14"/>
      <c r="E3" s="11"/>
    </row>
    <row r="4" spans="1:5" x14ac:dyDescent="0.3">
      <c r="A4" s="12" t="s">
        <v>124</v>
      </c>
      <c r="B4" s="13">
        <v>0</v>
      </c>
      <c r="C4" s="12" t="s">
        <v>146</v>
      </c>
      <c r="D4" s="14"/>
      <c r="E4" s="11"/>
    </row>
    <row r="5" spans="1:5" x14ac:dyDescent="0.3">
      <c r="A5" s="12" t="s">
        <v>72</v>
      </c>
      <c r="B5" s="13">
        <v>0.8</v>
      </c>
      <c r="C5" s="12" t="s">
        <v>146</v>
      </c>
      <c r="D5" s="15"/>
      <c r="E5" s="11"/>
    </row>
    <row r="6" spans="1:5" x14ac:dyDescent="0.3">
      <c r="A6" s="12" t="s">
        <v>73</v>
      </c>
      <c r="B6" s="13">
        <v>0.08</v>
      </c>
      <c r="C6" s="12" t="s">
        <v>146</v>
      </c>
      <c r="D6" s="15"/>
      <c r="E6" s="11"/>
    </row>
    <row r="7" spans="1:5" x14ac:dyDescent="0.3">
      <c r="A7" s="12" t="s">
        <v>74</v>
      </c>
      <c r="B7" s="13">
        <v>0.02</v>
      </c>
      <c r="C7" s="12" t="s">
        <v>146</v>
      </c>
      <c r="D7" s="15"/>
      <c r="E7" s="11"/>
    </row>
    <row r="8" spans="1:5" x14ac:dyDescent="0.3">
      <c r="A8" s="12" t="s">
        <v>75</v>
      </c>
      <c r="B8" s="13">
        <v>0.02</v>
      </c>
      <c r="C8" s="12" t="s">
        <v>146</v>
      </c>
      <c r="D8" s="15"/>
      <c r="E8" s="11"/>
    </row>
    <row r="9" spans="1:5" x14ac:dyDescent="0.3">
      <c r="A9" s="12" t="s">
        <v>135</v>
      </c>
      <c r="B9" s="13">
        <v>1.4999999999999999E-2</v>
      </c>
      <c r="C9" s="12" t="s">
        <v>148</v>
      </c>
      <c r="D9" s="15"/>
      <c r="E9" s="11"/>
    </row>
    <row r="10" spans="1:5" x14ac:dyDescent="0.3">
      <c r="A10" s="12" t="s">
        <v>136</v>
      </c>
      <c r="B10" s="13">
        <v>1.4999999999999999E-2</v>
      </c>
      <c r="C10" s="12" t="s">
        <v>148</v>
      </c>
      <c r="D10" s="15"/>
      <c r="E10" s="11"/>
    </row>
    <row r="11" spans="1:5" x14ac:dyDescent="0.3">
      <c r="A11" s="12" t="s">
        <v>6</v>
      </c>
      <c r="B11" s="13">
        <v>0</v>
      </c>
      <c r="C11" s="12" t="s">
        <v>147</v>
      </c>
      <c r="D11" s="15"/>
      <c r="E11" s="11"/>
    </row>
    <row r="12" spans="1:5" x14ac:dyDescent="0.3">
      <c r="A12" s="12" t="s">
        <v>76</v>
      </c>
      <c r="B12" s="13">
        <v>0.05</v>
      </c>
      <c r="C12" s="12" t="s">
        <v>153</v>
      </c>
      <c r="D12" s="14">
        <f>SUM(B12:B21)</f>
        <v>1</v>
      </c>
      <c r="E12" s="11"/>
    </row>
    <row r="13" spans="1:5" x14ac:dyDescent="0.3">
      <c r="A13" s="12" t="s">
        <v>77</v>
      </c>
      <c r="B13" s="13">
        <v>0</v>
      </c>
      <c r="C13" s="12" t="s">
        <v>153</v>
      </c>
      <c r="D13" s="15"/>
      <c r="E13" s="11"/>
    </row>
    <row r="14" spans="1:5" x14ac:dyDescent="0.3">
      <c r="A14" s="12" t="s">
        <v>125</v>
      </c>
      <c r="B14" s="13">
        <v>0</v>
      </c>
      <c r="C14" s="12" t="s">
        <v>153</v>
      </c>
      <c r="D14" s="15"/>
      <c r="E14" s="11"/>
    </row>
    <row r="15" spans="1:5" x14ac:dyDescent="0.3">
      <c r="A15" s="12" t="s">
        <v>78</v>
      </c>
      <c r="B15" s="13">
        <v>0.8</v>
      </c>
      <c r="C15" s="12" t="s">
        <v>153</v>
      </c>
      <c r="D15" s="15"/>
      <c r="E15" s="11"/>
    </row>
    <row r="16" spans="1:5" x14ac:dyDescent="0.3">
      <c r="A16" s="12" t="s">
        <v>79</v>
      </c>
      <c r="B16" s="13">
        <v>0.08</v>
      </c>
      <c r="C16" s="12" t="s">
        <v>153</v>
      </c>
      <c r="D16" s="15"/>
      <c r="E16" s="11"/>
    </row>
    <row r="17" spans="1:5" x14ac:dyDescent="0.3">
      <c r="A17" s="12" t="s">
        <v>80</v>
      </c>
      <c r="B17" s="13">
        <v>0.02</v>
      </c>
      <c r="C17" s="12" t="s">
        <v>153</v>
      </c>
      <c r="D17" s="15"/>
      <c r="E17" s="11"/>
    </row>
    <row r="18" spans="1:5" x14ac:dyDescent="0.3">
      <c r="A18" s="12" t="s">
        <v>81</v>
      </c>
      <c r="B18" s="13">
        <v>0.02</v>
      </c>
      <c r="C18" s="12" t="s">
        <v>153</v>
      </c>
      <c r="D18" s="15"/>
      <c r="E18" s="11"/>
    </row>
    <row r="19" spans="1:5" x14ac:dyDescent="0.3">
      <c r="A19" s="12" t="s">
        <v>137</v>
      </c>
      <c r="B19" s="13">
        <v>1.4999999999999999E-2</v>
      </c>
      <c r="C19" s="12" t="s">
        <v>153</v>
      </c>
      <c r="D19" s="15"/>
      <c r="E19" s="11"/>
    </row>
    <row r="20" spans="1:5" x14ac:dyDescent="0.3">
      <c r="A20" s="12" t="s">
        <v>138</v>
      </c>
      <c r="B20" s="13">
        <v>1.4999999999999999E-2</v>
      </c>
      <c r="C20" s="12" t="s">
        <v>153</v>
      </c>
      <c r="D20" s="15"/>
      <c r="E20" s="11"/>
    </row>
    <row r="21" spans="1:5" x14ac:dyDescent="0.3">
      <c r="A21" s="12" t="s">
        <v>7</v>
      </c>
      <c r="B21" s="13">
        <v>0</v>
      </c>
      <c r="C21" s="12" t="s">
        <v>153</v>
      </c>
      <c r="D21" s="15"/>
      <c r="E21" s="11"/>
    </row>
    <row r="22" spans="1:5" x14ac:dyDescent="0.3">
      <c r="A22" s="12" t="s">
        <v>82</v>
      </c>
      <c r="B22" s="13">
        <v>0.05</v>
      </c>
      <c r="C22" s="12" t="s">
        <v>150</v>
      </c>
      <c r="D22" s="14">
        <f>SUM(B22:B31)</f>
        <v>1</v>
      </c>
      <c r="E22" s="11"/>
    </row>
    <row r="23" spans="1:5" x14ac:dyDescent="0.3">
      <c r="A23" s="12" t="s">
        <v>83</v>
      </c>
      <c r="B23" s="13">
        <v>0</v>
      </c>
      <c r="C23" s="12" t="s">
        <v>150</v>
      </c>
      <c r="D23" s="15"/>
      <c r="E23" s="11"/>
    </row>
    <row r="24" spans="1:5" x14ac:dyDescent="0.3">
      <c r="A24" s="12" t="s">
        <v>126</v>
      </c>
      <c r="B24" s="13">
        <v>0</v>
      </c>
      <c r="C24" s="12" t="s">
        <v>150</v>
      </c>
      <c r="D24" s="15"/>
      <c r="E24" s="11"/>
    </row>
    <row r="25" spans="1:5" x14ac:dyDescent="0.3">
      <c r="A25" s="12" t="s">
        <v>84</v>
      </c>
      <c r="B25" s="13">
        <v>0.8</v>
      </c>
      <c r="C25" s="12" t="s">
        <v>150</v>
      </c>
      <c r="D25" s="15"/>
      <c r="E25" s="11"/>
    </row>
    <row r="26" spans="1:5" x14ac:dyDescent="0.3">
      <c r="A26" s="12" t="s">
        <v>85</v>
      </c>
      <c r="B26" s="13">
        <v>0.08</v>
      </c>
      <c r="C26" s="12" t="s">
        <v>150</v>
      </c>
      <c r="D26" s="15"/>
      <c r="E26" s="11"/>
    </row>
    <row r="27" spans="1:5" x14ac:dyDescent="0.3">
      <c r="A27" s="12" t="s">
        <v>86</v>
      </c>
      <c r="B27" s="13">
        <v>0.02</v>
      </c>
      <c r="C27" s="12" t="s">
        <v>150</v>
      </c>
      <c r="D27" s="15"/>
      <c r="E27" s="11"/>
    </row>
    <row r="28" spans="1:5" x14ac:dyDescent="0.3">
      <c r="A28" s="12" t="s">
        <v>87</v>
      </c>
      <c r="B28" s="13">
        <v>0.02</v>
      </c>
      <c r="C28" s="12" t="s">
        <v>150</v>
      </c>
      <c r="D28" s="15"/>
      <c r="E28" s="11"/>
    </row>
    <row r="29" spans="1:5" x14ac:dyDescent="0.3">
      <c r="A29" s="12" t="s">
        <v>139</v>
      </c>
      <c r="B29" s="13">
        <v>1.4999999999999999E-2</v>
      </c>
      <c r="C29" s="12" t="s">
        <v>150</v>
      </c>
      <c r="D29" s="15"/>
      <c r="E29" s="11"/>
    </row>
    <row r="30" spans="1:5" x14ac:dyDescent="0.3">
      <c r="A30" s="12" t="s">
        <v>140</v>
      </c>
      <c r="B30" s="13">
        <v>1.4999999999999999E-2</v>
      </c>
      <c r="C30" s="12" t="s">
        <v>150</v>
      </c>
      <c r="D30" s="15"/>
      <c r="E30" s="11"/>
    </row>
    <row r="31" spans="1:5" x14ac:dyDescent="0.3">
      <c r="A31" s="12" t="s">
        <v>42</v>
      </c>
      <c r="B31" s="13">
        <v>0</v>
      </c>
      <c r="C31" s="12" t="s">
        <v>150</v>
      </c>
      <c r="D31" s="15"/>
      <c r="E31" s="11"/>
    </row>
    <row r="32" spans="1:5" x14ac:dyDescent="0.3">
      <c r="A32" s="12" t="s">
        <v>132</v>
      </c>
      <c r="B32" s="13">
        <f>0.96*0.5</f>
        <v>0.48</v>
      </c>
      <c r="C32" s="12" t="s">
        <v>149</v>
      </c>
      <c r="D32" s="14">
        <f>SUM(B32:B34)</f>
        <v>1</v>
      </c>
      <c r="E32" s="11"/>
    </row>
    <row r="33" spans="1:5" x14ac:dyDescent="0.3">
      <c r="A33" s="12" t="s">
        <v>133</v>
      </c>
      <c r="B33" s="13">
        <f>0.96*0.5</f>
        <v>0.48</v>
      </c>
      <c r="C33" s="12" t="s">
        <v>149</v>
      </c>
      <c r="D33" s="15"/>
      <c r="E33" s="11"/>
    </row>
    <row r="34" spans="1:5" x14ac:dyDescent="0.3">
      <c r="A34" s="12" t="s">
        <v>134</v>
      </c>
      <c r="B34" s="13">
        <v>0.04</v>
      </c>
      <c r="C34" s="12" t="s">
        <v>146</v>
      </c>
      <c r="D34" s="15"/>
      <c r="E34" s="11"/>
    </row>
    <row r="35" spans="1:5" x14ac:dyDescent="0.3">
      <c r="A35" s="12" t="s">
        <v>88</v>
      </c>
      <c r="B35" s="13">
        <v>0.50759999999999994</v>
      </c>
      <c r="C35" s="12" t="s">
        <v>15</v>
      </c>
      <c r="D35" s="14">
        <f>SUM(B35:B37)</f>
        <v>1</v>
      </c>
      <c r="E35" s="11" t="s">
        <v>61</v>
      </c>
    </row>
    <row r="36" spans="1:5" x14ac:dyDescent="0.3">
      <c r="A36" s="12" t="s">
        <v>90</v>
      </c>
      <c r="B36" s="13">
        <v>0.48259999999999997</v>
      </c>
      <c r="C36" s="12" t="s">
        <v>15</v>
      </c>
      <c r="D36" s="15"/>
      <c r="E36" s="11" t="s">
        <v>60</v>
      </c>
    </row>
    <row r="37" spans="1:5" x14ac:dyDescent="0.3">
      <c r="A37" s="12" t="s">
        <v>89</v>
      </c>
      <c r="B37" s="13">
        <v>9.8000000000000014E-3</v>
      </c>
      <c r="C37" s="12" t="s">
        <v>15</v>
      </c>
      <c r="D37" s="15"/>
      <c r="E37" s="11"/>
    </row>
    <row r="38" spans="1:5" x14ac:dyDescent="0.3">
      <c r="A38" s="12" t="s">
        <v>127</v>
      </c>
      <c r="B38" s="13">
        <v>0</v>
      </c>
      <c r="C38" s="12"/>
      <c r="D38" s="15"/>
      <c r="E38" s="11" t="s">
        <v>62</v>
      </c>
    </row>
    <row r="39" spans="1:5" x14ac:dyDescent="0.3">
      <c r="A39" s="12" t="s">
        <v>129</v>
      </c>
      <c r="B39" s="13">
        <v>1</v>
      </c>
      <c r="C39" s="12"/>
      <c r="D39" s="14">
        <f>SUM(B39:B40)</f>
        <v>1</v>
      </c>
      <c r="E39" s="11"/>
    </row>
    <row r="40" spans="1:5" x14ac:dyDescent="0.3">
      <c r="A40" s="12" t="s">
        <v>130</v>
      </c>
      <c r="B40" s="13">
        <v>0</v>
      </c>
      <c r="C40" s="12"/>
      <c r="D40" s="15"/>
      <c r="E40" s="11"/>
    </row>
    <row r="41" spans="1:5" x14ac:dyDescent="0.3">
      <c r="A41" s="12" t="s">
        <v>91</v>
      </c>
      <c r="B41" s="13">
        <v>0.35</v>
      </c>
      <c r="C41" s="12" t="s">
        <v>146</v>
      </c>
      <c r="D41" s="14">
        <f>SUM(B41:B50)</f>
        <v>0.99992010000000009</v>
      </c>
      <c r="E41" s="11"/>
    </row>
    <row r="42" spans="1:5" x14ac:dyDescent="0.3">
      <c r="A42" s="12" t="s">
        <v>145</v>
      </c>
      <c r="B42" s="13">
        <v>0</v>
      </c>
      <c r="C42" s="12" t="s">
        <v>147</v>
      </c>
      <c r="D42" s="14"/>
      <c r="E42" s="11"/>
    </row>
    <row r="43" spans="1:5" x14ac:dyDescent="0.3">
      <c r="A43" s="12" t="s">
        <v>92</v>
      </c>
      <c r="B43" s="13">
        <v>0.18</v>
      </c>
      <c r="C43" s="12" t="s">
        <v>146</v>
      </c>
      <c r="D43" s="14"/>
      <c r="E43" s="11"/>
    </row>
    <row r="44" spans="1:5" x14ac:dyDescent="0.3">
      <c r="A44" s="12" t="s">
        <v>93</v>
      </c>
      <c r="B44" s="13">
        <f>0.47*0.2755</f>
        <v>0.12948500000000002</v>
      </c>
      <c r="C44" s="12" t="s">
        <v>146</v>
      </c>
      <c r="D44" s="14"/>
      <c r="E44" s="11"/>
    </row>
    <row r="45" spans="1:5" x14ac:dyDescent="0.3">
      <c r="A45" s="12" t="s">
        <v>94</v>
      </c>
      <c r="B45" s="13">
        <f>0.47*0.01857</f>
        <v>8.7278999999999985E-3</v>
      </c>
      <c r="C45" s="12" t="s">
        <v>146</v>
      </c>
      <c r="D45" s="14"/>
      <c r="E45" s="11"/>
    </row>
    <row r="46" spans="1:5" x14ac:dyDescent="0.3">
      <c r="A46" s="12" t="s">
        <v>95</v>
      </c>
      <c r="B46" s="13">
        <f>0.47*0.0774</f>
        <v>3.6377999999999994E-2</v>
      </c>
      <c r="C46" s="12" t="s">
        <v>146</v>
      </c>
      <c r="D46" s="14"/>
      <c r="E46" s="11"/>
    </row>
    <row r="47" spans="1:5" x14ac:dyDescent="0.3">
      <c r="A47" s="12" t="s">
        <v>96</v>
      </c>
      <c r="B47" s="13">
        <f>0.47*0.1269</f>
        <v>5.9643000000000002E-2</v>
      </c>
      <c r="C47" s="12" t="s">
        <v>146</v>
      </c>
      <c r="D47" s="14"/>
      <c r="E47" s="11"/>
    </row>
    <row r="48" spans="1:5" x14ac:dyDescent="0.3">
      <c r="A48" s="12" t="s">
        <v>97</v>
      </c>
      <c r="B48" s="13">
        <f>0.47*0.0928</f>
        <v>4.3615999999999995E-2</v>
      </c>
      <c r="C48" s="12" t="s">
        <v>146</v>
      </c>
      <c r="D48" s="14"/>
      <c r="E48" s="11"/>
    </row>
    <row r="49" spans="1:5" x14ac:dyDescent="0.3">
      <c r="A49" s="12" t="s">
        <v>98</v>
      </c>
      <c r="B49" s="13">
        <f>0.47*0.26006</f>
        <v>0.1222282</v>
      </c>
      <c r="C49" s="12" t="s">
        <v>146</v>
      </c>
      <c r="D49" s="14"/>
      <c r="E49" s="11"/>
    </row>
    <row r="50" spans="1:5" x14ac:dyDescent="0.3">
      <c r="A50" s="12" t="s">
        <v>99</v>
      </c>
      <c r="B50" s="13">
        <f>0.47*0.1486</f>
        <v>6.9842000000000001E-2</v>
      </c>
      <c r="C50" s="12" t="s">
        <v>146</v>
      </c>
      <c r="D50" s="14"/>
      <c r="E50" s="11"/>
    </row>
    <row r="51" spans="1:5" x14ac:dyDescent="0.3">
      <c r="A51" s="12" t="s">
        <v>100</v>
      </c>
      <c r="B51" s="13">
        <v>0.24</v>
      </c>
      <c r="C51" s="12" t="s">
        <v>146</v>
      </c>
      <c r="D51" s="14">
        <f>SUM(B51:B62)</f>
        <v>0.99989600000000001</v>
      </c>
      <c r="E51" s="11"/>
    </row>
    <row r="52" spans="1:5" x14ac:dyDescent="0.3">
      <c r="A52" s="12" t="s">
        <v>131</v>
      </c>
      <c r="B52" s="13">
        <v>0</v>
      </c>
      <c r="C52" s="12" t="s">
        <v>147</v>
      </c>
      <c r="D52" s="14"/>
      <c r="E52" s="11"/>
    </row>
    <row r="53" spans="1:5" x14ac:dyDescent="0.3">
      <c r="A53" s="12" t="s">
        <v>151</v>
      </c>
      <c r="B53" s="3">
        <v>0.08</v>
      </c>
      <c r="C53" s="12" t="s">
        <v>146</v>
      </c>
      <c r="D53" s="7"/>
      <c r="E53" s="11"/>
    </row>
    <row r="54" spans="1:5" x14ac:dyDescent="0.3">
      <c r="A54" s="12" t="s">
        <v>152</v>
      </c>
      <c r="B54" s="3">
        <v>0.08</v>
      </c>
      <c r="C54" s="12" t="s">
        <v>146</v>
      </c>
      <c r="D54" s="7"/>
      <c r="E54" s="11"/>
    </row>
    <row r="55" spans="1:5" x14ac:dyDescent="0.3">
      <c r="A55" s="12" t="s">
        <v>101</v>
      </c>
      <c r="B55" s="13">
        <v>8.5000000000000006E-2</v>
      </c>
      <c r="C55" s="12" t="s">
        <v>146</v>
      </c>
      <c r="D55" s="14"/>
      <c r="E55" s="11"/>
    </row>
    <row r="56" spans="1:5" x14ac:dyDescent="0.3">
      <c r="A56" s="12" t="s">
        <v>102</v>
      </c>
      <c r="B56" s="13">
        <f>0.51*0.28</f>
        <v>0.14280000000000001</v>
      </c>
      <c r="C56" s="12" t="s">
        <v>146</v>
      </c>
      <c r="D56" s="14"/>
      <c r="E56" s="11"/>
    </row>
    <row r="57" spans="1:5" x14ac:dyDescent="0.3">
      <c r="A57" s="12" t="s">
        <v>103</v>
      </c>
      <c r="B57" s="13">
        <f>0.51*0.014</f>
        <v>7.1400000000000005E-3</v>
      </c>
      <c r="C57" s="12" t="s">
        <v>146</v>
      </c>
      <c r="D57" s="14"/>
      <c r="E57" s="11"/>
    </row>
    <row r="58" spans="1:5" x14ac:dyDescent="0.3">
      <c r="A58" s="12" t="s">
        <v>104</v>
      </c>
      <c r="B58" s="13">
        <f>0.51*0.08</f>
        <v>4.0800000000000003E-2</v>
      </c>
      <c r="C58" s="12" t="s">
        <v>146</v>
      </c>
      <c r="D58" s="14"/>
      <c r="E58" s="11"/>
    </row>
    <row r="59" spans="1:5" x14ac:dyDescent="0.3">
      <c r="A59" s="12" t="s">
        <v>105</v>
      </c>
      <c r="B59" s="13">
        <f>0.51*0.13</f>
        <v>6.6299999999999998E-2</v>
      </c>
      <c r="C59" s="12" t="s">
        <v>146</v>
      </c>
      <c r="D59" s="14"/>
      <c r="E59" s="11"/>
    </row>
    <row r="60" spans="1:5" x14ac:dyDescent="0.3">
      <c r="A60" s="12" t="s">
        <v>106</v>
      </c>
      <c r="B60" s="13">
        <f>0.51*0.097</f>
        <v>4.947E-2</v>
      </c>
      <c r="C60" s="12" t="s">
        <v>146</v>
      </c>
      <c r="D60" s="14"/>
      <c r="E60" s="11"/>
    </row>
    <row r="61" spans="1:5" x14ac:dyDescent="0.3">
      <c r="A61" s="12" t="s">
        <v>107</v>
      </c>
      <c r="B61" s="13">
        <f>0.51*0.26</f>
        <v>0.1326</v>
      </c>
      <c r="C61" s="12" t="s">
        <v>146</v>
      </c>
      <c r="D61" s="14"/>
      <c r="E61" s="11"/>
    </row>
    <row r="62" spans="1:5" x14ac:dyDescent="0.3">
      <c r="A62" s="12" t="s">
        <v>108</v>
      </c>
      <c r="B62" s="13">
        <f>0.51*0.1486</f>
        <v>7.5786000000000006E-2</v>
      </c>
      <c r="C62" s="12" t="s">
        <v>146</v>
      </c>
      <c r="D62" s="14"/>
      <c r="E62" s="11"/>
    </row>
    <row r="63" spans="1:5" x14ac:dyDescent="0.3">
      <c r="A63" s="12" t="s">
        <v>109</v>
      </c>
      <c r="B63" s="13">
        <v>0.16</v>
      </c>
      <c r="C63" s="12" t="s">
        <v>146</v>
      </c>
      <c r="D63" s="14">
        <f>SUM(B63:B70)</f>
        <v>0.99985720000000011</v>
      </c>
      <c r="E63" s="11"/>
    </row>
    <row r="64" spans="1:5" x14ac:dyDescent="0.3">
      <c r="A64" s="12" t="s">
        <v>110</v>
      </c>
      <c r="B64" s="13">
        <f>0.84*0.2755</f>
        <v>0.23142000000000001</v>
      </c>
      <c r="C64" s="12" t="s">
        <v>146</v>
      </c>
      <c r="D64" s="14"/>
      <c r="E64" s="11"/>
    </row>
    <row r="65" spans="1:5" x14ac:dyDescent="0.3">
      <c r="A65" s="12" t="s">
        <v>111</v>
      </c>
      <c r="B65" s="13">
        <f>0.84*0.01857</f>
        <v>1.5598799999999999E-2</v>
      </c>
      <c r="C65" s="12" t="s">
        <v>146</v>
      </c>
      <c r="D65" s="14"/>
      <c r="E65" s="11"/>
    </row>
    <row r="66" spans="1:5" x14ac:dyDescent="0.3">
      <c r="A66" s="12" t="s">
        <v>112</v>
      </c>
      <c r="B66" s="13">
        <f>0.84*0.0774</f>
        <v>6.501599999999999E-2</v>
      </c>
      <c r="C66" s="12" t="s">
        <v>146</v>
      </c>
      <c r="D66" s="14"/>
      <c r="E66" s="11"/>
    </row>
    <row r="67" spans="1:5" x14ac:dyDescent="0.3">
      <c r="A67" s="12" t="s">
        <v>113</v>
      </c>
      <c r="B67" s="13">
        <f>0.84*0.1269</f>
        <v>0.10659600000000001</v>
      </c>
      <c r="C67" s="12" t="s">
        <v>146</v>
      </c>
      <c r="D67" s="14"/>
      <c r="E67" s="11"/>
    </row>
    <row r="68" spans="1:5" x14ac:dyDescent="0.3">
      <c r="A68" s="12" t="s">
        <v>114</v>
      </c>
      <c r="B68" s="13">
        <f>0.84*0.0928</f>
        <v>7.7951999999999994E-2</v>
      </c>
      <c r="C68" s="12" t="s">
        <v>146</v>
      </c>
      <c r="D68" s="14"/>
      <c r="E68" s="11"/>
    </row>
    <row r="69" spans="1:5" x14ac:dyDescent="0.3">
      <c r="A69" s="12" t="s">
        <v>115</v>
      </c>
      <c r="B69" s="13">
        <f>0.84*0.26006</f>
        <v>0.21845040000000002</v>
      </c>
      <c r="C69" s="12" t="s">
        <v>146</v>
      </c>
      <c r="D69" s="14"/>
      <c r="E69" s="11"/>
    </row>
    <row r="70" spans="1:5" x14ac:dyDescent="0.3">
      <c r="A70" s="12" t="s">
        <v>116</v>
      </c>
      <c r="B70" s="13">
        <f>0.84*0.1486</f>
        <v>0.124824</v>
      </c>
      <c r="C70" s="12" t="s">
        <v>146</v>
      </c>
      <c r="D70" s="14"/>
      <c r="E70" s="11"/>
    </row>
    <row r="71" spans="1:5" x14ac:dyDescent="0.3">
      <c r="A71" s="12" t="s">
        <v>128</v>
      </c>
      <c r="B71" s="13">
        <v>0.16</v>
      </c>
      <c r="C71" s="12" t="s">
        <v>146</v>
      </c>
      <c r="D71" s="14">
        <f>SUM(B71:B78)</f>
        <v>0.99985720000000011</v>
      </c>
      <c r="E71" s="11"/>
    </row>
    <row r="72" spans="1:5" x14ac:dyDescent="0.3">
      <c r="A72" s="12" t="s">
        <v>117</v>
      </c>
      <c r="B72" s="13">
        <f>0.84*0.2755</f>
        <v>0.23142000000000001</v>
      </c>
      <c r="C72" s="12" t="s">
        <v>146</v>
      </c>
      <c r="D72" s="14"/>
      <c r="E72" s="11"/>
    </row>
    <row r="73" spans="1:5" x14ac:dyDescent="0.3">
      <c r="A73" s="12" t="s">
        <v>118</v>
      </c>
      <c r="B73" s="13">
        <f>0.84*0.01857</f>
        <v>1.5598799999999999E-2</v>
      </c>
      <c r="C73" s="12" t="s">
        <v>146</v>
      </c>
      <c r="D73" s="14"/>
      <c r="E73" s="11"/>
    </row>
    <row r="74" spans="1:5" x14ac:dyDescent="0.3">
      <c r="A74" s="12" t="s">
        <v>119</v>
      </c>
      <c r="B74" s="13">
        <f>0.84*0.0774</f>
        <v>6.501599999999999E-2</v>
      </c>
      <c r="C74" s="12" t="s">
        <v>146</v>
      </c>
      <c r="D74" s="14"/>
      <c r="E74" s="11"/>
    </row>
    <row r="75" spans="1:5" x14ac:dyDescent="0.3">
      <c r="A75" s="12" t="s">
        <v>120</v>
      </c>
      <c r="B75" s="13">
        <f>0.84*0.1269</f>
        <v>0.10659600000000001</v>
      </c>
      <c r="C75" s="12" t="s">
        <v>146</v>
      </c>
      <c r="D75" s="14"/>
      <c r="E75" s="11"/>
    </row>
    <row r="76" spans="1:5" x14ac:dyDescent="0.3">
      <c r="A76" s="12" t="s">
        <v>121</v>
      </c>
      <c r="B76" s="13">
        <f>0.84*0.0928</f>
        <v>7.7951999999999994E-2</v>
      </c>
      <c r="C76" s="12" t="s">
        <v>146</v>
      </c>
      <c r="D76" s="14"/>
      <c r="E76" s="11"/>
    </row>
    <row r="77" spans="1:5" x14ac:dyDescent="0.3">
      <c r="A77" s="12" t="s">
        <v>122</v>
      </c>
      <c r="B77" s="13">
        <f>0.84*0.26006</f>
        <v>0.21845040000000002</v>
      </c>
      <c r="C77" s="12" t="s">
        <v>146</v>
      </c>
      <c r="D77" s="14"/>
      <c r="E77" s="11"/>
    </row>
    <row r="78" spans="1:5" x14ac:dyDescent="0.3">
      <c r="A78" s="12" t="s">
        <v>123</v>
      </c>
      <c r="B78" s="13">
        <f>0.84*0.1486</f>
        <v>0.124824</v>
      </c>
      <c r="C78" s="12" t="s">
        <v>146</v>
      </c>
      <c r="D78" s="14"/>
      <c r="E78" s="11"/>
    </row>
    <row r="79" spans="1:5" x14ac:dyDescent="0.3">
      <c r="A79" s="12" t="s">
        <v>141</v>
      </c>
      <c r="B79" s="13">
        <v>1</v>
      </c>
      <c r="C79" s="12"/>
      <c r="D79" s="14"/>
      <c r="E79" s="11"/>
    </row>
    <row r="80" spans="1:5" x14ac:dyDescent="0.3">
      <c r="A80" s="12" t="s">
        <v>142</v>
      </c>
      <c r="B80" s="13">
        <v>0.8</v>
      </c>
      <c r="C80" s="12"/>
      <c r="D80" s="14"/>
      <c r="E80" s="11"/>
    </row>
    <row r="81" spans="1:5" x14ac:dyDescent="0.3">
      <c r="A81" s="12" t="s">
        <v>143</v>
      </c>
      <c r="B81" s="13">
        <v>0.1</v>
      </c>
      <c r="C81" s="12"/>
      <c r="D81" s="14"/>
      <c r="E81" s="11"/>
    </row>
    <row r="82" spans="1:5" x14ac:dyDescent="0.3">
      <c r="A82" s="12" t="s">
        <v>144</v>
      </c>
      <c r="B82" s="13">
        <v>0.1</v>
      </c>
      <c r="C82" s="12"/>
      <c r="D82" s="14"/>
      <c r="E82" s="11"/>
    </row>
    <row r="83" spans="1:5" x14ac:dyDescent="0.3">
      <c r="A83" s="12" t="s">
        <v>16</v>
      </c>
      <c r="B83" s="13">
        <v>90</v>
      </c>
      <c r="C83" s="12" t="s">
        <v>24</v>
      </c>
      <c r="D83" s="14"/>
      <c r="E83" s="11"/>
    </row>
    <row r="84" spans="1:5" x14ac:dyDescent="0.3">
      <c r="A84" s="12" t="s">
        <v>17</v>
      </c>
      <c r="B84" s="13">
        <v>75</v>
      </c>
      <c r="C84" s="12" t="s">
        <v>24</v>
      </c>
      <c r="D84" s="14"/>
      <c r="E84" s="11"/>
    </row>
    <row r="85" spans="1:5" x14ac:dyDescent="0.3">
      <c r="A85" s="12" t="s">
        <v>18</v>
      </c>
      <c r="B85" s="13">
        <v>75</v>
      </c>
      <c r="C85" s="12" t="s">
        <v>25</v>
      </c>
      <c r="D85" s="14"/>
      <c r="E85" s="11"/>
    </row>
    <row r="86" spans="1:5" x14ac:dyDescent="0.3">
      <c r="A86" s="12" t="s">
        <v>19</v>
      </c>
      <c r="B86" s="13">
        <v>38</v>
      </c>
      <c r="C86" s="12" t="s">
        <v>24</v>
      </c>
      <c r="D86" s="14"/>
      <c r="E86" s="11"/>
    </row>
    <row r="87" spans="1:5" x14ac:dyDescent="0.3">
      <c r="A87" s="12" t="s">
        <v>26</v>
      </c>
      <c r="B87" s="13">
        <v>2</v>
      </c>
      <c r="C87" s="12" t="s">
        <v>24</v>
      </c>
      <c r="D87" s="14"/>
      <c r="E87" s="11"/>
    </row>
    <row r="88" spans="1:5" x14ac:dyDescent="0.3">
      <c r="A88" s="12" t="s">
        <v>20</v>
      </c>
      <c r="B88" s="13">
        <v>30</v>
      </c>
      <c r="C88" s="12" t="s">
        <v>24</v>
      </c>
      <c r="D88" s="14"/>
      <c r="E88" s="6"/>
    </row>
    <row r="89" spans="1:5" x14ac:dyDescent="0.3">
      <c r="A89" s="12" t="s">
        <v>21</v>
      </c>
      <c r="B89" s="13">
        <v>38</v>
      </c>
      <c r="C89" s="12" t="s">
        <v>24</v>
      </c>
      <c r="D89" s="14"/>
      <c r="E89" s="6"/>
    </row>
    <row r="90" spans="1:5" x14ac:dyDescent="0.3">
      <c r="A90" s="12" t="s">
        <v>22</v>
      </c>
      <c r="B90" s="13">
        <v>2.5</v>
      </c>
      <c r="C90" s="12" t="s">
        <v>24</v>
      </c>
      <c r="D90" s="15"/>
      <c r="E90" s="6"/>
    </row>
    <row r="91" spans="1:5" x14ac:dyDescent="0.3">
      <c r="A91" s="12" t="s">
        <v>68</v>
      </c>
      <c r="B91" s="13">
        <v>1</v>
      </c>
      <c r="C91" s="12"/>
      <c r="D91" s="15"/>
      <c r="E91" s="6"/>
    </row>
    <row r="92" spans="1:5" x14ac:dyDescent="0.3">
      <c r="A92" s="12" t="s">
        <v>23</v>
      </c>
      <c r="B92" s="13">
        <v>2</v>
      </c>
      <c r="C92" s="12"/>
      <c r="D92" s="15"/>
      <c r="E92" s="11"/>
    </row>
    <row r="93" spans="1:5" x14ac:dyDescent="0.3">
      <c r="A93" s="12" t="s">
        <v>63</v>
      </c>
      <c r="B93" s="13">
        <v>5</v>
      </c>
      <c r="C93" s="12" t="s">
        <v>64</v>
      </c>
      <c r="D93" s="15"/>
      <c r="E93" s="11"/>
    </row>
    <row r="94" spans="1:5" x14ac:dyDescent="0.3">
      <c r="A94" s="12" t="s">
        <v>27</v>
      </c>
      <c r="B94" s="13">
        <v>0.42</v>
      </c>
      <c r="C94" s="12" t="s">
        <v>24</v>
      </c>
      <c r="D94" s="15"/>
      <c r="E94" s="11"/>
    </row>
    <row r="95" spans="1:5" x14ac:dyDescent="0.3">
      <c r="A95" s="12" t="s">
        <v>31</v>
      </c>
      <c r="B95" s="13">
        <v>0.5</v>
      </c>
      <c r="C95" s="12"/>
      <c r="D95" s="14">
        <f>SUM(B95:B96)</f>
        <v>1</v>
      </c>
      <c r="E95" s="11"/>
    </row>
    <row r="96" spans="1:5" x14ac:dyDescent="0.3">
      <c r="A96" s="12" t="s">
        <v>43</v>
      </c>
      <c r="B96" s="13">
        <v>0.5</v>
      </c>
      <c r="C96" s="12"/>
      <c r="D96" s="15"/>
      <c r="E96" s="11"/>
    </row>
    <row r="97" spans="1:5" x14ac:dyDescent="0.3">
      <c r="A97" s="12" t="s">
        <v>32</v>
      </c>
      <c r="B97" s="13">
        <v>0.03</v>
      </c>
      <c r="C97" s="12" t="s">
        <v>40</v>
      </c>
      <c r="D97" s="15"/>
      <c r="E97" s="11"/>
    </row>
    <row r="98" spans="1:5" x14ac:dyDescent="0.3">
      <c r="A98" s="12" t="s">
        <v>44</v>
      </c>
      <c r="B98" s="13">
        <v>0.97</v>
      </c>
      <c r="C98" s="12" t="s">
        <v>40</v>
      </c>
      <c r="D98" s="15"/>
      <c r="E98" s="11"/>
    </row>
    <row r="99" spans="1:5" x14ac:dyDescent="0.3">
      <c r="A99" s="12" t="s">
        <v>33</v>
      </c>
      <c r="B99" s="13">
        <v>0.03</v>
      </c>
      <c r="C99" s="12" t="s">
        <v>40</v>
      </c>
      <c r="D99" s="15"/>
      <c r="E99" s="11"/>
    </row>
    <row r="100" spans="1:5" x14ac:dyDescent="0.3">
      <c r="A100" s="12" t="s">
        <v>45</v>
      </c>
      <c r="B100" s="13">
        <v>0.97</v>
      </c>
      <c r="C100" s="12" t="s">
        <v>40</v>
      </c>
      <c r="D100" s="15"/>
      <c r="E100" s="11"/>
    </row>
    <row r="101" spans="1:5" x14ac:dyDescent="0.3">
      <c r="A101" s="12" t="s">
        <v>34</v>
      </c>
      <c r="B101" s="13">
        <v>0.03</v>
      </c>
      <c r="C101" s="12" t="s">
        <v>40</v>
      </c>
      <c r="D101" s="15"/>
      <c r="E101" s="11"/>
    </row>
    <row r="102" spans="1:5" x14ac:dyDescent="0.3">
      <c r="A102" s="12" t="s">
        <v>46</v>
      </c>
      <c r="B102" s="13">
        <v>0.97</v>
      </c>
      <c r="C102" s="12" t="s">
        <v>40</v>
      </c>
      <c r="D102" s="15"/>
      <c r="E102" s="11"/>
    </row>
    <row r="103" spans="1:5" x14ac:dyDescent="0.3">
      <c r="A103" s="12" t="s">
        <v>35</v>
      </c>
      <c r="B103" s="13">
        <v>0.03</v>
      </c>
      <c r="C103" s="12" t="s">
        <v>40</v>
      </c>
      <c r="D103" s="15"/>
      <c r="E103" s="11"/>
    </row>
    <row r="104" spans="1:5" x14ac:dyDescent="0.3">
      <c r="A104" s="12" t="s">
        <v>47</v>
      </c>
      <c r="B104" s="13">
        <v>0.97</v>
      </c>
      <c r="C104" s="12" t="s">
        <v>40</v>
      </c>
      <c r="D104" s="15"/>
      <c r="E104" s="11"/>
    </row>
    <row r="105" spans="1:5" x14ac:dyDescent="0.3">
      <c r="A105" s="12" t="s">
        <v>36</v>
      </c>
      <c r="B105" s="13">
        <v>0.03</v>
      </c>
      <c r="C105" s="12" t="s">
        <v>40</v>
      </c>
      <c r="D105" s="15"/>
      <c r="E105" s="11"/>
    </row>
    <row r="106" spans="1:5" x14ac:dyDescent="0.3">
      <c r="A106" s="12" t="s">
        <v>48</v>
      </c>
      <c r="B106" s="13">
        <v>0.97</v>
      </c>
      <c r="C106" s="12" t="s">
        <v>40</v>
      </c>
      <c r="D106" s="15"/>
      <c r="E106" s="11"/>
    </row>
    <row r="107" spans="1:5" x14ac:dyDescent="0.3">
      <c r="A107" s="12" t="s">
        <v>37</v>
      </c>
      <c r="B107" s="13">
        <v>0.03</v>
      </c>
      <c r="C107" s="12" t="s">
        <v>40</v>
      </c>
      <c r="D107" s="15"/>
      <c r="E107" s="11"/>
    </row>
    <row r="108" spans="1:5" x14ac:dyDescent="0.3">
      <c r="A108" s="12" t="s">
        <v>49</v>
      </c>
      <c r="B108" s="13">
        <v>0.97</v>
      </c>
      <c r="C108" s="12" t="s">
        <v>40</v>
      </c>
      <c r="D108" s="15"/>
      <c r="E108" s="11"/>
    </row>
    <row r="109" spans="1:5" x14ac:dyDescent="0.3">
      <c r="A109" s="12" t="s">
        <v>38</v>
      </c>
      <c r="B109" s="13">
        <v>0.03</v>
      </c>
      <c r="C109" s="12" t="s">
        <v>40</v>
      </c>
      <c r="D109" s="15"/>
      <c r="E109" s="11"/>
    </row>
    <row r="110" spans="1:5" x14ac:dyDescent="0.3">
      <c r="A110" s="12" t="s">
        <v>50</v>
      </c>
      <c r="B110" s="13">
        <v>0.97</v>
      </c>
      <c r="C110" s="12" t="s">
        <v>40</v>
      </c>
      <c r="D110" s="15"/>
      <c r="E110" s="11"/>
    </row>
    <row r="111" spans="1:5" x14ac:dyDescent="0.3">
      <c r="A111" s="12" t="s">
        <v>65</v>
      </c>
      <c r="B111" s="13">
        <v>0.03</v>
      </c>
      <c r="C111" s="12" t="s">
        <v>67</v>
      </c>
      <c r="D111" s="15"/>
      <c r="E111" s="11"/>
    </row>
    <row r="112" spans="1:5" x14ac:dyDescent="0.3">
      <c r="A112" s="12" t="s">
        <v>66</v>
      </c>
      <c r="B112" s="13">
        <v>0.97</v>
      </c>
      <c r="C112" s="12" t="s">
        <v>67</v>
      </c>
      <c r="D112" s="15"/>
      <c r="E112" s="11"/>
    </row>
    <row r="113" spans="1:5" x14ac:dyDescent="0.3">
      <c r="A113" s="12" t="s">
        <v>51</v>
      </c>
      <c r="B113" s="13">
        <v>0.23</v>
      </c>
      <c r="C113" s="12" t="s">
        <v>24</v>
      </c>
      <c r="D113" s="15"/>
      <c r="E113" s="11"/>
    </row>
    <row r="114" spans="1:5" x14ac:dyDescent="0.3">
      <c r="A114" s="12" t="s">
        <v>52</v>
      </c>
      <c r="B114" s="13">
        <v>0.56000000000000005</v>
      </c>
      <c r="C114" s="12" t="s">
        <v>24</v>
      </c>
      <c r="D114" s="15"/>
      <c r="E114" s="11"/>
    </row>
    <row r="115" spans="1:5" x14ac:dyDescent="0.3">
      <c r="A115" s="12" t="s">
        <v>53</v>
      </c>
      <c r="B115" s="13">
        <v>29</v>
      </c>
      <c r="C115" s="12" t="s">
        <v>39</v>
      </c>
      <c r="D115" s="15"/>
      <c r="E115" s="11"/>
    </row>
    <row r="116" spans="1:5" x14ac:dyDescent="0.3">
      <c r="A116" s="12" t="s">
        <v>54</v>
      </c>
      <c r="B116" s="13">
        <v>14.5</v>
      </c>
      <c r="C116" s="12" t="s">
        <v>39</v>
      </c>
      <c r="D116" s="15"/>
      <c r="E116" s="11"/>
    </row>
    <row r="117" spans="1:5" x14ac:dyDescent="0.3">
      <c r="A117" s="12" t="s">
        <v>29</v>
      </c>
      <c r="B117" s="13">
        <v>16.5</v>
      </c>
      <c r="C117" s="12" t="s">
        <v>39</v>
      </c>
      <c r="D117" s="15"/>
      <c r="E117" s="11"/>
    </row>
    <row r="118" spans="1:5" x14ac:dyDescent="0.3">
      <c r="A118" s="12" t="s">
        <v>30</v>
      </c>
      <c r="B118" s="13">
        <v>8.25</v>
      </c>
      <c r="C118" s="12" t="s">
        <v>39</v>
      </c>
      <c r="D118" s="15"/>
      <c r="E118" s="11"/>
    </row>
    <row r="119" spans="1:5" x14ac:dyDescent="0.3">
      <c r="A119" s="12" t="s">
        <v>41</v>
      </c>
      <c r="B119" s="13">
        <v>5</v>
      </c>
      <c r="C119" s="12"/>
      <c r="D119" s="15"/>
      <c r="E119" s="11"/>
    </row>
    <row r="120" spans="1:5" ht="158.4" x14ac:dyDescent="0.3">
      <c r="A120" s="12" t="s">
        <v>55</v>
      </c>
      <c r="B120" s="13">
        <v>0.5</v>
      </c>
      <c r="C120" s="16" t="s">
        <v>56</v>
      </c>
      <c r="D120" s="15"/>
      <c r="E120" s="11"/>
    </row>
    <row r="121" spans="1:5" x14ac:dyDescent="0.3">
      <c r="A121" s="12" t="s">
        <v>69</v>
      </c>
      <c r="B121" s="17">
        <v>0.99999850000000001</v>
      </c>
      <c r="C121" s="12" t="s">
        <v>24</v>
      </c>
      <c r="D121" s="15"/>
      <c r="E121" s="11"/>
    </row>
    <row r="122" spans="1:5" x14ac:dyDescent="0.3">
      <c r="A122" s="12" t="s">
        <v>58</v>
      </c>
      <c r="B122" s="13">
        <v>0.98</v>
      </c>
      <c r="C122" s="12" t="s">
        <v>24</v>
      </c>
      <c r="D122" s="15"/>
      <c r="E122" s="11"/>
    </row>
    <row r="123" spans="1:5" x14ac:dyDescent="0.3">
      <c r="A123" s="12" t="s">
        <v>57</v>
      </c>
      <c r="B123" s="13">
        <v>0.85</v>
      </c>
      <c r="C123" s="12" t="s">
        <v>24</v>
      </c>
      <c r="D123" s="15"/>
      <c r="E123" s="5"/>
    </row>
    <row r="124" spans="1:5" x14ac:dyDescent="0.3">
      <c r="A124" s="12" t="s">
        <v>59</v>
      </c>
      <c r="B124" s="13">
        <v>0.22</v>
      </c>
      <c r="C124" s="12" t="s">
        <v>24</v>
      </c>
      <c r="D124" s="15"/>
      <c r="E1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BB5F-6447-4464-8472-7D26783B50EF}">
  <dimension ref="A1:E55"/>
  <sheetViews>
    <sheetView topLeftCell="A28" workbookViewId="0">
      <selection sqref="A1:G55"/>
    </sheetView>
  </sheetViews>
  <sheetFormatPr defaultRowHeight="14.4" x14ac:dyDescent="0.3"/>
  <cols>
    <col min="1" max="1" width="40" customWidth="1"/>
  </cols>
  <sheetData>
    <row r="1" spans="1:5" x14ac:dyDescent="0.3">
      <c r="A1" t="s">
        <v>154</v>
      </c>
      <c r="B1" s="1" t="s">
        <v>155</v>
      </c>
      <c r="C1" s="18" t="s">
        <v>156</v>
      </c>
      <c r="D1" s="1" t="s">
        <v>157</v>
      </c>
      <c r="E1" s="1" t="s">
        <v>158</v>
      </c>
    </row>
    <row r="2" spans="1:5" x14ac:dyDescent="0.3">
      <c r="A2" s="4" t="s">
        <v>159</v>
      </c>
      <c r="B2" s="19">
        <v>30.841999999999999</v>
      </c>
      <c r="C2" s="18"/>
      <c r="D2" s="3"/>
      <c r="E2" s="1"/>
    </row>
    <row r="3" spans="1:5" x14ac:dyDescent="0.3">
      <c r="A3" s="4" t="s">
        <v>157</v>
      </c>
      <c r="B3" s="20"/>
      <c r="C3" s="18"/>
      <c r="D3" s="19">
        <f>SUM(D4:D57)</f>
        <v>30.989000000000001</v>
      </c>
      <c r="E3" s="1">
        <f>SUM(E4:E54)</f>
        <v>100.00000000000001</v>
      </c>
    </row>
    <row r="4" spans="1:5" x14ac:dyDescent="0.3">
      <c r="A4" s="4" t="s">
        <v>160</v>
      </c>
      <c r="B4" s="19">
        <v>21.3</v>
      </c>
      <c r="C4" s="21">
        <f>B4/B$2*100</f>
        <v>69.061669152454456</v>
      </c>
      <c r="D4" s="3"/>
      <c r="E4" s="2"/>
    </row>
    <row r="5" spans="1:5" x14ac:dyDescent="0.3">
      <c r="A5" t="s">
        <v>161</v>
      </c>
      <c r="B5" s="3">
        <v>21.3</v>
      </c>
      <c r="C5" s="18"/>
      <c r="D5" s="3">
        <f>B5</f>
        <v>21.3</v>
      </c>
      <c r="E5" s="2">
        <f>D5/D$3*100</f>
        <v>68.734066926974094</v>
      </c>
    </row>
    <row r="6" spans="1:5" x14ac:dyDescent="0.3">
      <c r="A6" t="s">
        <v>162</v>
      </c>
      <c r="B6" s="3">
        <v>9.1999999999999993</v>
      </c>
      <c r="C6" s="18">
        <f>B6/B$17*100</f>
        <v>43.927500525220118</v>
      </c>
      <c r="D6" s="3"/>
      <c r="E6" s="2"/>
    </row>
    <row r="7" spans="1:5" x14ac:dyDescent="0.3">
      <c r="A7" t="s">
        <v>163</v>
      </c>
      <c r="B7" s="3">
        <v>6.92</v>
      </c>
      <c r="C7" s="18">
        <f t="shared" ref="C7:C16" si="0">B7/B$17*100</f>
        <v>33.041119960274266</v>
      </c>
      <c r="D7" s="3"/>
      <c r="E7" s="2"/>
    </row>
    <row r="8" spans="1:5" x14ac:dyDescent="0.3">
      <c r="A8" t="s">
        <v>164</v>
      </c>
      <c r="B8" s="3">
        <v>0.90300000000000002</v>
      </c>
      <c r="C8" s="18">
        <f t="shared" si="0"/>
        <v>4.3115796711167143</v>
      </c>
      <c r="D8" s="3"/>
      <c r="E8" s="2"/>
    </row>
    <row r="9" spans="1:5" x14ac:dyDescent="0.3">
      <c r="A9" t="s">
        <v>165</v>
      </c>
      <c r="B9" s="3">
        <v>1.08</v>
      </c>
      <c r="C9" s="18">
        <f t="shared" si="0"/>
        <v>5.1567065833954064</v>
      </c>
      <c r="D9" s="3"/>
      <c r="E9" s="2"/>
    </row>
    <row r="10" spans="1:5" x14ac:dyDescent="0.3">
      <c r="A10" t="s">
        <v>166</v>
      </c>
      <c r="B10" s="3">
        <v>0.64300000000000002</v>
      </c>
      <c r="C10" s="18">
        <f t="shared" si="0"/>
        <v>3.0701503084474497</v>
      </c>
      <c r="D10" s="3"/>
      <c r="E10" s="2"/>
    </row>
    <row r="11" spans="1:5" x14ac:dyDescent="0.3">
      <c r="A11" t="s">
        <v>167</v>
      </c>
      <c r="B11" s="3">
        <v>0.32500000000000001</v>
      </c>
      <c r="C11" s="18">
        <f t="shared" si="0"/>
        <v>1.5517867033365804</v>
      </c>
      <c r="D11" s="3"/>
      <c r="E11" s="2"/>
    </row>
    <row r="12" spans="1:5" x14ac:dyDescent="0.3">
      <c r="A12" t="s">
        <v>168</v>
      </c>
      <c r="B12" s="3">
        <v>0.19900000000000001</v>
      </c>
      <c r="C12" s="18">
        <f t="shared" si="0"/>
        <v>0.95017093527378305</v>
      </c>
      <c r="D12" s="3"/>
      <c r="E12" s="2"/>
    </row>
    <row r="13" spans="1:5" x14ac:dyDescent="0.3">
      <c r="A13" t="s">
        <v>169</v>
      </c>
      <c r="B13" s="3">
        <v>1.43</v>
      </c>
      <c r="C13" s="18">
        <f t="shared" si="0"/>
        <v>6.8278614946809535</v>
      </c>
      <c r="D13" s="3"/>
      <c r="E13" s="2"/>
    </row>
    <row r="14" spans="1:5" x14ac:dyDescent="0.3">
      <c r="A14" t="s">
        <v>170</v>
      </c>
      <c r="B14" s="3">
        <v>0.14799999999999999</v>
      </c>
      <c r="C14" s="18">
        <f t="shared" si="0"/>
        <v>0.7066597910578889</v>
      </c>
      <c r="D14" s="3"/>
      <c r="E14" s="2"/>
    </row>
    <row r="15" spans="1:5" x14ac:dyDescent="0.3">
      <c r="A15" t="s">
        <v>171</v>
      </c>
      <c r="B15" s="3">
        <v>3.7600000000000001E-2</v>
      </c>
      <c r="C15" s="18">
        <f t="shared" si="0"/>
        <v>0.17952978475524745</v>
      </c>
      <c r="D15" s="3"/>
      <c r="E15" s="2"/>
    </row>
    <row r="16" spans="1:5" x14ac:dyDescent="0.3">
      <c r="A16" t="s">
        <v>172</v>
      </c>
      <c r="B16" s="3">
        <v>5.8000000000000003E-2</v>
      </c>
      <c r="C16" s="18">
        <f t="shared" si="0"/>
        <v>0.27693424244160514</v>
      </c>
      <c r="D16" s="3"/>
      <c r="E16" s="2"/>
    </row>
    <row r="17" spans="1:5" x14ac:dyDescent="0.3">
      <c r="A17" t="s">
        <v>173</v>
      </c>
      <c r="B17" s="3">
        <f>SUM(B6:B16)</f>
        <v>20.943599999999996</v>
      </c>
      <c r="C17" s="18"/>
      <c r="D17" s="3"/>
      <c r="E17" s="2"/>
    </row>
    <row r="18" spans="1:5" x14ac:dyDescent="0.3">
      <c r="B18" s="20"/>
      <c r="C18" s="18"/>
      <c r="D18" s="3"/>
      <c r="E18" s="2"/>
    </row>
    <row r="19" spans="1:5" x14ac:dyDescent="0.3">
      <c r="A19" s="4" t="s">
        <v>174</v>
      </c>
      <c r="B19" s="19">
        <v>12.273</v>
      </c>
      <c r="C19" s="21">
        <f>B19/B$2*100</f>
        <v>39.793139225731146</v>
      </c>
      <c r="D19" s="3"/>
      <c r="E19" s="2"/>
    </row>
    <row r="20" spans="1:5" x14ac:dyDescent="0.3">
      <c r="A20" t="s">
        <v>175</v>
      </c>
      <c r="B20" s="3">
        <v>4.25</v>
      </c>
      <c r="C20" s="18"/>
      <c r="D20" s="3">
        <f>B20</f>
        <v>4.25</v>
      </c>
      <c r="E20" s="2">
        <f>D20/D$3*100</f>
        <v>13.714543870405628</v>
      </c>
    </row>
    <row r="21" spans="1:5" x14ac:dyDescent="0.3">
      <c r="A21" t="s">
        <v>176</v>
      </c>
      <c r="B21" s="3">
        <v>3.32</v>
      </c>
      <c r="C21" s="18">
        <f>B21/B$27*100</f>
        <v>41.063698206555344</v>
      </c>
      <c r="D21" s="3"/>
      <c r="E21" s="2"/>
    </row>
    <row r="22" spans="1:5" x14ac:dyDescent="0.3">
      <c r="A22" t="s">
        <v>177</v>
      </c>
      <c r="B22" s="3">
        <v>1.84</v>
      </c>
      <c r="C22" s="18">
        <f t="shared" ref="C22:C26" si="1">B22/B$27*100</f>
        <v>22.758194186765614</v>
      </c>
      <c r="D22" s="3"/>
      <c r="E22" s="2"/>
    </row>
    <row r="23" spans="1:5" x14ac:dyDescent="0.3">
      <c r="A23" t="s">
        <v>178</v>
      </c>
      <c r="B23" s="3">
        <v>1.32</v>
      </c>
      <c r="C23" s="18">
        <f t="shared" si="1"/>
        <v>16.326530612244898</v>
      </c>
      <c r="D23" s="3"/>
      <c r="E23" s="2"/>
    </row>
    <row r="24" spans="1:5" x14ac:dyDescent="0.3">
      <c r="A24" t="s">
        <v>179</v>
      </c>
      <c r="B24" s="3">
        <v>0.79100000000000004</v>
      </c>
      <c r="C24" s="18">
        <f t="shared" si="1"/>
        <v>9.783549783549784</v>
      </c>
      <c r="D24" s="3"/>
      <c r="E24" s="2"/>
    </row>
    <row r="25" spans="1:5" x14ac:dyDescent="0.3">
      <c r="A25" t="s">
        <v>180</v>
      </c>
      <c r="B25" s="3">
        <v>0.26300000000000001</v>
      </c>
      <c r="C25" s="18">
        <f t="shared" si="1"/>
        <v>3.2529375386518242</v>
      </c>
      <c r="D25" s="3"/>
      <c r="E25" s="2"/>
    </row>
    <row r="26" spans="1:5" x14ac:dyDescent="0.3">
      <c r="A26" t="s">
        <v>181</v>
      </c>
      <c r="B26" s="3">
        <v>0.55100000000000005</v>
      </c>
      <c r="C26" s="18">
        <f t="shared" si="1"/>
        <v>6.8150896722325287</v>
      </c>
      <c r="D26" s="3"/>
      <c r="E26" s="2"/>
    </row>
    <row r="27" spans="1:5" x14ac:dyDescent="0.3">
      <c r="A27" t="s">
        <v>182</v>
      </c>
      <c r="B27" s="3">
        <f>SUM(B21:B26)</f>
        <v>8.0850000000000009</v>
      </c>
      <c r="C27" s="18"/>
      <c r="D27" s="3"/>
      <c r="E27" s="2"/>
    </row>
    <row r="28" spans="1:5" x14ac:dyDescent="0.3">
      <c r="B28" s="20"/>
      <c r="C28" s="18"/>
      <c r="D28" s="3"/>
      <c r="E28" s="2"/>
    </row>
    <row r="29" spans="1:5" x14ac:dyDescent="0.3">
      <c r="A29" s="4" t="s">
        <v>183</v>
      </c>
      <c r="B29" s="19">
        <v>1.37</v>
      </c>
      <c r="C29" s="21">
        <f>B29/B$2*100</f>
        <v>4.4419946825757091</v>
      </c>
      <c r="D29" s="3"/>
      <c r="E29" s="2"/>
    </row>
    <row r="30" spans="1:5" x14ac:dyDescent="0.3">
      <c r="A30" t="s">
        <v>184</v>
      </c>
      <c r="B30" s="3">
        <v>1.37</v>
      </c>
      <c r="C30" s="18"/>
      <c r="D30" s="3">
        <f>B30</f>
        <v>1.37</v>
      </c>
      <c r="E30" s="2">
        <f>D30/D$3*100</f>
        <v>4.4209235535189908</v>
      </c>
    </row>
    <row r="31" spans="1:5" x14ac:dyDescent="0.3">
      <c r="A31" t="s">
        <v>185</v>
      </c>
      <c r="B31" s="3">
        <v>0.53100000000000003</v>
      </c>
      <c r="C31" s="18">
        <f>B31/B$34*100</f>
        <v>77.529566360052556</v>
      </c>
      <c r="D31" s="3"/>
      <c r="E31" s="2"/>
    </row>
    <row r="32" spans="1:5" x14ac:dyDescent="0.3">
      <c r="A32" t="s">
        <v>186</v>
      </c>
      <c r="B32" s="3">
        <v>1.89E-2</v>
      </c>
      <c r="C32" s="18">
        <f>B32/B$34*100</f>
        <v>2.759526938239159</v>
      </c>
      <c r="D32" s="3"/>
      <c r="E32" s="2"/>
    </row>
    <row r="33" spans="1:5" x14ac:dyDescent="0.3">
      <c r="A33" t="s">
        <v>187</v>
      </c>
      <c r="B33" s="3">
        <v>0.13500000000000001</v>
      </c>
      <c r="C33" s="18">
        <f>B33/B$34*100</f>
        <v>19.710906701708279</v>
      </c>
      <c r="D33" s="3"/>
      <c r="E33" s="2"/>
    </row>
    <row r="34" spans="1:5" x14ac:dyDescent="0.3">
      <c r="A34" t="s">
        <v>188</v>
      </c>
      <c r="B34" s="3">
        <f>SUM(B31:B33)</f>
        <v>0.68490000000000006</v>
      </c>
      <c r="C34" s="18"/>
      <c r="D34" s="3"/>
      <c r="E34" s="2"/>
    </row>
    <row r="35" spans="1:5" x14ac:dyDescent="0.3">
      <c r="B35" s="20"/>
      <c r="C35" s="18"/>
      <c r="D35" s="3"/>
      <c r="E35" s="2"/>
    </row>
    <row r="36" spans="1:5" x14ac:dyDescent="0.3">
      <c r="A36" s="4" t="s">
        <v>189</v>
      </c>
      <c r="B36" s="19">
        <v>0.48199999999999998</v>
      </c>
      <c r="C36" s="21">
        <f>B36/B$2*100</f>
        <v>1.5628039686142274</v>
      </c>
      <c r="D36" s="3"/>
      <c r="E36" s="2"/>
    </row>
    <row r="37" spans="1:5" x14ac:dyDescent="0.3">
      <c r="A37" t="s">
        <v>190</v>
      </c>
      <c r="B37" s="3">
        <v>0.48199999999999998</v>
      </c>
      <c r="C37" s="18"/>
      <c r="D37" s="3">
        <f>B37</f>
        <v>0.48199999999999998</v>
      </c>
      <c r="E37" s="2">
        <f>D37/D$3*100</f>
        <v>1.555390622478944</v>
      </c>
    </row>
    <row r="38" spans="1:5" x14ac:dyDescent="0.3">
      <c r="A38" t="s">
        <v>191</v>
      </c>
      <c r="B38" s="3">
        <v>0.39</v>
      </c>
      <c r="C38" s="18">
        <f>B38/B$41*100</f>
        <v>80.929653455073662</v>
      </c>
      <c r="D38" s="3"/>
      <c r="E38" s="2"/>
    </row>
    <row r="39" spans="1:5" x14ac:dyDescent="0.3">
      <c r="A39" t="s">
        <v>192</v>
      </c>
      <c r="B39" s="3">
        <v>7.2400000000000006E-2</v>
      </c>
      <c r="C39" s="18">
        <f>B39/B$41*100</f>
        <v>15.023863872172649</v>
      </c>
      <c r="D39" s="3"/>
      <c r="E39" s="2"/>
    </row>
    <row r="40" spans="1:5" x14ac:dyDescent="0.3">
      <c r="A40" t="s">
        <v>193</v>
      </c>
      <c r="B40" s="3">
        <v>1.95E-2</v>
      </c>
      <c r="C40" s="18">
        <f>B40/B$41*100</f>
        <v>4.0464826727536831</v>
      </c>
      <c r="D40" s="3"/>
      <c r="E40" s="2"/>
    </row>
    <row r="41" spans="1:5" x14ac:dyDescent="0.3">
      <c r="A41" t="s">
        <v>194</v>
      </c>
      <c r="B41" s="3">
        <f>SUM(B38:B40)</f>
        <v>0.48190000000000005</v>
      </c>
      <c r="C41" s="18"/>
      <c r="D41" s="3"/>
      <c r="E41" s="2"/>
    </row>
    <row r="42" spans="1:5" x14ac:dyDescent="0.3">
      <c r="B42" s="20"/>
      <c r="C42" s="18"/>
      <c r="D42" s="3"/>
      <c r="E42" s="2"/>
    </row>
    <row r="43" spans="1:5" x14ac:dyDescent="0.3">
      <c r="A43" s="4" t="s">
        <v>195</v>
      </c>
      <c r="B43" s="19">
        <f>B13+B44</f>
        <v>2.1789999999999998</v>
      </c>
      <c r="C43" s="21">
        <f>B43/B2*100</f>
        <v>7.0650411776149404</v>
      </c>
      <c r="D43" s="3"/>
      <c r="E43" s="2"/>
    </row>
    <row r="44" spans="1:5" x14ac:dyDescent="0.3">
      <c r="A44" t="s">
        <v>196</v>
      </c>
      <c r="B44" s="3">
        <v>0.749</v>
      </c>
      <c r="C44" s="18">
        <f>B44/B45*100</f>
        <v>34.302724982825737</v>
      </c>
      <c r="D44" s="3">
        <f>B44</f>
        <v>0.749</v>
      </c>
      <c r="E44" s="2">
        <f>D44/D$3*100</f>
        <v>2.4169866726903093</v>
      </c>
    </row>
    <row r="45" spans="1:5" x14ac:dyDescent="0.3">
      <c r="A45" t="s">
        <v>197</v>
      </c>
      <c r="B45" s="3">
        <v>2.1835</v>
      </c>
      <c r="C45" s="18"/>
      <c r="D45" s="3"/>
      <c r="E45" s="2"/>
    </row>
    <row r="46" spans="1:5" x14ac:dyDescent="0.3">
      <c r="B46" s="20"/>
      <c r="C46" s="18"/>
      <c r="D46" s="3"/>
      <c r="E46" s="2"/>
    </row>
    <row r="47" spans="1:5" x14ac:dyDescent="0.3">
      <c r="A47" s="4" t="s">
        <v>198</v>
      </c>
      <c r="B47" s="3">
        <f>B48+B9+B10+B25+B32+B40</f>
        <v>2.4523999999999995</v>
      </c>
      <c r="C47" s="18"/>
      <c r="D47" s="3"/>
      <c r="E47" s="2"/>
    </row>
    <row r="48" spans="1:5" x14ac:dyDescent="0.3">
      <c r="A48" t="s">
        <v>199</v>
      </c>
      <c r="B48" s="3">
        <v>0.42799999999999999</v>
      </c>
      <c r="C48" s="18"/>
      <c r="D48" s="3">
        <f>B48</f>
        <v>0.42799999999999999</v>
      </c>
      <c r="E48" s="2">
        <f>D48/D$3*100</f>
        <v>1.3811352415373197</v>
      </c>
    </row>
    <row r="49" spans="1:5" x14ac:dyDescent="0.3">
      <c r="B49" s="20"/>
      <c r="C49" s="18"/>
      <c r="D49" s="3"/>
      <c r="E49" s="2"/>
    </row>
    <row r="50" spans="1:5" x14ac:dyDescent="0.3">
      <c r="A50" s="4" t="s">
        <v>201</v>
      </c>
      <c r="B50" s="19">
        <f>B51</f>
        <v>2.41</v>
      </c>
      <c r="C50" s="18"/>
      <c r="D50" s="3"/>
      <c r="E50" s="2"/>
    </row>
    <row r="51" spans="1:5" x14ac:dyDescent="0.3">
      <c r="A51" t="s">
        <v>200</v>
      </c>
      <c r="B51" s="3">
        <v>2.41</v>
      </c>
      <c r="C51" s="18"/>
      <c r="D51" s="3">
        <f>B51</f>
        <v>2.41</v>
      </c>
      <c r="E51" s="2">
        <f>D51/D$3*100</f>
        <v>7.7769531123947218</v>
      </c>
    </row>
    <row r="52" spans="1:5" x14ac:dyDescent="0.3">
      <c r="B52" s="20"/>
      <c r="C52" s="18"/>
      <c r="D52" s="3"/>
      <c r="E52" s="2"/>
    </row>
    <row r="53" spans="1:5" x14ac:dyDescent="0.3">
      <c r="A53" s="4" t="s">
        <v>202</v>
      </c>
      <c r="B53" s="19">
        <v>0.90539999999999998</v>
      </c>
      <c r="C53" s="18"/>
      <c r="D53" s="3"/>
      <c r="E53" s="1"/>
    </row>
    <row r="54" spans="1:5" x14ac:dyDescent="0.3">
      <c r="A54" t="s">
        <v>203</v>
      </c>
      <c r="B54" s="1">
        <v>0.86</v>
      </c>
      <c r="C54" s="18"/>
      <c r="D54" s="3"/>
      <c r="E54" s="1"/>
    </row>
    <row r="55" spans="1:5" x14ac:dyDescent="0.3">
      <c r="B55" s="20"/>
      <c r="C55" s="18"/>
      <c r="D55" s="3"/>
      <c r="E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</vt:lpstr>
      <vt:lpstr>PulpCalculations</vt:lpstr>
      <vt:lpstr>Dymond12_UpdateFrozen</vt:lpstr>
      <vt:lpstr>Ghafghazi16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2018-07-01T03:57:20Z</dcterms:created>
  <dcterms:modified xsi:type="dcterms:W3CDTF">2022-11-04T17:23:58Z</dcterms:modified>
</cp:coreProperties>
</file>