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a-Computer-Engineering\Semiconductors-Private\g-Diode-Applications\c-Filtering-and-Regulation\"/>
    </mc:Choice>
  </mc:AlternateContent>
  <xr:revisionPtr revIDLastSave="0" documentId="13_ncr:1_{AE9F869F-4739-4950-84E1-BBF7762B88D1}" xr6:coauthVersionLast="47" xr6:coauthVersionMax="47" xr10:uidLastSave="{00000000-0000-0000-0000-000000000000}"/>
  <bookViews>
    <workbookView xWindow="-96" yWindow="-96" windowWidth="23232" windowHeight="12552" xr2:uid="{E80DF3CB-22C8-48CC-A275-866A023A71E1}"/>
  </bookViews>
  <sheets>
    <sheet name="L-HW-AdjReg" sheetId="11" r:id="rId1"/>
    <sheet name="P1Pre-HWCT-NoReg" sheetId="17" r:id="rId2"/>
    <sheet name="P1Pre-HWCT-AdjReg" sheetId="16" r:id="rId3"/>
    <sheet name="P1Q2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9" l="1"/>
  <c r="C23" i="19"/>
  <c r="C22" i="19"/>
  <c r="C21" i="19"/>
  <c r="C20" i="19"/>
  <c r="C19" i="19"/>
  <c r="C18" i="19"/>
  <c r="C17" i="19"/>
  <c r="C16" i="19"/>
  <c r="C15" i="19"/>
  <c r="C34" i="16"/>
  <c r="C32" i="16"/>
  <c r="C31" i="16"/>
  <c r="C30" i="16"/>
  <c r="C27" i="11"/>
  <c r="C27" i="16"/>
  <c r="C26" i="16"/>
  <c r="C24" i="16"/>
  <c r="C23" i="16"/>
  <c r="C22" i="16"/>
  <c r="C21" i="16"/>
  <c r="C20" i="16"/>
  <c r="C19" i="16"/>
  <c r="C18" i="16"/>
  <c r="C17" i="16"/>
  <c r="C16" i="16"/>
  <c r="C15" i="16"/>
  <c r="C19" i="17"/>
  <c r="C18" i="17"/>
  <c r="C17" i="17"/>
  <c r="C16" i="17"/>
  <c r="C15" i="17"/>
  <c r="C14" i="17"/>
  <c r="C13" i="17"/>
  <c r="C12" i="17"/>
  <c r="C32" i="11"/>
  <c r="C31" i="11"/>
  <c r="C30" i="11"/>
  <c r="C29" i="11"/>
  <c r="C26" i="11"/>
  <c r="C24" i="11"/>
  <c r="C23" i="11"/>
  <c r="C22" i="11"/>
  <c r="C21" i="11"/>
  <c r="C20" i="11"/>
  <c r="C19" i="11"/>
  <c r="C18" i="11"/>
  <c r="C17" i="11"/>
  <c r="C16" i="11"/>
  <c r="C15" i="11"/>
  <c r="D20" i="19"/>
  <c r="D19" i="19"/>
  <c r="D21" i="19" s="1"/>
  <c r="D17" i="19"/>
  <c r="D15" i="19"/>
  <c r="D16" i="19" s="1"/>
  <c r="D18" i="19" s="1"/>
  <c r="D13" i="19"/>
  <c r="D12" i="19"/>
  <c r="D9" i="19"/>
  <c r="D26" i="16"/>
  <c r="D20" i="16"/>
  <c r="D17" i="16"/>
  <c r="D15" i="16"/>
  <c r="D16" i="16" s="1"/>
  <c r="D18" i="16" s="1"/>
  <c r="D13" i="16"/>
  <c r="D12" i="16"/>
  <c r="D27" i="16" s="1"/>
  <c r="D10" i="16"/>
  <c r="D19" i="16" s="1"/>
  <c r="D21" i="16" s="1"/>
  <c r="D9" i="16"/>
  <c r="D16" i="17"/>
  <c r="D14" i="17"/>
  <c r="D12" i="17"/>
  <c r="D13" i="17" s="1"/>
  <c r="D15" i="17" s="1"/>
  <c r="D9" i="17"/>
  <c r="D30" i="11"/>
  <c r="D26" i="11"/>
  <c r="D29" i="11" s="1"/>
  <c r="D20" i="11"/>
  <c r="D19" i="11"/>
  <c r="D21" i="11" s="1"/>
  <c r="D17" i="11"/>
  <c r="D15" i="11"/>
  <c r="D16" i="11" s="1"/>
  <c r="D18" i="11" s="1"/>
  <c r="D13" i="11"/>
  <c r="D32" i="11" s="1"/>
  <c r="D12" i="11"/>
  <c r="D31" i="11" s="1"/>
  <c r="D9" i="11"/>
  <c r="B24" i="19"/>
  <c r="B23" i="19"/>
  <c r="B22" i="19"/>
  <c r="B21" i="19"/>
  <c r="B20" i="19"/>
  <c r="B19" i="19"/>
  <c r="B18" i="19"/>
  <c r="B17" i="19"/>
  <c r="B16" i="19"/>
  <c r="B15" i="19"/>
  <c r="D22" i="19" l="1"/>
  <c r="D24" i="19" s="1"/>
  <c r="D23" i="19"/>
  <c r="D22" i="16"/>
  <c r="D24" i="16" s="1"/>
  <c r="D23" i="16"/>
  <c r="D30" i="16"/>
  <c r="D31" i="16"/>
  <c r="D32" i="16" s="1"/>
  <c r="D34" i="16"/>
  <c r="D17" i="17"/>
  <c r="D19" i="17" s="1"/>
  <c r="D23" i="11"/>
  <c r="D22" i="11"/>
  <c r="D24" i="11" s="1"/>
  <c r="D27" i="11"/>
  <c r="B19" i="17"/>
  <c r="B18" i="17"/>
  <c r="B17" i="17"/>
  <c r="B16" i="17"/>
  <c r="B15" i="17"/>
  <c r="B14" i="17"/>
  <c r="B13" i="17"/>
  <c r="B12" i="17"/>
  <c r="B31" i="16"/>
  <c r="B32" i="16"/>
  <c r="B30" i="16"/>
  <c r="B24" i="16"/>
  <c r="B24" i="11"/>
  <c r="B34" i="16"/>
  <c r="B26" i="16"/>
  <c r="B27" i="16" s="1"/>
  <c r="B23" i="16"/>
  <c r="B22" i="16"/>
  <c r="B21" i="16"/>
  <c r="B20" i="16"/>
  <c r="B19" i="16"/>
  <c r="B18" i="16"/>
  <c r="B17" i="16"/>
  <c r="B16" i="16"/>
  <c r="B15" i="16"/>
  <c r="B32" i="11"/>
  <c r="B31" i="11"/>
  <c r="B30" i="11"/>
  <c r="B26" i="11"/>
  <c r="B29" i="11" s="1"/>
  <c r="B16" i="11"/>
  <c r="B21" i="11"/>
  <c r="B19" i="11"/>
  <c r="B20" i="11"/>
  <c r="B22" i="11"/>
  <c r="B23" i="11"/>
  <c r="B18" i="11"/>
  <c r="B17" i="11"/>
  <c r="B15" i="11"/>
  <c r="D18" i="17" l="1"/>
  <c r="B27" i="11"/>
</calcChain>
</file>

<file path=xl/sharedStrings.xml><?xml version="1.0" encoding="utf-8"?>
<sst xmlns="http://schemas.openxmlformats.org/spreadsheetml/2006/main" count="252" uniqueCount="82">
  <si>
    <t>#Diodes</t>
  </si>
  <si>
    <t>Vdiode</t>
  </si>
  <si>
    <t>Symbol</t>
  </si>
  <si>
    <t>Turns</t>
  </si>
  <si>
    <t>Rload</t>
  </si>
  <si>
    <t>Vdiodes</t>
  </si>
  <si>
    <t>Value</t>
  </si>
  <si>
    <t>Vp</t>
  </si>
  <si>
    <t>freq_source</t>
  </si>
  <si>
    <t>Vp_source</t>
  </si>
  <si>
    <t>Vp_secondary</t>
  </si>
  <si>
    <t>Vrms_source</t>
  </si>
  <si>
    <t>Units</t>
  </si>
  <si>
    <t>V</t>
  </si>
  <si>
    <t>Hz</t>
  </si>
  <si>
    <t>Ohm</t>
  </si>
  <si>
    <t>sec</t>
  </si>
  <si>
    <t>Vp-p</t>
  </si>
  <si>
    <t>Vdc</t>
  </si>
  <si>
    <t>I_load</t>
  </si>
  <si>
    <t>Vp_rectifier</t>
  </si>
  <si>
    <t>Amp</t>
  </si>
  <si>
    <t>Vmin_rectifier</t>
  </si>
  <si>
    <t>Vdc_rectifier</t>
  </si>
  <si>
    <t>16.3 (0.2)</t>
  </si>
  <si>
    <t>Vreg</t>
  </si>
  <si>
    <t>360 (5)</t>
  </si>
  <si>
    <t>R2</t>
  </si>
  <si>
    <t>R3</t>
  </si>
  <si>
    <t>closest lower value to calculated</t>
  </si>
  <si>
    <t>1830 (100)</t>
  </si>
  <si>
    <t>Rbelow</t>
  </si>
  <si>
    <t>Rbelow/Rabove</t>
  </si>
  <si>
    <t>Rabove</t>
  </si>
  <si>
    <t>Rbelow_real</t>
  </si>
  <si>
    <t>resistance below adj of regulator</t>
  </si>
  <si>
    <t>Description or Formula</t>
  </si>
  <si>
    <t>Center Tap Divider</t>
  </si>
  <si>
    <t>CTD</t>
  </si>
  <si>
    <t>transformer turns ratio</t>
  </si>
  <si>
    <t>freq_rectifier</t>
  </si>
  <si>
    <t>Crectifier</t>
  </si>
  <si>
    <t>Period_rectifier</t>
  </si>
  <si>
    <t>Vrip_rectifier</t>
  </si>
  <si>
    <t>2.01 (0.05)</t>
  </si>
  <si>
    <t>14.3 (0.2)</t>
  </si>
  <si>
    <t>Ileakage</t>
  </si>
  <si>
    <t>leakage current out of adj of regulator</t>
  </si>
  <si>
    <t>Voutput_error</t>
  </si>
  <si>
    <t>R4_max</t>
  </si>
  <si>
    <t>0.00375 (5%)</t>
  </si>
  <si>
    <t>1.33 (5%)</t>
  </si>
  <si>
    <t>333 (2%)</t>
  </si>
  <si>
    <t>Voverhead</t>
  </si>
  <si>
    <t>Comment</t>
  </si>
  <si>
    <t>No dropout as Vdropout is 2.5V</t>
  </si>
  <si>
    <t>Voltage between Vout and Vadj is 1.25V for the LM317 Regulator</t>
  </si>
  <si>
    <t>0.0819 (0.0001)</t>
  </si>
  <si>
    <t>R3_min</t>
  </si>
  <si>
    <t>R3_max</t>
  </si>
  <si>
    <t>Choose R3 to be between R3_min and R3_max. Closest real value = 270 ohm</t>
  </si>
  <si>
    <t>R4_min</t>
  </si>
  <si>
    <t>Ques</t>
  </si>
  <si>
    <t>13.4 (0.1)</t>
  </si>
  <si>
    <t>5.81 (0.2)</t>
  </si>
  <si>
    <t>7.63 (0.1)</t>
  </si>
  <si>
    <t>0.01666 (0.3)</t>
  </si>
  <si>
    <t>10.54 (0.1)</t>
  </si>
  <si>
    <t>resistance below adj of regulator (R5)</t>
  </si>
  <si>
    <t>13.5 (1)</t>
  </si>
  <si>
    <t>2.5 (1)</t>
  </si>
  <si>
    <t>11.5 (1)</t>
  </si>
  <si>
    <t>12.8 (1)</t>
  </si>
  <si>
    <t>4 (0.25)</t>
  </si>
  <si>
    <t>random value. Mobius gave me</t>
  </si>
  <si>
    <t>Mobius</t>
  </si>
  <si>
    <t>Rabove_real</t>
  </si>
  <si>
    <t>No</t>
  </si>
  <si>
    <t>R3_real</t>
  </si>
  <si>
    <t>Choose a Rload to be R3+R4_max+R5 = 2270 Ohm. Closest real value = 2200 Ohm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</si>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</sst>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0.0000"/>
  </numFmts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118110</xdr:colOff>
      <xdr:row>1</xdr:row>
      <xdr:rowOff>53340</xdr:rowOff>
    </xdr:from>
    <xdr:to>
      <xdr:col>8</xdr:col>
      <xdr:colOff>495300</xdr:colOff>
      <xdr:row>15</xdr:row>
      <xdr:rowOff>13335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D7420-32E3-FD22-A8C0-D4C1CA21CA6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251460"/>
          <a:ext cx="4286250" cy="2733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221673</xdr:colOff>
      <xdr:row>2</xdr:row>
      <xdr:rowOff>20781</xdr:rowOff>
    </xdr:from>
    <xdr:to>
      <xdr:col>7</xdr:col>
      <xdr:colOff>4031673</xdr:colOff>
      <xdr:row>9</xdr:row>
      <xdr:rowOff>96116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620B84-905B-5B19-4215-2E275EE7F37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7782" y="415636"/>
          <a:ext cx="3810000" cy="145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55419</xdr:colOff>
      <xdr:row>1</xdr:row>
      <xdr:rowOff>79664</xdr:rowOff>
    </xdr:from>
    <xdr:to>
      <xdr:col>9</xdr:col>
      <xdr:colOff>65810</xdr:colOff>
      <xdr:row>12</xdr:row>
      <xdr:rowOff>12989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9ED6F7-9DAB-E5B0-FC48-A5F6915FB31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7628" y="277091"/>
          <a:ext cx="5715000" cy="2105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20782</xdr:colOff>
      <xdr:row>1</xdr:row>
      <xdr:rowOff>38100</xdr:rowOff>
    </xdr:from>
    <xdr:to>
      <xdr:col>10</xdr:col>
      <xdr:colOff>91787</xdr:colOff>
      <xdr:row>14</xdr:row>
      <xdr:rowOff>129020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D0EA44-9DBF-108B-7E1A-16712903BB6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7573" y="235527"/>
          <a:ext cx="6076950" cy="26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45F1-6375-45DC-9E98-1629C0ECE700}">
  <dimension ref="A1:H32"/>
  <sheetViews>
    <sheetView tabSelected="1" workbookViewId="0">
      <selection activeCell="C28" sqref="C28"/>
    </sheetView>
  </sheetViews>
  <sheetFormatPr defaultRowHeight="15.6" x14ac:dyDescent="0.6"/>
  <cols>
    <col min="1" max="1" width="13.19921875" bestFit="1" customWidth="1"/>
    <col min="2" max="2" width="30.25" style="1" bestFit="1" customWidth="1"/>
    <col min="3" max="3" width="22.75" style="1" bestFit="1" customWidth="1"/>
    <col min="4" max="4" width="10.1484375" style="2" bestFit="1" customWidth="1"/>
    <col min="5" max="5" width="6.25" style="2" bestFit="1" customWidth="1"/>
    <col min="6" max="6" width="4.84765625" style="2" bestFit="1" customWidth="1"/>
    <col min="7" max="7" width="13.25" style="2" bestFit="1" customWidth="1"/>
    <col min="8" max="8" width="51.296875" bestFit="1" customWidth="1"/>
  </cols>
  <sheetData>
    <row r="1" spans="1:8" x14ac:dyDescent="0.6">
      <c r="A1" s="2" t="s">
        <v>2</v>
      </c>
      <c r="B1" s="1" t="s">
        <v>36</v>
      </c>
      <c r="D1" s="2" t="s">
        <v>6</v>
      </c>
      <c r="E1" s="2" t="s">
        <v>12</v>
      </c>
      <c r="F1" s="2" t="s">
        <v>62</v>
      </c>
      <c r="G1" s="2" t="s">
        <v>75</v>
      </c>
      <c r="H1" s="2" t="s">
        <v>54</v>
      </c>
    </row>
    <row r="2" spans="1:8" x14ac:dyDescent="0.6">
      <c r="A2" t="s">
        <v>11</v>
      </c>
      <c r="D2" s="2">
        <v>120</v>
      </c>
      <c r="E2" s="2" t="s">
        <v>13</v>
      </c>
    </row>
    <row r="3" spans="1:8" x14ac:dyDescent="0.6">
      <c r="A3" t="s">
        <v>8</v>
      </c>
      <c r="D3" s="2">
        <v>60</v>
      </c>
      <c r="E3" s="2" t="s">
        <v>14</v>
      </c>
    </row>
    <row r="4" spans="1:8" x14ac:dyDescent="0.6">
      <c r="A4" t="s">
        <v>3</v>
      </c>
      <c r="B4" s="1" t="s">
        <v>39</v>
      </c>
      <c r="D4" s="2">
        <v>10</v>
      </c>
    </row>
    <row r="5" spans="1:8" x14ac:dyDescent="0.6">
      <c r="A5" t="s">
        <v>38</v>
      </c>
      <c r="B5" s="1" t="s">
        <v>37</v>
      </c>
      <c r="D5" s="2">
        <v>1</v>
      </c>
    </row>
    <row r="6" spans="1:8" x14ac:dyDescent="0.6">
      <c r="A6" t="s">
        <v>1</v>
      </c>
      <c r="D6" s="2">
        <v>0.7</v>
      </c>
      <c r="E6" s="2" t="s">
        <v>13</v>
      </c>
    </row>
    <row r="7" spans="1:8" x14ac:dyDescent="0.6">
      <c r="A7" t="s">
        <v>0</v>
      </c>
      <c r="D7" s="2">
        <v>1</v>
      </c>
    </row>
    <row r="8" spans="1:8" x14ac:dyDescent="0.6">
      <c r="A8" t="s">
        <v>40</v>
      </c>
      <c r="D8" s="2">
        <v>60</v>
      </c>
      <c r="E8" s="2" t="s">
        <v>14</v>
      </c>
    </row>
    <row r="9" spans="1:8" x14ac:dyDescent="0.6">
      <c r="A9" t="s">
        <v>41</v>
      </c>
      <c r="D9" s="2" t="str">
        <f>TEXT(0.00068,"##0.00E+0")</f>
        <v>680.00E-6</v>
      </c>
      <c r="E9" s="2" t="s">
        <v>80</v>
      </c>
    </row>
    <row r="10" spans="1:8" x14ac:dyDescent="0.6">
      <c r="A10" t="s">
        <v>4</v>
      </c>
      <c r="D10" s="2">
        <v>100</v>
      </c>
      <c r="E10" s="2" t="s">
        <v>15</v>
      </c>
    </row>
    <row r="11" spans="1:8" x14ac:dyDescent="0.6">
      <c r="A11" t="s">
        <v>25</v>
      </c>
      <c r="D11" s="2">
        <v>8.1920000000000002</v>
      </c>
      <c r="E11" s="2" t="s">
        <v>13</v>
      </c>
    </row>
    <row r="12" spans="1:8" x14ac:dyDescent="0.6">
      <c r="A12" t="s">
        <v>31</v>
      </c>
      <c r="B12" s="1" t="s">
        <v>35</v>
      </c>
      <c r="D12" s="2" t="str">
        <f>TEXT(2000,"##0.00E+0")</f>
        <v>2.00E+3</v>
      </c>
      <c r="E12" s="2" t="s">
        <v>15</v>
      </c>
    </row>
    <row r="13" spans="1:8" x14ac:dyDescent="0.6">
      <c r="A13" t="s">
        <v>46</v>
      </c>
      <c r="B13" s="1" t="s">
        <v>47</v>
      </c>
      <c r="D13" s="2" t="str">
        <f>TEXT(0.00001,"##0.00E+0")</f>
        <v>10.00E-6</v>
      </c>
      <c r="E13" s="2" t="s">
        <v>81</v>
      </c>
    </row>
    <row r="15" spans="1:8" x14ac:dyDescent="0.6">
      <c r="A15" t="s">
        <v>9</v>
      </c>
      <c r="B15" s="1" t="str">
        <f>_xlfn.CONCAT(A2,"*sqrt(2)")</f>
        <v>Vrms_source*sqrt(2)</v>
      </c>
      <c r="C15" s="1" t="str">
        <f>_xlfn.CONCAT(D2,"*sqrt(2)")</f>
        <v>120*sqrt(2)</v>
      </c>
      <c r="D15" s="10" t="str">
        <f>TEXT(D2*SQRT(2),"0.00")</f>
        <v>169.71</v>
      </c>
      <c r="E15" s="11" t="s">
        <v>7</v>
      </c>
    </row>
    <row r="16" spans="1:8" x14ac:dyDescent="0.6">
      <c r="A16" t="s">
        <v>10</v>
      </c>
      <c r="B16" s="1" t="str">
        <f>_xlfn.CONCAT("(",A15,"/",A4,")/",A5)</f>
        <v>(Vp_source/Turns)/CTD</v>
      </c>
      <c r="C16" s="1" t="str">
        <f>_xlfn.CONCAT("(",D15,"/",D4,")/",D5)</f>
        <v>(169.71/10)/1</v>
      </c>
      <c r="D16" s="10" t="str">
        <f>TEXT((D15/D4)/D5,"0.00")</f>
        <v>16.97</v>
      </c>
      <c r="E16" s="11" t="s">
        <v>7</v>
      </c>
    </row>
    <row r="17" spans="1:8" x14ac:dyDescent="0.6">
      <c r="A17" t="s">
        <v>5</v>
      </c>
      <c r="B17" s="1" t="str">
        <f>_xlfn.CONCAT(A6,"*",A7)</f>
        <v>Vdiode*#Diodes</v>
      </c>
      <c r="C17" s="1" t="str">
        <f>_xlfn.CONCAT(D6,"*",D7)</f>
        <v>0.7*1</v>
      </c>
      <c r="D17" s="10" t="str">
        <f>TEXT(D6*D7,"0.00")</f>
        <v>0.70</v>
      </c>
      <c r="E17" s="11" t="s">
        <v>13</v>
      </c>
    </row>
    <row r="18" spans="1:8" x14ac:dyDescent="0.6">
      <c r="A18" t="s">
        <v>20</v>
      </c>
      <c r="B18" s="1" t="str">
        <f>_xlfn.CONCAT(A16,"-",A17)</f>
        <v>Vp_secondary-Vdiodes</v>
      </c>
      <c r="C18" s="1" t="str">
        <f>_xlfn.CONCAT(D16,"-",D17)</f>
        <v>16.97-0.70</v>
      </c>
      <c r="D18" s="12" t="str">
        <f>TEXT(D16-D17,"0.00")</f>
        <v>16.27</v>
      </c>
      <c r="E18" s="11" t="s">
        <v>7</v>
      </c>
      <c r="F18" s="2">
        <v>2</v>
      </c>
      <c r="G18" s="2" t="s">
        <v>24</v>
      </c>
    </row>
    <row r="19" spans="1:8" x14ac:dyDescent="0.6">
      <c r="A19" t="s">
        <v>19</v>
      </c>
      <c r="B19" s="1" t="str">
        <f>_xlfn.CONCAT(A11,"/",A10)</f>
        <v>Vreg/Rload</v>
      </c>
      <c r="C19" s="1" t="str">
        <f>_xlfn.CONCAT(D11,"/",D10)</f>
        <v>8.192/100</v>
      </c>
      <c r="D19" s="13" t="str">
        <f>TEXT(D11/D10,"0.0000")</f>
        <v>0.0819</v>
      </c>
      <c r="E19" s="11" t="s">
        <v>21</v>
      </c>
      <c r="F19" s="2">
        <v>7</v>
      </c>
      <c r="G19" s="2" t="s">
        <v>57</v>
      </c>
    </row>
    <row r="20" spans="1:8" x14ac:dyDescent="0.6">
      <c r="A20" t="s">
        <v>42</v>
      </c>
      <c r="B20" s="1" t="str">
        <f>_xlfn.CONCAT("1/",A8)</f>
        <v>1/freq_rectifier</v>
      </c>
      <c r="C20" s="1" t="str">
        <f>_xlfn.CONCAT("1/",D8)</f>
        <v>1/60</v>
      </c>
      <c r="D20" s="11" t="str">
        <f>TEXT(1/D8,"0.0000")</f>
        <v>0.0167</v>
      </c>
      <c r="E20" s="11" t="s">
        <v>16</v>
      </c>
    </row>
    <row r="21" spans="1:8" x14ac:dyDescent="0.6">
      <c r="A21" t="s">
        <v>43</v>
      </c>
      <c r="B21" s="1" t="str">
        <f>_xlfn.CONCAT("(",A19,"*",A20,")/",A9)</f>
        <v>(I_load*Period_rectifier)/Crectifier</v>
      </c>
      <c r="C21" s="1" t="str">
        <f>_xlfn.CONCAT("(",D19,"*",D20,")/",D9)</f>
        <v>(0.0819*0.0167)/680.00E-6</v>
      </c>
      <c r="D21" s="14" t="str">
        <f>TEXT((D19*D20)/(D9),"0.00")</f>
        <v>2.01</v>
      </c>
      <c r="E21" s="11" t="s">
        <v>17</v>
      </c>
      <c r="F21" s="2">
        <v>8</v>
      </c>
      <c r="G21" s="2" t="s">
        <v>44</v>
      </c>
    </row>
    <row r="22" spans="1:8" x14ac:dyDescent="0.6">
      <c r="A22" t="s">
        <v>22</v>
      </c>
      <c r="B22" s="1" t="str">
        <f>_xlfn.CONCAT(A18,"-",A21)</f>
        <v>Vp_rectifier-Vrip_rectifier</v>
      </c>
      <c r="C22" s="1" t="str">
        <f>_xlfn.CONCAT(D18,"-",D21)</f>
        <v>16.27-2.01</v>
      </c>
      <c r="D22" s="12" t="str">
        <f>TEXT(D18-D21,"0.00")</f>
        <v>14.26</v>
      </c>
      <c r="E22" s="11" t="s">
        <v>13</v>
      </c>
      <c r="F22" s="2">
        <v>9</v>
      </c>
      <c r="G22" s="2" t="s">
        <v>45</v>
      </c>
    </row>
    <row r="23" spans="1:8" x14ac:dyDescent="0.6">
      <c r="A23" t="s">
        <v>23</v>
      </c>
      <c r="B23" s="1" t="str">
        <f>_xlfn.CONCAT(A18,"-(",A21,"/2)")</f>
        <v>Vp_rectifier-(Vrip_rectifier/2)</v>
      </c>
      <c r="C23" s="1" t="str">
        <f>_xlfn.CONCAT(D18,"-(",D21,"/2)")</f>
        <v>16.27-(2.01/2)</v>
      </c>
      <c r="D23" s="10" t="str">
        <f>TEXT(D18-(D21/2),"0.00")</f>
        <v>15.27</v>
      </c>
      <c r="E23" s="11" t="s">
        <v>18</v>
      </c>
    </row>
    <row r="24" spans="1:8" x14ac:dyDescent="0.6">
      <c r="A24" t="s">
        <v>53</v>
      </c>
      <c r="B24" s="1" t="str">
        <f>_xlfn.CONCAT(A22,"-",A11)</f>
        <v>Vmin_rectifier-Vreg</v>
      </c>
      <c r="C24" s="1" t="str">
        <f>_xlfn.CONCAT(D22,"-",D11)</f>
        <v>14.26-8.192</v>
      </c>
      <c r="D24" s="12" t="str">
        <f>TEXT(D22-D11,"0.00")</f>
        <v>6.07</v>
      </c>
      <c r="E24" s="11"/>
      <c r="F24" s="2">
        <v>10</v>
      </c>
      <c r="G24" s="2" t="s">
        <v>77</v>
      </c>
      <c r="H24" t="s">
        <v>55</v>
      </c>
    </row>
    <row r="25" spans="1:8" x14ac:dyDescent="0.6">
      <c r="D25" s="11"/>
      <c r="E25" s="11"/>
    </row>
    <row r="26" spans="1:8" x14ac:dyDescent="0.6">
      <c r="A26" t="s">
        <v>32</v>
      </c>
      <c r="B26" s="1" t="str">
        <f>_xlfn.CONCAT("((",A11,"-1.25)/1.25)")</f>
        <v>((Vreg-1.25)/1.25)</v>
      </c>
      <c r="C26" s="1" t="str">
        <f>_xlfn.CONCAT("((",D11,"-1.25)/1.25)")</f>
        <v>((8.192-1.25)/1.25)</v>
      </c>
      <c r="D26" s="15" t="str">
        <f>TEXT((D11-1.25)/1.25,"0.00")</f>
        <v>5.55</v>
      </c>
      <c r="E26" s="11"/>
      <c r="H26" t="s">
        <v>56</v>
      </c>
    </row>
    <row r="27" spans="1:8" x14ac:dyDescent="0.6">
      <c r="A27" t="s">
        <v>33</v>
      </c>
      <c r="B27" s="1" t="str">
        <f>_xlfn.CONCAT(A12,"/",B26)</f>
        <v>Rbelow/((Vreg-1.25)/1.25)</v>
      </c>
      <c r="C27" s="1" t="str">
        <f>_xlfn.CONCAT(D12,"/",C26)</f>
        <v>2.00E+3/((8.192-1.25)/1.25)</v>
      </c>
      <c r="D27" s="16" t="str">
        <f>TEXT(D12/D26,"0.00")</f>
        <v>360.36</v>
      </c>
      <c r="E27" s="11" t="s">
        <v>15</v>
      </c>
      <c r="F27" s="2">
        <v>3</v>
      </c>
      <c r="G27" s="2" t="s">
        <v>26</v>
      </c>
      <c r="H27" t="s">
        <v>29</v>
      </c>
    </row>
    <row r="28" spans="1:8" x14ac:dyDescent="0.6">
      <c r="A28" t="s">
        <v>76</v>
      </c>
      <c r="D28" s="16">
        <v>330</v>
      </c>
      <c r="E28" s="11" t="s">
        <v>15</v>
      </c>
      <c r="F28" s="2">
        <v>4</v>
      </c>
      <c r="G28" s="2">
        <v>330</v>
      </c>
    </row>
    <row r="29" spans="1:8" x14ac:dyDescent="0.6">
      <c r="A29" t="s">
        <v>34</v>
      </c>
      <c r="B29" s="1" t="str">
        <f>_xlfn.CONCAT(B26,"*",A28)</f>
        <v>((Vreg-1.25)/1.25)*Rabove_real</v>
      </c>
      <c r="C29" s="1" t="str">
        <f>_xlfn.CONCAT(D26,"*",D28)</f>
        <v>5.55*330</v>
      </c>
      <c r="D29" s="16" t="str">
        <f>TEXT(D26*D28,"0.00")</f>
        <v>1831.50</v>
      </c>
      <c r="E29" s="11" t="s">
        <v>15</v>
      </c>
      <c r="F29" s="2">
        <v>6</v>
      </c>
      <c r="G29" s="2" t="s">
        <v>30</v>
      </c>
    </row>
    <row r="30" spans="1:8" x14ac:dyDescent="0.6">
      <c r="A30" t="s">
        <v>27</v>
      </c>
      <c r="B30" s="1" t="str">
        <f>_xlfn.CONCAT(A12,"*3/4")</f>
        <v>Rbelow*3/4</v>
      </c>
      <c r="C30" s="1" t="str">
        <f>_xlfn.CONCAT(D12,"*3/4")</f>
        <v>2.00E+3*3/4</v>
      </c>
      <c r="D30" s="16" t="str">
        <f>TEXT((D12)*(3/4),"0.00")</f>
        <v>1500.00</v>
      </c>
      <c r="E30" s="11" t="s">
        <v>15</v>
      </c>
      <c r="F30" s="2">
        <v>5</v>
      </c>
      <c r="G30" s="2">
        <v>1500</v>
      </c>
    </row>
    <row r="31" spans="1:8" x14ac:dyDescent="0.6">
      <c r="A31" t="s">
        <v>28</v>
      </c>
      <c r="B31" s="1" t="str">
        <f>_xlfn.CONCAT(A12,"*1/4")</f>
        <v>Rbelow*1/4</v>
      </c>
      <c r="C31" s="1" t="str">
        <f>_xlfn.CONCAT(D12,"*1/4")</f>
        <v>2.00E+3*1/4</v>
      </c>
      <c r="D31" s="16" t="str">
        <f>TEXT((D12)*(1/4),"0.00")</f>
        <v>500.00</v>
      </c>
      <c r="E31" s="11" t="s">
        <v>15</v>
      </c>
      <c r="F31" s="2">
        <v>5</v>
      </c>
      <c r="G31" s="2">
        <v>500</v>
      </c>
    </row>
    <row r="32" spans="1:8" x14ac:dyDescent="0.6">
      <c r="A32" t="s">
        <v>48</v>
      </c>
      <c r="B32" s="1" t="str">
        <f>_xlfn.CONCAT(A12,"*",A13)</f>
        <v>Rbelow*Ileakage</v>
      </c>
      <c r="C32" s="1" t="str">
        <f>_xlfn.CONCAT(D12,"*",D13)</f>
        <v>2.00E+3*10.00E-6</v>
      </c>
      <c r="D32" s="17" t="str">
        <f>TEXT(D12*D13,"0.00")</f>
        <v>0.02</v>
      </c>
      <c r="E32" s="11" t="s">
        <v>13</v>
      </c>
      <c r="F32" s="2">
        <v>1</v>
      </c>
      <c r="G32" s="2">
        <v>0.1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6594-0401-467E-A9F4-DA46BBF6B9B6}">
  <dimension ref="A1:H19"/>
  <sheetViews>
    <sheetView zoomScale="110" zoomScaleNormal="110" workbookViewId="0">
      <selection activeCell="C20" sqref="C20"/>
    </sheetView>
  </sheetViews>
  <sheetFormatPr defaultRowHeight="15.6" x14ac:dyDescent="0.6"/>
  <cols>
    <col min="1" max="1" width="12.796875" bestFit="1" customWidth="1"/>
    <col min="2" max="2" width="39.296875" style="1" bestFit="1" customWidth="1"/>
    <col min="3" max="3" width="26" style="1" bestFit="1" customWidth="1"/>
    <col min="4" max="4" width="8.6484375" style="1" bestFit="1" customWidth="1"/>
    <col min="5" max="5" width="6.19921875" style="1" bestFit="1" customWidth="1"/>
    <col min="6" max="6" width="4.84765625" style="2" bestFit="1" customWidth="1"/>
    <col min="7" max="7" width="10.546875" style="2" bestFit="1" customWidth="1"/>
    <col min="8" max="8" width="61.19921875" bestFit="1" customWidth="1"/>
  </cols>
  <sheetData>
    <row r="1" spans="1:8" x14ac:dyDescent="0.6">
      <c r="A1" s="2" t="s">
        <v>2</v>
      </c>
      <c r="B1" s="1" t="s">
        <v>36</v>
      </c>
      <c r="D1" s="1" t="s">
        <v>6</v>
      </c>
      <c r="E1" s="1" t="s">
        <v>12</v>
      </c>
      <c r="F1" s="2" t="s">
        <v>62</v>
      </c>
      <c r="G1" s="2" t="s">
        <v>75</v>
      </c>
      <c r="H1" s="2" t="s">
        <v>54</v>
      </c>
    </row>
    <row r="2" spans="1:8" x14ac:dyDescent="0.6">
      <c r="A2" t="s">
        <v>11</v>
      </c>
      <c r="D2" s="1">
        <v>120</v>
      </c>
      <c r="E2" s="1" t="s">
        <v>13</v>
      </c>
    </row>
    <row r="3" spans="1:8" x14ac:dyDescent="0.6">
      <c r="A3" t="s">
        <v>8</v>
      </c>
      <c r="D3" s="1">
        <v>60</v>
      </c>
      <c r="E3" s="1" t="s">
        <v>14</v>
      </c>
    </row>
    <row r="4" spans="1:8" x14ac:dyDescent="0.6">
      <c r="A4" t="s">
        <v>3</v>
      </c>
      <c r="B4" s="1" t="s">
        <v>39</v>
      </c>
      <c r="D4" s="1">
        <v>6</v>
      </c>
    </row>
    <row r="5" spans="1:8" x14ac:dyDescent="0.6">
      <c r="A5" t="s">
        <v>38</v>
      </c>
      <c r="B5" s="1" t="s">
        <v>37</v>
      </c>
      <c r="D5" s="1">
        <v>2</v>
      </c>
    </row>
    <row r="6" spans="1:8" x14ac:dyDescent="0.6">
      <c r="A6" t="s">
        <v>1</v>
      </c>
      <c r="D6" s="1">
        <v>0.7</v>
      </c>
      <c r="E6" s="1" t="s">
        <v>13</v>
      </c>
    </row>
    <row r="7" spans="1:8" x14ac:dyDescent="0.6">
      <c r="A7" t="s">
        <v>0</v>
      </c>
      <c r="D7" s="1">
        <v>1</v>
      </c>
    </row>
    <row r="8" spans="1:8" x14ac:dyDescent="0.6">
      <c r="A8" t="s">
        <v>40</v>
      </c>
      <c r="D8" s="1">
        <v>60</v>
      </c>
      <c r="E8" s="1" t="s">
        <v>14</v>
      </c>
    </row>
    <row r="9" spans="1:8" x14ac:dyDescent="0.6">
      <c r="A9" t="s">
        <v>41</v>
      </c>
      <c r="D9" s="1" t="str">
        <f>TEXT(0.000047,"##0.00E+0")</f>
        <v>47.00E-6</v>
      </c>
      <c r="E9" s="1" t="s">
        <v>80</v>
      </c>
    </row>
    <row r="10" spans="1:8" x14ac:dyDescent="0.6">
      <c r="A10" t="s">
        <v>4</v>
      </c>
      <c r="D10" s="1">
        <v>820</v>
      </c>
      <c r="E10" s="1" t="s">
        <v>15</v>
      </c>
    </row>
    <row r="12" spans="1:8" x14ac:dyDescent="0.6">
      <c r="A12" t="s">
        <v>9</v>
      </c>
      <c r="B12" s="1" t="str">
        <f>_xlfn.CONCAT(A2,"*sqrt(2)")</f>
        <v>Vrms_source*sqrt(2)</v>
      </c>
      <c r="C12" s="1" t="str">
        <f>_xlfn.CONCAT(D2,"*sqrt(2)")</f>
        <v>120*sqrt(2)</v>
      </c>
      <c r="D12" s="4" t="str">
        <f>TEXT(D2*SQRT(2),"0.00")</f>
        <v>169.71</v>
      </c>
      <c r="E12" s="5" t="s">
        <v>7</v>
      </c>
    </row>
    <row r="13" spans="1:8" x14ac:dyDescent="0.6">
      <c r="A13" t="s">
        <v>10</v>
      </c>
      <c r="B13" s="1" t="str">
        <f>_xlfn.CONCAT("(",A12,"/",A4,")/",A5)</f>
        <v>(Vp_source/Turns)/CTD</v>
      </c>
      <c r="C13" s="1" t="str">
        <f>_xlfn.CONCAT("(",D12,"/",D4,")/",D5)</f>
        <v>(169.71/6)/2</v>
      </c>
      <c r="D13" s="4" t="str">
        <f>TEXT((D12/D4)/D5,"0.00")</f>
        <v>14.14</v>
      </c>
      <c r="E13" s="5" t="s">
        <v>7</v>
      </c>
    </row>
    <row r="14" spans="1:8" x14ac:dyDescent="0.6">
      <c r="A14" t="s">
        <v>5</v>
      </c>
      <c r="B14" s="1" t="str">
        <f>_xlfn.CONCAT(A6,"*",A7)</f>
        <v>Vdiode*#Diodes</v>
      </c>
      <c r="C14" s="1" t="str">
        <f>_xlfn.CONCAT(D6,"*",D7)</f>
        <v>0.7*1</v>
      </c>
      <c r="D14" s="4" t="str">
        <f>TEXT(D6*D7,"0.00")</f>
        <v>0.70</v>
      </c>
      <c r="E14" s="5" t="s">
        <v>13</v>
      </c>
    </row>
    <row r="15" spans="1:8" x14ac:dyDescent="0.6">
      <c r="A15" t="s">
        <v>20</v>
      </c>
      <c r="B15" s="1" t="str">
        <f>_xlfn.CONCAT(A13,"-",A14)</f>
        <v>Vp_secondary-Vdiodes</v>
      </c>
      <c r="C15" s="1" t="str">
        <f>_xlfn.CONCAT(D13,"-",D14)</f>
        <v>14.14-0.70</v>
      </c>
      <c r="D15" s="6" t="str">
        <f>TEXT(D13-D14,"0.00")</f>
        <v>13.44</v>
      </c>
      <c r="E15" s="5" t="s">
        <v>7</v>
      </c>
      <c r="F15" s="2">
        <v>1</v>
      </c>
      <c r="G15" s="2" t="s">
        <v>63</v>
      </c>
    </row>
    <row r="16" spans="1:8" x14ac:dyDescent="0.6">
      <c r="A16" t="s">
        <v>42</v>
      </c>
      <c r="B16" s="1" t="str">
        <f>_xlfn.CONCAT("1/",A8)</f>
        <v>1/freq_rectifier</v>
      </c>
      <c r="C16" s="1" t="str">
        <f>_xlfn.CONCAT("1/",D8)</f>
        <v>1/60</v>
      </c>
      <c r="D16" s="18" t="str">
        <f>TEXT(1/D8,"0.0000")</f>
        <v>0.0167</v>
      </c>
      <c r="E16" s="5" t="s">
        <v>16</v>
      </c>
      <c r="F16" s="2">
        <v>2</v>
      </c>
      <c r="G16" s="2" t="s">
        <v>66</v>
      </c>
    </row>
    <row r="17" spans="1:7" x14ac:dyDescent="0.6">
      <c r="A17" t="s">
        <v>43</v>
      </c>
      <c r="B17" s="1" t="str">
        <f>_xlfn.CONCAT("(",A15,"*",A16,")/(",A9,"*",A10,")")</f>
        <v>(Vp_rectifier*Period_rectifier)/(Crectifier*Rload)</v>
      </c>
      <c r="C17" s="1" t="str">
        <f>_xlfn.CONCAT("(",D15,"*",D16,")/(",D9,"*",D10,")")</f>
        <v>(13.44*0.0167)/(47.00E-6*820)</v>
      </c>
      <c r="D17" s="7" t="str">
        <f>TEXT((D15*D16)/(D9*D10),"0.00")</f>
        <v>5.82</v>
      </c>
      <c r="E17" s="5" t="s">
        <v>17</v>
      </c>
      <c r="F17" s="2">
        <v>3</v>
      </c>
      <c r="G17" s="2" t="s">
        <v>64</v>
      </c>
    </row>
    <row r="18" spans="1:7" x14ac:dyDescent="0.6">
      <c r="A18" t="s">
        <v>22</v>
      </c>
      <c r="B18" s="1" t="str">
        <f>_xlfn.CONCAT(A15,"-",A17)</f>
        <v>Vp_rectifier-Vrip_rectifier</v>
      </c>
      <c r="C18" s="1" t="str">
        <f>_xlfn.CONCAT(D15,"-",D17)</f>
        <v>13.44-5.82</v>
      </c>
      <c r="D18" s="7" t="str">
        <f>TEXT(D15-D17,"0.00")</f>
        <v>7.62</v>
      </c>
      <c r="E18" s="5" t="s">
        <v>13</v>
      </c>
      <c r="F18" s="2">
        <v>5</v>
      </c>
      <c r="G18" s="2" t="s">
        <v>65</v>
      </c>
    </row>
    <row r="19" spans="1:7" x14ac:dyDescent="0.6">
      <c r="A19" t="s">
        <v>23</v>
      </c>
      <c r="B19" s="1" t="str">
        <f>_xlfn.CONCAT(A15,"-(",A17,"/2)")</f>
        <v>Vp_rectifier-(Vrip_rectifier/2)</v>
      </c>
      <c r="C19" s="1" t="str">
        <f>_xlfn.CONCAT(D15,"-(",D17,"/2)")</f>
        <v>13.44-(5.82/2)</v>
      </c>
      <c r="D19" s="7" t="str">
        <f>TEXT(D15-(D17/2),"0.00")</f>
        <v>10.53</v>
      </c>
      <c r="E19" s="5" t="s">
        <v>18</v>
      </c>
      <c r="F19" s="2">
        <v>4</v>
      </c>
      <c r="G19" s="2" t="s">
        <v>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7B5E-E97B-4D6D-8B65-09795ACAA333}">
  <dimension ref="A1:H34"/>
  <sheetViews>
    <sheetView zoomScale="110" zoomScaleNormal="110" workbookViewId="0">
      <selection activeCell="C9" sqref="C9"/>
    </sheetView>
  </sheetViews>
  <sheetFormatPr defaultRowHeight="15.6" x14ac:dyDescent="0.6"/>
  <cols>
    <col min="1" max="1" width="12.796875" bestFit="1" customWidth="1"/>
    <col min="2" max="2" width="30.296875" style="1" bestFit="1" customWidth="1"/>
    <col min="3" max="3" width="23.75" style="1" bestFit="1" customWidth="1"/>
    <col min="4" max="4" width="7.19921875" style="1" bestFit="1" customWidth="1"/>
    <col min="5" max="5" width="6.3984375" style="1" bestFit="1" customWidth="1"/>
    <col min="6" max="6" width="4.84765625" style="2" bestFit="1" customWidth="1"/>
    <col min="7" max="7" width="11.25" style="2" bestFit="1" customWidth="1"/>
    <col min="8" max="8" width="66.046875" bestFit="1" customWidth="1"/>
  </cols>
  <sheetData>
    <row r="1" spans="1:8" x14ac:dyDescent="0.6">
      <c r="A1" s="2" t="s">
        <v>2</v>
      </c>
      <c r="B1" s="1" t="s">
        <v>36</v>
      </c>
      <c r="D1" s="1" t="s">
        <v>6</v>
      </c>
      <c r="E1" s="1" t="s">
        <v>12</v>
      </c>
      <c r="F1" s="2" t="s">
        <v>62</v>
      </c>
      <c r="G1" s="2" t="s">
        <v>75</v>
      </c>
      <c r="H1" s="2" t="s">
        <v>54</v>
      </c>
    </row>
    <row r="2" spans="1:8" x14ac:dyDescent="0.6">
      <c r="A2" t="s">
        <v>11</v>
      </c>
      <c r="D2" s="1">
        <v>120</v>
      </c>
      <c r="E2" s="1" t="s">
        <v>13</v>
      </c>
    </row>
    <row r="3" spans="1:8" x14ac:dyDescent="0.6">
      <c r="A3" t="s">
        <v>8</v>
      </c>
      <c r="D3" s="1">
        <v>60</v>
      </c>
      <c r="E3" s="1" t="s">
        <v>14</v>
      </c>
    </row>
    <row r="4" spans="1:8" x14ac:dyDescent="0.6">
      <c r="A4" t="s">
        <v>3</v>
      </c>
      <c r="B4" s="1" t="s">
        <v>39</v>
      </c>
      <c r="D4" s="1">
        <v>6</v>
      </c>
    </row>
    <row r="5" spans="1:8" x14ac:dyDescent="0.6">
      <c r="A5" t="s">
        <v>38</v>
      </c>
      <c r="B5" s="1" t="s">
        <v>37</v>
      </c>
      <c r="D5" s="1">
        <v>2</v>
      </c>
    </row>
    <row r="6" spans="1:8" x14ac:dyDescent="0.6">
      <c r="A6" t="s">
        <v>1</v>
      </c>
      <c r="D6" s="1">
        <v>0.7</v>
      </c>
      <c r="E6" s="1" t="s">
        <v>13</v>
      </c>
    </row>
    <row r="7" spans="1:8" x14ac:dyDescent="0.6">
      <c r="A7" t="s">
        <v>0</v>
      </c>
      <c r="D7" s="1">
        <v>1</v>
      </c>
    </row>
    <row r="8" spans="1:8" x14ac:dyDescent="0.6">
      <c r="A8" t="s">
        <v>40</v>
      </c>
      <c r="D8" s="1">
        <v>60</v>
      </c>
      <c r="E8" s="1" t="s">
        <v>14</v>
      </c>
    </row>
    <row r="9" spans="1:8" x14ac:dyDescent="0.6">
      <c r="A9" t="s">
        <v>41</v>
      </c>
      <c r="D9" s="1" t="str">
        <f>TEXT(0.000047,"##0.00E+0")</f>
        <v>47.00E-6</v>
      </c>
      <c r="E9" s="1" t="s">
        <v>80</v>
      </c>
    </row>
    <row r="10" spans="1:8" x14ac:dyDescent="0.6">
      <c r="A10" t="s">
        <v>4</v>
      </c>
      <c r="D10" s="1" t="str">
        <f>TEXT(2200,"##0.00E+0")</f>
        <v>2.20E+3</v>
      </c>
      <c r="E10" s="1" t="s">
        <v>15</v>
      </c>
    </row>
    <row r="11" spans="1:8" x14ac:dyDescent="0.6">
      <c r="A11" t="s">
        <v>25</v>
      </c>
      <c r="B11" s="21" t="s">
        <v>74</v>
      </c>
      <c r="D11" s="21">
        <v>8</v>
      </c>
      <c r="E11" s="1" t="s">
        <v>13</v>
      </c>
    </row>
    <row r="12" spans="1:8" x14ac:dyDescent="0.6">
      <c r="A12" t="s">
        <v>31</v>
      </c>
      <c r="B12" s="1" t="s">
        <v>68</v>
      </c>
      <c r="D12" s="1" t="str">
        <f>TEXT(1800,"##0.00E+0")</f>
        <v>1.80E+3</v>
      </c>
      <c r="E12" s="1" t="s">
        <v>15</v>
      </c>
    </row>
    <row r="13" spans="1:8" x14ac:dyDescent="0.6">
      <c r="A13" t="s">
        <v>46</v>
      </c>
      <c r="B13" s="1" t="s">
        <v>47</v>
      </c>
      <c r="D13" s="1" t="str">
        <f>TEXT(0.00005,"##0.00E+0")</f>
        <v>50.00E-6</v>
      </c>
      <c r="E13" s="1" t="s">
        <v>81</v>
      </c>
    </row>
    <row r="15" spans="1:8" x14ac:dyDescent="0.6">
      <c r="A15" t="s">
        <v>9</v>
      </c>
      <c r="B15" s="1" t="str">
        <f>_xlfn.CONCAT(A2,"*sqrt(2)")</f>
        <v>Vrms_source*sqrt(2)</v>
      </c>
      <c r="C15" s="1" t="str">
        <f>_xlfn.CONCAT(D2,"*sqrt(2)")</f>
        <v>120*sqrt(2)</v>
      </c>
      <c r="D15" s="4" t="str">
        <f>TEXT(D2*SQRT(2),"0.00")</f>
        <v>169.71</v>
      </c>
      <c r="E15" s="5" t="s">
        <v>7</v>
      </c>
    </row>
    <row r="16" spans="1:8" x14ac:dyDescent="0.6">
      <c r="A16" t="s">
        <v>10</v>
      </c>
      <c r="B16" s="1" t="str">
        <f>_xlfn.CONCAT("(",A15,"/",A4,")/",A5)</f>
        <v>(Vp_source/Turns)/CTD</v>
      </c>
      <c r="C16" s="1" t="str">
        <f>_xlfn.CONCAT("(",D15,"/",D4,")/",D5)</f>
        <v>(169.71/6)/2</v>
      </c>
      <c r="D16" s="4" t="str">
        <f>TEXT((D15/D4)/D5,"0.00")</f>
        <v>14.14</v>
      </c>
      <c r="E16" s="5" t="s">
        <v>7</v>
      </c>
    </row>
    <row r="17" spans="1:8" x14ac:dyDescent="0.6">
      <c r="A17" t="s">
        <v>5</v>
      </c>
      <c r="B17" s="1" t="str">
        <f>_xlfn.CONCAT(A6,"*",A7)</f>
        <v>Vdiode*#Diodes</v>
      </c>
      <c r="C17" s="1" t="str">
        <f>_xlfn.CONCAT(D6,"*",D7)</f>
        <v>0.7*1</v>
      </c>
      <c r="D17" s="4" t="str">
        <f>TEXT(D6*D7,"0.00")</f>
        <v>0.70</v>
      </c>
      <c r="E17" s="5" t="s">
        <v>13</v>
      </c>
    </row>
    <row r="18" spans="1:8" x14ac:dyDescent="0.6">
      <c r="A18" t="s">
        <v>20</v>
      </c>
      <c r="B18" s="1" t="str">
        <f>_xlfn.CONCAT(A16,"-",A17)</f>
        <v>Vp_secondary-Vdiodes</v>
      </c>
      <c r="C18" s="1" t="str">
        <f>_xlfn.CONCAT(D16,"-",D17)</f>
        <v>14.14-0.70</v>
      </c>
      <c r="D18" s="4" t="str">
        <f>TEXT(D16-D17,"0.00")</f>
        <v>13.44</v>
      </c>
      <c r="E18" s="5" t="s">
        <v>7</v>
      </c>
    </row>
    <row r="19" spans="1:8" x14ac:dyDescent="0.6">
      <c r="A19" t="s">
        <v>19</v>
      </c>
      <c r="B19" s="1" t="str">
        <f>_xlfn.CONCAT(A11,"/",A10)</f>
        <v>Vreg/Rload</v>
      </c>
      <c r="C19" s="1" t="str">
        <f>_xlfn.CONCAT(D11,"/",D10)</f>
        <v>8/2.20E+3</v>
      </c>
      <c r="D19" s="18" t="str">
        <f>TEXT(D11/D10,"0.00000")</f>
        <v>0.00364</v>
      </c>
      <c r="E19" s="5" t="s">
        <v>21</v>
      </c>
      <c r="F19" s="2">
        <v>14</v>
      </c>
      <c r="G19" s="2" t="s">
        <v>50</v>
      </c>
      <c r="H19" s="3" t="s">
        <v>79</v>
      </c>
    </row>
    <row r="20" spans="1:8" x14ac:dyDescent="0.6">
      <c r="A20" t="s">
        <v>42</v>
      </c>
      <c r="B20" s="1" t="str">
        <f>_xlfn.CONCAT("1/",A8)</f>
        <v>1/freq_rectifier</v>
      </c>
      <c r="C20" s="1" t="str">
        <f>_xlfn.CONCAT("1/",D8)</f>
        <v>1/60</v>
      </c>
      <c r="D20" s="5" t="str">
        <f>TEXT(1/D8,"0.00000")</f>
        <v>0.01667</v>
      </c>
      <c r="E20" s="5" t="s">
        <v>16</v>
      </c>
    </row>
    <row r="21" spans="1:8" x14ac:dyDescent="0.6">
      <c r="A21" t="s">
        <v>43</v>
      </c>
      <c r="B21" s="1" t="str">
        <f>_xlfn.CONCAT("(",A19,"*",A20,")/",A9)</f>
        <v>(I_load*Period_rectifier)/Crectifier</v>
      </c>
      <c r="C21" s="1" t="str">
        <f>_xlfn.CONCAT("(",D19,"*",D20,")/",D9)</f>
        <v>(0.00364*0.01667)/47.00E-6</v>
      </c>
      <c r="D21" s="7" t="str">
        <f>TEXT((D19*D20)/(D9),"0.00")</f>
        <v>1.29</v>
      </c>
      <c r="E21" s="5" t="s">
        <v>17</v>
      </c>
      <c r="F21" s="2">
        <v>15</v>
      </c>
      <c r="G21" s="2" t="s">
        <v>51</v>
      </c>
    </row>
    <row r="22" spans="1:8" x14ac:dyDescent="0.6">
      <c r="A22" t="s">
        <v>22</v>
      </c>
      <c r="B22" s="1" t="str">
        <f>_xlfn.CONCAT(A18,"-",A21)</f>
        <v>Vp_rectifier-Vrip_rectifier</v>
      </c>
      <c r="C22" s="1" t="str">
        <f>_xlfn.CONCAT(D18,"-",D21)</f>
        <v>13.44-1.29</v>
      </c>
      <c r="D22" s="4" t="str">
        <f>TEXT(D18-D21,"0.00")</f>
        <v>12.15</v>
      </c>
      <c r="E22" s="5" t="s">
        <v>13</v>
      </c>
    </row>
    <row r="23" spans="1:8" x14ac:dyDescent="0.6">
      <c r="A23" t="s">
        <v>23</v>
      </c>
      <c r="B23" s="1" t="str">
        <f>_xlfn.CONCAT(A18,"-(",A21,"/2)")</f>
        <v>Vp_rectifier-(Vrip_rectifier/2)</v>
      </c>
      <c r="C23" s="1" t="str">
        <f>_xlfn.CONCAT(D18,"-(",D21,"/2)")</f>
        <v>13.44-(1.29/2)</v>
      </c>
      <c r="D23" s="4" t="str">
        <f>TEXT(D18-(D21/2),"0.00")</f>
        <v>12.80</v>
      </c>
      <c r="E23" s="5" t="s">
        <v>18</v>
      </c>
    </row>
    <row r="24" spans="1:8" x14ac:dyDescent="0.6">
      <c r="A24" t="s">
        <v>53</v>
      </c>
      <c r="B24" s="1" t="str">
        <f>_xlfn.CONCAT(A22,"-",A11)</f>
        <v>Vmin_rectifier-Vreg</v>
      </c>
      <c r="C24" s="1" t="str">
        <f>_xlfn.CONCAT(D22,"-",D11)</f>
        <v>12.15-8</v>
      </c>
      <c r="D24" s="4" t="str">
        <f>TEXT(D22-D11,"0.00")</f>
        <v>4.15</v>
      </c>
      <c r="E24" s="5"/>
      <c r="H24" t="s">
        <v>55</v>
      </c>
    </row>
    <row r="25" spans="1:8" x14ac:dyDescent="0.6">
      <c r="D25" s="5"/>
      <c r="E25" s="5"/>
    </row>
    <row r="26" spans="1:8" x14ac:dyDescent="0.6">
      <c r="A26" t="s">
        <v>32</v>
      </c>
      <c r="B26" s="1" t="str">
        <f>_xlfn.CONCAT("((",A11,"-1.25)/1.25)")</f>
        <v>((Vreg-1.25)/1.25)</v>
      </c>
      <c r="C26" s="1" t="str">
        <f>_xlfn.CONCAT("((",D11,"-1.25)/1.25)")</f>
        <v>((8-1.25)/1.25)</v>
      </c>
      <c r="D26" s="8" t="str">
        <f>TEXT((D11-1.25)/1.25,"0.00")</f>
        <v>5.40</v>
      </c>
      <c r="E26" s="5"/>
      <c r="H26" t="s">
        <v>56</v>
      </c>
    </row>
    <row r="27" spans="1:8" x14ac:dyDescent="0.6">
      <c r="A27" t="s">
        <v>33</v>
      </c>
      <c r="B27" s="1" t="str">
        <f>_xlfn.CONCAT(A12,"/",B26)</f>
        <v>Rbelow/((Vreg-1.25)/1.25)</v>
      </c>
      <c r="C27" s="1" t="str">
        <f>_xlfn.CONCAT(D12,"/",C26)</f>
        <v>1.80E+3/((8-1.25)/1.25)</v>
      </c>
      <c r="D27" s="9" t="str">
        <f>TEXT(D12/D26,"0.0")</f>
        <v>333.3</v>
      </c>
      <c r="E27" s="5" t="s">
        <v>15</v>
      </c>
      <c r="F27" s="2">
        <v>12</v>
      </c>
      <c r="G27" s="2" t="s">
        <v>52</v>
      </c>
    </row>
    <row r="28" spans="1:8" x14ac:dyDescent="0.6">
      <c r="A28" t="s">
        <v>49</v>
      </c>
      <c r="D28" s="19">
        <v>200</v>
      </c>
      <c r="E28" s="5" t="s">
        <v>15</v>
      </c>
    </row>
    <row r="29" spans="1:8" x14ac:dyDescent="0.6">
      <c r="A29" t="s">
        <v>61</v>
      </c>
      <c r="D29" s="19">
        <v>0</v>
      </c>
      <c r="E29" s="5" t="s">
        <v>15</v>
      </c>
    </row>
    <row r="30" spans="1:8" x14ac:dyDescent="0.6">
      <c r="A30" t="s">
        <v>58</v>
      </c>
      <c r="B30" s="1" t="str">
        <f>_xlfn.CONCAT(A27,"-",A28)</f>
        <v>Rabove-R4_max</v>
      </c>
      <c r="C30" s="1" t="str">
        <f>_xlfn.CONCAT(D27,"-",D28)</f>
        <v>333.3-200</v>
      </c>
      <c r="D30" s="19" t="str">
        <f>TEXT(D27-D28,"0.0")</f>
        <v>133.3</v>
      </c>
      <c r="E30" s="5" t="s">
        <v>15</v>
      </c>
    </row>
    <row r="31" spans="1:8" x14ac:dyDescent="0.6">
      <c r="A31" t="s">
        <v>59</v>
      </c>
      <c r="B31" s="1" t="str">
        <f>_xlfn.CONCAT(A27,"-",A29)</f>
        <v>Rabove-R4_min</v>
      </c>
      <c r="C31" s="1" t="str">
        <f>_xlfn.CONCAT(D27,"-",D29)</f>
        <v>333.3-0</v>
      </c>
      <c r="D31" s="19" t="str">
        <f>TEXT(D27-D29,"0.0")</f>
        <v>333.3</v>
      </c>
      <c r="E31" s="5" t="s">
        <v>15</v>
      </c>
    </row>
    <row r="32" spans="1:8" x14ac:dyDescent="0.6">
      <c r="A32" t="s">
        <v>28</v>
      </c>
      <c r="B32" s="1" t="str">
        <f>_xlfn.CONCAT(A31,"-",A30)</f>
        <v>R3_max-R3_min</v>
      </c>
      <c r="C32" s="1" t="str">
        <f>_xlfn.CONCAT(D31,"-",D30)</f>
        <v>333.3-133.3</v>
      </c>
      <c r="D32" s="9" t="str">
        <f>TEXT(D31-D30,"0.00")</f>
        <v>200.00</v>
      </c>
      <c r="E32" s="5" t="s">
        <v>15</v>
      </c>
    </row>
    <row r="33" spans="1:8" x14ac:dyDescent="0.6">
      <c r="A33" t="s">
        <v>78</v>
      </c>
      <c r="D33" s="9">
        <v>270</v>
      </c>
      <c r="E33" s="5" t="s">
        <v>15</v>
      </c>
      <c r="F33" s="2">
        <v>13</v>
      </c>
      <c r="G33" s="2">
        <v>270</v>
      </c>
      <c r="H33" t="s">
        <v>60</v>
      </c>
    </row>
    <row r="34" spans="1:8" x14ac:dyDescent="0.6">
      <c r="A34" t="s">
        <v>48</v>
      </c>
      <c r="B34" s="1" t="str">
        <f>_xlfn.CONCAT(A12,"*",A13)</f>
        <v>Rbelow*Ileakage</v>
      </c>
      <c r="C34" s="1" t="str">
        <f>_xlfn.CONCAT(D12,"*",D13)</f>
        <v>1.80E+3*50.00E-6</v>
      </c>
      <c r="D34" s="1" t="str">
        <f>TEXT(D12*D13,"0.000")</f>
        <v>0.090</v>
      </c>
      <c r="E34" s="5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EEC2-5462-4B25-B586-99C42A00A461}">
  <dimension ref="A1:H25"/>
  <sheetViews>
    <sheetView zoomScale="110" zoomScaleNormal="110" workbookViewId="0">
      <selection activeCell="C25" sqref="C25"/>
    </sheetView>
  </sheetViews>
  <sheetFormatPr defaultRowHeight="15.6" x14ac:dyDescent="0.6"/>
  <cols>
    <col min="1" max="1" width="12.796875" bestFit="1" customWidth="1"/>
    <col min="2" max="2" width="30.296875" style="1" bestFit="1" customWidth="1"/>
    <col min="3" max="3" width="23.75" style="1" bestFit="1" customWidth="1"/>
    <col min="4" max="4" width="7.19921875" style="2" bestFit="1" customWidth="1"/>
    <col min="5" max="5" width="6.3984375" style="2" bestFit="1" customWidth="1"/>
    <col min="6" max="6" width="4.84765625" style="2" bestFit="1" customWidth="1"/>
    <col min="7" max="7" width="6.75" style="2" bestFit="1" customWidth="1"/>
    <col min="8" max="8" width="61.19921875" bestFit="1" customWidth="1"/>
  </cols>
  <sheetData>
    <row r="1" spans="1:8" x14ac:dyDescent="0.6">
      <c r="A1" s="2" t="s">
        <v>2</v>
      </c>
      <c r="B1" s="1" t="s">
        <v>36</v>
      </c>
      <c r="D1" s="2" t="s">
        <v>6</v>
      </c>
      <c r="E1" s="2" t="s">
        <v>12</v>
      </c>
      <c r="F1" s="2" t="s">
        <v>62</v>
      </c>
      <c r="G1" s="2" t="s">
        <v>75</v>
      </c>
      <c r="H1" s="2" t="s">
        <v>54</v>
      </c>
    </row>
    <row r="2" spans="1:8" x14ac:dyDescent="0.6">
      <c r="A2" t="s">
        <v>11</v>
      </c>
      <c r="D2" s="2">
        <v>120</v>
      </c>
      <c r="E2" s="2" t="s">
        <v>13</v>
      </c>
    </row>
    <row r="3" spans="1:8" x14ac:dyDescent="0.6">
      <c r="A3" t="s">
        <v>8</v>
      </c>
      <c r="D3" s="2">
        <v>60</v>
      </c>
      <c r="E3" s="2" t="s">
        <v>14</v>
      </c>
    </row>
    <row r="4" spans="1:8" x14ac:dyDescent="0.6">
      <c r="A4" t="s">
        <v>3</v>
      </c>
      <c r="B4" s="1" t="s">
        <v>39</v>
      </c>
      <c r="D4" s="2">
        <v>6</v>
      </c>
    </row>
    <row r="5" spans="1:8" x14ac:dyDescent="0.6">
      <c r="A5" t="s">
        <v>38</v>
      </c>
      <c r="B5" s="1" t="s">
        <v>37</v>
      </c>
      <c r="D5" s="2">
        <v>2</v>
      </c>
    </row>
    <row r="6" spans="1:8" x14ac:dyDescent="0.6">
      <c r="A6" t="s">
        <v>1</v>
      </c>
      <c r="D6" s="2">
        <v>0.7</v>
      </c>
      <c r="E6" s="2" t="s">
        <v>13</v>
      </c>
    </row>
    <row r="7" spans="1:8" x14ac:dyDescent="0.6">
      <c r="A7" t="s">
        <v>0</v>
      </c>
      <c r="D7" s="2">
        <v>1</v>
      </c>
    </row>
    <row r="8" spans="1:8" x14ac:dyDescent="0.6">
      <c r="A8" t="s">
        <v>40</v>
      </c>
      <c r="D8" s="2">
        <v>60</v>
      </c>
      <c r="E8" s="2" t="s">
        <v>14</v>
      </c>
    </row>
    <row r="9" spans="1:8" x14ac:dyDescent="0.6">
      <c r="A9" t="s">
        <v>41</v>
      </c>
      <c r="D9" s="2" t="str">
        <f>TEXT(0.000047,"##0.00E+0")</f>
        <v>47.00E-6</v>
      </c>
      <c r="E9" s="2" t="s">
        <v>80</v>
      </c>
    </row>
    <row r="10" spans="1:8" x14ac:dyDescent="0.6">
      <c r="A10" t="s">
        <v>4</v>
      </c>
      <c r="D10" s="2">
        <v>470</v>
      </c>
      <c r="E10" s="2" t="s">
        <v>15</v>
      </c>
    </row>
    <row r="11" spans="1:8" x14ac:dyDescent="0.6">
      <c r="A11" t="s">
        <v>25</v>
      </c>
      <c r="D11" s="20">
        <v>4</v>
      </c>
      <c r="E11" s="2" t="s">
        <v>13</v>
      </c>
      <c r="F11" s="2">
        <v>5</v>
      </c>
      <c r="G11" s="2" t="s">
        <v>73</v>
      </c>
    </row>
    <row r="12" spans="1:8" x14ac:dyDescent="0.6">
      <c r="A12" t="s">
        <v>31</v>
      </c>
      <c r="B12" s="1" t="s">
        <v>68</v>
      </c>
      <c r="D12" s="2" t="str">
        <f>TEXT(1800,"##0.00E+0")</f>
        <v>1.80E+3</v>
      </c>
      <c r="E12" s="2" t="s">
        <v>15</v>
      </c>
    </row>
    <row r="13" spans="1:8" x14ac:dyDescent="0.6">
      <c r="A13" t="s">
        <v>46</v>
      </c>
      <c r="B13" s="1" t="s">
        <v>47</v>
      </c>
      <c r="D13" s="2" t="str">
        <f>TEXT(0.00005,"##0.00E+0")</f>
        <v>50.00E-6</v>
      </c>
      <c r="E13" s="2" t="s">
        <v>81</v>
      </c>
    </row>
    <row r="15" spans="1:8" x14ac:dyDescent="0.6">
      <c r="A15" t="s">
        <v>9</v>
      </c>
      <c r="B15" s="1" t="str">
        <f>_xlfn.CONCAT(A2,"*sqrt(2)")</f>
        <v>Vrms_source*sqrt(2)</v>
      </c>
      <c r="C15" s="1" t="str">
        <f>_xlfn.CONCAT(D2,"*sqrt(2)")</f>
        <v>120*sqrt(2)</v>
      </c>
      <c r="D15" s="10" t="str">
        <f>TEXT(D2*SQRT(2),"0.00")</f>
        <v>169.71</v>
      </c>
      <c r="E15" s="11" t="s">
        <v>7</v>
      </c>
    </row>
    <row r="16" spans="1:8" x14ac:dyDescent="0.6">
      <c r="A16" t="s">
        <v>10</v>
      </c>
      <c r="B16" s="1" t="str">
        <f>_xlfn.CONCAT("(",A15,"/",A4,")/",A5)</f>
        <v>(Vp_source/Turns)/CTD</v>
      </c>
      <c r="C16" s="1" t="str">
        <f>_xlfn.CONCAT("(",D15,"/",D4,")/",D5)</f>
        <v>(169.71/6)/2</v>
      </c>
      <c r="D16" s="12" t="str">
        <f>TEXT((D15/D4)/D5,"0.00")</f>
        <v>14.14</v>
      </c>
      <c r="E16" s="11" t="s">
        <v>7</v>
      </c>
      <c r="F16" s="2">
        <v>1</v>
      </c>
      <c r="G16" s="2" t="s">
        <v>69</v>
      </c>
    </row>
    <row r="17" spans="1:8" x14ac:dyDescent="0.6">
      <c r="A17" t="s">
        <v>5</v>
      </c>
      <c r="B17" s="1" t="str">
        <f>_xlfn.CONCAT(A6,"*",A7)</f>
        <v>Vdiode*#Diodes</v>
      </c>
      <c r="C17" s="1" t="str">
        <f>_xlfn.CONCAT(D6,"*",D7)</f>
        <v>0.7*1</v>
      </c>
      <c r="D17" s="10" t="str">
        <f>TEXT(D6*D7,"0.00")</f>
        <v>0.70</v>
      </c>
      <c r="E17" s="11" t="s">
        <v>13</v>
      </c>
    </row>
    <row r="18" spans="1:8" x14ac:dyDescent="0.6">
      <c r="A18" t="s">
        <v>20</v>
      </c>
      <c r="B18" s="1" t="str">
        <f>_xlfn.CONCAT(A16,"-",A17)</f>
        <v>Vp_secondary-Vdiodes</v>
      </c>
      <c r="C18" s="1" t="str">
        <f>_xlfn.CONCAT(D16,"-",D17)</f>
        <v>14.14-0.70</v>
      </c>
      <c r="D18" s="12" t="str">
        <f>TEXT(D16-D17,"0.00")</f>
        <v>13.44</v>
      </c>
      <c r="E18" s="11" t="s">
        <v>7</v>
      </c>
      <c r="F18" s="2">
        <v>2</v>
      </c>
      <c r="G18" s="2" t="s">
        <v>72</v>
      </c>
    </row>
    <row r="19" spans="1:8" x14ac:dyDescent="0.6">
      <c r="A19" t="s">
        <v>19</v>
      </c>
      <c r="B19" s="1" t="str">
        <f>_xlfn.CONCAT(A11,"/",A10)</f>
        <v>Vreg/Rload</v>
      </c>
      <c r="C19" s="1" t="str">
        <f>_xlfn.CONCAT(D11,"/",D10)</f>
        <v>4/470</v>
      </c>
      <c r="D19" s="11" t="str">
        <f>TEXT(D11/D10,"0.00000")</f>
        <v>0.00851</v>
      </c>
      <c r="E19" s="11" t="s">
        <v>21</v>
      </c>
    </row>
    <row r="20" spans="1:8" x14ac:dyDescent="0.6">
      <c r="A20" t="s">
        <v>42</v>
      </c>
      <c r="B20" s="1" t="str">
        <f>_xlfn.CONCAT("1/",A8)</f>
        <v>1/freq_rectifier</v>
      </c>
      <c r="C20" s="1" t="str">
        <f>_xlfn.CONCAT("1/",D8)</f>
        <v>1/60</v>
      </c>
      <c r="D20" s="11" t="str">
        <f>TEXT(1/D8,"0.00000")</f>
        <v>0.01667</v>
      </c>
      <c r="E20" s="11" t="s">
        <v>16</v>
      </c>
    </row>
    <row r="21" spans="1:8" x14ac:dyDescent="0.6">
      <c r="A21" t="s">
        <v>43</v>
      </c>
      <c r="B21" s="1" t="str">
        <f>_xlfn.CONCAT("(",A19,"*",A20,")/",A9)</f>
        <v>(I_load*Period_rectifier)/Crectifier</v>
      </c>
      <c r="C21" s="1" t="str">
        <f>_xlfn.CONCAT("(",D19,"*",D20,")/",D9)</f>
        <v>(0.00851*0.01667)/47.00E-6</v>
      </c>
      <c r="D21" s="14" t="str">
        <f>TEXT((D19*D20)/(D9),"0.00")</f>
        <v>3.02</v>
      </c>
      <c r="E21" s="11" t="s">
        <v>17</v>
      </c>
      <c r="F21" s="2">
        <v>4</v>
      </c>
      <c r="G21" s="2" t="s">
        <v>70</v>
      </c>
    </row>
    <row r="22" spans="1:8" x14ac:dyDescent="0.6">
      <c r="A22" t="s">
        <v>22</v>
      </c>
      <c r="B22" s="1" t="str">
        <f>_xlfn.CONCAT(A18,"-",A21)</f>
        <v>Vp_rectifier-Vrip_rectifier</v>
      </c>
      <c r="C22" s="1" t="str">
        <f>_xlfn.CONCAT(D18,"-",D21)</f>
        <v>13.44-3.02</v>
      </c>
      <c r="D22" s="10" t="str">
        <f>TEXT(D18-D21,"0.00")</f>
        <v>10.42</v>
      </c>
      <c r="E22" s="11" t="s">
        <v>13</v>
      </c>
    </row>
    <row r="23" spans="1:8" x14ac:dyDescent="0.6">
      <c r="A23" t="s">
        <v>23</v>
      </c>
      <c r="B23" s="1" t="str">
        <f>_xlfn.CONCAT(A18,"-(",A21,"/2)")</f>
        <v>Vp_rectifier-(Vrip_rectifier/2)</v>
      </c>
      <c r="C23" s="1" t="str">
        <f>_xlfn.CONCAT(D18,"-(",D21,"/2)")</f>
        <v>13.44-(3.02/2)</v>
      </c>
      <c r="D23" s="12" t="str">
        <f>TEXT(D18-(D21/2),"0.00")</f>
        <v>11.93</v>
      </c>
      <c r="E23" s="11" t="s">
        <v>18</v>
      </c>
      <c r="F23" s="2">
        <v>3</v>
      </c>
      <c r="G23" s="2" t="s">
        <v>71</v>
      </c>
    </row>
    <row r="24" spans="1:8" x14ac:dyDescent="0.6">
      <c r="A24" t="s">
        <v>53</v>
      </c>
      <c r="B24" s="1" t="str">
        <f>_xlfn.CONCAT(A22,"-",A11)</f>
        <v>Vmin_rectifier-Vreg</v>
      </c>
      <c r="C24" s="1" t="str">
        <f>_xlfn.CONCAT(D22,"-",D11)</f>
        <v>10.42-4</v>
      </c>
      <c r="D24" s="10" t="str">
        <f>TEXT(D22-D11,"0.00")</f>
        <v>6.42</v>
      </c>
      <c r="E24" s="11"/>
      <c r="H24" t="s">
        <v>55</v>
      </c>
    </row>
    <row r="25" spans="1:8" x14ac:dyDescent="0.6">
      <c r="D25" s="11"/>
      <c r="E25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L-HW-AdjReg</vt:lpstr>
      <vt:lpstr>P1Pre-HWCT-NoReg</vt:lpstr>
      <vt:lpstr>P1Pre-HWCT-AdjReg</vt:lpstr>
      <vt:lpstr>P1Q2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Julian R Alex</cp:lastModifiedBy>
  <dcterms:created xsi:type="dcterms:W3CDTF">2024-09-16T18:27:44Z</dcterms:created>
  <dcterms:modified xsi:type="dcterms:W3CDTF">2025-01-16T21:12:56Z</dcterms:modified>
</cp:coreProperties>
</file>