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Computer-Engineering\CMPE1400-Semiconductors\Semiconductors-Private\n-Operational-Amplifiers\m-Frequency-Response-and-Filters\"/>
    </mc:Choice>
  </mc:AlternateContent>
  <xr:revisionPtr revIDLastSave="0" documentId="13_ncr:1_{8E868FB1-CEEF-412C-81D7-93AB989D8470}" xr6:coauthVersionLast="47" xr6:coauthVersionMax="47" xr10:uidLastSave="{00000000-0000-0000-0000-000000000000}"/>
  <bookViews>
    <workbookView xWindow="-96" yWindow="-96" windowWidth="23232" windowHeight="12552" tabRatio="946" activeTab="4" xr2:uid="{A836C8EE-5F87-499F-8280-F517B9E3A373}"/>
  </bookViews>
  <sheets>
    <sheet name="Les-Intro-P2" sheetId="3" r:id="rId1"/>
    <sheet name="Les-Freq-Issues-P1" sheetId="7" r:id="rId2"/>
    <sheet name="Les-Freq-Is-P1-Small-Sig" sheetId="14" r:id="rId3"/>
    <sheet name="Les-Freq-Is-P1-Large-Sig" sheetId="15" r:id="rId4"/>
    <sheet name="Project6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7" l="1"/>
  <c r="B12" i="7"/>
  <c r="C10" i="3"/>
  <c r="C7" i="3"/>
  <c r="C6" i="3"/>
  <c r="B10" i="3"/>
  <c r="B4" i="3"/>
  <c r="C4" i="3"/>
  <c r="D20" i="16"/>
  <c r="D19" i="16"/>
  <c r="D17" i="16"/>
  <c r="D14" i="16"/>
  <c r="D11" i="16"/>
  <c r="B15" i="16"/>
  <c r="B13" i="16"/>
  <c r="D12" i="16"/>
  <c r="F6" i="16"/>
  <c r="D6" i="16"/>
  <c r="B8" i="16"/>
  <c r="D7" i="16"/>
  <c r="D4" i="16"/>
  <c r="D3" i="16"/>
  <c r="D5" i="15"/>
  <c r="F3" i="15"/>
  <c r="B15" i="15"/>
  <c r="D13" i="15"/>
  <c r="D12" i="15"/>
  <c r="B10" i="15"/>
  <c r="D9" i="15"/>
  <c r="B7" i="15"/>
  <c r="D6" i="15"/>
  <c r="F5" i="15"/>
  <c r="D7" i="15" s="1"/>
  <c r="D3" i="15"/>
  <c r="B14" i="15"/>
  <c r="B20" i="14"/>
  <c r="B18" i="14"/>
  <c r="B16" i="14"/>
  <c r="D14" i="14"/>
  <c r="C16" i="14" s="1"/>
  <c r="B12" i="14"/>
  <c r="D11" i="14"/>
  <c r="B9" i="14"/>
  <c r="D7" i="14"/>
  <c r="D6" i="14"/>
  <c r="D4" i="14"/>
  <c r="D3" i="14"/>
  <c r="B16" i="7"/>
  <c r="B8" i="14"/>
  <c r="B5" i="7"/>
  <c r="D14" i="7"/>
  <c r="B10" i="7"/>
  <c r="B8" i="7"/>
  <c r="D7" i="7"/>
  <c r="D4" i="7"/>
  <c r="D3" i="7"/>
  <c r="D7" i="3"/>
  <c r="D9" i="3"/>
  <c r="D10" i="3" s="1"/>
  <c r="D4" i="3"/>
  <c r="D2" i="3"/>
  <c r="D6" i="3" s="1"/>
  <c r="D12" i="14" l="1"/>
  <c r="D13" i="16"/>
  <c r="D15" i="16" s="1"/>
  <c r="C13" i="16"/>
  <c r="C8" i="16"/>
  <c r="D8" i="16"/>
  <c r="C10" i="15"/>
  <c r="D10" i="15"/>
  <c r="C7" i="15"/>
  <c r="D14" i="15"/>
  <c r="D16" i="14"/>
  <c r="C18" i="14" s="1"/>
  <c r="D5" i="7"/>
  <c r="C8" i="7" s="1"/>
  <c r="C14" i="15"/>
  <c r="D8" i="14"/>
  <c r="D9" i="14" s="1"/>
  <c r="C12" i="14"/>
  <c r="C5" i="7"/>
  <c r="C8" i="14"/>
  <c r="C15" i="16" l="1"/>
  <c r="D15" i="15"/>
  <c r="F15" i="15" s="1"/>
  <c r="F10" i="15"/>
  <c r="C15" i="15"/>
  <c r="D18" i="14"/>
  <c r="D20" i="14" s="1"/>
  <c r="D8" i="7"/>
  <c r="D10" i="7" s="1"/>
  <c r="C16" i="7" s="1"/>
  <c r="C9" i="14"/>
  <c r="D16" i="7" l="1"/>
  <c r="C10" i="7"/>
  <c r="D12" i="7"/>
  <c r="C20" i="14"/>
</calcChain>
</file>

<file path=xl/sharedStrings.xml><?xml version="1.0" encoding="utf-8"?>
<sst xmlns="http://schemas.openxmlformats.org/spreadsheetml/2006/main" count="181" uniqueCount="71">
  <si>
    <t>Units</t>
  </si>
  <si>
    <t>Symbol</t>
  </si>
  <si>
    <t>Description or Formula</t>
  </si>
  <si>
    <t>Value</t>
  </si>
  <si>
    <t>Comment</t>
  </si>
  <si>
    <t>ohm</t>
  </si>
  <si>
    <t>Mobius Q</t>
  </si>
  <si>
    <t>2a</t>
  </si>
  <si>
    <t>3a</t>
  </si>
  <si>
    <t>4a</t>
  </si>
  <si>
    <t>1a</t>
  </si>
  <si>
    <t>fc</t>
  </si>
  <si>
    <t>Hz</t>
  </si>
  <si>
    <t>Vp</t>
  </si>
  <si>
    <t>Vout_cutoff</t>
  </si>
  <si>
    <t>Vout_pass</t>
  </si>
  <si>
    <t>R</t>
  </si>
  <si>
    <t>C</t>
  </si>
  <si>
    <t>Farad</t>
  </si>
  <si>
    <t>cutoff frequency (3db down or half power)</t>
  </si>
  <si>
    <t>Rf</t>
  </si>
  <si>
    <t>Ri</t>
  </si>
  <si>
    <t>Av</t>
  </si>
  <si>
    <t>Vi</t>
  </si>
  <si>
    <t>Vp-p</t>
  </si>
  <si>
    <t>Vout</t>
  </si>
  <si>
    <t>from experiment</t>
  </si>
  <si>
    <t>f_one_decade</t>
  </si>
  <si>
    <t>Vout_one_decade</t>
  </si>
  <si>
    <t>at the pass band region</t>
  </si>
  <si>
    <t>Inverting</t>
  </si>
  <si>
    <t>the same as Unity Gain BW</t>
  </si>
  <si>
    <t>BW</t>
  </si>
  <si>
    <t>BW_required</t>
  </si>
  <si>
    <t>Gain_max</t>
  </si>
  <si>
    <t>From data sheet listed as minimum Bandwidth</t>
  </si>
  <si>
    <t>Gain_BW_Product</t>
  </si>
  <si>
    <t>BW_circuit</t>
  </si>
  <si>
    <t>overall Bandwidth of cascaded amps</t>
  </si>
  <si>
    <t>BW_stage</t>
  </si>
  <si>
    <t>stages</t>
  </si>
  <si>
    <t>number of stages for the circuit</t>
  </si>
  <si>
    <t>9a</t>
  </si>
  <si>
    <t>Av_per_stage</t>
  </si>
  <si>
    <t>9b</t>
  </si>
  <si>
    <t>Av_circuit</t>
  </si>
  <si>
    <t>9c</t>
  </si>
  <si>
    <t>freq one decade after cutoff = *10</t>
  </si>
  <si>
    <t>Vout one decade after  pass band region = 1/10</t>
  </si>
  <si>
    <t>Device</t>
  </si>
  <si>
    <t>741A op amp</t>
  </si>
  <si>
    <t>From data sheet listed as minimum Slew Rate</t>
  </si>
  <si>
    <t>V/microS</t>
  </si>
  <si>
    <t>V/s</t>
  </si>
  <si>
    <t>in Volts/second</t>
  </si>
  <si>
    <t>Slew_Rate_Measured</t>
  </si>
  <si>
    <t>Slew_Rate_Data_Sheet</t>
  </si>
  <si>
    <t>Unity_Gain_BW_Data_Sheet</t>
  </si>
  <si>
    <t>Power_BW</t>
  </si>
  <si>
    <t>Power_BW_required</t>
  </si>
  <si>
    <t>Vout_required</t>
  </si>
  <si>
    <t>Vin_required</t>
  </si>
  <si>
    <t>10 &amp; 11</t>
  </si>
  <si>
    <t>Q1a</t>
  </si>
  <si>
    <t>Q1b</t>
  </si>
  <si>
    <t>Q1c</t>
  </si>
  <si>
    <t>Unity Gain Amp</t>
  </si>
  <si>
    <t>Q2-8</t>
  </si>
  <si>
    <t>Q2-9</t>
  </si>
  <si>
    <t>Q2-10</t>
  </si>
  <si>
    <t>Formula from Intro to Freq Response Page2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</si>
</sst>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E+0"/>
    <numFmt numFmtId="165" formatCode="##0.00E+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3D1D-6C1C-4401-89D7-5ED6879BF7D0}">
  <dimension ref="A1:G10"/>
  <sheetViews>
    <sheetView workbookViewId="0">
      <selection activeCell="G10" sqref="G10"/>
    </sheetView>
  </sheetViews>
  <sheetFormatPr defaultRowHeight="15.6" x14ac:dyDescent="0.6"/>
  <cols>
    <col min="1" max="1" width="14.94921875" style="1" bestFit="1" customWidth="1"/>
    <col min="2" max="2" width="37.8984375" style="1" bestFit="1" customWidth="1"/>
    <col min="3" max="3" width="18.09765625" style="1" bestFit="1" customWidth="1"/>
    <col min="4" max="4" width="8.1484375" style="1" bestFit="1" customWidth="1"/>
    <col min="5" max="5" width="5.25" style="1" bestFit="1" customWidth="1"/>
    <col min="6" max="6" width="8.19921875" style="1" bestFit="1" customWidth="1"/>
    <col min="7" max="7" width="34.94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11</v>
      </c>
      <c r="B2" s="1" t="s">
        <v>19</v>
      </c>
      <c r="D2" s="3" t="str">
        <f>TEXT(3000,"##0E+0")</f>
        <v>3E+3</v>
      </c>
      <c r="E2" s="1" t="s">
        <v>12</v>
      </c>
      <c r="F2" s="2">
        <v>1</v>
      </c>
    </row>
    <row r="3" spans="1:7" x14ac:dyDescent="0.6">
      <c r="A3" s="1" t="s">
        <v>15</v>
      </c>
      <c r="B3" s="1" t="s">
        <v>29</v>
      </c>
      <c r="D3" s="2">
        <v>5</v>
      </c>
      <c r="E3" s="1" t="s">
        <v>13</v>
      </c>
      <c r="F3" s="1">
        <v>1</v>
      </c>
    </row>
    <row r="4" spans="1:7" x14ac:dyDescent="0.6">
      <c r="A4" s="1" t="s">
        <v>14</v>
      </c>
      <c r="B4" s="5" t="str">
        <f>_xlfn.CONCAT(A3,"/sqrt(2)")</f>
        <v>Vout_pass/sqrt(2)</v>
      </c>
      <c r="C4" s="1" t="str">
        <f>_xlfn.CONCAT(D3,"/sqrt(2)")</f>
        <v>5/sqrt(2)</v>
      </c>
      <c r="D4" s="6" t="str">
        <f>TEXT(5/SQRT(2),"0.00")</f>
        <v>3.54</v>
      </c>
      <c r="E4" s="1" t="s">
        <v>13</v>
      </c>
      <c r="F4" s="1" t="s">
        <v>10</v>
      </c>
      <c r="G4" s="5" t="s">
        <v>70</v>
      </c>
    </row>
    <row r="6" spans="1:7" x14ac:dyDescent="0.6">
      <c r="A6" s="1" t="s">
        <v>27</v>
      </c>
      <c r="B6" s="1" t="s">
        <v>47</v>
      </c>
      <c r="C6" s="3" t="str">
        <f>_xlfn.CONCAT(D2,"*10")</f>
        <v>3E+3*10</v>
      </c>
      <c r="D6" s="7" t="str">
        <f>TEXT(10*D2,"##0E+0")</f>
        <v>30E+3</v>
      </c>
      <c r="E6" s="1" t="s">
        <v>12</v>
      </c>
      <c r="F6" s="1" t="s">
        <v>7</v>
      </c>
    </row>
    <row r="7" spans="1:7" x14ac:dyDescent="0.6">
      <c r="A7" s="1" t="s">
        <v>28</v>
      </c>
      <c r="B7" s="1" t="s">
        <v>48</v>
      </c>
      <c r="C7" s="1" t="str">
        <f>_xlfn.CONCAT(D3,"/10")</f>
        <v>5/10</v>
      </c>
      <c r="D7" s="4">
        <f>D3/10</f>
        <v>0.5</v>
      </c>
      <c r="E7" s="1" t="s">
        <v>13</v>
      </c>
      <c r="F7" s="1" t="s">
        <v>8</v>
      </c>
    </row>
    <row r="9" spans="1:7" x14ac:dyDescent="0.6">
      <c r="A9" s="1" t="s">
        <v>16</v>
      </c>
      <c r="D9" s="1" t="str">
        <f>TEXT(10000,"##0E+0")</f>
        <v>10E+3</v>
      </c>
      <c r="E9" s="1" t="s">
        <v>5</v>
      </c>
      <c r="F9" s="1">
        <v>4</v>
      </c>
    </row>
    <row r="10" spans="1:7" x14ac:dyDescent="0.6">
      <c r="A10" s="1" t="s">
        <v>17</v>
      </c>
      <c r="B10" s="5" t="str">
        <f>_xlfn.CONCAT("1/(2*pi*",A9,"*",A2,")")</f>
        <v>1/(2*pi*R*fc)</v>
      </c>
      <c r="C10" s="1" t="str">
        <f>_xlfn.CONCAT("1/(2*pi*",D9,"*",D2,")")</f>
        <v>1/(2*pi*10E+3*3E+3)</v>
      </c>
      <c r="D10" s="8">
        <f>1/(2*PI()*D9*D2)</f>
        <v>5.3051647697298447E-9</v>
      </c>
      <c r="E10" s="1" t="s">
        <v>18</v>
      </c>
      <c r="F10" s="1" t="s">
        <v>9</v>
      </c>
      <c r="G10" s="5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DE6F-680F-4B81-9D2B-A3A11F35E0CC}">
  <dimension ref="A1:G16"/>
  <sheetViews>
    <sheetView workbookViewId="0">
      <selection activeCell="G12" sqref="G12"/>
    </sheetView>
  </sheetViews>
  <sheetFormatPr defaultRowHeight="15.6" x14ac:dyDescent="0.6"/>
  <cols>
    <col min="1" max="1" width="15.1484375" style="1" bestFit="1" customWidth="1"/>
    <col min="2" max="2" width="18.84765625" style="1" bestFit="1" customWidth="1"/>
    <col min="3" max="3" width="18.09765625" style="1" bestFit="1" customWidth="1"/>
    <col min="4" max="4" width="8.1484375" style="1" bestFit="1" customWidth="1"/>
    <col min="5" max="5" width="5.25" style="1" bestFit="1" customWidth="1"/>
    <col min="6" max="6" width="8.19921875" style="1" bestFit="1" customWidth="1"/>
    <col min="7" max="7" width="34.94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49</v>
      </c>
      <c r="B2" s="1" t="s">
        <v>50</v>
      </c>
    </row>
    <row r="3" spans="1:7" x14ac:dyDescent="0.6">
      <c r="A3" s="1" t="s">
        <v>20</v>
      </c>
      <c r="D3" s="3" t="str">
        <f>TEXT(10000,"##0E+0")</f>
        <v>10E+3</v>
      </c>
      <c r="E3" s="1" t="s">
        <v>5</v>
      </c>
      <c r="F3" s="1">
        <v>1</v>
      </c>
    </row>
    <row r="4" spans="1:7" x14ac:dyDescent="0.6">
      <c r="A4" s="1" t="s">
        <v>21</v>
      </c>
      <c r="D4" s="3" t="str">
        <f>TEXT(1000,"##0E+0")</f>
        <v>1E+3</v>
      </c>
      <c r="E4" s="1" t="s">
        <v>5</v>
      </c>
      <c r="F4" s="1">
        <v>1</v>
      </c>
    </row>
    <row r="5" spans="1:7" x14ac:dyDescent="0.6">
      <c r="A5" s="1" t="s">
        <v>22</v>
      </c>
      <c r="B5" s="1" t="str">
        <f>_xlfn.CONCAT(A3,"/",A4,"   inverting")</f>
        <v>Rf/Ri   inverting</v>
      </c>
      <c r="C5" s="1" t="str">
        <f>_xlfn.CONCAT("(",D3,")/(",D4,")")</f>
        <v>(10E+3)/(1E+3)</v>
      </c>
      <c r="D5" s="9">
        <f>D3/D4</f>
        <v>10</v>
      </c>
      <c r="F5" s="1">
        <v>1</v>
      </c>
      <c r="G5" s="1" t="s">
        <v>30</v>
      </c>
    </row>
    <row r="7" spans="1:7" x14ac:dyDescent="0.6">
      <c r="A7" s="1" t="s">
        <v>23</v>
      </c>
      <c r="D7" s="3" t="str">
        <f>TEXT(0.1,"##0E+0")</f>
        <v>100E-3</v>
      </c>
      <c r="E7" s="1" t="s">
        <v>24</v>
      </c>
      <c r="F7" s="1">
        <v>2</v>
      </c>
    </row>
    <row r="8" spans="1:7" x14ac:dyDescent="0.6">
      <c r="A8" s="1" t="s">
        <v>25</v>
      </c>
      <c r="B8" s="1" t="str">
        <f>_xlfn.CONCAT(A7,"*",A5)</f>
        <v>Vi*Av</v>
      </c>
      <c r="C8" s="1" t="str">
        <f>_xlfn.CONCAT("(",D7,")*(",D5,")")</f>
        <v>(100E-3)*(10)</v>
      </c>
      <c r="D8" s="9">
        <f>D7*D5</f>
        <v>1</v>
      </c>
      <c r="E8" s="1" t="s">
        <v>24</v>
      </c>
      <c r="F8" s="1">
        <v>2</v>
      </c>
    </row>
    <row r="10" spans="1:7" x14ac:dyDescent="0.6">
      <c r="A10" s="1" t="s">
        <v>22</v>
      </c>
      <c r="B10" s="1" t="str">
        <f>_xlfn.CONCAT(A8,"/",A7)</f>
        <v>Vout/Vi</v>
      </c>
      <c r="C10" s="1" t="str">
        <f>_xlfn.CONCAT(D8,"/(",D7,")")</f>
        <v>1/(100E-3)</v>
      </c>
      <c r="D10" s="9">
        <f>D8/D7</f>
        <v>10</v>
      </c>
      <c r="F10" s="1">
        <v>3</v>
      </c>
      <c r="G10" s="1" t="s">
        <v>30</v>
      </c>
    </row>
    <row r="12" spans="1:7" x14ac:dyDescent="0.6">
      <c r="A12" s="1" t="s">
        <v>14</v>
      </c>
      <c r="B12" s="5" t="str">
        <f>_xlfn.CONCAT(A8,"/Sqrt(2)")</f>
        <v>Vout/Sqrt(2)</v>
      </c>
      <c r="C12" s="5" t="str">
        <f>_xlfn.CONCAT(D8,"/Sqrt(2)")</f>
        <v>1/Sqrt(2)</v>
      </c>
      <c r="D12" s="6" t="str">
        <f>TEXT(D8/SQRT(2),"0.000")</f>
        <v>0.707</v>
      </c>
      <c r="E12" s="1" t="s">
        <v>24</v>
      </c>
      <c r="F12" s="1">
        <v>4</v>
      </c>
      <c r="G12" s="5" t="s">
        <v>70</v>
      </c>
    </row>
    <row r="14" spans="1:7" x14ac:dyDescent="0.6">
      <c r="A14" s="1" t="s">
        <v>11</v>
      </c>
      <c r="B14" s="1" t="s">
        <v>26</v>
      </c>
      <c r="D14" s="7" t="str">
        <f>TEXT(85000,"##0E+0")</f>
        <v>85E+3</v>
      </c>
      <c r="E14" s="1" t="s">
        <v>12</v>
      </c>
      <c r="F14" s="1">
        <v>5</v>
      </c>
    </row>
    <row r="16" spans="1:7" x14ac:dyDescent="0.6">
      <c r="A16" s="1" t="s">
        <v>36</v>
      </c>
      <c r="B16" s="1" t="str">
        <f>_xlfn.CONCAT(A10,"*",A14)</f>
        <v>Av*fc</v>
      </c>
      <c r="C16" s="1" t="str">
        <f>_xlfn.CONCAT(D10,"*",D14)</f>
        <v>10*85E+3</v>
      </c>
      <c r="D16" s="7">
        <f>D10*D14</f>
        <v>850000</v>
      </c>
      <c r="E16" s="1" t="s">
        <v>12</v>
      </c>
      <c r="F16" s="1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88A6-763D-4C12-8241-693E41158E70}">
  <dimension ref="A1:G20"/>
  <sheetViews>
    <sheetView workbookViewId="0">
      <selection activeCell="H17" sqref="H17"/>
    </sheetView>
  </sheetViews>
  <sheetFormatPr defaultRowHeight="15.6" x14ac:dyDescent="0.6"/>
  <cols>
    <col min="1" max="1" width="23.25" style="1" bestFit="1" customWidth="1"/>
    <col min="2" max="2" width="37.69921875" style="1" bestFit="1" customWidth="1"/>
    <col min="3" max="3" width="22.69921875" style="1" bestFit="1" customWidth="1"/>
    <col min="4" max="4" width="9.1484375" style="1" bestFit="1" customWidth="1"/>
    <col min="5" max="5" width="5.25" style="1" bestFit="1" customWidth="1"/>
    <col min="6" max="6" width="8.19921875" style="1" bestFit="1" customWidth="1"/>
    <col min="7" max="7" width="20.8476562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49</v>
      </c>
      <c r="B2" s="1" t="s">
        <v>50</v>
      </c>
    </row>
    <row r="3" spans="1:7" x14ac:dyDescent="0.6">
      <c r="A3" s="1" t="s">
        <v>57</v>
      </c>
      <c r="B3" s="1" t="s">
        <v>35</v>
      </c>
      <c r="D3" s="3" t="str">
        <f>TEXT(437000,"##0E+0")</f>
        <v>437E+3</v>
      </c>
      <c r="E3" s="1" t="s">
        <v>12</v>
      </c>
    </row>
    <row r="4" spans="1:7" x14ac:dyDescent="0.6">
      <c r="A4" s="1" t="s">
        <v>36</v>
      </c>
      <c r="B4" s="1" t="s">
        <v>31</v>
      </c>
      <c r="D4" s="3" t="str">
        <f>TEXT(437000,"##0E+0")</f>
        <v>437E+3</v>
      </c>
      <c r="E4" s="1" t="s">
        <v>12</v>
      </c>
    </row>
    <row r="6" spans="1:7" x14ac:dyDescent="0.6">
      <c r="A6" s="1" t="s">
        <v>20</v>
      </c>
      <c r="D6" s="3" t="str">
        <f>TEXT(56000,"##0E+0")</f>
        <v>56E+3</v>
      </c>
      <c r="E6" s="1" t="s">
        <v>5</v>
      </c>
    </row>
    <row r="7" spans="1:7" x14ac:dyDescent="0.6">
      <c r="A7" s="1" t="s">
        <v>21</v>
      </c>
      <c r="D7" s="3" t="str">
        <f>TEXT(10000,"##0E+0")</f>
        <v>10E+3</v>
      </c>
      <c r="E7" s="1" t="s">
        <v>5</v>
      </c>
    </row>
    <row r="8" spans="1:7" x14ac:dyDescent="0.6">
      <c r="A8" s="1" t="s">
        <v>22</v>
      </c>
      <c r="B8" s="1" t="str">
        <f>_xlfn.CONCAT(A6,"/",A7,"   inverting")</f>
        <v>Rf/Ri   inverting</v>
      </c>
      <c r="C8" s="1" t="str">
        <f>_xlfn.CONCAT("(",D6,")/(",D7,")")</f>
        <v>(56E+3)/(10E+3)</v>
      </c>
      <c r="D8" s="2" t="str">
        <f>TEXT(D6/D7,"##0.00")</f>
        <v>5.60</v>
      </c>
      <c r="G8" s="1" t="s">
        <v>30</v>
      </c>
    </row>
    <row r="9" spans="1:7" x14ac:dyDescent="0.6">
      <c r="A9" s="1" t="s">
        <v>32</v>
      </c>
      <c r="B9" s="1" t="str">
        <f>_xlfn.CONCAT(A4,"/",A8)</f>
        <v>Gain_BW_Product/Av</v>
      </c>
      <c r="C9" s="1" t="str">
        <f>_xlfn.CONCAT(D4,"/",D8)</f>
        <v>437E+3/5.60</v>
      </c>
      <c r="D9" s="7">
        <f>D4/D8</f>
        <v>78035.71428571429</v>
      </c>
      <c r="E9" s="1" t="s">
        <v>12</v>
      </c>
      <c r="F9" s="1">
        <v>7</v>
      </c>
    </row>
    <row r="11" spans="1:7" x14ac:dyDescent="0.6">
      <c r="A11" s="1" t="s">
        <v>33</v>
      </c>
      <c r="D11" s="3" t="str">
        <f>TEXT(100000,"##0E+0")</f>
        <v>100E+3</v>
      </c>
      <c r="E11" s="1" t="s">
        <v>12</v>
      </c>
    </row>
    <row r="12" spans="1:7" x14ac:dyDescent="0.6">
      <c r="A12" s="1" t="s">
        <v>34</v>
      </c>
      <c r="B12" s="1" t="str">
        <f>_xlfn.CONCAT(A4,"/",A11)</f>
        <v>Gain_BW_Product/BW_required</v>
      </c>
      <c r="C12" s="1" t="str">
        <f>_xlfn.CONCAT(D4,"/",D11)</f>
        <v>437E+3/100E+3</v>
      </c>
      <c r="D12" s="7" t="str">
        <f>TEXT(D4/D11,"##0.00")</f>
        <v>4.37</v>
      </c>
      <c r="F12" s="1">
        <v>8</v>
      </c>
    </row>
    <row r="14" spans="1:7" x14ac:dyDescent="0.6">
      <c r="A14" s="1" t="s">
        <v>37</v>
      </c>
      <c r="B14" s="1" t="s">
        <v>38</v>
      </c>
      <c r="D14" s="3" t="str">
        <f>TEXT(100000,"##0E+0")</f>
        <v>100E+3</v>
      </c>
      <c r="E14" s="1" t="s">
        <v>12</v>
      </c>
    </row>
    <row r="15" spans="1:7" x14ac:dyDescent="0.6">
      <c r="A15" s="1" t="s">
        <v>40</v>
      </c>
      <c r="B15" s="1" t="s">
        <v>41</v>
      </c>
      <c r="D15" s="2">
        <v>2</v>
      </c>
    </row>
    <row r="16" spans="1:7" x14ac:dyDescent="0.6">
      <c r="A16" s="1" t="s">
        <v>39</v>
      </c>
      <c r="B16" s="1" t="str">
        <f>_xlfn.CONCAT(A14,"/(sqrt(pow(2,1/",A15,")-1)")</f>
        <v>BW_circuit/(sqrt(pow(2,1/stages)-1)</v>
      </c>
      <c r="C16" s="1" t="str">
        <f>_xlfn.CONCAT(D14,"/(sqrt(pow(2,1/",D15,")-1)")</f>
        <v>100E+3/(sqrt(pow(2,1/2)-1)</v>
      </c>
      <c r="D16" s="7" t="str">
        <f>TEXT(D14/(SQRT(POWER(2,1/D15)-1)),"##0.00E+0")</f>
        <v>155.38E+3</v>
      </c>
      <c r="E16" s="1" t="s">
        <v>12</v>
      </c>
      <c r="F16" s="1" t="s">
        <v>42</v>
      </c>
    </row>
    <row r="18" spans="1:6" x14ac:dyDescent="0.6">
      <c r="A18" s="1" t="s">
        <v>43</v>
      </c>
      <c r="B18" s="1" t="str">
        <f>_xlfn.CONCAT(A4,"/",A16)</f>
        <v>Gain_BW_Product/BW_stage</v>
      </c>
      <c r="C18" s="1" t="str">
        <f>_xlfn.CONCAT(D4,"/",D16)</f>
        <v>437E+3/155.38E+3</v>
      </c>
      <c r="D18" s="7" t="str">
        <f>TEXT(D4/D16,"##0.000")</f>
        <v>2.812</v>
      </c>
      <c r="F18" s="1" t="s">
        <v>44</v>
      </c>
    </row>
    <row r="20" spans="1:6" x14ac:dyDescent="0.6">
      <c r="A20" s="1" t="s">
        <v>45</v>
      </c>
      <c r="B20" s="1" t="str">
        <f>_xlfn.CONCAT(A18,"*",A18)</f>
        <v>Av_per_stage*Av_per_stage</v>
      </c>
      <c r="C20" s="1" t="str">
        <f>_xlfn.CONCAT(D18,"*",D18)</f>
        <v>2.812*2.812</v>
      </c>
      <c r="D20" s="7" t="str">
        <f>TEXT(D18*D18,"##0.00")</f>
        <v>7.91</v>
      </c>
      <c r="F20" s="1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383C-0B1B-4CE5-81D1-C6D166E25427}">
  <dimension ref="A1:I15"/>
  <sheetViews>
    <sheetView topLeftCell="B1" workbookViewId="0">
      <selection activeCell="I21" sqref="I21"/>
    </sheetView>
  </sheetViews>
  <sheetFormatPr defaultRowHeight="15.6" x14ac:dyDescent="0.6"/>
  <cols>
    <col min="1" max="1" width="19.1484375" style="1" bestFit="1" customWidth="1"/>
    <col min="2" max="2" width="40.44921875" style="1" bestFit="1" customWidth="1"/>
    <col min="3" max="3" width="22.69921875" style="1" bestFit="1" customWidth="1"/>
    <col min="4" max="4" width="8.1484375" style="1" bestFit="1" customWidth="1"/>
    <col min="5" max="5" width="7.94921875" style="1" bestFit="1" customWidth="1"/>
    <col min="6" max="6" width="6.6484375" style="1" bestFit="1" customWidth="1"/>
    <col min="7" max="7" width="4.3984375" style="1" bestFit="1" customWidth="1"/>
    <col min="8" max="8" width="8.19921875" style="1" bestFit="1" customWidth="1"/>
    <col min="9" max="9" width="8.546875" style="1" bestFit="1" customWidth="1"/>
    <col min="10" max="10" width="8.296875" style="1" bestFit="1" customWidth="1"/>
    <col min="11" max="16384" width="8.796875" style="1"/>
  </cols>
  <sheetData>
    <row r="1" spans="1:9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3</v>
      </c>
      <c r="G1" s="1" t="s">
        <v>0</v>
      </c>
      <c r="H1" s="1" t="s">
        <v>6</v>
      </c>
      <c r="I1" s="1" t="s">
        <v>4</v>
      </c>
    </row>
    <row r="2" spans="1:9" x14ac:dyDescent="0.6">
      <c r="A2" s="1" t="s">
        <v>49</v>
      </c>
      <c r="B2" s="1" t="s">
        <v>50</v>
      </c>
    </row>
    <row r="3" spans="1:9" x14ac:dyDescent="0.6">
      <c r="A3" s="1" t="s">
        <v>56</v>
      </c>
      <c r="B3" s="1" t="s">
        <v>51</v>
      </c>
      <c r="D3" s="2" t="str">
        <f>TEXT(0.3,"##0.00")</f>
        <v>0.30</v>
      </c>
      <c r="E3" s="1" t="s">
        <v>52</v>
      </c>
      <c r="F3" s="3" t="str">
        <f>TEXT(300000,"##0E+0")</f>
        <v>300E+3</v>
      </c>
      <c r="G3" s="1" t="s">
        <v>53</v>
      </c>
    </row>
    <row r="5" spans="1:9" x14ac:dyDescent="0.6">
      <c r="A5" s="1" t="s">
        <v>55</v>
      </c>
      <c r="B5" s="1" t="s">
        <v>54</v>
      </c>
      <c r="D5" s="9" t="str">
        <f>TEXT(0.5,"##0.00")</f>
        <v>0.50</v>
      </c>
      <c r="E5" s="1" t="s">
        <v>52</v>
      </c>
      <c r="F5" s="7" t="str">
        <f>TEXT(500000,"##0E+0")</f>
        <v>500E+3</v>
      </c>
      <c r="G5" s="1" t="s">
        <v>53</v>
      </c>
      <c r="H5" s="1" t="s">
        <v>62</v>
      </c>
    </row>
    <row r="6" spans="1:9" x14ac:dyDescent="0.6">
      <c r="A6" s="1" t="s">
        <v>25</v>
      </c>
      <c r="D6" s="2" t="str">
        <f>TEXT(5,"##0.00")</f>
        <v>5.00</v>
      </c>
      <c r="E6" s="1" t="s">
        <v>13</v>
      </c>
    </row>
    <row r="7" spans="1:9" x14ac:dyDescent="0.6">
      <c r="A7" s="1" t="s">
        <v>58</v>
      </c>
      <c r="B7" s="5" t="str">
        <f>_xlfn.CONCAT(A5,"/(2*PI*",A6,")")</f>
        <v>Slew_Rate_Measured/(2*PI*Vout)</v>
      </c>
      <c r="C7" s="1" t="str">
        <f>_xlfn.CONCAT(F5,"/(2*PI*",D6,")")</f>
        <v>500E+3/(2*PI*5.00)</v>
      </c>
      <c r="D7" s="7" t="str">
        <f>TEXT(F5/(2*PI()*D6),"##0.00E+0")</f>
        <v>15.92E+3</v>
      </c>
      <c r="E7" s="1" t="s">
        <v>12</v>
      </c>
      <c r="H7" s="1">
        <v>12</v>
      </c>
    </row>
    <row r="9" spans="1:9" x14ac:dyDescent="0.6">
      <c r="A9" s="1" t="s">
        <v>59</v>
      </c>
      <c r="D9" s="3" t="str">
        <f>TEXT(25000,"##0E+0")</f>
        <v>25E+3</v>
      </c>
      <c r="E9" s="1" t="s">
        <v>12</v>
      </c>
    </row>
    <row r="10" spans="1:9" x14ac:dyDescent="0.6">
      <c r="A10" s="1" t="s">
        <v>60</v>
      </c>
      <c r="B10" s="1" t="str">
        <f>_xlfn.CONCAT(A5,"/(2*PI*",A9,")")</f>
        <v>Slew_Rate_Measured/(2*PI*Power_BW_required)</v>
      </c>
      <c r="C10" s="1" t="str">
        <f>_xlfn.CONCAT(F5,"/(2*PI*",D9,")")</f>
        <v>500E+3/(2*PI*25E+3)</v>
      </c>
      <c r="D10" s="7" t="str">
        <f>TEXT(F5/(2*PI()*D9),"##0.00")</f>
        <v>3.18</v>
      </c>
      <c r="E10" s="1" t="s">
        <v>13</v>
      </c>
      <c r="F10" s="7" t="str">
        <f>TEXT(D10*2,"##0.00")</f>
        <v>6.36</v>
      </c>
      <c r="G10" s="1" t="s">
        <v>24</v>
      </c>
      <c r="H10" s="1">
        <v>14</v>
      </c>
    </row>
    <row r="12" spans="1:9" x14ac:dyDescent="0.6">
      <c r="A12" s="1" t="s">
        <v>20</v>
      </c>
      <c r="D12" s="3" t="str">
        <f>TEXT(10000,"##0E+0")</f>
        <v>10E+3</v>
      </c>
      <c r="E12" s="1" t="s">
        <v>5</v>
      </c>
    </row>
    <row r="13" spans="1:9" x14ac:dyDescent="0.6">
      <c r="A13" s="1" t="s">
        <v>21</v>
      </c>
      <c r="D13" s="3" t="str">
        <f>TEXT(1000,"##0E+0")</f>
        <v>1E+3</v>
      </c>
      <c r="E13" s="1" t="s">
        <v>5</v>
      </c>
    </row>
    <row r="14" spans="1:9" x14ac:dyDescent="0.6">
      <c r="A14" s="1" t="s">
        <v>22</v>
      </c>
      <c r="B14" s="1" t="str">
        <f>_xlfn.CONCAT(A12,"/",A13,"   inverting")</f>
        <v>Rf/Ri   inverting</v>
      </c>
      <c r="C14" s="1" t="str">
        <f>_xlfn.CONCAT("(",D12,")/(",D13,")")</f>
        <v>(10E+3)/(1E+3)</v>
      </c>
      <c r="D14" s="2" t="str">
        <f>TEXT(D12/D13,"##0.00")</f>
        <v>10.00</v>
      </c>
      <c r="I14" s="1" t="s">
        <v>30</v>
      </c>
    </row>
    <row r="15" spans="1:9" x14ac:dyDescent="0.6">
      <c r="A15" s="1" t="s">
        <v>61</v>
      </c>
      <c r="B15" s="1" t="str">
        <f>_xlfn.CONCAT(A10,"/",A14)</f>
        <v>Vout_required/Av</v>
      </c>
      <c r="C15" s="1" t="str">
        <f>_xlfn.CONCAT(D10,"/",D14)</f>
        <v>3.18/10.00</v>
      </c>
      <c r="D15" s="7" t="str">
        <f>TEXT(D10/D14,"##0E+0")</f>
        <v>318E-3</v>
      </c>
      <c r="E15" s="1" t="s">
        <v>13</v>
      </c>
      <c r="F15" s="7" t="str">
        <f>TEXT(D15*2,"##0E+0")</f>
        <v>636E-3</v>
      </c>
      <c r="G15" s="1" t="s">
        <v>24</v>
      </c>
      <c r="H15" s="1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DAB8-B1DB-43C6-96FF-BFDB3AB6FA11}">
  <dimension ref="A1:I20"/>
  <sheetViews>
    <sheetView tabSelected="1" workbookViewId="0">
      <selection activeCell="F22" sqref="F22"/>
    </sheetView>
  </sheetViews>
  <sheetFormatPr defaultRowHeight="15.6" x14ac:dyDescent="0.6"/>
  <cols>
    <col min="1" max="1" width="23.25" bestFit="1" customWidth="1"/>
    <col min="2" max="2" width="37.69921875" bestFit="1" customWidth="1"/>
    <col min="3" max="3" width="16.59765625" bestFit="1" customWidth="1"/>
    <col min="6" max="6" width="6.6484375" bestFit="1" customWidth="1"/>
    <col min="7" max="7" width="7.5" bestFit="1" customWidth="1"/>
    <col min="9" max="9" width="12.94921875" bestFit="1" customWidth="1"/>
  </cols>
  <sheetData>
    <row r="1" spans="1:9" s="1" customFormat="1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3</v>
      </c>
      <c r="G1" s="1" t="s">
        <v>0</v>
      </c>
      <c r="H1" s="1" t="s">
        <v>6</v>
      </c>
      <c r="I1" s="1" t="s">
        <v>4</v>
      </c>
    </row>
    <row r="2" spans="1:9" s="1" customFormat="1" x14ac:dyDescent="0.6">
      <c r="A2" s="1" t="s">
        <v>49</v>
      </c>
      <c r="B2" s="1" t="s">
        <v>50</v>
      </c>
    </row>
    <row r="3" spans="1:9" s="1" customFormat="1" x14ac:dyDescent="0.6">
      <c r="A3" s="1" t="s">
        <v>57</v>
      </c>
      <c r="B3" s="1" t="s">
        <v>35</v>
      </c>
      <c r="D3" s="7" t="str">
        <f>TEXT(437000,"##0E+0")</f>
        <v>437E+3</v>
      </c>
      <c r="E3" s="1" t="s">
        <v>12</v>
      </c>
      <c r="H3" s="1" t="s">
        <v>63</v>
      </c>
    </row>
    <row r="4" spans="1:9" s="1" customFormat="1" x14ac:dyDescent="0.6">
      <c r="A4" s="1" t="s">
        <v>36</v>
      </c>
      <c r="B4" s="1" t="s">
        <v>31</v>
      </c>
      <c r="D4" s="3" t="str">
        <f>TEXT(437000,"##0E+0")</f>
        <v>437E+3</v>
      </c>
      <c r="E4" s="1" t="s">
        <v>12</v>
      </c>
    </row>
    <row r="6" spans="1:9" s="1" customFormat="1" x14ac:dyDescent="0.6">
      <c r="A6" s="1" t="s">
        <v>56</v>
      </c>
      <c r="B6" s="1" t="s">
        <v>54</v>
      </c>
      <c r="D6" s="9" t="str">
        <f>TEXT(0.3,"##0.00")</f>
        <v>0.30</v>
      </c>
      <c r="E6" s="1" t="s">
        <v>52</v>
      </c>
      <c r="F6" s="7" t="str">
        <f>TEXT(300000,"##0E+0")</f>
        <v>300E+3</v>
      </c>
      <c r="G6" s="1" t="s">
        <v>53</v>
      </c>
      <c r="H6" s="1" t="s">
        <v>64</v>
      </c>
    </row>
    <row r="7" spans="1:9" s="1" customFormat="1" x14ac:dyDescent="0.6">
      <c r="A7" s="1" t="s">
        <v>25</v>
      </c>
      <c r="D7" s="2" t="str">
        <f>TEXT(5,"##0.00")</f>
        <v>5.00</v>
      </c>
      <c r="E7" s="1" t="s">
        <v>13</v>
      </c>
    </row>
    <row r="8" spans="1:9" s="1" customFormat="1" x14ac:dyDescent="0.6">
      <c r="A8" s="1" t="s">
        <v>58</v>
      </c>
      <c r="B8" s="5" t="str">
        <f>_xlfn.CONCAT(A6,"/(2*PI*",A7,")")</f>
        <v>Slew_Rate_Data_Sheet/(2*PI*Vout)</v>
      </c>
      <c r="C8" s="1" t="str">
        <f>_xlfn.CONCAT(F6,"/(2*PI*",D7,")")</f>
        <v>300E+3/(2*PI*5.00)</v>
      </c>
      <c r="D8" s="7" t="str">
        <f>TEXT(F6/(2*PI()*D7),"##0.00E+0")</f>
        <v>9.55E+3</v>
      </c>
      <c r="E8" s="1" t="s">
        <v>12</v>
      </c>
      <c r="H8" s="1" t="s">
        <v>65</v>
      </c>
    </row>
    <row r="11" spans="1:9" s="1" customFormat="1" x14ac:dyDescent="0.6">
      <c r="A11" s="1" t="s">
        <v>20</v>
      </c>
      <c r="D11" s="3" t="str">
        <f>TEXT(1000,"##0E+0")</f>
        <v>1E+3</v>
      </c>
      <c r="E11" s="1" t="s">
        <v>5</v>
      </c>
      <c r="I11" t="s">
        <v>66</v>
      </c>
    </row>
    <row r="12" spans="1:9" s="1" customFormat="1" x14ac:dyDescent="0.6">
      <c r="A12" s="1" t="s">
        <v>21</v>
      </c>
      <c r="D12" s="3" t="str">
        <f>TEXT(1000,"##0E+0")</f>
        <v>1E+3</v>
      </c>
      <c r="E12" s="1" t="s">
        <v>5</v>
      </c>
    </row>
    <row r="13" spans="1:9" s="1" customFormat="1" x14ac:dyDescent="0.6">
      <c r="A13" s="1" t="s">
        <v>22</v>
      </c>
      <c r="B13" s="1" t="str">
        <f>_xlfn.CONCAT(A11,"/",A12,"   inverting")</f>
        <v>Rf/Ri   inverting</v>
      </c>
      <c r="C13" s="1" t="str">
        <f>_xlfn.CONCAT("(",D11,")/(",D12,")")</f>
        <v>(1E+3)/(1E+3)</v>
      </c>
      <c r="D13" s="9">
        <f>D11/D12</f>
        <v>1</v>
      </c>
      <c r="H13" s="1" t="s">
        <v>67</v>
      </c>
      <c r="I13" s="1" t="s">
        <v>30</v>
      </c>
    </row>
    <row r="14" spans="1:9" s="1" customFormat="1" x14ac:dyDescent="0.6">
      <c r="A14" s="1" t="s">
        <v>23</v>
      </c>
      <c r="D14" s="3" t="str">
        <f>TEXT(0.2,"##0E+0")</f>
        <v>200E-3</v>
      </c>
      <c r="E14" s="1" t="s">
        <v>13</v>
      </c>
    </row>
    <row r="15" spans="1:9" s="1" customFormat="1" x14ac:dyDescent="0.6">
      <c r="A15" s="1" t="s">
        <v>25</v>
      </c>
      <c r="B15" s="1" t="str">
        <f>_xlfn.CONCAT(A14,"*",A13)</f>
        <v>Vi*Av</v>
      </c>
      <c r="C15" s="1" t="str">
        <f>_xlfn.CONCAT("(",D14,")*(",D13,")")</f>
        <v>(200E-3)*(1)</v>
      </c>
      <c r="D15" s="2" t="str">
        <f>TEXT(D14*D13,"##0E+0")</f>
        <v>200E-3</v>
      </c>
      <c r="E15" s="1" t="s">
        <v>13</v>
      </c>
    </row>
    <row r="16" spans="1:9" s="1" customFormat="1" x14ac:dyDescent="0.6"/>
    <row r="17" spans="1:8" s="1" customFormat="1" x14ac:dyDescent="0.6">
      <c r="A17" s="1" t="s">
        <v>11</v>
      </c>
      <c r="B17" s="1" t="s">
        <v>26</v>
      </c>
      <c r="D17" s="7" t="str">
        <f>TEXT(660000,"##0E+0")</f>
        <v>660E+3</v>
      </c>
      <c r="E17" s="1" t="s">
        <v>12</v>
      </c>
      <c r="H17" s="1" t="s">
        <v>68</v>
      </c>
    </row>
    <row r="18" spans="1:8" s="1" customFormat="1" x14ac:dyDescent="0.6"/>
    <row r="19" spans="1:8" s="1" customFormat="1" x14ac:dyDescent="0.6">
      <c r="A19" s="1" t="s">
        <v>25</v>
      </c>
      <c r="D19" s="2" t="str">
        <f>TEXT(5,"##0.00")</f>
        <v>5.00</v>
      </c>
      <c r="E19" s="1" t="s">
        <v>13</v>
      </c>
    </row>
    <row r="20" spans="1:8" x14ac:dyDescent="0.6">
      <c r="A20" s="1" t="s">
        <v>58</v>
      </c>
      <c r="B20" t="s">
        <v>26</v>
      </c>
      <c r="D20" s="7" t="str">
        <f>TEXT(17000,"##0E+0")</f>
        <v>17E+3</v>
      </c>
      <c r="E20" s="1" t="s">
        <v>12</v>
      </c>
      <c r="H20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Les-Intro-P2</vt:lpstr>
      <vt:lpstr>Les-Freq-Issues-P1</vt:lpstr>
      <vt:lpstr>Les-Freq-Is-P1-Small-Sig</vt:lpstr>
      <vt:lpstr>Les-Freq-Is-P1-Large-Sig</vt:lpstr>
      <vt:lpstr>Project6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 Alex</dc:creator>
  <cp:lastModifiedBy>Julian R Alex</cp:lastModifiedBy>
  <dcterms:created xsi:type="dcterms:W3CDTF">2024-10-31T23:49:14Z</dcterms:created>
  <dcterms:modified xsi:type="dcterms:W3CDTF">2025-03-24T15:18:48Z</dcterms:modified>
</cp:coreProperties>
</file>