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m-Frequency-Response-and-Filters\"/>
    </mc:Choice>
  </mc:AlternateContent>
  <xr:revisionPtr revIDLastSave="0" documentId="13_ncr:1_{8E19406B-A01B-4B01-A8AA-931EB2F48AD8}" xr6:coauthVersionLast="47" xr6:coauthVersionMax="47" xr10:uidLastSave="{00000000-0000-0000-0000-000000000000}"/>
  <bookViews>
    <workbookView xWindow="-96" yWindow="-96" windowWidth="23232" windowHeight="12552" tabRatio="946" activeTab="3" xr2:uid="{A836C8EE-5F87-499F-8280-F517B9E3A373}"/>
  </bookViews>
  <sheets>
    <sheet name="Les-Freq-Issue-P2-Sa-Key-LPF" sheetId="8" r:id="rId1"/>
    <sheet name="Les-Freq-Issue-P2-Sa-Key-BPF" sheetId="14" r:id="rId2"/>
    <sheet name="Project6-Sal-Key-LPF-2-pole" sheetId="15" r:id="rId3"/>
    <sheet name="Project7-Sal-Key-LPF-5-pole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6" l="1"/>
  <c r="C43" i="16"/>
  <c r="C44" i="16"/>
  <c r="D44" i="16"/>
  <c r="D39" i="16"/>
  <c r="D38" i="16"/>
  <c r="B39" i="16"/>
  <c r="B41" i="16"/>
  <c r="B36" i="16"/>
  <c r="D33" i="16"/>
  <c r="D32" i="16"/>
  <c r="B31" i="16"/>
  <c r="D30" i="16"/>
  <c r="D21" i="16"/>
  <c r="B34" i="16"/>
  <c r="B28" i="16"/>
  <c r="D27" i="16"/>
  <c r="D24" i="16"/>
  <c r="D23" i="16"/>
  <c r="C25" i="16" s="1"/>
  <c r="B22" i="16"/>
  <c r="D20" i="16"/>
  <c r="B25" i="16"/>
  <c r="D16" i="16"/>
  <c r="D17" i="16"/>
  <c r="D13" i="16"/>
  <c r="B15" i="16"/>
  <c r="D14" i="16"/>
  <c r="D9" i="16"/>
  <c r="B11" i="16"/>
  <c r="D10" i="16"/>
  <c r="D6" i="16"/>
  <c r="D7" i="16"/>
  <c r="B18" i="16"/>
  <c r="B8" i="16"/>
  <c r="D13" i="15"/>
  <c r="C13" i="15"/>
  <c r="B13" i="15"/>
  <c r="B23" i="15"/>
  <c r="C39" i="16" l="1"/>
  <c r="C41" i="16"/>
  <c r="D41" i="16"/>
  <c r="C22" i="16"/>
  <c r="D34" i="16"/>
  <c r="D25" i="16"/>
  <c r="C28" i="16"/>
  <c r="D22" i="16"/>
  <c r="C34" i="16"/>
  <c r="D15" i="16"/>
  <c r="D11" i="16"/>
  <c r="C18" i="16"/>
  <c r="C15" i="16"/>
  <c r="C11" i="16"/>
  <c r="D8" i="16"/>
  <c r="C8" i="16"/>
  <c r="D18" i="16"/>
  <c r="D28" i="16" s="1"/>
  <c r="B16" i="15"/>
  <c r="B18" i="15"/>
  <c r="D15" i="15"/>
  <c r="D36" i="16" l="1"/>
  <c r="C36" i="16"/>
  <c r="D31" i="16"/>
  <c r="C31" i="16"/>
  <c r="D11" i="15"/>
  <c r="D10" i="15"/>
  <c r="D6" i="15"/>
  <c r="D7" i="15"/>
  <c r="B12" i="15"/>
  <c r="B8" i="15"/>
  <c r="D17" i="14"/>
  <c r="D16" i="14"/>
  <c r="D14" i="14"/>
  <c r="D13" i="14"/>
  <c r="D11" i="14"/>
  <c r="B12" i="14"/>
  <c r="D10" i="14"/>
  <c r="D8" i="14"/>
  <c r="D7" i="14"/>
  <c r="B19" i="14"/>
  <c r="B18" i="14"/>
  <c r="B15" i="14"/>
  <c r="B9" i="14"/>
  <c r="D12" i="8"/>
  <c r="D11" i="8"/>
  <c r="B14" i="8"/>
  <c r="B13" i="8"/>
  <c r="D6" i="8"/>
  <c r="D5" i="8"/>
  <c r="D9" i="8"/>
  <c r="D8" i="8"/>
  <c r="D10" i="8" s="1"/>
  <c r="B10" i="8"/>
  <c r="B7" i="8"/>
  <c r="C12" i="15" l="1"/>
  <c r="D12" i="15"/>
  <c r="D16" i="15" s="1"/>
  <c r="D8" i="15"/>
  <c r="C8" i="15"/>
  <c r="C15" i="14"/>
  <c r="D12" i="14"/>
  <c r="D18" i="14"/>
  <c r="C12" i="14"/>
  <c r="C9" i="14"/>
  <c r="D9" i="14"/>
  <c r="C18" i="14"/>
  <c r="D15" i="14"/>
  <c r="C13" i="8"/>
  <c r="D13" i="8"/>
  <c r="C10" i="8"/>
  <c r="D7" i="8"/>
  <c r="C7" i="8"/>
  <c r="C21" i="15" l="1"/>
  <c r="D21" i="15"/>
  <c r="D20" i="15"/>
  <c r="C20" i="15"/>
  <c r="D18" i="15"/>
  <c r="C16" i="15"/>
  <c r="D19" i="14"/>
  <c r="C19" i="14"/>
  <c r="D14" i="8"/>
  <c r="C14" i="8"/>
  <c r="D23" i="15" l="1"/>
  <c r="C23" i="15"/>
  <c r="C18" i="15"/>
</calcChain>
</file>

<file path=xl/sharedStrings.xml><?xml version="1.0" encoding="utf-8"?>
<sst xmlns="http://schemas.openxmlformats.org/spreadsheetml/2006/main" count="195" uniqueCount="94">
  <si>
    <t>Units</t>
  </si>
  <si>
    <t>Symbol</t>
  </si>
  <si>
    <t>Description or Formula</t>
  </si>
  <si>
    <t>Value</t>
  </si>
  <si>
    <t>Comment</t>
  </si>
  <si>
    <t>ohm</t>
  </si>
  <si>
    <t>Mobius Q</t>
  </si>
  <si>
    <t>fc</t>
  </si>
  <si>
    <t>Hz</t>
  </si>
  <si>
    <t>Vp</t>
  </si>
  <si>
    <t>Vout_pass</t>
  </si>
  <si>
    <t>R</t>
  </si>
  <si>
    <t>C</t>
  </si>
  <si>
    <t>Farad</t>
  </si>
  <si>
    <t>Vout_fc</t>
  </si>
  <si>
    <t>Vin_pass</t>
  </si>
  <si>
    <t>Vin at pass band region (1/10*fc)</t>
  </si>
  <si>
    <t>f_one_decade</t>
  </si>
  <si>
    <t>Vout_one_decade</t>
  </si>
  <si>
    <t>Fitler Type</t>
  </si>
  <si>
    <t>Number of Poles</t>
  </si>
  <si>
    <t>Rolloff</t>
  </si>
  <si>
    <t>db/decade</t>
  </si>
  <si>
    <t>2.235 from table</t>
  </si>
  <si>
    <t>11 &amp; 12</t>
  </si>
  <si>
    <t>Av_stage1</t>
  </si>
  <si>
    <t>Rf_stage1</t>
  </si>
  <si>
    <t>Ri_stage1</t>
  </si>
  <si>
    <t>Rf_stage2</t>
  </si>
  <si>
    <t>Ri_stage2</t>
  </si>
  <si>
    <t>Av_stage2</t>
  </si>
  <si>
    <t>Av_total</t>
  </si>
  <si>
    <t>1.152 from table</t>
  </si>
  <si>
    <t>13 &amp; 14</t>
  </si>
  <si>
    <t>Sallen-Key Low Pass</t>
  </si>
  <si>
    <t>Sallen-Key Band Pass</t>
  </si>
  <si>
    <t>Number of Poles in First Stage</t>
  </si>
  <si>
    <t>Low Pass Stage</t>
  </si>
  <si>
    <t>Number of Poles in Second Stage</t>
  </si>
  <si>
    <t>High Pass Stage</t>
  </si>
  <si>
    <t>R_stage1</t>
  </si>
  <si>
    <t>C_stage1</t>
  </si>
  <si>
    <t>fc_stage1</t>
  </si>
  <si>
    <t>Rolloff First Stage</t>
  </si>
  <si>
    <t>Rolloff Second Stage</t>
  </si>
  <si>
    <t>R_stage2</t>
  </si>
  <si>
    <t>C_stage2</t>
  </si>
  <si>
    <t>fc_stage2</t>
  </si>
  <si>
    <t>1.586 from table</t>
  </si>
  <si>
    <t>23 &amp; 24</t>
  </si>
  <si>
    <t>freq one decade after cutoff = *10</t>
  </si>
  <si>
    <t>Note that the log is of base 10</t>
  </si>
  <si>
    <t>db</t>
  </si>
  <si>
    <t>Vout one decade after pass band region = 1/100</t>
  </si>
  <si>
    <t>We divide by 100 because it is a 2 pole filter</t>
  </si>
  <si>
    <t>Av_stage1_in_db</t>
  </si>
  <si>
    <t>Rolloff in db/decade</t>
  </si>
  <si>
    <t>each pole offers 20 db/decade rolloff</t>
  </si>
  <si>
    <t>goal seek to find R given fc</t>
  </si>
  <si>
    <t>R_calc</t>
  </si>
  <si>
    <t>fc_required</t>
  </si>
  <si>
    <t>R_actual</t>
  </si>
  <si>
    <t>fc_actual</t>
  </si>
  <si>
    <t>Av_stage2_required</t>
  </si>
  <si>
    <t>Rf_stage2_required</t>
  </si>
  <si>
    <t>Rf_stage2_actual</t>
  </si>
  <si>
    <t>Av_stage2_acutal</t>
  </si>
  <si>
    <t>7a</t>
  </si>
  <si>
    <t>6a</t>
  </si>
  <si>
    <t>8a</t>
  </si>
  <si>
    <t>9a</t>
  </si>
  <si>
    <t>pick nearest 10% standard resistor</t>
  </si>
  <si>
    <t>from Butterworth table for 5 pole</t>
  </si>
  <si>
    <t>Av_stage3_required</t>
  </si>
  <si>
    <t>Av_stage3_acutal</t>
  </si>
  <si>
    <t>6b</t>
  </si>
  <si>
    <t>7b</t>
  </si>
  <si>
    <t>8b</t>
  </si>
  <si>
    <t>9b</t>
  </si>
  <si>
    <t>Rf_stage3</t>
  </si>
  <si>
    <t>Ri_stage3_required</t>
  </si>
  <si>
    <t>Ri_stage3_actual</t>
  </si>
  <si>
    <t>Av_total_required</t>
  </si>
  <si>
    <t>Av-stage1_required</t>
  </si>
  <si>
    <t>Rf_stage1_required</t>
  </si>
  <si>
    <t>Rf_stage1_actual</t>
  </si>
  <si>
    <t>Av_stage1_acutal</t>
  </si>
  <si>
    <t>Av_total_theoretical</t>
  </si>
  <si>
    <t>We divide by 100000 because it is a 5 pole filter</t>
  </si>
  <si>
    <t>Vin at pass band region</t>
  </si>
  <si>
    <t>14c</t>
  </si>
  <si>
    <t>14b</t>
  </si>
  <si>
    <t>14a</t>
  </si>
  <si>
    <t>Vout one decade after pass band region = 1/100000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</si>
</sst>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E+0"/>
    <numFmt numFmtId="165" formatCode="0.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7473-76FB-48A3-B62D-97B1E3CC9587}">
  <dimension ref="A1:G14"/>
  <sheetViews>
    <sheetView workbookViewId="0">
      <selection activeCell="B24" sqref="B24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7.84765625" style="1" bestFit="1" customWidth="1"/>
    <col min="4" max="4" width="8.75" style="1" bestFit="1" customWidth="1"/>
    <col min="5" max="5" width="9.34765625" style="1" bestFit="1" customWidth="1"/>
    <col min="6" max="6" width="8.19921875" style="1" bestFit="1" customWidth="1"/>
    <col min="7" max="7" width="13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19</v>
      </c>
      <c r="B2" s="1" t="s">
        <v>34</v>
      </c>
      <c r="F2" s="1">
        <v>7</v>
      </c>
    </row>
    <row r="3" spans="1:7" x14ac:dyDescent="0.6">
      <c r="A3" s="1" t="s">
        <v>20</v>
      </c>
      <c r="D3" s="1">
        <v>4</v>
      </c>
      <c r="F3" s="1">
        <v>8</v>
      </c>
    </row>
    <row r="4" spans="1:7" x14ac:dyDescent="0.6">
      <c r="A4" s="1" t="s">
        <v>21</v>
      </c>
      <c r="D4" s="1">
        <v>80</v>
      </c>
      <c r="E4" s="1" t="s">
        <v>22</v>
      </c>
      <c r="F4" s="1">
        <v>9</v>
      </c>
    </row>
    <row r="5" spans="1:7" x14ac:dyDescent="0.6">
      <c r="A5" s="1" t="s">
        <v>11</v>
      </c>
      <c r="D5" s="3" t="str">
        <f>TEXT(3300,"##0.00E+0")</f>
        <v>3.30E+3</v>
      </c>
      <c r="E5" s="1" t="s">
        <v>5</v>
      </c>
    </row>
    <row r="6" spans="1:7" x14ac:dyDescent="0.6">
      <c r="A6" s="1" t="s">
        <v>12</v>
      </c>
      <c r="D6" s="1" t="str">
        <f>TEXT(0.0000000022,"##0.00E+0")</f>
        <v>2.20E-9</v>
      </c>
      <c r="E6" s="1" t="s">
        <v>13</v>
      </c>
    </row>
    <row r="7" spans="1:7" x14ac:dyDescent="0.6">
      <c r="A7" s="1" t="s">
        <v>7</v>
      </c>
      <c r="B7" s="5" t="str">
        <f>_xlfn.CONCAT("1/(2*pi*",A5,"*",A6,")")</f>
        <v>1/(2*pi*R*C)</v>
      </c>
      <c r="C7" s="1" t="str">
        <f>_xlfn.CONCAT("1/(2*pi*(",D5,")*(",D6,"))")</f>
        <v>1/(2*pi*(3.30E+3)*(2.20E-9))</v>
      </c>
      <c r="D7" s="7" t="str">
        <f>TEXT(1/(2*PI()*D5*D6),"##0.00E+0")</f>
        <v>21.92E+3</v>
      </c>
      <c r="E7" s="1" t="s">
        <v>8</v>
      </c>
      <c r="F7" s="2">
        <v>10</v>
      </c>
    </row>
    <row r="8" spans="1:7" x14ac:dyDescent="0.6">
      <c r="A8" s="1" t="s">
        <v>26</v>
      </c>
      <c r="D8" s="3" t="str">
        <f>TEXT(33300,"##0.00E+0")</f>
        <v>33.30E+3</v>
      </c>
    </row>
    <row r="9" spans="1:7" x14ac:dyDescent="0.6">
      <c r="A9" s="1" t="s">
        <v>27</v>
      </c>
      <c r="D9" s="3" t="str">
        <f>TEXT(27000,"##0.00E+0")</f>
        <v>27.00E+3</v>
      </c>
    </row>
    <row r="10" spans="1:7" x14ac:dyDescent="0.6">
      <c r="A10" s="1" t="s">
        <v>25</v>
      </c>
      <c r="B10" s="1" t="str">
        <f>_xlfn.CONCAT("1+(",A8,"/",A9,")   non-inverted")</f>
        <v>1+(Rf_stage1/Ri_stage1)   non-inverted</v>
      </c>
      <c r="C10" s="1" t="str">
        <f>_xlfn.CONCAT("1+((",D8,")/(",D9,"))")</f>
        <v>1+((33.30E+3)/(27.00E+3))</v>
      </c>
      <c r="D10" s="8" t="str">
        <f>TEXT(1+(D8/D9),"##0.000")</f>
        <v>2.233</v>
      </c>
      <c r="F10" s="1" t="s">
        <v>24</v>
      </c>
      <c r="G10" s="4" t="s">
        <v>23</v>
      </c>
    </row>
    <row r="11" spans="1:7" x14ac:dyDescent="0.6">
      <c r="A11" s="1" t="s">
        <v>28</v>
      </c>
      <c r="D11" s="3" t="str">
        <f>TEXT(1520,"##0.00E+0")</f>
        <v>1.52E+3</v>
      </c>
    </row>
    <row r="12" spans="1:7" x14ac:dyDescent="0.6">
      <c r="A12" s="1" t="s">
        <v>29</v>
      </c>
      <c r="D12" s="3" t="str">
        <f>TEXT(10000,"##0.00E+0")</f>
        <v>10.00E+3</v>
      </c>
    </row>
    <row r="13" spans="1:7" x14ac:dyDescent="0.6">
      <c r="A13" s="1" t="s">
        <v>30</v>
      </c>
      <c r="B13" s="1" t="str">
        <f>_xlfn.CONCAT("1+(",A11,"/",A12,")   non-inverted")</f>
        <v>1+(Rf_stage2/Ri_stage2)   non-inverted</v>
      </c>
      <c r="C13" s="1" t="str">
        <f>_xlfn.CONCAT("1+((",D11,")/(",D12,"))")</f>
        <v>1+((1.52E+3)/(10.00E+3))</v>
      </c>
      <c r="D13" s="8" t="str">
        <f>TEXT(1+(D11/D12),"##0.000")</f>
        <v>1.152</v>
      </c>
      <c r="F13" s="1" t="s">
        <v>33</v>
      </c>
      <c r="G13" s="4" t="s">
        <v>32</v>
      </c>
    </row>
    <row r="14" spans="1:7" x14ac:dyDescent="0.6">
      <c r="A14" s="1" t="s">
        <v>31</v>
      </c>
      <c r="B14" s="1" t="str">
        <f>_xlfn.CONCAT(A10,"*",A13)</f>
        <v>Av_stage1*Av_stage2</v>
      </c>
      <c r="C14" s="1" t="str">
        <f>_xlfn.CONCAT(D10,"*",D13)</f>
        <v>2.233*1.152</v>
      </c>
      <c r="D14" s="4" t="str">
        <f>TEXT(D10*D13,"##0.000")</f>
        <v>2.572</v>
      </c>
      <c r="F14" s="1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701D-255A-4933-949E-11EA34A1886E}">
  <dimension ref="A1:G19"/>
  <sheetViews>
    <sheetView workbookViewId="0">
      <selection activeCell="J17" sqref="J17"/>
    </sheetView>
  </sheetViews>
  <sheetFormatPr defaultRowHeight="15.6" x14ac:dyDescent="0.6"/>
  <cols>
    <col min="1" max="1" width="26.94921875" style="1" bestFit="1" customWidth="1"/>
    <col min="2" max="2" width="31.44921875" style="1" bestFit="1" customWidth="1"/>
    <col min="3" max="3" width="27.19921875" style="1" bestFit="1" customWidth="1"/>
    <col min="4" max="4" width="8.75" style="1" bestFit="1" customWidth="1"/>
    <col min="5" max="5" width="9.34765625" style="1" bestFit="1" customWidth="1"/>
    <col min="6" max="6" width="8.19921875" style="1" bestFit="1" customWidth="1"/>
    <col min="7" max="7" width="13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19</v>
      </c>
      <c r="B2" s="1" t="s">
        <v>35</v>
      </c>
      <c r="F2" s="1">
        <v>16</v>
      </c>
    </row>
    <row r="3" spans="1:7" x14ac:dyDescent="0.6">
      <c r="A3" s="1" t="s">
        <v>36</v>
      </c>
      <c r="B3" s="1" t="s">
        <v>37</v>
      </c>
      <c r="D3" s="1">
        <v>2</v>
      </c>
      <c r="F3" s="1">
        <v>20</v>
      </c>
    </row>
    <row r="4" spans="1:7" x14ac:dyDescent="0.6">
      <c r="A4" s="1" t="s">
        <v>43</v>
      </c>
      <c r="D4" s="1">
        <v>40</v>
      </c>
    </row>
    <row r="5" spans="1:7" x14ac:dyDescent="0.6">
      <c r="A5" s="1" t="s">
        <v>38</v>
      </c>
      <c r="B5" s="1" t="s">
        <v>39</v>
      </c>
      <c r="D5" s="1">
        <v>2</v>
      </c>
      <c r="F5" s="1">
        <v>21</v>
      </c>
    </row>
    <row r="6" spans="1:7" x14ac:dyDescent="0.6">
      <c r="A6" s="1" t="s">
        <v>44</v>
      </c>
      <c r="D6" s="1">
        <v>40</v>
      </c>
      <c r="F6" s="1">
        <v>22</v>
      </c>
    </row>
    <row r="7" spans="1:7" x14ac:dyDescent="0.6">
      <c r="A7" s="1" t="s">
        <v>40</v>
      </c>
      <c r="D7" s="3" t="str">
        <f>TEXT(12000,"##0.00E+0")</f>
        <v>12.00E+3</v>
      </c>
      <c r="E7" s="1" t="s">
        <v>5</v>
      </c>
    </row>
    <row r="8" spans="1:7" x14ac:dyDescent="0.6">
      <c r="A8" s="1" t="s">
        <v>41</v>
      </c>
      <c r="D8" s="1" t="str">
        <f>TEXT(0.0000000033,"##0.00E+0")</f>
        <v>3.30E-9</v>
      </c>
      <c r="E8" s="1" t="s">
        <v>13</v>
      </c>
    </row>
    <row r="9" spans="1:7" x14ac:dyDescent="0.6">
      <c r="A9" s="1" t="s">
        <v>42</v>
      </c>
      <c r="B9" s="5" t="str">
        <f>_xlfn.CONCAT("1/(2*pi*",A7,"*",A8,")")</f>
        <v>1/(2*pi*R_stage1*C_stage1)</v>
      </c>
      <c r="C9" s="1" t="str">
        <f>_xlfn.CONCAT("1/(2*pi*(",D7,")*(",D8,"))")</f>
        <v>1/(2*pi*(12.00E+3)*(3.30E-9))</v>
      </c>
      <c r="D9" s="7" t="str">
        <f>TEXT(1/(2*PI()*D7*D8),"##0.00E+0")</f>
        <v>4.02E+3</v>
      </c>
      <c r="E9" s="1" t="s">
        <v>8</v>
      </c>
      <c r="F9" s="2">
        <v>17</v>
      </c>
    </row>
    <row r="10" spans="1:7" x14ac:dyDescent="0.6">
      <c r="A10" s="1" t="s">
        <v>45</v>
      </c>
      <c r="D10" s="3" t="str">
        <f>TEXT(12000,"##0.00E+0")</f>
        <v>12.00E+3</v>
      </c>
      <c r="E10" s="1" t="s">
        <v>5</v>
      </c>
    </row>
    <row r="11" spans="1:7" x14ac:dyDescent="0.6">
      <c r="A11" s="1" t="s">
        <v>46</v>
      </c>
      <c r="D11" s="1" t="str">
        <f>TEXT(0.00000068,"##0.00E+0")</f>
        <v>680.00E-9</v>
      </c>
      <c r="E11" s="1" t="s">
        <v>13</v>
      </c>
    </row>
    <row r="12" spans="1:7" x14ac:dyDescent="0.6">
      <c r="A12" s="1" t="s">
        <v>47</v>
      </c>
      <c r="B12" s="5" t="str">
        <f>_xlfn.CONCAT("1/(2*pi*",A10,"*",A11,")")</f>
        <v>1/(2*pi*R_stage2*C_stage2)</v>
      </c>
      <c r="C12" s="1" t="str">
        <f>_xlfn.CONCAT("1/(2*pi*(",D10,")*(",D11,"))")</f>
        <v>1/(2*pi*(12.00E+3)*(680.00E-9))</v>
      </c>
      <c r="D12" s="7" t="str">
        <f>TEXT(1/(2*PI()*D10*D11),"##0.00E+0")</f>
        <v>19.50E+0</v>
      </c>
      <c r="E12" s="1" t="s">
        <v>8</v>
      </c>
      <c r="F12" s="2">
        <v>18</v>
      </c>
    </row>
    <row r="13" spans="1:7" x14ac:dyDescent="0.6">
      <c r="A13" s="1" t="s">
        <v>26</v>
      </c>
      <c r="D13" s="3" t="str">
        <f>TEXT(12000,"##0.00E+0")</f>
        <v>12.00E+3</v>
      </c>
    </row>
    <row r="14" spans="1:7" x14ac:dyDescent="0.6">
      <c r="A14" s="1" t="s">
        <v>27</v>
      </c>
      <c r="D14" s="3" t="str">
        <f>TEXT(20000,"##0.00E+0")</f>
        <v>20.00E+3</v>
      </c>
    </row>
    <row r="15" spans="1:7" x14ac:dyDescent="0.6">
      <c r="A15" s="1" t="s">
        <v>25</v>
      </c>
      <c r="B15" s="1" t="str">
        <f>_xlfn.CONCAT("1+(",A13,"/",A14,")   non-inverted")</f>
        <v>1+(Rf_stage1/Ri_stage1)   non-inverted</v>
      </c>
      <c r="C15" s="1" t="str">
        <f>_xlfn.CONCAT("1+((",D13,")/(",D14,"))")</f>
        <v>1+((12.00E+3)/(20.00E+3))</v>
      </c>
      <c r="D15" s="8" t="str">
        <f>TEXT(1+(D13/D14),"##0.000")</f>
        <v>1.600</v>
      </c>
      <c r="F15" s="1" t="s">
        <v>49</v>
      </c>
      <c r="G15" s="4" t="s">
        <v>48</v>
      </c>
    </row>
    <row r="16" spans="1:7" x14ac:dyDescent="0.6">
      <c r="A16" s="1" t="s">
        <v>28</v>
      </c>
      <c r="D16" s="3" t="str">
        <f>TEXT(12000,"##0.00E+0")</f>
        <v>12.00E+3</v>
      </c>
    </row>
    <row r="17" spans="1:7" x14ac:dyDescent="0.6">
      <c r="A17" s="1" t="s">
        <v>29</v>
      </c>
      <c r="D17" s="3" t="str">
        <f>TEXT(20000,"##0.00E+0")</f>
        <v>20.00E+3</v>
      </c>
    </row>
    <row r="18" spans="1:7" x14ac:dyDescent="0.6">
      <c r="A18" s="1" t="s">
        <v>30</v>
      </c>
      <c r="B18" s="1" t="str">
        <f>_xlfn.CONCAT("1+(",A16,"/",A17,")   non-inverted")</f>
        <v>1+(Rf_stage2/Ri_stage2)   non-inverted</v>
      </c>
      <c r="C18" s="1" t="str">
        <f>_xlfn.CONCAT("1+((",D16,")/(",D17,"))")</f>
        <v>1+((12.00E+3)/(20.00E+3))</v>
      </c>
      <c r="D18" s="8" t="str">
        <f>TEXT(1+(D16/D17),"##0.000")</f>
        <v>1.600</v>
      </c>
      <c r="F18" s="1" t="s">
        <v>49</v>
      </c>
      <c r="G18" s="4" t="s">
        <v>48</v>
      </c>
    </row>
    <row r="19" spans="1:7" x14ac:dyDescent="0.6">
      <c r="A19" s="1" t="s">
        <v>31</v>
      </c>
      <c r="B19" s="1" t="str">
        <f>_xlfn.CONCAT(A15,"*",A18)</f>
        <v>Av_stage1*Av_stage2</v>
      </c>
      <c r="C19" s="1" t="str">
        <f>_xlfn.CONCAT(D15,"*",D18)</f>
        <v>1.600*1.600</v>
      </c>
      <c r="D19" s="4" t="str">
        <f>TEXT(D15*D18,"##0.000")</f>
        <v>2.560</v>
      </c>
      <c r="F19" s="1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CEFF-FAC5-4FA0-B574-1D0590778269}">
  <dimension ref="A1:G23"/>
  <sheetViews>
    <sheetView workbookViewId="0">
      <selection activeCell="A15" sqref="A15:XFD21"/>
    </sheetView>
  </sheetViews>
  <sheetFormatPr defaultRowHeight="15.6" x14ac:dyDescent="0.6"/>
  <cols>
    <col min="1" max="1" width="16.796875" style="1" bestFit="1" customWidth="1"/>
    <col min="2" max="2" width="38.546875" style="1" bestFit="1" customWidth="1"/>
    <col min="3" max="3" width="25.19921875" style="1" bestFit="1" customWidth="1"/>
    <col min="4" max="4" width="8.75" style="1" bestFit="1" customWidth="1"/>
    <col min="5" max="5" width="9.34765625" style="1" bestFit="1" customWidth="1"/>
    <col min="6" max="6" width="8.19921875" style="1" bestFit="1" customWidth="1"/>
    <col min="7" max="7" width="35.0976562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19</v>
      </c>
      <c r="B2" s="1" t="s">
        <v>34</v>
      </c>
    </row>
    <row r="3" spans="1:7" x14ac:dyDescent="0.6">
      <c r="A3" s="1" t="s">
        <v>20</v>
      </c>
      <c r="D3" s="1">
        <v>2</v>
      </c>
    </row>
    <row r="4" spans="1:7" x14ac:dyDescent="0.6">
      <c r="A4" s="1" t="s">
        <v>21</v>
      </c>
      <c r="D4" s="1">
        <v>40</v>
      </c>
      <c r="E4" s="1" t="s">
        <v>22</v>
      </c>
      <c r="G4" s="1" t="s">
        <v>57</v>
      </c>
    </row>
    <row r="6" spans="1:7" x14ac:dyDescent="0.6">
      <c r="A6" s="1" t="s">
        <v>11</v>
      </c>
      <c r="D6" s="7" t="str">
        <f>TEXT(68000,"##0.00E+0")</f>
        <v>68.00E+3</v>
      </c>
      <c r="E6" s="1" t="s">
        <v>5</v>
      </c>
      <c r="G6" s="1" t="s">
        <v>58</v>
      </c>
    </row>
    <row r="7" spans="1:7" x14ac:dyDescent="0.6">
      <c r="A7" s="1" t="s">
        <v>12</v>
      </c>
      <c r="D7" s="1" t="str">
        <f>TEXT(0.000000001,"##0.00E+0")</f>
        <v>1.00E-9</v>
      </c>
      <c r="E7" s="1" t="s">
        <v>13</v>
      </c>
    </row>
    <row r="8" spans="1:7" x14ac:dyDescent="0.6">
      <c r="A8" s="1" t="s">
        <v>7</v>
      </c>
      <c r="B8" s="5" t="str">
        <f>_xlfn.CONCAT("1/(2*pi*",A6,"*",A7,")")</f>
        <v>1/(2*pi*R*C)</v>
      </c>
      <c r="C8" s="1" t="str">
        <f>_xlfn.CONCAT("1/(2*pi*(",D6,")*(",D7,"))")</f>
        <v>1/(2*pi*(68.00E+3)*(1.00E-9))</v>
      </c>
      <c r="D8" s="7" t="str">
        <f>TEXT(1/(2*PI()*D6*D7),"##0.00E+0")</f>
        <v>2.34E+3</v>
      </c>
      <c r="E8" s="1" t="s">
        <v>8</v>
      </c>
      <c r="F8" s="2"/>
    </row>
    <row r="10" spans="1:7" x14ac:dyDescent="0.6">
      <c r="A10" s="1" t="s">
        <v>26</v>
      </c>
      <c r="D10" s="7" t="str">
        <f>TEXT(2750,"##0.00E+0")</f>
        <v>2.75E+3</v>
      </c>
    </row>
    <row r="11" spans="1:7" x14ac:dyDescent="0.6">
      <c r="A11" s="1" t="s">
        <v>27</v>
      </c>
      <c r="D11" s="3" t="str">
        <f>TEXT(4700,"##0.00E+0")</f>
        <v>4.70E+3</v>
      </c>
    </row>
    <row r="12" spans="1:7" x14ac:dyDescent="0.6">
      <c r="A12" s="1" t="s">
        <v>25</v>
      </c>
      <c r="B12" s="1" t="str">
        <f>_xlfn.CONCAT("1+(",A10,"/",A11,")   non-inverted")</f>
        <v>1+(Rf_stage1/Ri_stage1)   non-inverted</v>
      </c>
      <c r="C12" s="1" t="str">
        <f>_xlfn.CONCAT("1+((",D10,")/(",D11,"))")</f>
        <v>1+((2.75E+3)/(4.70E+3))</v>
      </c>
      <c r="D12" s="8" t="str">
        <f>TEXT(1+(D10/D11),"##0.000")</f>
        <v>1.585</v>
      </c>
      <c r="G12" s="4" t="s">
        <v>48</v>
      </c>
    </row>
    <row r="13" spans="1:7" x14ac:dyDescent="0.6">
      <c r="A13" s="1" t="s">
        <v>55</v>
      </c>
      <c r="B13" s="5" t="str">
        <f>_xlfn.CONCAT("20*log(",A12,")")</f>
        <v>20*log(Av_stage1)</v>
      </c>
      <c r="C13" s="1" t="str">
        <f>_xlfn.CONCAT("20*log(",D12,")")</f>
        <v>20*log(1.585)</v>
      </c>
      <c r="D13" s="1" t="str">
        <f>TEXT(20*LOG10(D12),"##0.00")</f>
        <v>4.00</v>
      </c>
      <c r="E13" s="1" t="s">
        <v>52</v>
      </c>
      <c r="G13" s="1" t="s">
        <v>51</v>
      </c>
    </row>
    <row r="15" spans="1:7" x14ac:dyDescent="0.6">
      <c r="A15" s="1" t="s">
        <v>15</v>
      </c>
      <c r="B15" s="1" t="s">
        <v>16</v>
      </c>
      <c r="D15" s="7" t="str">
        <f>TEXT(1,"##0.00E+0")</f>
        <v>1.00E+0</v>
      </c>
      <c r="E15" s="1" t="s">
        <v>9</v>
      </c>
      <c r="F15" s="9"/>
    </row>
    <row r="16" spans="1:7" x14ac:dyDescent="0.6">
      <c r="A16" s="1" t="s">
        <v>10</v>
      </c>
      <c r="B16" s="1" t="str">
        <f>_xlfn.CONCAT(A15,"*",A12)</f>
        <v>Vin_pass*Av_stage1</v>
      </c>
      <c r="C16" s="1" t="str">
        <f>_xlfn.CONCAT("(",D15,")*(",D12,")")</f>
        <v>(1.00E+0)*(1.585)</v>
      </c>
      <c r="D16" s="7" t="str">
        <f>TEXT(D15*D12,"##0.000E+0")</f>
        <v>1.585E+0</v>
      </c>
      <c r="E16" s="1" t="s">
        <v>9</v>
      </c>
    </row>
    <row r="18" spans="1:7" x14ac:dyDescent="0.6">
      <c r="A18" s="1" t="s">
        <v>14</v>
      </c>
      <c r="B18" s="5" t="str">
        <f>_xlfn.CONCAT(A16,"/sqrt(2)")</f>
        <v>Vout_pass/sqrt(2)</v>
      </c>
      <c r="C18" s="1" t="str">
        <f>_xlfn.CONCAT("(",D16,")/sqrt(2)")</f>
        <v>(1.585E+0)/sqrt(2)</v>
      </c>
      <c r="D18" s="6" t="str">
        <f>TEXT(D16/SQRT(2),"##0.000E+0")</f>
        <v>1.121E+0</v>
      </c>
      <c r="E18" s="1" t="s">
        <v>9</v>
      </c>
    </row>
    <row r="20" spans="1:7" x14ac:dyDescent="0.6">
      <c r="A20" s="1" t="s">
        <v>17</v>
      </c>
      <c r="B20" s="1" t="s">
        <v>50</v>
      </c>
      <c r="C20" s="1" t="str">
        <f>_xlfn.CONCAT("(",D8,")*10")</f>
        <v>(2.34E+3)*10</v>
      </c>
      <c r="D20" s="3" t="str">
        <f>TEXT(D8*10,"##0.00E+0")</f>
        <v>23.40E+3</v>
      </c>
      <c r="E20" s="1" t="s">
        <v>8</v>
      </c>
    </row>
    <row r="21" spans="1:7" x14ac:dyDescent="0.6">
      <c r="A21" s="1" t="s">
        <v>18</v>
      </c>
      <c r="B21" s="1" t="s">
        <v>53</v>
      </c>
      <c r="C21" s="1" t="str">
        <f>_xlfn.CONCAT("(",D16,")/100")</f>
        <v>(1.585E+0)/100</v>
      </c>
      <c r="D21" s="6" t="str">
        <f>TEXT(D16/100,"##0.00E+0")</f>
        <v>15.85E-3</v>
      </c>
      <c r="E21" s="1" t="s">
        <v>9</v>
      </c>
      <c r="G21" s="1" t="s">
        <v>54</v>
      </c>
    </row>
    <row r="23" spans="1:7" x14ac:dyDescent="0.6">
      <c r="A23" s="1" t="s">
        <v>56</v>
      </c>
      <c r="B23" s="5" t="str">
        <f>_xlfn.CONCAT("20*log(",A21,"/",A16,")")</f>
        <v>20*log(Vout_one_decade/Vout_pass)</v>
      </c>
      <c r="C23" s="1" t="str">
        <f>_xlfn.CONCAT("20*log(",D21,"/",D16,")")</f>
        <v>20*log(15.85E-3/1.585E+0)</v>
      </c>
      <c r="D23" s="3">
        <f>20*LOG10(D21/D16)</f>
        <v>-40</v>
      </c>
      <c r="E23" s="1" t="s">
        <v>52</v>
      </c>
      <c r="G23" s="1" t="s">
        <v>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532D-9989-4C6F-8959-76960C27D3C8}">
  <dimension ref="A1:G44"/>
  <sheetViews>
    <sheetView tabSelected="1" workbookViewId="0">
      <selection activeCell="H36" sqref="H36"/>
    </sheetView>
  </sheetViews>
  <sheetFormatPr defaultRowHeight="15.6" x14ac:dyDescent="0.6"/>
  <cols>
    <col min="1" max="1" width="16.59765625" style="1" bestFit="1" customWidth="1"/>
    <col min="2" max="2" width="49.69921875" style="1" bestFit="1" customWidth="1"/>
    <col min="3" max="3" width="26.19921875" style="1" bestFit="1" customWidth="1"/>
    <col min="4" max="4" width="9.1484375" style="1" bestFit="1" customWidth="1"/>
    <col min="5" max="5" width="9.34765625" style="1" bestFit="1" customWidth="1"/>
    <col min="6" max="6" width="8.19921875" style="1" bestFit="1" customWidth="1"/>
    <col min="7" max="7" width="38.14843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19</v>
      </c>
      <c r="B2" s="1" t="s">
        <v>34</v>
      </c>
    </row>
    <row r="3" spans="1:7" x14ac:dyDescent="0.6">
      <c r="A3" s="1" t="s">
        <v>20</v>
      </c>
      <c r="D3" s="1">
        <v>5</v>
      </c>
    </row>
    <row r="4" spans="1:7" x14ac:dyDescent="0.6">
      <c r="A4" s="1" t="s">
        <v>21</v>
      </c>
      <c r="D4" s="1">
        <v>100</v>
      </c>
      <c r="E4" s="1" t="s">
        <v>22</v>
      </c>
      <c r="G4" s="1" t="s">
        <v>57</v>
      </c>
    </row>
    <row r="6" spans="1:7" x14ac:dyDescent="0.6">
      <c r="A6" s="1" t="s">
        <v>59</v>
      </c>
      <c r="D6" s="7" t="str">
        <f>TEXT(2894,"##0.000E+0")</f>
        <v>2.894E+3</v>
      </c>
      <c r="E6" s="1" t="s">
        <v>5</v>
      </c>
      <c r="F6" s="1">
        <v>3</v>
      </c>
      <c r="G6" s="1" t="s">
        <v>58</v>
      </c>
    </row>
    <row r="7" spans="1:7" x14ac:dyDescent="0.6">
      <c r="A7" s="1" t="s">
        <v>12</v>
      </c>
      <c r="D7" s="1" t="str">
        <f>TEXT(0.000000022,"##0.00E+0")</f>
        <v>22.00E-9</v>
      </c>
      <c r="E7" s="1" t="s">
        <v>13</v>
      </c>
    </row>
    <row r="8" spans="1:7" x14ac:dyDescent="0.6">
      <c r="A8" s="1" t="s">
        <v>60</v>
      </c>
      <c r="B8" s="5" t="str">
        <f>_xlfn.CONCAT("1/(2*pi*",A6,"*",A7,")")</f>
        <v>1/(2*pi*R_calc*C)</v>
      </c>
      <c r="C8" s="1" t="str">
        <f>_xlfn.CONCAT("1/(2*pi*(",D6,")*(",D7,"))")</f>
        <v>1/(2*pi*(2.894E+3)*(22.00E-9))</v>
      </c>
      <c r="D8" s="7" t="str">
        <f>TEXT(1/(2*PI()*D6*D7),"##0.00E+0")</f>
        <v>2.50E+3</v>
      </c>
      <c r="E8" s="1" t="s">
        <v>8</v>
      </c>
      <c r="F8" s="2"/>
    </row>
    <row r="9" spans="1:7" x14ac:dyDescent="0.6">
      <c r="A9" s="1" t="s">
        <v>61</v>
      </c>
      <c r="D9" s="7" t="str">
        <f>TEXT(2700,"##0.000E+0")</f>
        <v>2.700E+3</v>
      </c>
      <c r="E9" s="1" t="s">
        <v>5</v>
      </c>
      <c r="F9" s="1">
        <v>4</v>
      </c>
    </row>
    <row r="10" spans="1:7" x14ac:dyDescent="0.6">
      <c r="A10" s="1" t="s">
        <v>12</v>
      </c>
      <c r="D10" s="1" t="str">
        <f>TEXT(0.000000022,"##0.00E+0")</f>
        <v>22.00E-9</v>
      </c>
      <c r="E10" s="1" t="s">
        <v>13</v>
      </c>
    </row>
    <row r="11" spans="1:7" x14ac:dyDescent="0.6">
      <c r="A11" s="1" t="s">
        <v>62</v>
      </c>
      <c r="B11" s="5" t="str">
        <f>_xlfn.CONCAT("1/(2*pi*",A9,"*",A10,")")</f>
        <v>1/(2*pi*R_actual*C)</v>
      </c>
      <c r="C11" s="1" t="str">
        <f>_xlfn.CONCAT("1/(2*pi*(",D9,")*(",D10,"))")</f>
        <v>1/(2*pi*(2.700E+3)*(22.00E-9))</v>
      </c>
      <c r="D11" s="7" t="str">
        <f>TEXT(1/(2*PI()*D9*D10),"##0.000E+0")</f>
        <v>2.679E+3</v>
      </c>
      <c r="E11" s="1" t="s">
        <v>8</v>
      </c>
      <c r="F11" s="2">
        <v>5</v>
      </c>
    </row>
    <row r="13" spans="1:7" x14ac:dyDescent="0.6">
      <c r="A13" s="1" t="s">
        <v>63</v>
      </c>
      <c r="D13" s="7" t="str">
        <f>TEXT(2.382,"##0.000")</f>
        <v>2.382</v>
      </c>
      <c r="F13" s="1" t="s">
        <v>68</v>
      </c>
      <c r="G13" s="1" t="s">
        <v>72</v>
      </c>
    </row>
    <row r="14" spans="1:7" x14ac:dyDescent="0.6">
      <c r="A14" s="1" t="s">
        <v>29</v>
      </c>
      <c r="D14" s="3" t="str">
        <f>TEXT(2700,"##0.00E+0")</f>
        <v>2.70E+3</v>
      </c>
      <c r="E14" s="1" t="s">
        <v>5</v>
      </c>
    </row>
    <row r="15" spans="1:7" x14ac:dyDescent="0.6">
      <c r="A15" s="1" t="s">
        <v>64</v>
      </c>
      <c r="B15" s="5" t="str">
        <f>_xlfn.CONCAT("(",A13,"-1)*",A14)</f>
        <v>(Av_stage2_required-1)*Ri_stage2</v>
      </c>
      <c r="C15" s="1" t="str">
        <f>_xlfn.CONCAT("(",D13,"-1)*",D14)</f>
        <v>(2.382-1)*2.70E+3</v>
      </c>
      <c r="D15" s="7" t="str">
        <f>TEXT((D13-1)*D14,"##0.000E+0")</f>
        <v>3.731E+3</v>
      </c>
      <c r="E15" s="1" t="s">
        <v>5</v>
      </c>
      <c r="F15" s="1" t="s">
        <v>67</v>
      </c>
    </row>
    <row r="16" spans="1:7" x14ac:dyDescent="0.6">
      <c r="A16" s="1" t="s">
        <v>65</v>
      </c>
      <c r="B16" s="1" t="s">
        <v>71</v>
      </c>
      <c r="D16" s="7" t="str">
        <f>TEXT(3900,"##0.00E+0")</f>
        <v>3.90E+3</v>
      </c>
      <c r="E16" s="1" t="s">
        <v>5</v>
      </c>
      <c r="F16" s="1" t="s">
        <v>69</v>
      </c>
    </row>
    <row r="17" spans="1:7" x14ac:dyDescent="0.6">
      <c r="A17" s="1" t="s">
        <v>29</v>
      </c>
      <c r="D17" s="3" t="str">
        <f>TEXT(2700,"##0.00E+0")</f>
        <v>2.70E+3</v>
      </c>
      <c r="E17" s="1" t="s">
        <v>5</v>
      </c>
    </row>
    <row r="18" spans="1:7" x14ac:dyDescent="0.6">
      <c r="A18" s="1" t="s">
        <v>66</v>
      </c>
      <c r="B18" s="1" t="str">
        <f>_xlfn.CONCAT("1+(",A16,"/",A17,")   non-inverted")</f>
        <v>1+(Rf_stage2_actual/Ri_stage2)   non-inverted</v>
      </c>
      <c r="C18" s="1" t="str">
        <f>_xlfn.CONCAT("1+((",D16,")/(",D17,"))")</f>
        <v>1+((3.90E+3)/(2.70E+3))</v>
      </c>
      <c r="D18" s="8" t="str">
        <f>TEXT(1+(D16/D17),"##0.000")</f>
        <v>2.444</v>
      </c>
      <c r="F18" s="1" t="s">
        <v>70</v>
      </c>
    </row>
    <row r="20" spans="1:7" x14ac:dyDescent="0.6">
      <c r="A20" s="1" t="s">
        <v>73</v>
      </c>
      <c r="D20" s="7" t="str">
        <f>TEXT(1.382,"##0.000")</f>
        <v>1.382</v>
      </c>
      <c r="F20" s="1" t="s">
        <v>75</v>
      </c>
      <c r="G20" s="1" t="s">
        <v>72</v>
      </c>
    </row>
    <row r="21" spans="1:7" x14ac:dyDescent="0.6">
      <c r="A21" s="1" t="s">
        <v>79</v>
      </c>
      <c r="D21" s="3" t="str">
        <f>TEXT(6800,"##0.00E+0")</f>
        <v>6.80E+3</v>
      </c>
      <c r="E21" s="1" t="s">
        <v>5</v>
      </c>
    </row>
    <row r="22" spans="1:7" x14ac:dyDescent="0.6">
      <c r="A22" s="1" t="s">
        <v>80</v>
      </c>
      <c r="B22" s="5" t="str">
        <f>_xlfn.CONCAT(A21,"/(",A20,"-1)")</f>
        <v>Rf_stage3/(Av_stage3_required-1)</v>
      </c>
      <c r="C22" s="1" t="str">
        <f>_xlfn.CONCAT(D21,"/(",D20,"-1)")</f>
        <v>6.80E+3/(1.382-1)</v>
      </c>
      <c r="D22" s="7" t="str">
        <f>TEXT(D21/(D20-1),"##0.000E+0")</f>
        <v>17.801E+3</v>
      </c>
      <c r="E22" s="1" t="s">
        <v>5</v>
      </c>
      <c r="F22" s="1" t="s">
        <v>76</v>
      </c>
    </row>
    <row r="23" spans="1:7" x14ac:dyDescent="0.6">
      <c r="A23" s="1" t="s">
        <v>81</v>
      </c>
      <c r="B23" s="1" t="s">
        <v>71</v>
      </c>
      <c r="D23" s="7" t="str">
        <f>TEXT(18000,"##0.00E+0")</f>
        <v>18.00E+3</v>
      </c>
      <c r="E23" s="1" t="s">
        <v>5</v>
      </c>
      <c r="F23" s="1" t="s">
        <v>77</v>
      </c>
    </row>
    <row r="24" spans="1:7" x14ac:dyDescent="0.6">
      <c r="A24" s="1" t="s">
        <v>79</v>
      </c>
      <c r="D24" s="3" t="str">
        <f>TEXT(6800,"##0.00E+0")</f>
        <v>6.80E+3</v>
      </c>
      <c r="E24" s="1" t="s">
        <v>5</v>
      </c>
    </row>
    <row r="25" spans="1:7" x14ac:dyDescent="0.6">
      <c r="A25" s="1" t="s">
        <v>74</v>
      </c>
      <c r="B25" s="1" t="str">
        <f>_xlfn.CONCAT("1+(",A23,"/",A24,")   non-inverted")</f>
        <v>1+(Ri_stage3_actual/Rf_stage3)   non-inverted</v>
      </c>
      <c r="C25" s="1" t="str">
        <f>_xlfn.CONCAT("1+((",D24,")/(",D23,"))")</f>
        <v>1+((6.80E+3)/(18.00E+3))</v>
      </c>
      <c r="D25" s="8" t="str">
        <f>TEXT(1+(D24/D23),"##0.000")</f>
        <v>1.378</v>
      </c>
      <c r="F25" s="1" t="s">
        <v>78</v>
      </c>
    </row>
    <row r="27" spans="1:7" x14ac:dyDescent="0.6">
      <c r="A27" s="1" t="s">
        <v>82</v>
      </c>
      <c r="D27" s="3" t="str">
        <f>TEXT(5,"##0.000")</f>
        <v>5.000</v>
      </c>
    </row>
    <row r="28" spans="1:7" x14ac:dyDescent="0.6">
      <c r="A28" s="1" t="s">
        <v>83</v>
      </c>
      <c r="B28" s="1" t="str">
        <f>_xlfn.CONCAT(A27,"/(",A13,"*",A20,")")</f>
        <v>Av_total_required/(Av_stage2_required*Av_stage3_required)</v>
      </c>
      <c r="C28" s="1" t="str">
        <f>_xlfn.CONCAT(D27,"/(",D13,"*",D20,")")</f>
        <v>5.000/(2.382*1.382)</v>
      </c>
      <c r="D28" s="7" t="str">
        <f>TEXT(D27/(D18*D25),"##0.000")</f>
        <v>1.485</v>
      </c>
      <c r="F28" s="1">
        <v>10</v>
      </c>
    </row>
    <row r="30" spans="1:7" x14ac:dyDescent="0.6">
      <c r="A30" s="1" t="s">
        <v>27</v>
      </c>
      <c r="D30" s="3" t="str">
        <f>TEXT(6800,"##0.00E+0")</f>
        <v>6.80E+3</v>
      </c>
      <c r="E30" s="1" t="s">
        <v>5</v>
      </c>
    </row>
    <row r="31" spans="1:7" x14ac:dyDescent="0.6">
      <c r="A31" s="1" t="s">
        <v>84</v>
      </c>
      <c r="B31" s="5" t="str">
        <f>_xlfn.CONCAT("(",A28,"-1)*",A30)</f>
        <v>(Av-stage1_required-1)*Ri_stage1</v>
      </c>
      <c r="C31" s="1" t="str">
        <f>_xlfn.CONCAT("(",D28,"-1)*",D30)</f>
        <v>(1.485-1)*6.80E+3</v>
      </c>
      <c r="D31" s="7" t="str">
        <f>TEXT((D28-1)*D30,"##0.000E+0")</f>
        <v>3.298E+3</v>
      </c>
      <c r="E31" s="1" t="s">
        <v>5</v>
      </c>
      <c r="F31" s="1">
        <v>11</v>
      </c>
    </row>
    <row r="32" spans="1:7" x14ac:dyDescent="0.6">
      <c r="A32" s="1" t="s">
        <v>85</v>
      </c>
      <c r="B32" s="1" t="s">
        <v>71</v>
      </c>
      <c r="D32" s="7" t="str">
        <f>TEXT(3300,"##0.00E+0")</f>
        <v>3.30E+3</v>
      </c>
      <c r="E32" s="1" t="s">
        <v>5</v>
      </c>
      <c r="F32" s="1">
        <v>12</v>
      </c>
    </row>
    <row r="33" spans="1:7" x14ac:dyDescent="0.6">
      <c r="A33" s="1" t="s">
        <v>27</v>
      </c>
      <c r="D33" s="3" t="str">
        <f>TEXT(6800,"##0.00E+0")</f>
        <v>6.80E+3</v>
      </c>
      <c r="E33" s="1" t="s">
        <v>5</v>
      </c>
    </row>
    <row r="34" spans="1:7" x14ac:dyDescent="0.6">
      <c r="A34" s="1" t="s">
        <v>86</v>
      </c>
      <c r="B34" s="1" t="str">
        <f>_xlfn.CONCAT("1+(",A32,"/",A33,")   non-inverted")</f>
        <v>1+(Rf_stage1_actual/Ri_stage1)   non-inverted</v>
      </c>
      <c r="C34" s="1" t="str">
        <f>_xlfn.CONCAT("1+((",D32,")/(",D33,"))")</f>
        <v>1+((3.30E+3)/(6.80E+3))</v>
      </c>
      <c r="D34" s="10" t="str">
        <f>TEXT(1+(D32/D33),"##0.000")</f>
        <v>1.485</v>
      </c>
    </row>
    <row r="36" spans="1:7" x14ac:dyDescent="0.6">
      <c r="A36" s="1" t="s">
        <v>87</v>
      </c>
      <c r="B36" s="1" t="str">
        <f>_xlfn.CONCAT(A28,"*",A13,"*",A20)</f>
        <v>Av-stage1_required*Av_stage2_required*Av_stage3_required</v>
      </c>
      <c r="C36" s="1" t="str">
        <f>_xlfn.CONCAT(D28,"*",D13,"*",D20)</f>
        <v>1.485*2.382*1.382</v>
      </c>
      <c r="D36" s="7" t="str">
        <f>TEXT(D28*D13*D20,"##0.000")</f>
        <v>4.889</v>
      </c>
      <c r="F36" s="1">
        <v>13</v>
      </c>
    </row>
    <row r="38" spans="1:7" x14ac:dyDescent="0.6">
      <c r="A38" s="1" t="s">
        <v>15</v>
      </c>
      <c r="B38" s="1" t="s">
        <v>89</v>
      </c>
      <c r="D38" s="3" t="str">
        <f>TEXT(1,"##0.00")</f>
        <v>1.00</v>
      </c>
      <c r="E38" s="1" t="s">
        <v>9</v>
      </c>
      <c r="F38" s="9"/>
    </row>
    <row r="39" spans="1:7" x14ac:dyDescent="0.6">
      <c r="A39" s="1" t="s">
        <v>10</v>
      </c>
      <c r="B39" s="1" t="str">
        <f>_xlfn.CONCAT(A38,"*",A36)</f>
        <v>Vin_pass*Av_total_theoretical</v>
      </c>
      <c r="C39" s="1" t="str">
        <f>_xlfn.CONCAT("(",D38,")*(",D36,")")</f>
        <v>(1.00)*(4.889)</v>
      </c>
      <c r="D39" s="7" t="str">
        <f>TEXT(D38*D36,"##0.000")</f>
        <v>4.889</v>
      </c>
      <c r="E39" s="1" t="s">
        <v>9</v>
      </c>
      <c r="F39" s="1" t="s">
        <v>92</v>
      </c>
    </row>
    <row r="41" spans="1:7" x14ac:dyDescent="0.6">
      <c r="A41" s="1" t="s">
        <v>14</v>
      </c>
      <c r="B41" s="5" t="str">
        <f>_xlfn.CONCAT(A39,"/sqrt(2)")</f>
        <v>Vout_pass/sqrt(2)</v>
      </c>
      <c r="C41" s="1" t="str">
        <f>_xlfn.CONCAT("(",D39,")/sqrt(2)")</f>
        <v>(4.889)/sqrt(2)</v>
      </c>
      <c r="D41" s="6" t="str">
        <f>TEXT(D39/SQRT(2),"##0.000E+0")</f>
        <v>3.457E+0</v>
      </c>
      <c r="E41" s="1" t="s">
        <v>9</v>
      </c>
      <c r="F41" s="1" t="s">
        <v>91</v>
      </c>
    </row>
    <row r="43" spans="1:7" x14ac:dyDescent="0.6">
      <c r="A43" s="1" t="s">
        <v>17</v>
      </c>
      <c r="B43" s="1" t="s">
        <v>50</v>
      </c>
      <c r="C43" s="1" t="str">
        <f>_xlfn.CONCAT("(",D8,")*10")</f>
        <v>(2.50E+3)*10</v>
      </c>
      <c r="D43" s="3" t="str">
        <f>TEXT(D8*10,"##0.00E+0")</f>
        <v>25.00E+3</v>
      </c>
      <c r="E43" s="1" t="s">
        <v>8</v>
      </c>
    </row>
    <row r="44" spans="1:7" x14ac:dyDescent="0.6">
      <c r="A44" s="1" t="s">
        <v>18</v>
      </c>
      <c r="B44" s="1" t="s">
        <v>93</v>
      </c>
      <c r="C44" s="1" t="str">
        <f>_xlfn.CONCAT("(",D39,")/100000")</f>
        <v>(4.889)/100000</v>
      </c>
      <c r="D44" s="6" t="str">
        <f>TEXT(D39/100000,"##0.00E+0")</f>
        <v>48.89E-6</v>
      </c>
      <c r="E44" s="1" t="s">
        <v>9</v>
      </c>
      <c r="F44" s="1" t="s">
        <v>90</v>
      </c>
      <c r="G44" s="1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Les-Freq-Issue-P2-Sa-Key-LPF</vt:lpstr>
      <vt:lpstr>Les-Freq-Issue-P2-Sa-Key-BPF</vt:lpstr>
      <vt:lpstr>Project6-Sal-Key-LPF-2-pole</vt:lpstr>
      <vt:lpstr>Project7-Sal-Key-LPF-5-pole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 Alex</dc:creator>
  <cp:lastModifiedBy>Julian R Alex</cp:lastModifiedBy>
  <dcterms:created xsi:type="dcterms:W3CDTF">2024-10-31T23:49:14Z</dcterms:created>
  <dcterms:modified xsi:type="dcterms:W3CDTF">2025-02-20T21:57:15Z</dcterms:modified>
</cp:coreProperties>
</file>