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obbinl\Documents\GitHub\CMPE1400\j-Transistor-Applications\a-BJTs\"/>
    </mc:Choice>
  </mc:AlternateContent>
  <xr:revisionPtr revIDLastSave="0" documentId="13_ncr:1_{6D1463C8-9E02-4E20-B9C5-E7D3DC0A4AF0}" xr6:coauthVersionLast="47" xr6:coauthVersionMax="47" xr10:uidLastSave="{00000000-0000-0000-0000-000000000000}"/>
  <bookViews>
    <workbookView xWindow="-120" yWindow="-120" windowWidth="29040" windowHeight="15720" tabRatio="877" xr2:uid="{E80DF3CB-22C8-48CC-A275-866A023A71E1}"/>
  </bookViews>
  <sheets>
    <sheet name="L-Models-NPN-Active" sheetId="25" r:id="rId1"/>
    <sheet name="L-Models-PNP-Active" sheetId="27" r:id="rId2"/>
    <sheet name="L-Models-NPN-Sat" sheetId="26" r:id="rId3"/>
    <sheet name="L-Switch-Ccts" sheetId="24" r:id="rId4"/>
    <sheet name="L-Switch-Cct-Driver" sheetId="16" r:id="rId5"/>
    <sheet name="L-Biasing-Fixed" sheetId="21" r:id="rId6"/>
    <sheet name="LWE-Biasing-V-Div" sheetId="2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7" l="1"/>
  <c r="D6" i="27"/>
  <c r="D11" i="27" s="1"/>
  <c r="D5" i="27"/>
  <c r="D12" i="22"/>
  <c r="D11" i="22"/>
  <c r="D9" i="22"/>
  <c r="D8" i="22"/>
  <c r="D7" i="22"/>
  <c r="D6" i="22"/>
  <c r="D5" i="22"/>
  <c r="D14" i="21"/>
  <c r="B13" i="21"/>
  <c r="B12" i="21"/>
  <c r="D11" i="21"/>
  <c r="B10" i="21"/>
  <c r="D7" i="21"/>
  <c r="B9" i="21"/>
  <c r="D6" i="21"/>
  <c r="D5" i="21"/>
  <c r="D20" i="21" s="1"/>
  <c r="D2" i="21"/>
  <c r="D12" i="21" s="1"/>
  <c r="D8" i="16"/>
  <c r="C12" i="16" s="1"/>
  <c r="D4" i="24"/>
  <c r="B11" i="27"/>
  <c r="D7" i="27"/>
  <c r="D3" i="27"/>
  <c r="D2" i="27"/>
  <c r="B12" i="27"/>
  <c r="B10" i="27"/>
  <c r="D8" i="27"/>
  <c r="D4" i="27"/>
  <c r="D8" i="26"/>
  <c r="D6" i="26"/>
  <c r="D5" i="26"/>
  <c r="D3" i="26"/>
  <c r="D2" i="26"/>
  <c r="B12" i="26"/>
  <c r="B11" i="26"/>
  <c r="B10" i="26"/>
  <c r="D7" i="26"/>
  <c r="D4" i="26"/>
  <c r="D13" i="25"/>
  <c r="D2" i="25"/>
  <c r="D8" i="25"/>
  <c r="D7" i="25"/>
  <c r="C10" i="25" s="1"/>
  <c r="D6" i="25"/>
  <c r="D5" i="25"/>
  <c r="B12" i="25"/>
  <c r="B11" i="25"/>
  <c r="B10" i="25"/>
  <c r="D4" i="25"/>
  <c r="D3" i="25"/>
  <c r="C11" i="24"/>
  <c r="C10" i="24"/>
  <c r="D4" i="22"/>
  <c r="D3" i="22"/>
  <c r="D2" i="22"/>
  <c r="D4" i="21"/>
  <c r="D3" i="21"/>
  <c r="D15" i="16"/>
  <c r="D7" i="16"/>
  <c r="D6" i="16"/>
  <c r="D5" i="16"/>
  <c r="D4" i="16"/>
  <c r="D3" i="16"/>
  <c r="D2" i="16"/>
  <c r="D8" i="24"/>
  <c r="D7" i="24"/>
  <c r="C11" i="22" l="1"/>
  <c r="C16" i="22"/>
  <c r="C17" i="22"/>
  <c r="D13" i="21"/>
  <c r="C13" i="21"/>
  <c r="C12" i="21"/>
  <c r="C9" i="21"/>
  <c r="D9" i="21"/>
  <c r="C10" i="21" s="1"/>
  <c r="C19" i="21"/>
  <c r="D16" i="21"/>
  <c r="C17" i="21" s="1"/>
  <c r="C16" i="21"/>
  <c r="I4" i="21"/>
  <c r="C22" i="21"/>
  <c r="D19" i="21"/>
  <c r="C21" i="21" s="1"/>
  <c r="C20" i="21"/>
  <c r="D12" i="16"/>
  <c r="C10" i="16"/>
  <c r="D10" i="16"/>
  <c r="C10" i="27"/>
  <c r="D10" i="27"/>
  <c r="C12" i="27"/>
  <c r="D12" i="27"/>
  <c r="C11" i="26"/>
  <c r="C10" i="26"/>
  <c r="D10" i="26"/>
  <c r="D11" i="26"/>
  <c r="D11" i="25"/>
  <c r="D12" i="25" s="1"/>
  <c r="D10" i="25"/>
  <c r="C11" i="25"/>
  <c r="D16" i="22"/>
  <c r="D17" i="22"/>
  <c r="D22" i="21"/>
  <c r="D6" i="24"/>
  <c r="D5" i="24"/>
  <c r="D10" i="24" s="1"/>
  <c r="D3" i="24"/>
  <c r="D2" i="24"/>
  <c r="B12" i="24"/>
  <c r="B11" i="24"/>
  <c r="B10" i="24"/>
  <c r="B13" i="22"/>
  <c r="B15" i="22"/>
  <c r="B14" i="22"/>
  <c r="B16" i="22"/>
  <c r="B11" i="22"/>
  <c r="B12" i="22"/>
  <c r="B19" i="22"/>
  <c r="B18" i="22"/>
  <c r="B17" i="22"/>
  <c r="B22" i="21"/>
  <c r="B21" i="21"/>
  <c r="B20" i="21"/>
  <c r="B18" i="21"/>
  <c r="B17" i="21"/>
  <c r="B16" i="21"/>
  <c r="B19" i="21"/>
  <c r="B14" i="16"/>
  <c r="B13" i="16"/>
  <c r="B12" i="16"/>
  <c r="B10" i="16"/>
  <c r="D18" i="22" l="1"/>
  <c r="J5" i="22" s="1"/>
  <c r="C18" i="22"/>
  <c r="J2" i="22"/>
  <c r="D19" i="22"/>
  <c r="I5" i="22" s="1"/>
  <c r="C19" i="22"/>
  <c r="C12" i="22"/>
  <c r="D10" i="21"/>
  <c r="D17" i="21"/>
  <c r="D18" i="21" s="1"/>
  <c r="I3" i="21" s="1"/>
  <c r="D21" i="21"/>
  <c r="J2" i="21"/>
  <c r="D13" i="16"/>
  <c r="C13" i="16"/>
  <c r="D13" i="27"/>
  <c r="D12" i="26"/>
  <c r="D13" i="26" s="1"/>
  <c r="C12" i="26"/>
  <c r="C12" i="25"/>
  <c r="I4" i="22"/>
  <c r="D11" i="24"/>
  <c r="D13" i="22" l="1"/>
  <c r="C13" i="22"/>
  <c r="C18" i="21"/>
  <c r="J3" i="21"/>
  <c r="D14" i="16"/>
  <c r="C14" i="16"/>
  <c r="D12" i="24"/>
  <c r="D13" i="24" s="1"/>
  <c r="C12" i="24"/>
  <c r="D14" i="22" l="1"/>
  <c r="C14" i="22"/>
  <c r="C15" i="22" l="1"/>
  <c r="D15" i="22"/>
  <c r="I3" i="22" s="1"/>
  <c r="J3" i="22"/>
</calcChain>
</file>

<file path=xl/sharedStrings.xml><?xml version="1.0" encoding="utf-8"?>
<sst xmlns="http://schemas.openxmlformats.org/spreadsheetml/2006/main" count="267" uniqueCount="67">
  <si>
    <t>Symbol</t>
  </si>
  <si>
    <t>Value</t>
  </si>
  <si>
    <t>Units</t>
  </si>
  <si>
    <t>V</t>
  </si>
  <si>
    <t>Ohm</t>
  </si>
  <si>
    <t>Amp</t>
  </si>
  <si>
    <t>Description or Formula</t>
  </si>
  <si>
    <t>Comment</t>
  </si>
  <si>
    <t>Ques</t>
  </si>
  <si>
    <t>Mobius</t>
  </si>
  <si>
    <t>Beta</t>
  </si>
  <si>
    <t>VCEsat</t>
  </si>
  <si>
    <t>_</t>
  </si>
  <si>
    <t>Rc_given</t>
  </si>
  <si>
    <t>Rb_given</t>
  </si>
  <si>
    <t>VBB</t>
  </si>
  <si>
    <t>VCC</t>
  </si>
  <si>
    <t>Ic_max</t>
  </si>
  <si>
    <t>Ic_active</t>
  </si>
  <si>
    <t>VBE_on</t>
  </si>
  <si>
    <t>Ib_on</t>
  </si>
  <si>
    <t>Ic_actual</t>
  </si>
  <si>
    <t>VLED</t>
  </si>
  <si>
    <t>Ic_design</t>
  </si>
  <si>
    <t>Rc_calc</t>
  </si>
  <si>
    <t>Rb_calc</t>
  </si>
  <si>
    <t>Ib_calc</t>
  </si>
  <si>
    <t>Rc_real</t>
  </si>
  <si>
    <t>Rb_real</t>
  </si>
  <si>
    <t>Rb_design</t>
  </si>
  <si>
    <t>Transistor = 2N5210</t>
  </si>
  <si>
    <t>assume theretical 0</t>
  </si>
  <si>
    <t>Vce_active</t>
  </si>
  <si>
    <t>Vce_max</t>
  </si>
  <si>
    <t>Vce_sat</t>
  </si>
  <si>
    <t>Vbe_on</t>
  </si>
  <si>
    <t>Vcc</t>
  </si>
  <si>
    <t>Vbb</t>
  </si>
  <si>
    <t>Ic_q</t>
  </si>
  <si>
    <t>Vce_q</t>
  </si>
  <si>
    <t>Vce</t>
  </si>
  <si>
    <t>Ic</t>
  </si>
  <si>
    <t>Rb1_given</t>
  </si>
  <si>
    <t>Rb2_given</t>
  </si>
  <si>
    <t>Re_given</t>
  </si>
  <si>
    <t>Ve_active</t>
  </si>
  <si>
    <t>Ie_active</t>
  </si>
  <si>
    <t>Transistor State</t>
  </si>
  <si>
    <t>Saturated</t>
  </si>
  <si>
    <t>lesser of Ic_max and Ic_active</t>
  </si>
  <si>
    <t>Active</t>
  </si>
  <si>
    <t>VECsat</t>
  </si>
  <si>
    <t>VEB_on</t>
  </si>
  <si>
    <t>VCE = -0.3</t>
  </si>
  <si>
    <t>VBE=-0.7</t>
  </si>
  <si>
    <t>Rule of thumb: Make Rb half the size calculated for Saturation</t>
  </si>
  <si>
    <t>Vce_bias</t>
  </si>
  <si>
    <t>Average between 100 and 300</t>
  </si>
  <si>
    <t>Ic_bias</t>
  </si>
  <si>
    <t>Rc_bias</t>
  </si>
  <si>
    <t>Pick 5% closest</t>
  </si>
  <si>
    <t>Ib_bias</t>
  </si>
  <si>
    <t>Rb_bias</t>
  </si>
  <si>
    <t>6a</t>
  </si>
  <si>
    <t>6b</t>
  </si>
  <si>
    <t>Transistor = 2N3904</t>
  </si>
  <si>
    <t>use low of 250 to 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</si>
</sst>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"/>
    <numFmt numFmtId="166" formatCode="0.0"/>
    <numFmt numFmtId="167" formatCode="##0.00E+0"/>
    <numFmt numFmtId="168" formatCode="##0.000E+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48" fontId="0" fillId="0" borderId="0" xfId="0" applyNumberFormat="1"/>
    <xf numFmtId="167" fontId="0" fillId="0" borderId="0" xfId="0" applyNumberFormat="1"/>
    <xf numFmtId="166" fontId="0" fillId="0" borderId="0" xfId="0" applyNumberFormat="1" applyAlignment="1">
      <alignment horizontal="center"/>
    </xf>
    <xf numFmtId="48" fontId="0" fillId="0" borderId="0" xfId="0" applyNumberFormat="1" applyAlignment="1">
      <alignment horizontal="center"/>
    </xf>
    <xf numFmtId="166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48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8" fontId="0" fillId="2" borderId="0" xfId="0" applyNumberFormat="1" applyFill="1"/>
    <xf numFmtId="0" fontId="0" fillId="2" borderId="0" xfId="0" applyFill="1"/>
    <xf numFmtId="48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78331937469797"/>
          <c:y val="0.12418854078464578"/>
          <c:w val="0.7481440620862162"/>
          <c:h val="0.78998002049066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'L-Biasing-Fixed'!$J$1</c:f>
              <c:strCache>
                <c:ptCount val="1"/>
                <c:pt idx="0">
                  <c:v>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950502331167473"/>
                  <c:y val="-0.18458786032360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'L-Biasing-Fixed'!$I$2:$I$4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4.7300000000000004</c:v>
                </c:pt>
                <c:pt idx="2">
                  <c:v>10</c:v>
                </c:pt>
              </c:numCache>
            </c:numRef>
          </c:xVal>
          <c:yVal>
            <c:numRef>
              <c:f>'L-Biasing-Fixed'!$J$2:$J$4</c:f>
              <c:numCache>
                <c:formatCode>##0.00E+0</c:formatCode>
                <c:ptCount val="3"/>
                <c:pt idx="0">
                  <c:v>1.9609999999999999E-2</c:v>
                </c:pt>
                <c:pt idx="1">
                  <c:v>1.0330000000000001E-2</c:v>
                </c:pt>
                <c:pt idx="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6-498A-BABF-6FC67A1944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54422480"/>
        <c:axId val="854423560"/>
      </c:scatterChart>
      <c:valAx>
        <c:axId val="85442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23560"/>
        <c:crosses val="autoZero"/>
        <c:crossBetween val="midCat"/>
      </c:valAx>
      <c:valAx>
        <c:axId val="85442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2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'LWE-Biasing-V-Div'!$J$1</c:f>
              <c:strCache>
                <c:ptCount val="1"/>
                <c:pt idx="0">
                  <c:v>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53092738407699"/>
                  <c:y val="-0.16324219889180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'LWE-Biasing-V-Div'!$I$2:$I$50</c:f>
              <c:numCache>
                <c:formatCode>0.00</c:formatCode>
                <c:ptCount val="49"/>
                <c:pt idx="0" formatCode="General">
                  <c:v>0</c:v>
                </c:pt>
                <c:pt idx="1">
                  <c:v>9.6059999999999999</c:v>
                </c:pt>
                <c:pt idx="2">
                  <c:v>20</c:v>
                </c:pt>
                <c:pt idx="3">
                  <c:v>10</c:v>
                </c:pt>
              </c:numCache>
            </c:numRef>
          </c:xVal>
          <c:yVal>
            <c:numRef>
              <c:f>'LWE-Biasing-V-Div'!$J$2:$J$50</c:f>
              <c:numCache>
                <c:formatCode>##0.00E+0</c:formatCode>
                <c:ptCount val="49"/>
                <c:pt idx="0">
                  <c:v>1.3610000000000001E-2</c:v>
                </c:pt>
                <c:pt idx="1">
                  <c:v>7.0699999999999999E-3</c:v>
                </c:pt>
                <c:pt idx="2" formatCode="General">
                  <c:v>0</c:v>
                </c:pt>
                <c:pt idx="3">
                  <c:v>6.8100000000000001E-3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50-4330-9578-1BE603A1A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21776"/>
        <c:axId val="858623216"/>
      </c:scatterChart>
      <c:valAx>
        <c:axId val="8586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23216"/>
        <c:crosses val="autoZero"/>
        <c:crossBetween val="midCat"/>
      </c:valAx>
      <c:valAx>
        <c:axId val="8586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2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93419</xdr:colOff>
      <xdr:row>0</xdr:row>
      <xdr:rowOff>179070</xdr:rowOff>
    </xdr:from>
    <xdr:to>
      <xdr:col>7</xdr:col>
      <xdr:colOff>3810000</xdr:colOff>
      <xdr:row>16</xdr:row>
      <xdr:rowOff>195692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1FCBD2-35F8-458E-9BFB-B6B05EF6B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46569" y="179070"/>
          <a:ext cx="3716581" cy="31865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277561</xdr:colOff>
      <xdr:row>0</xdr:row>
      <xdr:rowOff>179070</xdr:rowOff>
    </xdr:from>
    <xdr:to>
      <xdr:col>7</xdr:col>
      <xdr:colOff>3625857</xdr:colOff>
      <xdr:row>16</xdr:row>
      <xdr:rowOff>186168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5F96B5-D881-4453-B34B-AA257A4A6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430711" y="179070"/>
          <a:ext cx="3348296" cy="31865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177597</xdr:colOff>
      <xdr:row>0</xdr:row>
      <xdr:rowOff>179070</xdr:rowOff>
    </xdr:from>
    <xdr:to>
      <xdr:col>7</xdr:col>
      <xdr:colOff>3725821</xdr:colOff>
      <xdr:row>16</xdr:row>
      <xdr:rowOff>195693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7E2A17-16B9-4815-8116-431005E5A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30747" y="179070"/>
          <a:ext cx="3548224" cy="31865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</xdr:colOff>
      <xdr:row>0</xdr:row>
      <xdr:rowOff>179070</xdr:rowOff>
    </xdr:from>
    <xdr:to>
      <xdr:col>8</xdr:col>
      <xdr:colOff>41811</xdr:colOff>
      <xdr:row>22</xdr:row>
      <xdr:rowOff>125648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3F4D80-CD5D-0526-25CE-867432A35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8210" y="179070"/>
          <a:ext cx="5147211" cy="43052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513917</xdr:colOff>
      <xdr:row>1</xdr:row>
      <xdr:rowOff>28056</xdr:rowOff>
    </xdr:from>
    <xdr:to>
      <xdr:col>7</xdr:col>
      <xdr:colOff>2192914</xdr:colOff>
      <xdr:row>12</xdr:row>
      <xdr:rowOff>143048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E72F49-C5FC-8F61-DFFD-74DE1F230AC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987107" y="226176"/>
          <a:ext cx="1678997" cy="22943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4179570</xdr:colOff>
      <xdr:row>2</xdr:row>
      <xdr:rowOff>74295</xdr:rowOff>
    </xdr:from>
    <xdr:to>
      <xdr:col>7</xdr:col>
      <xdr:colOff>7985760</xdr:colOff>
      <xdr:row>19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B9A654-024D-5055-1DDB-B5DB6C086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183282</xdr:colOff>
      <xdr:row>2</xdr:row>
      <xdr:rowOff>11430</xdr:rowOff>
    </xdr:from>
    <xdr:to>
      <xdr:col>7</xdr:col>
      <xdr:colOff>2674421</xdr:colOff>
      <xdr:row>18</xdr:row>
      <xdr:rowOff>194310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896931-F0E4-437A-9F56-895394E2F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917332" y="407670"/>
          <a:ext cx="2491139" cy="3352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2447925</xdr:colOff>
      <xdr:row>5</xdr:row>
      <xdr:rowOff>32385</xdr:rowOff>
    </xdr:from>
    <xdr:to>
      <xdr:col>7</xdr:col>
      <xdr:colOff>6320790</xdr:colOff>
      <xdr:row>17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C243AA-4BA6-291A-F642-F61EEFA29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277579</xdr:colOff>
      <xdr:row>2</xdr:row>
      <xdr:rowOff>83820</xdr:rowOff>
    </xdr:from>
    <xdr:to>
      <xdr:col>7</xdr:col>
      <xdr:colOff>2262718</xdr:colOff>
      <xdr:row>20</xdr:row>
      <xdr:rowOff>41910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CBD4AD-7915-9CFD-AE97-4EF5DD9C1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726129" y="480060"/>
          <a:ext cx="1985139" cy="3524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85F0-62A0-47EC-B022-A79255249C20}">
  <dimension ref="A1:H37"/>
  <sheetViews>
    <sheetView tabSelected="1" zoomScale="140" zoomScaleNormal="140" workbookViewId="0">
      <selection activeCell="F20" sqref="F20"/>
    </sheetView>
  </sheetViews>
  <sheetFormatPr defaultRowHeight="15" x14ac:dyDescent="0.2"/>
  <cols>
    <col min="1" max="1" width="13.109375" bestFit="1" customWidth="1"/>
    <col min="2" max="2" width="25.44140625" style="1" bestFit="1" customWidth="1"/>
    <col min="3" max="3" width="17.21875" style="1" bestFit="1" customWidth="1"/>
    <col min="4" max="4" width="8.109375" bestFit="1" customWidth="1"/>
    <col min="5" max="5" width="5.44140625" bestFit="1" customWidth="1"/>
    <col min="6" max="6" width="4.88671875" style="2" bestFit="1" customWidth="1"/>
    <col min="7" max="7" width="6.44140625" style="2" bestFit="1" customWidth="1"/>
    <col min="8" max="8" width="67.44140625" customWidth="1"/>
  </cols>
  <sheetData>
    <row r="1" spans="1:8" x14ac:dyDescent="0.2">
      <c r="A1" s="2" t="s">
        <v>0</v>
      </c>
      <c r="B1" s="1" t="s">
        <v>6</v>
      </c>
      <c r="D1" s="2" t="s">
        <v>1</v>
      </c>
      <c r="E1" s="2" t="s">
        <v>2</v>
      </c>
      <c r="F1" s="2" t="s">
        <v>8</v>
      </c>
      <c r="G1" s="2" t="s">
        <v>9</v>
      </c>
      <c r="H1" s="2" t="s">
        <v>7</v>
      </c>
    </row>
    <row r="2" spans="1:8" x14ac:dyDescent="0.2">
      <c r="A2" t="s">
        <v>10</v>
      </c>
      <c r="D2" t="str">
        <f>TEXT(150,"0")</f>
        <v>150</v>
      </c>
    </row>
    <row r="3" spans="1:8" x14ac:dyDescent="0.2">
      <c r="A3" t="s">
        <v>11</v>
      </c>
      <c r="D3" t="str">
        <f>TEXT(0.2,"0.00")</f>
        <v>0.20</v>
      </c>
      <c r="E3" t="s">
        <v>3</v>
      </c>
    </row>
    <row r="4" spans="1:8" x14ac:dyDescent="0.2">
      <c r="A4" t="s">
        <v>19</v>
      </c>
      <c r="D4" t="str">
        <f>TEXT(0.7,"0.00")</f>
        <v>0.70</v>
      </c>
      <c r="E4" t="s">
        <v>3</v>
      </c>
      <c r="F4" s="2">
        <v>7</v>
      </c>
    </row>
    <row r="5" spans="1:8" x14ac:dyDescent="0.2">
      <c r="A5" t="s">
        <v>16</v>
      </c>
      <c r="D5" t="str">
        <f>TEXT(20,"0.00")</f>
        <v>20.00</v>
      </c>
      <c r="E5" t="s">
        <v>3</v>
      </c>
    </row>
    <row r="6" spans="1:8" x14ac:dyDescent="0.2">
      <c r="A6" t="s">
        <v>15</v>
      </c>
      <c r="D6" t="str">
        <f>TEXT(10,"0.00")</f>
        <v>10.00</v>
      </c>
      <c r="E6" t="s">
        <v>3</v>
      </c>
    </row>
    <row r="7" spans="1:8" x14ac:dyDescent="0.2">
      <c r="A7" t="s">
        <v>13</v>
      </c>
      <c r="D7" s="8" t="str">
        <f>TEXT(1000,"##0E+0")</f>
        <v>1E+3</v>
      </c>
      <c r="E7" t="s">
        <v>4</v>
      </c>
    </row>
    <row r="8" spans="1:8" x14ac:dyDescent="0.2">
      <c r="A8" t="s">
        <v>14</v>
      </c>
      <c r="D8" s="8" t="str">
        <f>TEXT(100000,"##0E+0")</f>
        <v>100E+3</v>
      </c>
      <c r="E8" t="s">
        <v>4</v>
      </c>
    </row>
    <row r="10" spans="1:8" x14ac:dyDescent="0.2">
      <c r="A10" t="s">
        <v>17</v>
      </c>
      <c r="B10" s="1" t="str">
        <f>_xlfn.CONCAT("(",A5,"-",A3,")/",A7)</f>
        <v>(VCC-VCEsat)/Rc_given</v>
      </c>
      <c r="C10" s="1" t="str">
        <f>_xlfn.CONCAT("(",D5,"-",D3,")/",D7)</f>
        <v>(20.00-0.20)/1E+3</v>
      </c>
      <c r="D10" s="8" t="str">
        <f>TEXT((D5-D3)/(D7),"##0.0E+0")</f>
        <v>19.8E-3</v>
      </c>
      <c r="E10" t="s">
        <v>5</v>
      </c>
    </row>
    <row r="11" spans="1:8" x14ac:dyDescent="0.2">
      <c r="A11" t="s">
        <v>20</v>
      </c>
      <c r="B11" s="1" t="str">
        <f>_xlfn.CONCAT("(",A6,"-",A4,")/",A8)</f>
        <v>(VBB-VBE_on)/Rb_given</v>
      </c>
      <c r="C11" s="1" t="str">
        <f>_xlfn.CONCAT("(",D6,"-",D4,")/",D8)</f>
        <v>(10.00-0.70)/100E+3</v>
      </c>
      <c r="D11" s="26" t="str">
        <f>TEXT((D6-D4)/(D8),"##0.0E+0")</f>
        <v>93.0E-6</v>
      </c>
      <c r="E11" t="s">
        <v>5</v>
      </c>
      <c r="F11" s="2">
        <v>8</v>
      </c>
    </row>
    <row r="12" spans="1:8" x14ac:dyDescent="0.2">
      <c r="A12" t="s">
        <v>18</v>
      </c>
      <c r="B12" s="1" t="str">
        <f>_xlfn.CONCAT(A11,"*",A2)</f>
        <v>Ib_on*Beta</v>
      </c>
      <c r="C12" s="1" t="str">
        <f>_xlfn.CONCAT(D11,"*",D2)</f>
        <v>93.0E-6*150</v>
      </c>
      <c r="D12" s="8" t="str">
        <f>TEXT(D11*D2,"##0.00E+0")</f>
        <v>13.95E-3</v>
      </c>
      <c r="E12" t="s">
        <v>5</v>
      </c>
    </row>
    <row r="13" spans="1:8" x14ac:dyDescent="0.2">
      <c r="A13" t="s">
        <v>21</v>
      </c>
      <c r="B13" s="1" t="s">
        <v>49</v>
      </c>
      <c r="D13" s="26" t="str">
        <f>TEXT(IF(D12-D10&gt;0,D10,D12),"##0.00E+0")</f>
        <v>13.95E-3</v>
      </c>
      <c r="E13" t="s">
        <v>5</v>
      </c>
      <c r="F13" s="2">
        <v>9</v>
      </c>
    </row>
    <row r="14" spans="1:8" x14ac:dyDescent="0.2">
      <c r="A14" t="s">
        <v>47</v>
      </c>
      <c r="D14" s="27" t="s">
        <v>50</v>
      </c>
      <c r="F14" s="2">
        <v>15</v>
      </c>
    </row>
    <row r="16" spans="1:8" x14ac:dyDescent="0.2">
      <c r="B16" s="1" t="s">
        <v>12</v>
      </c>
      <c r="C16" s="1" t="s">
        <v>12</v>
      </c>
    </row>
    <row r="18" spans="4:5" x14ac:dyDescent="0.2">
      <c r="D18" s="3"/>
      <c r="E18" s="4"/>
    </row>
    <row r="19" spans="4:5" x14ac:dyDescent="0.2">
      <c r="D19" s="3"/>
      <c r="E19" s="4"/>
    </row>
    <row r="20" spans="4:5" x14ac:dyDescent="0.2">
      <c r="D20" s="3"/>
      <c r="E20" s="4"/>
    </row>
    <row r="21" spans="4:5" x14ac:dyDescent="0.2">
      <c r="D21" s="3"/>
      <c r="E21" s="4"/>
    </row>
    <row r="22" spans="4:5" x14ac:dyDescent="0.2">
      <c r="D22" s="4"/>
      <c r="E22" s="4"/>
    </row>
    <row r="23" spans="4:5" x14ac:dyDescent="0.2">
      <c r="D23" s="4"/>
      <c r="E23" s="4"/>
    </row>
    <row r="24" spans="4:5" x14ac:dyDescent="0.2">
      <c r="D24" s="5"/>
      <c r="E24" s="4"/>
    </row>
    <row r="25" spans="4:5" x14ac:dyDescent="0.2">
      <c r="D25" s="3"/>
      <c r="E25" s="4"/>
    </row>
    <row r="26" spans="4:5" x14ac:dyDescent="0.2">
      <c r="D26" s="3"/>
      <c r="E26" s="4"/>
    </row>
    <row r="27" spans="4:5" x14ac:dyDescent="0.2">
      <c r="D27" s="3"/>
      <c r="E27" s="4"/>
    </row>
    <row r="28" spans="4:5" x14ac:dyDescent="0.2">
      <c r="D28" s="4"/>
      <c r="E28" s="4"/>
    </row>
    <row r="29" spans="4:5" x14ac:dyDescent="0.2">
      <c r="D29" s="6"/>
      <c r="E29" s="4"/>
    </row>
    <row r="30" spans="4:5" x14ac:dyDescent="0.2">
      <c r="D30" s="7"/>
      <c r="E30" s="4"/>
    </row>
    <row r="31" spans="4:5" x14ac:dyDescent="0.2">
      <c r="D31" s="7"/>
      <c r="E31" s="4"/>
    </row>
    <row r="32" spans="4:5" x14ac:dyDescent="0.2">
      <c r="D32" s="7"/>
      <c r="E32" s="4"/>
    </row>
    <row r="33" spans="4:5" x14ac:dyDescent="0.2">
      <c r="D33" s="7"/>
      <c r="E33" s="4"/>
    </row>
    <row r="34" spans="4:5" x14ac:dyDescent="0.2">
      <c r="D34" s="7"/>
      <c r="E34" s="4"/>
    </row>
    <row r="35" spans="4:5" x14ac:dyDescent="0.2">
      <c r="D35" s="7"/>
      <c r="E35" s="4"/>
    </row>
    <row r="36" spans="4:5" x14ac:dyDescent="0.2">
      <c r="D36" s="7"/>
      <c r="E36" s="4"/>
    </row>
    <row r="37" spans="4:5" x14ac:dyDescent="0.2">
      <c r="E3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9E55-60C4-4CC7-B7F9-F6F05C50A3F8}">
  <dimension ref="A1:H37"/>
  <sheetViews>
    <sheetView zoomScale="140" zoomScaleNormal="140" workbookViewId="0">
      <selection activeCell="C12" sqref="C12"/>
    </sheetView>
  </sheetViews>
  <sheetFormatPr defaultRowHeight="15" x14ac:dyDescent="0.2"/>
  <cols>
    <col min="1" max="1" width="13.109375" bestFit="1" customWidth="1"/>
    <col min="2" max="2" width="25.44140625" style="1" bestFit="1" customWidth="1"/>
    <col min="3" max="3" width="21.5546875" style="1" bestFit="1" customWidth="1"/>
    <col min="4" max="4" width="8.109375" bestFit="1" customWidth="1"/>
    <col min="5" max="5" width="5.44140625" bestFit="1" customWidth="1"/>
    <col min="6" max="6" width="4.88671875" style="2" bestFit="1" customWidth="1"/>
    <col min="7" max="7" width="6.44140625" style="2" bestFit="1" customWidth="1"/>
    <col min="8" max="8" width="67.44140625" customWidth="1"/>
  </cols>
  <sheetData>
    <row r="1" spans="1:8" x14ac:dyDescent="0.2">
      <c r="A1" s="2" t="s">
        <v>0</v>
      </c>
      <c r="B1" s="1" t="s">
        <v>6</v>
      </c>
      <c r="D1" s="2" t="s">
        <v>1</v>
      </c>
      <c r="E1" s="2" t="s">
        <v>2</v>
      </c>
      <c r="F1" s="2" t="s">
        <v>8</v>
      </c>
      <c r="G1" s="2" t="s">
        <v>9</v>
      </c>
      <c r="H1" s="2" t="s">
        <v>7</v>
      </c>
    </row>
    <row r="2" spans="1:8" x14ac:dyDescent="0.2">
      <c r="A2" t="s">
        <v>10</v>
      </c>
      <c r="D2" t="str">
        <f>TEXT(130,"0")</f>
        <v>130</v>
      </c>
    </row>
    <row r="3" spans="1:8" x14ac:dyDescent="0.2">
      <c r="A3" t="s">
        <v>51</v>
      </c>
      <c r="B3" s="1" t="s">
        <v>53</v>
      </c>
      <c r="D3" t="str">
        <f>TEXT(0.3,"0.00")</f>
        <v>0.30</v>
      </c>
      <c r="E3" t="s">
        <v>3</v>
      </c>
    </row>
    <row r="4" spans="1:8" x14ac:dyDescent="0.2">
      <c r="A4" t="s">
        <v>52</v>
      </c>
      <c r="B4" s="1" t="s">
        <v>54</v>
      </c>
      <c r="D4" t="str">
        <f>TEXT(0.7,"0.00")</f>
        <v>0.70</v>
      </c>
      <c r="E4" t="s">
        <v>3</v>
      </c>
    </row>
    <row r="5" spans="1:8" x14ac:dyDescent="0.2">
      <c r="A5" t="s">
        <v>16</v>
      </c>
      <c r="D5" t="str">
        <f>TEXT(15,"0.00")</f>
        <v>15.00</v>
      </c>
      <c r="E5" t="s">
        <v>3</v>
      </c>
    </row>
    <row r="6" spans="1:8" x14ac:dyDescent="0.2">
      <c r="A6" t="s">
        <v>15</v>
      </c>
      <c r="D6" t="str">
        <f>TEXT(5,"0.00")</f>
        <v>5.00</v>
      </c>
      <c r="E6" t="s">
        <v>3</v>
      </c>
    </row>
    <row r="7" spans="1:8" x14ac:dyDescent="0.2">
      <c r="A7" t="s">
        <v>13</v>
      </c>
      <c r="D7" s="8" t="str">
        <f>TEXT(680,"##0E+0")</f>
        <v>680E+0</v>
      </c>
      <c r="E7" t="s">
        <v>4</v>
      </c>
    </row>
    <row r="8" spans="1:8" x14ac:dyDescent="0.2">
      <c r="A8" t="s">
        <v>14</v>
      </c>
      <c r="D8" s="8" t="str">
        <f>TEXT(100000,"##0E+0")</f>
        <v>100E+3</v>
      </c>
      <c r="E8" t="s">
        <v>4</v>
      </c>
    </row>
    <row r="10" spans="1:8" x14ac:dyDescent="0.2">
      <c r="A10" t="s">
        <v>17</v>
      </c>
      <c r="B10" s="1" t="str">
        <f>_xlfn.CONCAT("(",A5,"-",A3,")/",A7)</f>
        <v>(VCC-VECsat)/Rc_given</v>
      </c>
      <c r="C10" s="1" t="str">
        <f>_xlfn.CONCAT("(",D5,"-",D3,")/",D7)</f>
        <v>(15.00-0.30)/680E+0</v>
      </c>
      <c r="D10" s="8" t="str">
        <f>TEXT((D5-D3)/(D7),"##0.0E+0")</f>
        <v>21.6E-3</v>
      </c>
      <c r="E10" t="s">
        <v>5</v>
      </c>
    </row>
    <row r="11" spans="1:8" x14ac:dyDescent="0.2">
      <c r="A11" t="s">
        <v>20</v>
      </c>
      <c r="B11" s="1" t="str">
        <f>_xlfn.CONCAT("(",A5,"-",A4,"-",A6,")/",A8)</f>
        <v>(VCC-VEB_on-VBB)/Rb_given</v>
      </c>
      <c r="C11" s="1" t="str">
        <f>_xlfn.CONCAT("(",D5,"-",D4,"-",D6,")/",D8)</f>
        <v>(15.00-0.70-5.00)/100E+3</v>
      </c>
      <c r="D11" s="26" t="str">
        <f>TEXT((D6-D4)/(D8),"##0.0E+0")</f>
        <v>43.0E-6</v>
      </c>
      <c r="E11" t="s">
        <v>5</v>
      </c>
      <c r="F11" s="2">
        <v>18</v>
      </c>
    </row>
    <row r="12" spans="1:8" x14ac:dyDescent="0.2">
      <c r="A12" t="s">
        <v>18</v>
      </c>
      <c r="B12" s="1" t="str">
        <f>_xlfn.CONCAT(A11,"*",A2)</f>
        <v>Ib_on*Beta</v>
      </c>
      <c r="C12" s="1" t="str">
        <f>_xlfn.CONCAT(D11,"*",D2)</f>
        <v>43.0E-6*130</v>
      </c>
      <c r="D12" s="8" t="str">
        <f>TEXT(D11*D2,"##0.00E+0")</f>
        <v>5.59E-3</v>
      </c>
      <c r="E12" t="s">
        <v>5</v>
      </c>
    </row>
    <row r="13" spans="1:8" x14ac:dyDescent="0.2">
      <c r="A13" t="s">
        <v>21</v>
      </c>
      <c r="B13" s="1" t="s">
        <v>49</v>
      </c>
      <c r="D13" s="26" t="str">
        <f>TEXT(IF(D12-D10&gt;0,D10,D12),"##0.00E+0")</f>
        <v>5.59E-3</v>
      </c>
      <c r="E13" t="s">
        <v>5</v>
      </c>
      <c r="F13" s="2">
        <v>19</v>
      </c>
    </row>
    <row r="14" spans="1:8" x14ac:dyDescent="0.2">
      <c r="A14" t="s">
        <v>47</v>
      </c>
      <c r="D14" s="27" t="s">
        <v>50</v>
      </c>
      <c r="F14" s="2">
        <v>28</v>
      </c>
    </row>
    <row r="16" spans="1:8" x14ac:dyDescent="0.2">
      <c r="B16" s="1" t="s">
        <v>12</v>
      </c>
      <c r="C16" s="1" t="s">
        <v>12</v>
      </c>
    </row>
    <row r="18" spans="4:5" x14ac:dyDescent="0.2">
      <c r="D18" s="3"/>
      <c r="E18" s="4"/>
    </row>
    <row r="19" spans="4:5" x14ac:dyDescent="0.2">
      <c r="D19" s="3"/>
      <c r="E19" s="4"/>
    </row>
    <row r="20" spans="4:5" x14ac:dyDescent="0.2">
      <c r="D20" s="3"/>
      <c r="E20" s="4"/>
    </row>
    <row r="21" spans="4:5" x14ac:dyDescent="0.2">
      <c r="D21" s="3"/>
      <c r="E21" s="4"/>
    </row>
    <row r="22" spans="4:5" x14ac:dyDescent="0.2">
      <c r="D22" s="4"/>
      <c r="E22" s="4"/>
    </row>
    <row r="23" spans="4:5" x14ac:dyDescent="0.2">
      <c r="D23" s="4"/>
      <c r="E23" s="4"/>
    </row>
    <row r="24" spans="4:5" x14ac:dyDescent="0.2">
      <c r="D24" s="5"/>
      <c r="E24" s="4"/>
    </row>
    <row r="25" spans="4:5" x14ac:dyDescent="0.2">
      <c r="D25" s="3"/>
      <c r="E25" s="4"/>
    </row>
    <row r="26" spans="4:5" x14ac:dyDescent="0.2">
      <c r="D26" s="3"/>
      <c r="E26" s="4"/>
    </row>
    <row r="27" spans="4:5" x14ac:dyDescent="0.2">
      <c r="D27" s="3"/>
      <c r="E27" s="4"/>
    </row>
    <row r="28" spans="4:5" x14ac:dyDescent="0.2">
      <c r="D28" s="4"/>
      <c r="E28" s="4"/>
    </row>
    <row r="29" spans="4:5" x14ac:dyDescent="0.2">
      <c r="D29" s="6"/>
      <c r="E29" s="4"/>
    </row>
    <row r="30" spans="4:5" x14ac:dyDescent="0.2">
      <c r="D30" s="7"/>
      <c r="E30" s="4"/>
    </row>
    <row r="31" spans="4:5" x14ac:dyDescent="0.2">
      <c r="D31" s="7"/>
      <c r="E31" s="4"/>
    </row>
    <row r="32" spans="4:5" x14ac:dyDescent="0.2">
      <c r="D32" s="7"/>
      <c r="E32" s="4"/>
    </row>
    <row r="33" spans="4:5" x14ac:dyDescent="0.2">
      <c r="D33" s="7"/>
      <c r="E33" s="4"/>
    </row>
    <row r="34" spans="4:5" x14ac:dyDescent="0.2">
      <c r="D34" s="7"/>
      <c r="E34" s="4"/>
    </row>
    <row r="35" spans="4:5" x14ac:dyDescent="0.2">
      <c r="D35" s="7"/>
      <c r="E35" s="4"/>
    </row>
    <row r="36" spans="4:5" x14ac:dyDescent="0.2">
      <c r="D36" s="7"/>
      <c r="E36" s="4"/>
    </row>
    <row r="37" spans="4:5" x14ac:dyDescent="0.2">
      <c r="E37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688BD-BC2D-4011-B749-B74D690D114E}">
  <dimension ref="A1:H37"/>
  <sheetViews>
    <sheetView zoomScale="120" zoomScaleNormal="120" workbookViewId="0">
      <selection activeCell="D23" sqref="D23"/>
    </sheetView>
  </sheetViews>
  <sheetFormatPr defaultRowHeight="15" x14ac:dyDescent="0.2"/>
  <cols>
    <col min="1" max="1" width="13.109375" bestFit="1" customWidth="1"/>
    <col min="2" max="2" width="25.44140625" style="1" bestFit="1" customWidth="1"/>
    <col min="3" max="3" width="17.21875" style="1" bestFit="1" customWidth="1"/>
    <col min="4" max="4" width="8.77734375" bestFit="1" customWidth="1"/>
    <col min="5" max="5" width="5.44140625" bestFit="1" customWidth="1"/>
    <col min="6" max="6" width="4.88671875" style="2" bestFit="1" customWidth="1"/>
    <col min="7" max="7" width="6.44140625" style="2" bestFit="1" customWidth="1"/>
    <col min="8" max="8" width="67.44140625" customWidth="1"/>
  </cols>
  <sheetData>
    <row r="1" spans="1:8" x14ac:dyDescent="0.2">
      <c r="A1" s="2" t="s">
        <v>0</v>
      </c>
      <c r="B1" s="1" t="s">
        <v>6</v>
      </c>
      <c r="D1" s="2" t="s">
        <v>1</v>
      </c>
      <c r="E1" s="2" t="s">
        <v>2</v>
      </c>
      <c r="F1" s="2" t="s">
        <v>8</v>
      </c>
      <c r="G1" s="2" t="s">
        <v>9</v>
      </c>
      <c r="H1" s="2" t="s">
        <v>7</v>
      </c>
    </row>
    <row r="2" spans="1:8" x14ac:dyDescent="0.2">
      <c r="A2" t="s">
        <v>10</v>
      </c>
      <c r="D2" t="str">
        <f>TEXT(160,"0")</f>
        <v>160</v>
      </c>
    </row>
    <row r="3" spans="1:8" x14ac:dyDescent="0.2">
      <c r="A3" t="s">
        <v>11</v>
      </c>
      <c r="D3" t="str">
        <f>TEXT(0.3,"0.00")</f>
        <v>0.30</v>
      </c>
      <c r="E3" t="s">
        <v>3</v>
      </c>
      <c r="F3" s="2">
        <v>34</v>
      </c>
    </row>
    <row r="4" spans="1:8" x14ac:dyDescent="0.2">
      <c r="A4" t="s">
        <v>19</v>
      </c>
      <c r="D4" t="str">
        <f>TEXT(0.7,"0.00")</f>
        <v>0.70</v>
      </c>
      <c r="E4" t="s">
        <v>3</v>
      </c>
      <c r="F4" s="2">
        <v>30</v>
      </c>
    </row>
    <row r="5" spans="1:8" x14ac:dyDescent="0.2">
      <c r="A5" t="s">
        <v>16</v>
      </c>
      <c r="D5" t="str">
        <f>TEXT(12,"0.00")</f>
        <v>12.00</v>
      </c>
      <c r="E5" t="s">
        <v>3</v>
      </c>
    </row>
    <row r="6" spans="1:8" x14ac:dyDescent="0.2">
      <c r="A6" t="s">
        <v>15</v>
      </c>
      <c r="D6" t="str">
        <f>TEXT(12,"0.00")</f>
        <v>12.00</v>
      </c>
      <c r="E6" t="s">
        <v>3</v>
      </c>
    </row>
    <row r="7" spans="1:8" x14ac:dyDescent="0.2">
      <c r="A7" t="s">
        <v>13</v>
      </c>
      <c r="D7" s="8" t="str">
        <f>TEXT(1000,"##0E+0")</f>
        <v>1E+3</v>
      </c>
      <c r="E7" t="s">
        <v>4</v>
      </c>
    </row>
    <row r="8" spans="1:8" x14ac:dyDescent="0.2">
      <c r="A8" t="s">
        <v>14</v>
      </c>
      <c r="D8" s="8" t="str">
        <f>TEXT(18000,"##0E+0")</f>
        <v>18E+3</v>
      </c>
      <c r="E8" t="s">
        <v>4</v>
      </c>
    </row>
    <row r="10" spans="1:8" x14ac:dyDescent="0.2">
      <c r="A10" t="s">
        <v>17</v>
      </c>
      <c r="B10" s="1" t="str">
        <f>_xlfn.CONCAT("(",A5,"-",A3,")/",A7)</f>
        <v>(VCC-VCEsat)/Rc_given</v>
      </c>
      <c r="C10" s="1" t="str">
        <f>_xlfn.CONCAT("(",D5,"-",D3,")/",D7)</f>
        <v>(12.00-0.30)/1E+3</v>
      </c>
      <c r="D10" s="8" t="str">
        <f>TEXT((D5-D3)/(D7),"##0.0E+0")</f>
        <v>11.7E-3</v>
      </c>
      <c r="E10" t="s">
        <v>5</v>
      </c>
    </row>
    <row r="11" spans="1:8" x14ac:dyDescent="0.2">
      <c r="A11" t="s">
        <v>20</v>
      </c>
      <c r="B11" s="1" t="str">
        <f>_xlfn.CONCAT("(",A6,"-",A4,")/",A8)</f>
        <v>(VBB-VBE_on)/Rb_given</v>
      </c>
      <c r="C11" s="1" t="str">
        <f>_xlfn.CONCAT("(",D6,"-",D4,")/",D8)</f>
        <v>(12.00-0.70)/18E+3</v>
      </c>
      <c r="D11" s="28" t="str">
        <f>TEXT((D6-D4)/(D8),"##0.0E+0")</f>
        <v>627.8E-6</v>
      </c>
      <c r="E11" t="s">
        <v>5</v>
      </c>
    </row>
    <row r="12" spans="1:8" x14ac:dyDescent="0.2">
      <c r="A12" t="s">
        <v>18</v>
      </c>
      <c r="B12" s="1" t="str">
        <f>_xlfn.CONCAT(A11,"*",A2)</f>
        <v>Ib_on*Beta</v>
      </c>
      <c r="C12" s="1" t="str">
        <f>_xlfn.CONCAT(D11,"*",D2)</f>
        <v>627.8E-6*160</v>
      </c>
      <c r="D12" s="8" t="str">
        <f>TEXT(D11*D2,"##0.00E+0")</f>
        <v>100.45E-3</v>
      </c>
      <c r="E12" t="s">
        <v>5</v>
      </c>
    </row>
    <row r="13" spans="1:8" x14ac:dyDescent="0.2">
      <c r="A13" t="s">
        <v>21</v>
      </c>
      <c r="B13" s="1" t="s">
        <v>49</v>
      </c>
      <c r="D13" s="26" t="str">
        <f>TEXT(IF(D12-D10&gt;0,D10,D12),"##0.00E+0")</f>
        <v>11.70E-3</v>
      </c>
      <c r="E13" t="s">
        <v>5</v>
      </c>
      <c r="F13" s="2">
        <v>36</v>
      </c>
    </row>
    <row r="14" spans="1:8" x14ac:dyDescent="0.2">
      <c r="A14" t="s">
        <v>47</v>
      </c>
      <c r="D14" s="27" t="s">
        <v>48</v>
      </c>
      <c r="F14" s="2">
        <v>37</v>
      </c>
    </row>
    <row r="16" spans="1:8" x14ac:dyDescent="0.2">
      <c r="B16" s="1" t="s">
        <v>12</v>
      </c>
      <c r="C16" s="1" t="s">
        <v>12</v>
      </c>
    </row>
    <row r="18" spans="4:5" x14ac:dyDescent="0.2">
      <c r="D18" s="3"/>
      <c r="E18" s="4"/>
    </row>
    <row r="19" spans="4:5" x14ac:dyDescent="0.2">
      <c r="D19" s="3"/>
      <c r="E19" s="4"/>
    </row>
    <row r="20" spans="4:5" x14ac:dyDescent="0.2">
      <c r="D20" s="3"/>
      <c r="E20" s="4"/>
    </row>
    <row r="21" spans="4:5" x14ac:dyDescent="0.2">
      <c r="D21" s="3"/>
      <c r="E21" s="4"/>
    </row>
    <row r="22" spans="4:5" x14ac:dyDescent="0.2">
      <c r="D22" s="4"/>
      <c r="E22" s="4"/>
    </row>
    <row r="23" spans="4:5" x14ac:dyDescent="0.2">
      <c r="D23" s="4"/>
      <c r="E23" s="4"/>
    </row>
    <row r="24" spans="4:5" x14ac:dyDescent="0.2">
      <c r="D24" s="5"/>
      <c r="E24" s="4"/>
    </row>
    <row r="25" spans="4:5" x14ac:dyDescent="0.2">
      <c r="D25" s="3"/>
      <c r="E25" s="4"/>
    </row>
    <row r="26" spans="4:5" x14ac:dyDescent="0.2">
      <c r="D26" s="3"/>
      <c r="E26" s="4"/>
    </row>
    <row r="27" spans="4:5" x14ac:dyDescent="0.2">
      <c r="D27" s="3"/>
      <c r="E27" s="4"/>
    </row>
    <row r="28" spans="4:5" x14ac:dyDescent="0.2">
      <c r="D28" s="4"/>
      <c r="E28" s="4"/>
    </row>
    <row r="29" spans="4:5" x14ac:dyDescent="0.2">
      <c r="D29" s="6"/>
      <c r="E29" s="4"/>
    </row>
    <row r="30" spans="4:5" x14ac:dyDescent="0.2">
      <c r="D30" s="7"/>
      <c r="E30" s="4"/>
    </row>
    <row r="31" spans="4:5" x14ac:dyDescent="0.2">
      <c r="D31" s="7"/>
      <c r="E31" s="4"/>
    </row>
    <row r="32" spans="4:5" x14ac:dyDescent="0.2">
      <c r="D32" s="7"/>
      <c r="E32" s="4"/>
    </row>
    <row r="33" spans="4:5" x14ac:dyDescent="0.2">
      <c r="D33" s="7"/>
      <c r="E33" s="4"/>
    </row>
    <row r="34" spans="4:5" x14ac:dyDescent="0.2">
      <c r="D34" s="7"/>
      <c r="E34" s="4"/>
    </row>
    <row r="35" spans="4:5" x14ac:dyDescent="0.2">
      <c r="D35" s="7"/>
      <c r="E35" s="4"/>
    </row>
    <row r="36" spans="4:5" x14ac:dyDescent="0.2">
      <c r="D36" s="7"/>
      <c r="E36" s="4"/>
    </row>
    <row r="37" spans="4:5" x14ac:dyDescent="0.2">
      <c r="E37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2B3D-1611-4821-80D6-5E615FEB7AE2}">
  <dimension ref="A1:H37"/>
  <sheetViews>
    <sheetView zoomScaleNormal="100" workbookViewId="0">
      <selection activeCell="C20" sqref="C20"/>
    </sheetView>
  </sheetViews>
  <sheetFormatPr defaultRowHeight="15" x14ac:dyDescent="0.2"/>
  <cols>
    <col min="1" max="1" width="13.109375" bestFit="1" customWidth="1"/>
    <col min="2" max="2" width="25.44140625" style="1" bestFit="1" customWidth="1"/>
    <col min="3" max="3" width="16.109375" style="1" bestFit="1" customWidth="1"/>
    <col min="4" max="4" width="8.109375" bestFit="1" customWidth="1"/>
    <col min="5" max="5" width="5.44140625" bestFit="1" customWidth="1"/>
    <col min="6" max="6" width="4.88671875" style="2" bestFit="1" customWidth="1"/>
    <col min="7" max="7" width="6.44140625" style="2" bestFit="1" customWidth="1"/>
    <col min="8" max="8" width="67.44140625" customWidth="1"/>
  </cols>
  <sheetData>
    <row r="1" spans="1:8" x14ac:dyDescent="0.2">
      <c r="A1" s="2" t="s">
        <v>0</v>
      </c>
      <c r="B1" s="1" t="s">
        <v>6</v>
      </c>
      <c r="D1" s="2" t="s">
        <v>1</v>
      </c>
      <c r="E1" s="2" t="s">
        <v>2</v>
      </c>
      <c r="F1" s="2" t="s">
        <v>8</v>
      </c>
      <c r="G1" s="2" t="s">
        <v>9</v>
      </c>
      <c r="H1" s="2" t="s">
        <v>7</v>
      </c>
    </row>
    <row r="2" spans="1:8" x14ac:dyDescent="0.2">
      <c r="A2" t="s">
        <v>10</v>
      </c>
      <c r="D2" t="str">
        <f>TEXT(100,"0.00")</f>
        <v>100.00</v>
      </c>
    </row>
    <row r="3" spans="1:8" x14ac:dyDescent="0.2">
      <c r="A3" t="s">
        <v>11</v>
      </c>
      <c r="D3" t="str">
        <f>TEXT(0.2,"0.00")</f>
        <v>0.20</v>
      </c>
      <c r="E3" t="s">
        <v>3</v>
      </c>
    </row>
    <row r="4" spans="1:8" x14ac:dyDescent="0.2">
      <c r="A4" t="s">
        <v>19</v>
      </c>
      <c r="D4" t="str">
        <f>TEXT(0.6,"0.00")</f>
        <v>0.60</v>
      </c>
      <c r="E4" t="s">
        <v>3</v>
      </c>
    </row>
    <row r="5" spans="1:8" x14ac:dyDescent="0.2">
      <c r="A5" t="s">
        <v>16</v>
      </c>
      <c r="D5" t="str">
        <f>TEXT(10,"0.00")</f>
        <v>10.00</v>
      </c>
      <c r="E5" t="s">
        <v>3</v>
      </c>
    </row>
    <row r="6" spans="1:8" x14ac:dyDescent="0.2">
      <c r="A6" t="s">
        <v>15</v>
      </c>
      <c r="D6" t="str">
        <f>TEXT(5,"0.00")</f>
        <v>5.00</v>
      </c>
      <c r="E6" t="s">
        <v>3</v>
      </c>
    </row>
    <row r="7" spans="1:8" x14ac:dyDescent="0.2">
      <c r="A7" t="s">
        <v>13</v>
      </c>
      <c r="D7" s="8" t="str">
        <f>TEXT(15000,"##0E+0")</f>
        <v>15E+3</v>
      </c>
      <c r="E7" t="s">
        <v>4</v>
      </c>
    </row>
    <row r="8" spans="1:8" x14ac:dyDescent="0.2">
      <c r="A8" t="s">
        <v>14</v>
      </c>
      <c r="D8" s="8" t="str">
        <f>TEXT(120000,"##0E+0")</f>
        <v>120E+3</v>
      </c>
      <c r="E8" t="s">
        <v>4</v>
      </c>
    </row>
    <row r="10" spans="1:8" x14ac:dyDescent="0.2">
      <c r="A10" t="s">
        <v>17</v>
      </c>
      <c r="B10" s="1" t="str">
        <f>_xlfn.CONCAT("(",A5,"-",A3,")/",A7)</f>
        <v>(VCC-VCEsat)/Rc_given</v>
      </c>
      <c r="C10" s="1" t="str">
        <f>_xlfn.CONCAT("(",D5,"-",D3,")/",D7)</f>
        <v>(10.00-0.20)/15E+3</v>
      </c>
      <c r="D10" s="8" t="str">
        <f>TEXT((D5-D3)/(D7),"##0.0E+0")</f>
        <v>653.3E-6</v>
      </c>
      <c r="E10" t="s">
        <v>5</v>
      </c>
    </row>
    <row r="11" spans="1:8" x14ac:dyDescent="0.2">
      <c r="A11" t="s">
        <v>20</v>
      </c>
      <c r="B11" s="1" t="str">
        <f>_xlfn.CONCAT("(",A6,"-",A4,")/",A8)</f>
        <v>(VBB-VBE_on)/Rb_given</v>
      </c>
      <c r="C11" s="1" t="str">
        <f>_xlfn.CONCAT("(",D6,"-",D4,")/",D8)</f>
        <v>(5.00-0.60)/120E+3</v>
      </c>
      <c r="D11" s="26" t="str">
        <f>TEXT((D6-D4)/(D8),"##0.0E+0")</f>
        <v>36.7E-6</v>
      </c>
      <c r="E11" t="s">
        <v>5</v>
      </c>
      <c r="F11" s="2">
        <v>6</v>
      </c>
    </row>
    <row r="12" spans="1:8" x14ac:dyDescent="0.2">
      <c r="A12" t="s">
        <v>18</v>
      </c>
      <c r="B12" s="1" t="str">
        <f>_xlfn.CONCAT(A11,"*",A2)</f>
        <v>Ib_on*Beta</v>
      </c>
      <c r="C12" s="1" t="str">
        <f>_xlfn.CONCAT(D11,"*",D2)</f>
        <v>36.7E-6*100.00</v>
      </c>
      <c r="D12" s="26" t="str">
        <f>TEXT(D11*D2,"##0.00E+0")</f>
        <v>3.67E-3</v>
      </c>
      <c r="E12" t="s">
        <v>5</v>
      </c>
      <c r="F12" s="2">
        <v>7</v>
      </c>
    </row>
    <row r="13" spans="1:8" x14ac:dyDescent="0.2">
      <c r="A13" t="s">
        <v>21</v>
      </c>
      <c r="B13" s="1" t="s">
        <v>49</v>
      </c>
      <c r="D13" s="26" t="str">
        <f>TEXT(IF(D12-D10&gt;0,D10,D12),"##0.0E+0")</f>
        <v>653.3E-6</v>
      </c>
      <c r="E13" t="s">
        <v>5</v>
      </c>
      <c r="F13" s="2">
        <v>15</v>
      </c>
    </row>
    <row r="14" spans="1:8" x14ac:dyDescent="0.2">
      <c r="A14" t="s">
        <v>47</v>
      </c>
      <c r="D14" t="s">
        <v>48</v>
      </c>
    </row>
    <row r="16" spans="1:8" x14ac:dyDescent="0.2">
      <c r="B16" s="1" t="s">
        <v>12</v>
      </c>
      <c r="C16" s="1" t="s">
        <v>12</v>
      </c>
    </row>
    <row r="18" spans="4:5" x14ac:dyDescent="0.2">
      <c r="D18" s="3"/>
      <c r="E18" s="4"/>
    </row>
    <row r="19" spans="4:5" x14ac:dyDescent="0.2">
      <c r="D19" s="3"/>
      <c r="E19" s="4"/>
    </row>
    <row r="20" spans="4:5" x14ac:dyDescent="0.2">
      <c r="D20" s="3"/>
      <c r="E20" s="4"/>
    </row>
    <row r="21" spans="4:5" x14ac:dyDescent="0.2">
      <c r="D21" s="3"/>
      <c r="E21" s="4"/>
    </row>
    <row r="22" spans="4:5" x14ac:dyDescent="0.2">
      <c r="D22" s="4"/>
      <c r="E22" s="4"/>
    </row>
    <row r="23" spans="4:5" x14ac:dyDescent="0.2">
      <c r="D23" s="4"/>
      <c r="E23" s="4"/>
    </row>
    <row r="24" spans="4:5" x14ac:dyDescent="0.2">
      <c r="D24" s="5"/>
      <c r="E24" s="4"/>
    </row>
    <row r="25" spans="4:5" x14ac:dyDescent="0.2">
      <c r="D25" s="3"/>
      <c r="E25" s="4"/>
    </row>
    <row r="26" spans="4:5" x14ac:dyDescent="0.2">
      <c r="D26" s="3"/>
      <c r="E26" s="4"/>
    </row>
    <row r="27" spans="4:5" x14ac:dyDescent="0.2">
      <c r="D27" s="3"/>
      <c r="E27" s="4"/>
    </row>
    <row r="28" spans="4:5" x14ac:dyDescent="0.2">
      <c r="D28" s="4"/>
      <c r="E28" s="4"/>
    </row>
    <row r="29" spans="4:5" x14ac:dyDescent="0.2">
      <c r="D29" s="6"/>
      <c r="E29" s="4"/>
    </row>
    <row r="30" spans="4:5" x14ac:dyDescent="0.2">
      <c r="D30" s="7"/>
      <c r="E30" s="4"/>
    </row>
    <row r="31" spans="4:5" x14ac:dyDescent="0.2">
      <c r="D31" s="7"/>
      <c r="E31" s="4"/>
    </row>
    <row r="32" spans="4:5" x14ac:dyDescent="0.2">
      <c r="D32" s="7"/>
      <c r="E32" s="4"/>
    </row>
    <row r="33" spans="4:5" x14ac:dyDescent="0.2">
      <c r="D33" s="7"/>
      <c r="E33" s="4"/>
    </row>
    <row r="34" spans="4:5" x14ac:dyDescent="0.2">
      <c r="D34" s="7"/>
      <c r="E34" s="4"/>
    </row>
    <row r="35" spans="4:5" x14ac:dyDescent="0.2">
      <c r="D35" s="7"/>
      <c r="E35" s="4"/>
    </row>
    <row r="36" spans="4:5" x14ac:dyDescent="0.2">
      <c r="D36" s="7"/>
      <c r="E36" s="4"/>
    </row>
    <row r="37" spans="4:5" x14ac:dyDescent="0.2">
      <c r="E37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07B5E-E97B-4D6D-8B65-09795ACAA333}">
  <dimension ref="A1:H38"/>
  <sheetViews>
    <sheetView zoomScaleNormal="100" workbookViewId="0">
      <selection activeCell="H20" sqref="H20"/>
    </sheetView>
  </sheetViews>
  <sheetFormatPr defaultRowHeight="15" x14ac:dyDescent="0.2"/>
  <cols>
    <col min="1" max="1" width="13.109375" bestFit="1" customWidth="1"/>
    <col min="2" max="2" width="25" style="1" bestFit="1" customWidth="1"/>
    <col min="3" max="3" width="20.44140625" style="1" bestFit="1" customWidth="1"/>
    <col min="4" max="4" width="8.44140625" style="1" bestFit="1" customWidth="1"/>
    <col min="5" max="5" width="4.88671875" style="1" bestFit="1" customWidth="1"/>
    <col min="6" max="6" width="4.88671875" style="2" bestFit="1" customWidth="1"/>
    <col min="7" max="7" width="6.44140625" style="2" bestFit="1" customWidth="1"/>
    <col min="8" max="8" width="50" customWidth="1"/>
  </cols>
  <sheetData>
    <row r="1" spans="1:8" x14ac:dyDescent="0.2">
      <c r="A1" s="2" t="s">
        <v>0</v>
      </c>
      <c r="B1" s="1" t="s">
        <v>6</v>
      </c>
      <c r="D1" s="1" t="s">
        <v>1</v>
      </c>
      <c r="E1" s="1" t="s">
        <v>2</v>
      </c>
      <c r="F1" s="2" t="s">
        <v>8</v>
      </c>
      <c r="G1" s="2" t="s">
        <v>9</v>
      </c>
      <c r="H1" s="2" t="s">
        <v>7</v>
      </c>
    </row>
    <row r="2" spans="1:8" x14ac:dyDescent="0.2">
      <c r="A2" t="s">
        <v>10</v>
      </c>
      <c r="D2" s="1" t="str">
        <f>TEXT(100,"0.00")</f>
        <v>100.00</v>
      </c>
    </row>
    <row r="3" spans="1:8" x14ac:dyDescent="0.2">
      <c r="A3" t="s">
        <v>11</v>
      </c>
      <c r="D3" s="1" t="str">
        <f>TEXT(0.2,"0.00")</f>
        <v>0.20</v>
      </c>
      <c r="E3" s="1" t="s">
        <v>3</v>
      </c>
    </row>
    <row r="4" spans="1:8" x14ac:dyDescent="0.2">
      <c r="A4" t="s">
        <v>19</v>
      </c>
      <c r="D4" s="1" t="str">
        <f>TEXT(0.7,"0.00")</f>
        <v>0.70</v>
      </c>
      <c r="E4" s="1" t="s">
        <v>3</v>
      </c>
    </row>
    <row r="5" spans="1:8" x14ac:dyDescent="0.2">
      <c r="A5" t="s">
        <v>16</v>
      </c>
      <c r="D5" s="1" t="str">
        <f>TEXT(5,"0.00")</f>
        <v>5.00</v>
      </c>
      <c r="E5" s="1" t="s">
        <v>3</v>
      </c>
    </row>
    <row r="6" spans="1:8" x14ac:dyDescent="0.2">
      <c r="A6" t="s">
        <v>15</v>
      </c>
      <c r="D6" s="1" t="str">
        <f>TEXT(5,"0.00")</f>
        <v>5.00</v>
      </c>
      <c r="E6" s="1" t="s">
        <v>3</v>
      </c>
    </row>
    <row r="7" spans="1:8" x14ac:dyDescent="0.2">
      <c r="A7" t="s">
        <v>22</v>
      </c>
      <c r="D7" s="10" t="str">
        <f>TEXT(1.8,"0.00")</f>
        <v>1.80</v>
      </c>
      <c r="E7" s="1" t="s">
        <v>3</v>
      </c>
    </row>
    <row r="8" spans="1:8" x14ac:dyDescent="0.2">
      <c r="A8" t="s">
        <v>23</v>
      </c>
      <c r="D8" s="11" t="str">
        <f>TEXT(0.01,"##0.0E+0")</f>
        <v>10.0E-3</v>
      </c>
      <c r="E8" s="1" t="s">
        <v>5</v>
      </c>
    </row>
    <row r="9" spans="1:8" x14ac:dyDescent="0.2">
      <c r="D9" s="11"/>
    </row>
    <row r="10" spans="1:8" x14ac:dyDescent="0.2">
      <c r="A10" t="s">
        <v>24</v>
      </c>
      <c r="B10" s="1" t="str">
        <f>_xlfn.CONCAT("(",A5,"-",A3,"-",A7,")/",A8)</f>
        <v>(VCC-VCEsat-VLED)/Ic_design</v>
      </c>
      <c r="C10" s="1" t="str">
        <f>_xlfn.CONCAT("(",D5,"-",D3,"-",D7,")/",D8)</f>
        <v>(5.00-0.20-1.80)/10.0E-3</v>
      </c>
      <c r="D10" s="12" t="str">
        <f>TEXT((D5-D3-D7)/D8,"0")</f>
        <v>300</v>
      </c>
      <c r="E10" s="1" t="s">
        <v>4</v>
      </c>
    </row>
    <row r="11" spans="1:8" x14ac:dyDescent="0.2">
      <c r="A11" t="s">
        <v>27</v>
      </c>
      <c r="D11" s="13">
        <v>270</v>
      </c>
      <c r="E11" s="1" t="s">
        <v>4</v>
      </c>
      <c r="F11" s="2">
        <v>22</v>
      </c>
    </row>
    <row r="12" spans="1:8" x14ac:dyDescent="0.2">
      <c r="A12" t="s">
        <v>26</v>
      </c>
      <c r="B12" s="1" t="str">
        <f>_xlfn.CONCAT(A8,"/",A2)</f>
        <v>Ic_design/Beta</v>
      </c>
      <c r="C12" s="1" t="str">
        <f>_xlfn.CONCAT(D8,"/",D2)</f>
        <v>10.0E-3/100.00</v>
      </c>
      <c r="D12" s="11" t="str">
        <f>TEXT(D8/D2,"##0.0E+0")</f>
        <v>100.0E-6</v>
      </c>
      <c r="E12" s="1" t="s">
        <v>5</v>
      </c>
    </row>
    <row r="13" spans="1:8" x14ac:dyDescent="0.2">
      <c r="A13" t="s">
        <v>25</v>
      </c>
      <c r="B13" s="1" t="str">
        <f>_xlfn.CONCAT("(",A6,"-",A4,")/",A12)</f>
        <v>(VBB-VBE_on)/Ib_calc</v>
      </c>
      <c r="C13" s="1" t="str">
        <f>_xlfn.CONCAT("(",D6,"-",D4,")/",D12)</f>
        <v>(5.00-0.70)/100.0E-6</v>
      </c>
      <c r="D13" s="14" t="str">
        <f>TEXT((D6-D4)/(D12),"##0.00E+0")</f>
        <v>43.00E+3</v>
      </c>
      <c r="E13" s="1" t="s">
        <v>4</v>
      </c>
      <c r="F13" s="2">
        <v>23</v>
      </c>
    </row>
    <row r="14" spans="1:8" x14ac:dyDescent="0.2">
      <c r="A14" t="s">
        <v>29</v>
      </c>
      <c r="B14" s="1" t="str">
        <f>_xlfn.CONCAT(A13,"/2")</f>
        <v>Rb_calc/2</v>
      </c>
      <c r="C14" s="1" t="str">
        <f>_xlfn.CONCAT(D13,"/2")</f>
        <v>43.00E+3/2</v>
      </c>
      <c r="D14" s="11" t="str">
        <f>TEXT(D13/2,"##0.00E+0")</f>
        <v>21.50E+3</v>
      </c>
      <c r="E14" s="1" t="s">
        <v>4</v>
      </c>
      <c r="H14" t="s">
        <v>55</v>
      </c>
    </row>
    <row r="15" spans="1:8" x14ac:dyDescent="0.2">
      <c r="A15" t="s">
        <v>28</v>
      </c>
      <c r="D15" s="14" t="str">
        <f>TEXT(18000,"##0E+0")</f>
        <v>18E+3</v>
      </c>
      <c r="E15" s="1" t="s">
        <v>4</v>
      </c>
      <c r="F15" s="2">
        <v>24</v>
      </c>
    </row>
    <row r="16" spans="1:8" x14ac:dyDescent="0.2">
      <c r="A16" t="s">
        <v>47</v>
      </c>
      <c r="D16" s="1" t="s">
        <v>48</v>
      </c>
    </row>
    <row r="17" spans="2:5" x14ac:dyDescent="0.2">
      <c r="B17" s="1" t="s">
        <v>12</v>
      </c>
      <c r="C17" s="1" t="s">
        <v>12</v>
      </c>
    </row>
    <row r="19" spans="2:5" x14ac:dyDescent="0.2">
      <c r="D19" s="10"/>
      <c r="E19" s="15"/>
    </row>
    <row r="20" spans="2:5" x14ac:dyDescent="0.2">
      <c r="D20" s="11"/>
      <c r="E20" s="15"/>
    </row>
    <row r="21" spans="2:5" x14ac:dyDescent="0.2">
      <c r="D21" s="10"/>
      <c r="E21" s="15"/>
    </row>
    <row r="22" spans="2:5" x14ac:dyDescent="0.2">
      <c r="D22" s="10"/>
      <c r="E22" s="15"/>
    </row>
    <row r="23" spans="2:5" x14ac:dyDescent="0.2">
      <c r="D23" s="15"/>
      <c r="E23" s="15"/>
    </row>
    <row r="24" spans="2:5" x14ac:dyDescent="0.2">
      <c r="D24" s="15"/>
      <c r="E24" s="15"/>
    </row>
    <row r="25" spans="2:5" x14ac:dyDescent="0.2">
      <c r="D25" s="16"/>
      <c r="E25" s="15"/>
    </row>
    <row r="26" spans="2:5" x14ac:dyDescent="0.2">
      <c r="D26" s="10"/>
      <c r="E26" s="15"/>
    </row>
    <row r="27" spans="2:5" x14ac:dyDescent="0.2">
      <c r="D27" s="10"/>
      <c r="E27" s="15"/>
    </row>
    <row r="28" spans="2:5" x14ac:dyDescent="0.2">
      <c r="D28" s="10"/>
      <c r="E28" s="15"/>
    </row>
    <row r="29" spans="2:5" x14ac:dyDescent="0.2">
      <c r="D29" s="15"/>
      <c r="E29" s="15"/>
    </row>
    <row r="30" spans="2:5" x14ac:dyDescent="0.2">
      <c r="D30" s="17"/>
      <c r="E30" s="15"/>
    </row>
    <row r="31" spans="2:5" x14ac:dyDescent="0.2">
      <c r="D31" s="18"/>
      <c r="E31" s="15"/>
    </row>
    <row r="32" spans="2:5" x14ac:dyDescent="0.2">
      <c r="D32" s="18"/>
      <c r="E32" s="15"/>
    </row>
    <row r="33" spans="4:5" x14ac:dyDescent="0.2">
      <c r="D33" s="18"/>
      <c r="E33" s="15"/>
    </row>
    <row r="34" spans="4:5" x14ac:dyDescent="0.2">
      <c r="D34" s="18"/>
      <c r="E34" s="15"/>
    </row>
    <row r="35" spans="4:5" x14ac:dyDescent="0.2">
      <c r="D35" s="18"/>
      <c r="E35" s="15"/>
    </row>
    <row r="36" spans="4:5" x14ac:dyDescent="0.2">
      <c r="D36" s="18"/>
      <c r="E36" s="15"/>
    </row>
    <row r="37" spans="4:5" x14ac:dyDescent="0.2">
      <c r="D37" s="18"/>
      <c r="E37" s="15"/>
    </row>
    <row r="38" spans="4:5" x14ac:dyDescent="0.2">
      <c r="E38" s="1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32237-0585-4271-B5F8-2112BCEADD78}">
  <dimension ref="A1:J43"/>
  <sheetViews>
    <sheetView workbookViewId="0">
      <selection activeCell="H24" sqref="H24"/>
    </sheetView>
  </sheetViews>
  <sheetFormatPr defaultRowHeight="15" x14ac:dyDescent="0.2"/>
  <cols>
    <col min="1" max="1" width="9.21875" bestFit="1" customWidth="1"/>
    <col min="2" max="2" width="24.33203125" style="1" bestFit="1" customWidth="1"/>
    <col min="3" max="3" width="14.5546875" style="1" bestFit="1" customWidth="1"/>
    <col min="4" max="4" width="8.109375" style="1" bestFit="1" customWidth="1"/>
    <col min="5" max="5" width="4.88671875" style="1" bestFit="1" customWidth="1"/>
    <col min="6" max="6" width="4.88671875" style="2" bestFit="1" customWidth="1"/>
    <col min="7" max="7" width="6.44140625" style="2" bestFit="1" customWidth="1"/>
    <col min="8" max="8" width="106" customWidth="1"/>
  </cols>
  <sheetData>
    <row r="1" spans="1:10" x14ac:dyDescent="0.2">
      <c r="A1" s="2" t="s">
        <v>0</v>
      </c>
      <c r="B1" s="1" t="s">
        <v>6</v>
      </c>
      <c r="D1" s="1" t="s">
        <v>1</v>
      </c>
      <c r="E1" s="1" t="s">
        <v>2</v>
      </c>
      <c r="F1" s="2" t="s">
        <v>8</v>
      </c>
      <c r="G1" s="2" t="s">
        <v>9</v>
      </c>
      <c r="H1" s="2" t="s">
        <v>7</v>
      </c>
      <c r="I1" s="2" t="s">
        <v>40</v>
      </c>
      <c r="J1" s="2" t="s">
        <v>41</v>
      </c>
    </row>
    <row r="2" spans="1:10" x14ac:dyDescent="0.2">
      <c r="A2" t="s">
        <v>10</v>
      </c>
      <c r="B2" s="1" t="s">
        <v>57</v>
      </c>
      <c r="D2" s="1" t="str">
        <f>TEXT(200,"0")</f>
        <v>200</v>
      </c>
      <c r="H2" t="s">
        <v>65</v>
      </c>
      <c r="I2">
        <v>0</v>
      </c>
      <c r="J2" s="9">
        <f>_xlfn.NUMBERVALUE(D19)</f>
        <v>1.9609999999999999E-2</v>
      </c>
    </row>
    <row r="3" spans="1:10" x14ac:dyDescent="0.2">
      <c r="A3" t="s">
        <v>34</v>
      </c>
      <c r="B3" s="1" t="s">
        <v>31</v>
      </c>
      <c r="D3" s="1" t="str">
        <f>TEXT(0,"0")</f>
        <v>0</v>
      </c>
      <c r="E3" s="1" t="s">
        <v>3</v>
      </c>
      <c r="I3" s="5">
        <f>_xlfn.NUMBERVALUE(D18)</f>
        <v>4.7300000000000004</v>
      </c>
      <c r="J3" s="9">
        <f>_xlfn.NUMBERVALUE(D17)</f>
        <v>1.0330000000000001E-2</v>
      </c>
    </row>
    <row r="4" spans="1:10" x14ac:dyDescent="0.2">
      <c r="A4" t="s">
        <v>35</v>
      </c>
      <c r="D4" s="1" t="str">
        <f>TEXT(0.7,"0.0")</f>
        <v>0.7</v>
      </c>
      <c r="E4" s="1" t="s">
        <v>3</v>
      </c>
      <c r="I4" s="5">
        <f>_xlfn.NUMBERVALUE(D20)</f>
        <v>10</v>
      </c>
      <c r="J4">
        <v>0</v>
      </c>
    </row>
    <row r="5" spans="1:10" x14ac:dyDescent="0.2">
      <c r="A5" t="s">
        <v>36</v>
      </c>
      <c r="D5" s="1" t="str">
        <f>TEXT(10,"0")</f>
        <v>10</v>
      </c>
      <c r="E5" s="1" t="s">
        <v>3</v>
      </c>
      <c r="I5" s="5"/>
      <c r="J5" s="9"/>
    </row>
    <row r="6" spans="1:10" x14ac:dyDescent="0.2">
      <c r="A6" t="s">
        <v>37</v>
      </c>
      <c r="D6" s="1" t="str">
        <f>TEXT(10,"0")</f>
        <v>10</v>
      </c>
      <c r="E6" s="1" t="s">
        <v>3</v>
      </c>
    </row>
    <row r="7" spans="1:10" x14ac:dyDescent="0.2">
      <c r="A7" t="s">
        <v>58</v>
      </c>
      <c r="D7" s="11" t="str">
        <f>TEXT(0.01,"##0E+0")</f>
        <v>10E-3</v>
      </c>
      <c r="E7" s="15" t="s">
        <v>5</v>
      </c>
    </row>
    <row r="8" spans="1:10" x14ac:dyDescent="0.2">
      <c r="E8" s="15"/>
    </row>
    <row r="9" spans="1:10" x14ac:dyDescent="0.2">
      <c r="A9" t="s">
        <v>56</v>
      </c>
      <c r="B9" s="1" t="str">
        <f>_xlfn.CONCAT(A5,"/2")</f>
        <v>Vcc/2</v>
      </c>
      <c r="C9" s="1" t="str">
        <f>_xlfn.CONCAT(D5,"/2")</f>
        <v>10/2</v>
      </c>
      <c r="D9" s="25" t="str">
        <f>TEXT(D5/2,"0")</f>
        <v>5</v>
      </c>
      <c r="E9" s="15" t="s">
        <v>3</v>
      </c>
      <c r="F9" s="2">
        <v>2</v>
      </c>
    </row>
    <row r="10" spans="1:10" x14ac:dyDescent="0.2">
      <c r="A10" t="s">
        <v>59</v>
      </c>
      <c r="B10" s="1" t="str">
        <f>_xlfn.CONCAT("(",A5,"-",A9,")/",A7)</f>
        <v>(Vcc-Vce_bias)/Ic_bias</v>
      </c>
      <c r="C10" s="1" t="str">
        <f>_xlfn.CONCAT("(",D5,"-",D9,")/",D7)</f>
        <v>(10-5)/10E-3</v>
      </c>
      <c r="D10" s="20" t="str">
        <f>TEXT((D5-D9)/D7,"##0.0E+0")</f>
        <v>500.0E+0</v>
      </c>
      <c r="E10" s="15" t="s">
        <v>4</v>
      </c>
      <c r="F10" s="2">
        <v>3</v>
      </c>
    </row>
    <row r="11" spans="1:10" x14ac:dyDescent="0.2">
      <c r="A11" t="s">
        <v>27</v>
      </c>
      <c r="B11" s="1" t="s">
        <v>60</v>
      </c>
      <c r="D11" s="14" t="str">
        <f>TEXT(510,"0")</f>
        <v>510</v>
      </c>
      <c r="E11" s="1" t="s">
        <v>4</v>
      </c>
      <c r="F11" s="2">
        <v>4</v>
      </c>
    </row>
    <row r="12" spans="1:10" x14ac:dyDescent="0.2">
      <c r="A12" t="s">
        <v>61</v>
      </c>
      <c r="B12" s="1" t="str">
        <f>_xlfn.CONCAT(A7,"/",A2)</f>
        <v>Ic_bias/Beta</v>
      </c>
      <c r="C12" s="1" t="str">
        <f>_xlfn.CONCAT(D7,"/",D2)</f>
        <v>10E-3/200</v>
      </c>
      <c r="D12" s="14" t="str">
        <f>TEXT(D7/D2,"##0E+0")</f>
        <v>50E-6</v>
      </c>
      <c r="E12" s="15"/>
      <c r="F12" s="2">
        <v>5</v>
      </c>
    </row>
    <row r="13" spans="1:10" x14ac:dyDescent="0.2">
      <c r="A13" t="s">
        <v>62</v>
      </c>
      <c r="B13" s="1" t="str">
        <f>_xlfn.CONCAT("(",A6,"-",A4,")/",A12)</f>
        <v>(Vbb-Vbe_on)/Ib_bias</v>
      </c>
      <c r="C13" s="1" t="str">
        <f>_xlfn.CONCAT("(",D6,"-",D4,")/",D12)</f>
        <v>(10-0.7)/50E-6</v>
      </c>
      <c r="D13" s="14" t="str">
        <f>TEXT((D6-D4)/D12,"##0E+0")</f>
        <v>186E+3</v>
      </c>
      <c r="E13" s="15"/>
      <c r="F13" s="2" t="s">
        <v>63</v>
      </c>
    </row>
    <row r="14" spans="1:10" x14ac:dyDescent="0.2">
      <c r="A14" t="s">
        <v>28</v>
      </c>
      <c r="B14" s="1" t="s">
        <v>60</v>
      </c>
      <c r="D14" s="14" t="str">
        <f>TEXT(180000,"##0E+0")</f>
        <v>180E+3</v>
      </c>
      <c r="E14" s="1" t="s">
        <v>4</v>
      </c>
      <c r="F14" s="2" t="s">
        <v>64</v>
      </c>
    </row>
    <row r="16" spans="1:10" x14ac:dyDescent="0.2">
      <c r="A16" t="s">
        <v>20</v>
      </c>
      <c r="B16" s="1" t="str">
        <f>_xlfn.CONCAT("(",A6,"-",A4,")/",A14)</f>
        <v>(Vbb-Vbe_on)/Rb_real</v>
      </c>
      <c r="C16" s="1" t="str">
        <f>_xlfn.CONCAT("(",D6,"-",D4,")/",D14)</f>
        <v>(10-0.7)/180E+3</v>
      </c>
      <c r="D16" s="11" t="str">
        <f>TEXT((D6-D4)/(D14),"##0.00E+0")</f>
        <v>51.67E-6</v>
      </c>
      <c r="E16" s="1" t="s">
        <v>5</v>
      </c>
    </row>
    <row r="17" spans="1:6" x14ac:dyDescent="0.2">
      <c r="A17" t="s">
        <v>18</v>
      </c>
      <c r="B17" s="1" t="str">
        <f>_xlfn.CONCAT(A16,"*",A2)</f>
        <v>Ib_on*Beta</v>
      </c>
      <c r="C17" s="1" t="str">
        <f>_xlfn.CONCAT(D16,"*",D2)</f>
        <v>51.67E-6*200</v>
      </c>
      <c r="D17" s="19" t="str">
        <f>TEXT(D16*D2,"##0.00E+0")</f>
        <v>10.33E-3</v>
      </c>
      <c r="E17" s="1" t="s">
        <v>5</v>
      </c>
      <c r="F17" s="2">
        <v>7</v>
      </c>
    </row>
    <row r="18" spans="1:6" x14ac:dyDescent="0.2">
      <c r="A18" t="s">
        <v>32</v>
      </c>
      <c r="B18" s="1" t="str">
        <f>_xlfn.CONCAT(A5,"-(",A17,"*",A11,")")</f>
        <v>Vcc-(Ic_active*Rc_real)</v>
      </c>
      <c r="C18" s="1" t="str">
        <f>_xlfn.CONCAT(D5,"-(",D17,"*",D11,")")</f>
        <v>10-(10.33E-3*510)</v>
      </c>
      <c r="D18" s="20" t="str">
        <f>TEXT(D5-(D17*D11),"##0.00E+0")</f>
        <v>4.73E+0</v>
      </c>
      <c r="E18" s="1" t="s">
        <v>3</v>
      </c>
      <c r="F18" s="2">
        <v>8</v>
      </c>
    </row>
    <row r="19" spans="1:6" x14ac:dyDescent="0.2">
      <c r="A19" t="s">
        <v>17</v>
      </c>
      <c r="B19" s="1" t="str">
        <f>_xlfn.CONCAT("(",A5,"-",A3,")/",A11)</f>
        <v>(Vcc-Vce_sat)/Rc_real</v>
      </c>
      <c r="C19" s="1" t="str">
        <f>_xlfn.CONCAT("(",D5,"-",D3,")/",D11)</f>
        <v>(10-0)/510</v>
      </c>
      <c r="D19" s="19" t="str">
        <f>TEXT((D5-D3)/(D11),"##0.00E+0")</f>
        <v>19.61E-3</v>
      </c>
      <c r="E19" s="1" t="s">
        <v>5</v>
      </c>
      <c r="F19" s="2">
        <v>11</v>
      </c>
    </row>
    <row r="20" spans="1:6" x14ac:dyDescent="0.2">
      <c r="A20" t="s">
        <v>33</v>
      </c>
      <c r="B20" s="1" t="str">
        <f>_xlfn.CONCAT(A5)</f>
        <v>Vcc</v>
      </c>
      <c r="C20" s="1" t="str">
        <f>_xlfn.CONCAT(D5)</f>
        <v>10</v>
      </c>
      <c r="D20" s="20" t="str">
        <f>TEXT(D5,"0.0")</f>
        <v>10.0</v>
      </c>
      <c r="E20" s="1" t="s">
        <v>3</v>
      </c>
      <c r="F20" s="2">
        <v>11</v>
      </c>
    </row>
    <row r="21" spans="1:6" x14ac:dyDescent="0.2">
      <c r="A21" t="s">
        <v>38</v>
      </c>
      <c r="B21" s="1" t="str">
        <f>_xlfn.CONCAT(A19,"/2")</f>
        <v>Ic_max/2</v>
      </c>
      <c r="C21" s="1" t="str">
        <f>_xlfn.CONCAT(D19,"/2")</f>
        <v>19.61E-3/2</v>
      </c>
      <c r="D21" s="21" t="str">
        <f>TEXT(D19/2,"##0.00E+0")</f>
        <v>9.81E-3</v>
      </c>
      <c r="E21" s="1" t="s">
        <v>5</v>
      </c>
    </row>
    <row r="22" spans="1:6" x14ac:dyDescent="0.2">
      <c r="A22" t="s">
        <v>39</v>
      </c>
      <c r="B22" s="1" t="str">
        <f>_xlfn.CONCAT(A20,"/2")</f>
        <v>Vce_max/2</v>
      </c>
      <c r="C22" s="1" t="str">
        <f>_xlfn.CONCAT(D20,"/2")</f>
        <v>10.0/2</v>
      </c>
      <c r="D22" s="16" t="str">
        <f>TEXT(D20/2,"##0.00E+0")</f>
        <v>5.00E+0</v>
      </c>
      <c r="E22" s="1" t="s">
        <v>3</v>
      </c>
    </row>
    <row r="24" spans="1:6" x14ac:dyDescent="0.2">
      <c r="E24" s="15"/>
    </row>
    <row r="25" spans="1:6" x14ac:dyDescent="0.2">
      <c r="E25" s="15"/>
    </row>
    <row r="26" spans="1:6" x14ac:dyDescent="0.2">
      <c r="E26" s="15"/>
    </row>
    <row r="27" spans="1:6" x14ac:dyDescent="0.2">
      <c r="E27" s="15"/>
    </row>
    <row r="28" spans="1:6" x14ac:dyDescent="0.2">
      <c r="E28" s="15"/>
    </row>
    <row r="29" spans="1:6" x14ac:dyDescent="0.2">
      <c r="E29" s="15"/>
    </row>
    <row r="30" spans="1:6" x14ac:dyDescent="0.2">
      <c r="D30" s="11"/>
      <c r="E30" s="15"/>
    </row>
    <row r="31" spans="1:6" x14ac:dyDescent="0.2">
      <c r="D31" s="10"/>
      <c r="E31" s="15"/>
    </row>
    <row r="32" spans="1:6" x14ac:dyDescent="0.2">
      <c r="D32" s="10"/>
      <c r="E32" s="15"/>
    </row>
    <row r="33" spans="4:5" x14ac:dyDescent="0.2">
      <c r="D33" s="10"/>
      <c r="E33" s="15"/>
    </row>
    <row r="34" spans="4:5" x14ac:dyDescent="0.2">
      <c r="D34" s="15"/>
      <c r="E34" s="15"/>
    </row>
    <row r="35" spans="4:5" x14ac:dyDescent="0.2">
      <c r="D35" s="17"/>
      <c r="E35" s="15"/>
    </row>
    <row r="36" spans="4:5" x14ac:dyDescent="0.2">
      <c r="D36" s="18"/>
      <c r="E36" s="15"/>
    </row>
    <row r="37" spans="4:5" x14ac:dyDescent="0.2">
      <c r="D37" s="18"/>
      <c r="E37" s="15"/>
    </row>
    <row r="38" spans="4:5" x14ac:dyDescent="0.2">
      <c r="D38" s="18"/>
      <c r="E38" s="15"/>
    </row>
    <row r="39" spans="4:5" x14ac:dyDescent="0.2">
      <c r="D39" s="18"/>
      <c r="E39" s="15"/>
    </row>
    <row r="40" spans="4:5" x14ac:dyDescent="0.2">
      <c r="D40" s="18"/>
      <c r="E40" s="15"/>
    </row>
    <row r="41" spans="4:5" x14ac:dyDescent="0.2">
      <c r="D41" s="18"/>
      <c r="E41" s="15"/>
    </row>
    <row r="42" spans="4:5" x14ac:dyDescent="0.2">
      <c r="D42" s="18"/>
      <c r="E42" s="15"/>
    </row>
    <row r="43" spans="4:5" x14ac:dyDescent="0.2">
      <c r="E43" s="1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FA55-C850-43FA-B107-BBC160F37BFF}">
  <dimension ref="A1:J40"/>
  <sheetViews>
    <sheetView workbookViewId="0">
      <selection activeCell="B4" sqref="B4"/>
    </sheetView>
  </sheetViews>
  <sheetFormatPr defaultRowHeight="15" x14ac:dyDescent="0.2"/>
  <cols>
    <col min="1" max="1" width="8.88671875" bestFit="1" customWidth="1"/>
    <col min="2" max="2" width="33.44140625" style="1" bestFit="1" customWidth="1"/>
    <col min="3" max="3" width="27.44140625" style="1" bestFit="1" customWidth="1"/>
    <col min="4" max="4" width="8.109375" style="1" bestFit="1" customWidth="1"/>
    <col min="5" max="5" width="4.88671875" style="1" bestFit="1" customWidth="1"/>
    <col min="6" max="6" width="4.88671875" style="2" bestFit="1" customWidth="1"/>
    <col min="7" max="7" width="6.44140625" style="2" bestFit="1" customWidth="1"/>
    <col min="8" max="8" width="88.44140625" customWidth="1"/>
    <col min="9" max="9" width="9.77734375" bestFit="1" customWidth="1"/>
  </cols>
  <sheetData>
    <row r="1" spans="1:10" x14ac:dyDescent="0.2">
      <c r="A1" s="2" t="s">
        <v>0</v>
      </c>
      <c r="B1" s="1" t="s">
        <v>6</v>
      </c>
      <c r="D1" s="1" t="s">
        <v>1</v>
      </c>
      <c r="E1" s="1" t="s">
        <v>2</v>
      </c>
      <c r="F1" s="2" t="s">
        <v>8</v>
      </c>
      <c r="G1" s="2" t="s">
        <v>9</v>
      </c>
      <c r="H1" s="2" t="s">
        <v>7</v>
      </c>
      <c r="I1" s="2" t="s">
        <v>40</v>
      </c>
      <c r="J1" s="2" t="s">
        <v>41</v>
      </c>
    </row>
    <row r="2" spans="1:10" x14ac:dyDescent="0.2">
      <c r="A2" t="s">
        <v>10</v>
      </c>
      <c r="B2" s="1" t="s">
        <v>66</v>
      </c>
      <c r="D2" s="1" t="str">
        <f>TEXT(250,"0")</f>
        <v>250</v>
      </c>
      <c r="H2" t="s">
        <v>30</v>
      </c>
      <c r="I2">
        <v>0</v>
      </c>
      <c r="J2" s="9">
        <f>_xlfn.NUMBERVALUE(D16)</f>
        <v>1.3610000000000001E-2</v>
      </c>
    </row>
    <row r="3" spans="1:10" x14ac:dyDescent="0.2">
      <c r="A3" t="s">
        <v>34</v>
      </c>
      <c r="B3" s="1" t="s">
        <v>31</v>
      </c>
      <c r="D3" s="1" t="str">
        <f>TEXT(0,"0")</f>
        <v>0</v>
      </c>
      <c r="E3" s="1" t="s">
        <v>3</v>
      </c>
      <c r="I3" s="5">
        <f>_xlfn.NUMBERVALUE(D15)</f>
        <v>9.6059999999999999</v>
      </c>
      <c r="J3" s="9">
        <f>_xlfn.NUMBERVALUE(D14)</f>
        <v>7.0699999999999999E-3</v>
      </c>
    </row>
    <row r="4" spans="1:10" x14ac:dyDescent="0.2">
      <c r="A4" t="s">
        <v>35</v>
      </c>
      <c r="D4" s="1" t="str">
        <f>TEXT(0.7,"0.0")</f>
        <v>0.7</v>
      </c>
      <c r="E4" s="1" t="s">
        <v>3</v>
      </c>
      <c r="I4" s="5">
        <f>_xlfn.NUMBERVALUE(D17)</f>
        <v>20</v>
      </c>
      <c r="J4">
        <v>0</v>
      </c>
    </row>
    <row r="5" spans="1:10" x14ac:dyDescent="0.2">
      <c r="A5" t="s">
        <v>36</v>
      </c>
      <c r="D5" s="1" t="str">
        <f>TEXT(20,"0")</f>
        <v>20</v>
      </c>
      <c r="E5" s="1" t="s">
        <v>3</v>
      </c>
      <c r="I5" s="5">
        <f>_xlfn.NUMBERVALUE(D19)</f>
        <v>10</v>
      </c>
      <c r="J5" s="9">
        <f>_xlfn.NUMBERVALUE(D18)</f>
        <v>6.8100000000000001E-3</v>
      </c>
    </row>
    <row r="6" spans="1:10" x14ac:dyDescent="0.2">
      <c r="A6" t="s">
        <v>13</v>
      </c>
      <c r="D6" s="11" t="str">
        <f>TEXT(1200,"##0.0E+0")</f>
        <v>1.2E+3</v>
      </c>
      <c r="E6" s="1" t="s">
        <v>4</v>
      </c>
    </row>
    <row r="7" spans="1:10" x14ac:dyDescent="0.2">
      <c r="A7" t="s">
        <v>44</v>
      </c>
      <c r="D7" s="11" t="str">
        <f>TEXT(270,"0")</f>
        <v>270</v>
      </c>
      <c r="E7" s="1" t="s">
        <v>4</v>
      </c>
    </row>
    <row r="8" spans="1:10" x14ac:dyDescent="0.2">
      <c r="A8" t="s">
        <v>42</v>
      </c>
      <c r="D8" s="11" t="str">
        <f>TEXT(18000,"##0.0E+0")</f>
        <v>18.0E+3</v>
      </c>
      <c r="E8" s="1" t="s">
        <v>4</v>
      </c>
    </row>
    <row r="9" spans="1:10" x14ac:dyDescent="0.2">
      <c r="A9" t="s">
        <v>43</v>
      </c>
      <c r="D9" s="11" t="str">
        <f>TEXT(2700,"##0.0E+0")</f>
        <v>2.7E+3</v>
      </c>
      <c r="E9" s="1" t="s">
        <v>4</v>
      </c>
    </row>
    <row r="10" spans="1:10" x14ac:dyDescent="0.2">
      <c r="D10" s="11"/>
    </row>
    <row r="11" spans="1:10" x14ac:dyDescent="0.2">
      <c r="A11" t="s">
        <v>37</v>
      </c>
      <c r="B11" s="1" t="str">
        <f>_xlfn.CONCAT("(",A5,"*",A9,")/(",A8,"+",A9,")")</f>
        <v>(Vcc*Rb2_given)/(Rb1_given+Rb2_given)</v>
      </c>
      <c r="C11" s="1" t="str">
        <f>_xlfn.CONCAT("(",D5,"*",D9,")/(",D8,"+",D9,")")</f>
        <v>(20*2.7E+3)/(18.0E+3+2.7E+3)</v>
      </c>
      <c r="D11" s="22" t="str">
        <f>TEXT((D5*D9)/(D8+D9),"##0.00E+0")</f>
        <v>2.61E+0</v>
      </c>
      <c r="E11" s="1" t="s">
        <v>3</v>
      </c>
    </row>
    <row r="12" spans="1:10" x14ac:dyDescent="0.2">
      <c r="A12" t="s">
        <v>45</v>
      </c>
      <c r="B12" s="1" t="str">
        <f>_xlfn.CONCAT(A11,"-",A4)</f>
        <v>Vbb-Vbe_on</v>
      </c>
      <c r="C12" s="1" t="str">
        <f>_xlfn.CONCAT(D11,"-",D4)</f>
        <v>2.61E+0-0.7</v>
      </c>
      <c r="D12" s="22" t="str">
        <f>TEXT(D11-D4,"##0.00E+0")</f>
        <v>1.91E+0</v>
      </c>
      <c r="E12" s="1" t="s">
        <v>3</v>
      </c>
    </row>
    <row r="13" spans="1:10" x14ac:dyDescent="0.2">
      <c r="A13" t="s">
        <v>46</v>
      </c>
      <c r="B13" s="1" t="str">
        <f>_xlfn.CONCAT(A12,"/",A7)</f>
        <v>Ve_active/Re_given</v>
      </c>
      <c r="C13" s="1" t="str">
        <f>_xlfn.CONCAT(D12,"/",D7)</f>
        <v>1.91E+0/270</v>
      </c>
      <c r="D13" s="23" t="str">
        <f>TEXT(D12/D7,"##0.00E+0")</f>
        <v>7.07E-3</v>
      </c>
      <c r="E13" s="1" t="s">
        <v>5</v>
      </c>
    </row>
    <row r="14" spans="1:10" x14ac:dyDescent="0.2">
      <c r="A14" t="s">
        <v>18</v>
      </c>
      <c r="B14" s="1" t="str">
        <f>_xlfn.CONCAT(A13)</f>
        <v>Ie_active</v>
      </c>
      <c r="C14" s="1" t="str">
        <f>_xlfn.CONCAT(D13)</f>
        <v>7.07E-3</v>
      </c>
      <c r="D14" s="24" t="str">
        <f>TEXT(D13,"##0.00E+0")</f>
        <v>7.07E-3</v>
      </c>
      <c r="E14" s="1" t="s">
        <v>5</v>
      </c>
    </row>
    <row r="15" spans="1:10" x14ac:dyDescent="0.2">
      <c r="A15" t="s">
        <v>32</v>
      </c>
      <c r="B15" s="1" t="str">
        <f>_xlfn.CONCAT(A5,"-(",A14,"*",A6,")-",A12)</f>
        <v>Vcc-(Ic_active*Rc_given)-Ve_active</v>
      </c>
      <c r="C15" s="1" t="str">
        <f>_xlfn.CONCAT(D5,"-(",D14,"*",D6,")-",D12)</f>
        <v>20-(7.07E-3*1.2E+3)-1.91E+0</v>
      </c>
      <c r="D15" s="20" t="str">
        <f>TEXT(D5-(D14*D6)-D12,"0.000")</f>
        <v>9.606</v>
      </c>
      <c r="E15" s="1" t="s">
        <v>3</v>
      </c>
    </row>
    <row r="16" spans="1:10" x14ac:dyDescent="0.2">
      <c r="A16" t="s">
        <v>17</v>
      </c>
      <c r="B16" s="1" t="str">
        <f>_xlfn.CONCAT("(",A5,"-",A3,")/(",A6,"+",A7,")")</f>
        <v>(Vcc-Vce_sat)/(Rc_given+Re_given)</v>
      </c>
      <c r="C16" s="1" t="str">
        <f>_xlfn.CONCAT("(",D5,"-",D3,")/(",D6,"+",D7,")")</f>
        <v>(20-0)/(1.2E+3+270)</v>
      </c>
      <c r="D16" s="19" t="str">
        <f>TEXT((D5-D3)/(D6+D7),"##0.00E+0")</f>
        <v>13.61E-3</v>
      </c>
      <c r="E16" s="1" t="s">
        <v>5</v>
      </c>
    </row>
    <row r="17" spans="1:5" x14ac:dyDescent="0.2">
      <c r="A17" t="s">
        <v>33</v>
      </c>
      <c r="B17" s="1" t="str">
        <f>_xlfn.CONCAT(A5)</f>
        <v>Vcc</v>
      </c>
      <c r="C17" s="1" t="str">
        <f>_xlfn.CONCAT(D5)</f>
        <v>20</v>
      </c>
      <c r="D17" s="20" t="str">
        <f>TEXT(D5,"0.00")</f>
        <v>20.00</v>
      </c>
      <c r="E17" s="1" t="s">
        <v>3</v>
      </c>
    </row>
    <row r="18" spans="1:5" x14ac:dyDescent="0.2">
      <c r="A18" t="s">
        <v>38</v>
      </c>
      <c r="B18" s="1" t="str">
        <f>_xlfn.CONCAT(A16,"/2")</f>
        <v>Ic_max/2</v>
      </c>
      <c r="C18" s="1" t="str">
        <f>_xlfn.CONCAT(D16,"/2")</f>
        <v>13.61E-3/2</v>
      </c>
      <c r="D18" s="21" t="str">
        <f>TEXT(D16/2,"##0.00E+0")</f>
        <v>6.81E-3</v>
      </c>
      <c r="E18" s="1" t="s">
        <v>5</v>
      </c>
    </row>
    <row r="19" spans="1:5" x14ac:dyDescent="0.2">
      <c r="A19" t="s">
        <v>39</v>
      </c>
      <c r="B19" s="1" t="str">
        <f>_xlfn.CONCAT(A17,"/2")</f>
        <v>Vce_max/2</v>
      </c>
      <c r="C19" s="1" t="str">
        <f>_xlfn.CONCAT(D17,"/2")</f>
        <v>20.00/2</v>
      </c>
      <c r="D19" s="16" t="str">
        <f>TEXT(D17/2,"0.00")</f>
        <v>10.00</v>
      </c>
      <c r="E19" s="1" t="s">
        <v>3</v>
      </c>
    </row>
    <row r="21" spans="1:5" x14ac:dyDescent="0.2">
      <c r="E21" s="15"/>
    </row>
    <row r="22" spans="1:5" x14ac:dyDescent="0.2">
      <c r="E22" s="15"/>
    </row>
    <row r="23" spans="1:5" x14ac:dyDescent="0.2">
      <c r="E23" s="15"/>
    </row>
    <row r="24" spans="1:5" x14ac:dyDescent="0.2">
      <c r="E24" s="15"/>
    </row>
    <row r="25" spans="1:5" x14ac:dyDescent="0.2">
      <c r="D25" s="11"/>
      <c r="E25" s="15"/>
    </row>
    <row r="26" spans="1:5" x14ac:dyDescent="0.2">
      <c r="D26" s="11"/>
      <c r="E26" s="15"/>
    </row>
    <row r="27" spans="1:5" x14ac:dyDescent="0.2">
      <c r="D27" s="11"/>
      <c r="E27" s="15"/>
    </row>
    <row r="28" spans="1:5" x14ac:dyDescent="0.2">
      <c r="D28" s="11"/>
      <c r="E28" s="15"/>
    </row>
    <row r="29" spans="1:5" x14ac:dyDescent="0.2">
      <c r="D29" s="10"/>
      <c r="E29" s="15"/>
    </row>
    <row r="30" spans="1:5" x14ac:dyDescent="0.2">
      <c r="D30" s="10"/>
      <c r="E30" s="15"/>
    </row>
    <row r="31" spans="1:5" x14ac:dyDescent="0.2">
      <c r="D31" s="15"/>
      <c r="E31" s="15"/>
    </row>
    <row r="32" spans="1:5" x14ac:dyDescent="0.2">
      <c r="D32" s="17"/>
      <c r="E32" s="15"/>
    </row>
    <row r="33" spans="4:5" x14ac:dyDescent="0.2">
      <c r="D33" s="18"/>
      <c r="E33" s="15"/>
    </row>
    <row r="34" spans="4:5" x14ac:dyDescent="0.2">
      <c r="D34" s="18"/>
      <c r="E34" s="15"/>
    </row>
    <row r="35" spans="4:5" x14ac:dyDescent="0.2">
      <c r="D35" s="18"/>
      <c r="E35" s="15"/>
    </row>
    <row r="36" spans="4:5" x14ac:dyDescent="0.2">
      <c r="D36" s="18"/>
      <c r="E36" s="15"/>
    </row>
    <row r="37" spans="4:5" x14ac:dyDescent="0.2">
      <c r="D37" s="18"/>
      <c r="E37" s="15"/>
    </row>
    <row r="38" spans="4:5" x14ac:dyDescent="0.2">
      <c r="D38" s="18"/>
      <c r="E38" s="15"/>
    </row>
    <row r="39" spans="4:5" x14ac:dyDescent="0.2">
      <c r="D39" s="18"/>
      <c r="E39" s="15"/>
    </row>
    <row r="40" spans="4:5" x14ac:dyDescent="0.2">
      <c r="E40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L-Models-NPN-Active</vt:lpstr>
      <vt:lpstr>L-Models-PNP-Active</vt:lpstr>
      <vt:lpstr>L-Models-NPN-Sat</vt:lpstr>
      <vt:lpstr>L-Switch-Ccts</vt:lpstr>
      <vt:lpstr>L-Switch-Cct-Driver</vt:lpstr>
      <vt:lpstr>L-Biasing-Fixed</vt:lpstr>
      <vt:lpstr>LWE-Biasing-V-Div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Law</dc:creator>
  <cp:lastModifiedBy>Robbin Law</cp:lastModifiedBy>
  <dcterms:created xsi:type="dcterms:W3CDTF">2024-09-16T18:27:44Z</dcterms:created>
  <dcterms:modified xsi:type="dcterms:W3CDTF">2025-01-27T17:51:08Z</dcterms:modified>
</cp:coreProperties>
</file>