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ilus\Desktop\python\steamproject\"/>
    </mc:Choice>
  </mc:AlternateContent>
  <xr:revisionPtr revIDLastSave="0" documentId="13_ncr:1_{DFC14F4D-EC55-4222-8A3C-AA91E7636C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ExternalData_1" localSheetId="0" hidden="1">Sheet1!$A$1:$B$8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8" i="2"/>
  <c r="E8" i="2"/>
  <c r="G7" i="2"/>
  <c r="E7" i="2"/>
  <c r="G6" i="2"/>
  <c r="E6" i="2"/>
  <c r="G5" i="2"/>
  <c r="E5" i="2"/>
  <c r="G4" i="2"/>
  <c r="E4" i="2"/>
  <c r="G3" i="2"/>
  <c r="E3" i="2"/>
  <c r="G2" i="2"/>
  <c r="J9" i="2"/>
  <c r="H7" i="2" l="1"/>
  <c r="I7" i="2" s="1"/>
  <c r="L5" i="2"/>
  <c r="M5" i="2" s="1"/>
  <c r="H4" i="2"/>
  <c r="I4" i="2" s="1"/>
  <c r="K4" i="2"/>
  <c r="L3" i="2"/>
  <c r="M3" i="2" s="1"/>
  <c r="H6" i="2"/>
  <c r="I6" i="2" s="1"/>
  <c r="H2" i="2"/>
  <c r="I2" i="2" s="1"/>
  <c r="L7" i="2"/>
  <c r="M7" i="2" s="1"/>
  <c r="L6" i="2"/>
  <c r="M6" i="2" s="1"/>
  <c r="L8" i="2"/>
  <c r="M8" i="2" s="1"/>
  <c r="H3" i="2"/>
  <c r="I3" i="2" s="1"/>
  <c r="L2" i="2"/>
  <c r="H5" i="2"/>
  <c r="I5" i="2" s="1"/>
  <c r="H8" i="2"/>
  <c r="I8" i="2" s="1"/>
  <c r="M2" i="2" l="1"/>
  <c r="K5" i="2"/>
  <c r="N5" i="2" s="1"/>
  <c r="K7" i="2"/>
  <c r="O7" i="2" s="1"/>
  <c r="K2" i="2"/>
  <c r="N2" i="2" s="1"/>
  <c r="K6" i="2"/>
  <c r="N6" i="2" s="1"/>
  <c r="L4" i="2"/>
  <c r="M4" i="2" s="1"/>
  <c r="K3" i="2"/>
  <c r="N3" i="2" s="1"/>
  <c r="K8" i="2"/>
  <c r="N8" i="2" s="1"/>
  <c r="O5" i="2" l="1"/>
  <c r="K9" i="2"/>
  <c r="L9" i="2"/>
  <c r="M9" i="2"/>
  <c r="O4" i="2"/>
  <c r="N4" i="2"/>
  <c r="N7" i="2"/>
  <c r="O3" i="2"/>
  <c r="O6" i="2"/>
  <c r="O8" i="2"/>
  <c r="O2" i="2"/>
  <c r="N9" i="2" l="1"/>
  <c r="O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AB480-3A8F-49B5-BBDB-DE4F168434C4}" keepAlive="1" name="Query - scrape" description="Connection to the 'scrape' query in the workbook." type="5" refreshedVersion="8" background="1" saveData="1">
    <dbPr connection="Provider=Microsoft.Mashup.OleDb.1;Data Source=$Workbook$;Location=scrape;Extended Properties=&quot;&quot;" command="SELECT * FROM [scrape]"/>
  </connection>
</connections>
</file>

<file path=xl/sharedStrings.xml><?xml version="1.0" encoding="utf-8"?>
<sst xmlns="http://schemas.openxmlformats.org/spreadsheetml/2006/main" count="31" uniqueCount="25">
  <si>
    <t>Paris 2023 Contenders Autograph Capsule</t>
  </si>
  <si>
    <t>$0.27 USD</t>
  </si>
  <si>
    <t>Paris 2023 Challengers Sticker Capsule</t>
  </si>
  <si>
    <t>Paris 2023 Contenders Sticker Capsule</t>
  </si>
  <si>
    <t>Paris 2023 Challengers Autograph Capsule</t>
  </si>
  <si>
    <t>Paris 2023 Legends Sticker Capsule</t>
  </si>
  <si>
    <t>Paris 2023 Champions Autograph Capsule</t>
  </si>
  <si>
    <t>Paris 2023 Legends Autograph Capsule</t>
  </si>
  <si>
    <t>Name</t>
  </si>
  <si>
    <t>Price bought</t>
  </si>
  <si>
    <t>Current price</t>
  </si>
  <si>
    <t>Change</t>
  </si>
  <si>
    <t>% Change</t>
  </si>
  <si>
    <t>Number bought</t>
  </si>
  <si>
    <t>Paid</t>
  </si>
  <si>
    <t>Value now</t>
  </si>
  <si>
    <t>Value after tax</t>
  </si>
  <si>
    <t>Profit</t>
  </si>
  <si>
    <t>Profit after tax</t>
  </si>
  <si>
    <t>Tax</t>
  </si>
  <si>
    <t>Total</t>
  </si>
  <si>
    <t>=IF([@Name] = "Paris 2023 Champions Autograph Capsule";0; IF([@Name] = "Paris 2023 Contenders Autograph Capsule"; 140; 120)) &lt;- example</t>
  </si>
  <si>
    <t>=IF([@Name]="enter_exact_name";price_if_true;price_if_false or =IF(COUNTIF([@Name]; "enter_partial_name; price_if_true; price_if_false))</t>
  </si>
  <si>
    <t>Price</t>
  </si>
  <si>
    <t>$0.26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</si>
</sst>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/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0" fontId="0" fillId="0" borderId="1" xfId="0" applyNumberFormat="1" applyBorder="1"/>
    <xf numFmtId="0" fontId="1" fillId="0" borderId="5" xfId="0" applyFont="1" applyBorder="1"/>
    <xf numFmtId="164" fontId="0" fillId="0" borderId="9" xfId="0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0" fontId="0" fillId="0" borderId="0" xfId="0" applyNumberFormat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numFmt numFmtId="164" formatCode="[$$-409]#,##0.00"/>
      <border diagonalUp="0" diagonalDown="0" outline="0">
        <left style="medium">
          <color auto="1"/>
        </left>
        <right/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164" formatCode="[$$-409]#,##0.0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164" formatCode="[$$-409]#,##0.0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0B62B9-ADE0-45F1-BC13-10D3B448C0E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Pric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3B157B-D016-4226-B1B5-F3DE8C133233}" name="Investment" displayName="Investment" ref="E1:O9" totalsRowCount="1" headerRowDxfId="40" headerRowBorderDxfId="39" tableBorderDxfId="38" totalsRowBorderDxfId="37">
  <autoFilter ref="E1:O8" xr:uid="{D93B157B-D016-4226-B1B5-F3DE8C133233}"/>
  <tableColumns count="11">
    <tableColumn id="1" xr3:uid="{F8F3D17D-6FFB-406C-8128-3A1145EDF950}" name="Name" totalsRowLabel="Total" dataDxfId="36" totalsRowDxfId="35"/>
    <tableColumn id="2" xr3:uid="{97494EAE-E365-4E43-A19C-CAD94C0A092B}" name="Price bought" dataDxfId="34" totalsRowDxfId="33">
      <calculatedColumnFormula>IF(Investment[[#This Row],[Name]]="enter_name",0,IF(COUNTIF(Investment[[#This Row],[Name]], "Paris 2023 * Capsule"), 0.25, 0))</calculatedColumnFormula>
    </tableColumn>
    <tableColumn id="3" xr3:uid="{25CAC3A2-5252-4CEB-9F4B-5561C6A7A8A9}" name="Current price" dataDxfId="32" totalsRowDxfId="31">
      <calculatedColumnFormula>IFERROR(VALUE(SUBSTITUTE(SUBSTITUTE(MID(VLOOKUP(A2, #REF!, 2, FALSE), 2, LEN(VLOOKUP(A2, #REF!, 2, FALSE))), ".", ","), " USD", "")), "")</calculatedColumnFormula>
    </tableColumn>
    <tableColumn id="4" xr3:uid="{0C4D29B6-7A37-4946-906A-40F1D4A15782}" name="Change" dataDxfId="30" totalsRowDxfId="29">
      <calculatedColumnFormula>Investment[[#This Row],[Current price]]-Investment[[#This Row],[Price bought]]</calculatedColumnFormula>
    </tableColumn>
    <tableColumn id="5" xr3:uid="{0FD31664-F180-484D-A7C2-0511FB34EBCB}" name="% Change" dataDxfId="28" totalsRowDxfId="27">
      <calculatedColumnFormula>Investment[[#This Row],[Current price]]-(Investment[[#This Row],[Current price]]*Investment[[#This Row],[Price bought]])</calculatedColumnFormula>
    </tableColumn>
    <tableColumn id="6" xr3:uid="{1B8921C7-0A31-43B1-BE27-853433637C0E}" name="Number bought" totalsRowFunction="sum" dataDxfId="26" totalsRowDxfId="25">
      <calculatedColumnFormula>IF(Investment[[#This Row],[Name]] = "Paris 2023 Champions Autograph Capsule",0, IF(Investment[[#This Row],[Name]] = "Paris 2023 Contenders Autograph Capsule", 140, 120))</calculatedColumnFormula>
    </tableColumn>
    <tableColumn id="7" xr3:uid="{8ACFF712-05EE-437E-9290-17CB69DF6EB8}" name="Paid" totalsRowFunction="sum" dataDxfId="24" totalsRowDxfId="23">
      <calculatedColumnFormula>Investment[[#This Row],[Number bought]]*Investment[[#This Row],[Price bought]]</calculatedColumnFormula>
    </tableColumn>
    <tableColumn id="8" xr3:uid="{86356A02-4136-42CE-91BA-E453EE731650}" name="Value now" totalsRowFunction="sum" dataDxfId="22" totalsRowDxfId="21"/>
    <tableColumn id="9" xr3:uid="{211ADDF5-1F7C-4A8C-A5FD-C6DE6B7CCFA0}" name="Value after tax" totalsRowFunction="sum" dataDxfId="20" totalsRowDxfId="19">
      <calculatedColumnFormula>Investment[[#This Row],[Value now]]-(Investment[[#This Row],[Value now]]*$P$2)</calculatedColumnFormula>
    </tableColumn>
    <tableColumn id="10" xr3:uid="{23D07D46-D057-40C9-AF3A-DA01852F85FE}" name="Profit" totalsRowFunction="sum" dataDxfId="18" totalsRowDxfId="17"/>
    <tableColumn id="11" xr3:uid="{7909D5D9-3A7A-4C0A-AF2E-D7CF7329ED45}" name="Profit after tax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9500C-B227-4364-AE3C-12226C6E9A6D}" name="scrape" displayName="scrape" ref="A1:B8" tableType="queryTable" totalsRowShown="0">
  <autoFilter ref="A1:B8" xr:uid="{3989500C-B227-4364-AE3C-12226C6E9A6D}"/>
  <tableColumns count="2">
    <tableColumn id="1" xr3:uid="{6527E4D1-4017-47AC-B4D3-D6AA174CDD57}" uniqueName="1" name="Name" queryTableFieldId="1" dataDxfId="1"/>
    <tableColumn id="2" xr3:uid="{BAF4591A-73C7-4B9E-BEEC-7E531168C623}" uniqueName="2" name="Pric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6136-5D8D-4C1C-BBD5-9D4EBFC45D42}">
  <dimension ref="A1:P9"/>
  <sheetViews>
    <sheetView tabSelected="1" workbookViewId="0">
      <selection activeCell="E2" sqref="E2"/>
    </sheetView>
  </sheetViews>
  <sheetFormatPr defaultRowHeight="15" x14ac:dyDescent="0.25"/>
  <cols>
    <col min="1" max="1" width="38.7109375" bestFit="1" customWidth="1"/>
    <col min="2" max="2" width="9.5703125" bestFit="1" customWidth="1"/>
    <col min="5" max="5" width="38.7109375" bestFit="1" customWidth="1"/>
    <col min="6" max="6" width="16.7109375" bestFit="1" customWidth="1"/>
    <col min="7" max="7" width="17.140625" bestFit="1" customWidth="1"/>
    <col min="8" max="8" width="12.140625" bestFit="1" customWidth="1"/>
    <col min="9" max="9" width="14.140625" bestFit="1" customWidth="1"/>
    <col min="10" max="10" width="19.7109375" bestFit="1" customWidth="1"/>
    <col min="11" max="11" width="9.42578125" bestFit="1" customWidth="1"/>
    <col min="12" max="12" width="15" bestFit="1" customWidth="1"/>
    <col min="13" max="13" width="18.7109375" bestFit="1" customWidth="1"/>
    <col min="14" max="14" width="10.5703125" bestFit="1" customWidth="1"/>
    <col min="15" max="15" width="18.5703125" bestFit="1" customWidth="1"/>
    <col min="16" max="16" width="4.5703125" bestFit="1" customWidth="1"/>
  </cols>
  <sheetData>
    <row r="1" spans="1:16" ht="15.75" thickBot="1" x14ac:dyDescent="0.3">
      <c r="A1" t="s">
        <v>8</v>
      </c>
      <c r="B1" t="s">
        <v>23</v>
      </c>
      <c r="E1" s="1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3" t="s">
        <v>18</v>
      </c>
      <c r="P1" s="7" t="s">
        <v>19</v>
      </c>
    </row>
    <row r="2" spans="1:16" ht="15.75" thickBot="1" x14ac:dyDescent="0.3">
      <c r="A2" s="17" t="s">
        <v>0</v>
      </c>
      <c r="B2" s="17" t="s">
        <v>24</v>
      </c>
      <c r="E2" s="13" t="str">
        <f>IFERROR(VLOOKUP(A2,scrape[],1,FALSE),"")</f>
        <v>Paris 2023 Contenders Autograph Capsule</v>
      </c>
      <c r="F2" s="15" t="s">
        <v>22</v>
      </c>
      <c r="G2" s="9">
        <f>IFERROR(VALUE(SUBSTITUTE(SUBSTITUTE(MID(VLOOKUP(A2, scrape[], 2, FALSE), 2, LEN(VLOOKUP(A2, scrape[], 2, FALSE))), ".", ","), " USD", "")), "")</f>
        <v>0.26</v>
      </c>
      <c r="H2" s="9" t="e">
        <f>IF(Investment[[#This Row],[Price bought]]=0,0,Investment[[#This Row],[Current price]]-Investment[[#This Row],[Price bought]])</f>
        <v>#VALUE!</v>
      </c>
      <c r="I2" s="12" t="e">
        <f>IF(Investment[[#This Row],[Change]]=0,0,(Investment[[#This Row],[Current price]]-Investment[[#This Row],[Price bought]])/Investment[[#This Row],[Price bought]])</f>
        <v>#VALUE!</v>
      </c>
      <c r="J2" s="16" t="s">
        <v>21</v>
      </c>
      <c r="K2" s="9" t="e">
        <f>Investment[[#This Row],[Number bought]]*Investment[[#This Row],[Price bought]]</f>
        <v>#VALUE!</v>
      </c>
      <c r="L2" s="9" t="e">
        <f>Investment[[#This Row],[Number bought]]*Investment[[#This Row],[Current price]]</f>
        <v>#VALUE!</v>
      </c>
      <c r="M2" s="9" t="e">
        <f>Investment[[#This Row],[Value now]]-(Investment[[#This Row],[Value now]]*$P$2)</f>
        <v>#VALUE!</v>
      </c>
      <c r="N2" s="9" t="e">
        <f>Investment[[#This Row],[Value now]]-Investment[[#This Row],[Paid]]</f>
        <v>#VALUE!</v>
      </c>
      <c r="O2" s="11" t="e">
        <f>Investment[[#This Row],[Value after tax]]-Investment[[#This Row],[Paid]]</f>
        <v>#VALUE!</v>
      </c>
      <c r="P2" s="8">
        <v>0.15</v>
      </c>
    </row>
    <row r="3" spans="1:16" ht="15.75" thickBot="1" x14ac:dyDescent="0.3">
      <c r="A3" s="17" t="s">
        <v>6</v>
      </c>
      <c r="B3" s="17" t="s">
        <v>1</v>
      </c>
      <c r="E3" s="13" t="str">
        <f>IFERROR(VLOOKUP(A3,scrape[],1,FALSE),"")</f>
        <v>Paris 2023 Champions Autograph Capsule</v>
      </c>
      <c r="F3" s="9"/>
      <c r="G3" s="9">
        <f>IFERROR(VALUE(SUBSTITUTE(SUBSTITUTE(MID(VLOOKUP(A3, scrape[], 2, FALSE), 2, LEN(VLOOKUP(A3, scrape[], 2, FALSE))), ".", ","), " USD", "")), "")</f>
        <v>0.27</v>
      </c>
      <c r="H3" s="9">
        <f>IF(Investment[[#This Row],[Price bought]]=0,0,Investment[[#This Row],[Current price]]-Investment[[#This Row],[Price bought]])</f>
        <v>0</v>
      </c>
      <c r="I3" s="12">
        <f>IF(Investment[[#This Row],[Change]]=0,0,(Investment[[#This Row],[Current price]]-Investment[[#This Row],[Price bought]])/Investment[[#This Row],[Price bought]])</f>
        <v>0</v>
      </c>
      <c r="J3" s="4"/>
      <c r="K3" s="9">
        <f>Investment[[#This Row],[Number bought]]*Investment[[#This Row],[Price bought]]</f>
        <v>0</v>
      </c>
      <c r="L3" s="9">
        <f>Investment[[#This Row],[Number bought]]*Investment[[#This Row],[Current price]]</f>
        <v>0</v>
      </c>
      <c r="M3" s="9">
        <f>Investment[[#This Row],[Value now]]-(Investment[[#This Row],[Value now]]*$P$2)</f>
        <v>0</v>
      </c>
      <c r="N3" s="9">
        <f>Investment[[#This Row],[Value now]]-Investment[[#This Row],[Paid]]</f>
        <v>0</v>
      </c>
      <c r="O3" s="11">
        <f>Investment[[#This Row],[Value after tax]]-Investment[[#This Row],[Paid]]</f>
        <v>0</v>
      </c>
    </row>
    <row r="4" spans="1:16" ht="15.75" thickBot="1" x14ac:dyDescent="0.3">
      <c r="A4" s="17" t="s">
        <v>7</v>
      </c>
      <c r="B4" s="17" t="s">
        <v>24</v>
      </c>
      <c r="E4" s="13" t="str">
        <f>IFERROR(VLOOKUP(A4,scrape[],1,FALSE),"")</f>
        <v>Paris 2023 Legends Autograph Capsule</v>
      </c>
      <c r="F4" s="9"/>
      <c r="G4" s="9">
        <f>IFERROR(VALUE(SUBSTITUTE(SUBSTITUTE(MID(VLOOKUP(A4, scrape[], 2, FALSE), 2, LEN(VLOOKUP(A4, scrape[], 2, FALSE))), ".", ","), " USD", "")), "")</f>
        <v>0.26</v>
      </c>
      <c r="H4" s="9">
        <f>IF(Investment[[#This Row],[Price bought]]=0,0,Investment[[#This Row],[Current price]]-Investment[[#This Row],[Price bought]])</f>
        <v>0</v>
      </c>
      <c r="I4" s="12">
        <f>IF(Investment[[#This Row],[Change]]=0,0,(Investment[[#This Row],[Current price]]-Investment[[#This Row],[Price bought]])/Investment[[#This Row],[Price bought]])</f>
        <v>0</v>
      </c>
      <c r="J4" s="4"/>
      <c r="K4" s="9">
        <f>Investment[[#This Row],[Number bought]]*Investment[[#This Row],[Price bought]]</f>
        <v>0</v>
      </c>
      <c r="L4" s="9">
        <f>Investment[[#This Row],[Number bought]]*Investment[[#This Row],[Current price]]</f>
        <v>0</v>
      </c>
      <c r="M4" s="9">
        <f>Investment[[#This Row],[Value now]]-(Investment[[#This Row],[Value now]]*$P$2)</f>
        <v>0</v>
      </c>
      <c r="N4" s="9">
        <f>Investment[[#This Row],[Value now]]-Investment[[#This Row],[Paid]]</f>
        <v>0</v>
      </c>
      <c r="O4" s="11">
        <f>Investment[[#This Row],[Value after tax]]-Investment[[#This Row],[Paid]]</f>
        <v>0</v>
      </c>
    </row>
    <row r="5" spans="1:16" ht="15.75" thickBot="1" x14ac:dyDescent="0.3">
      <c r="A5" s="17" t="s">
        <v>2</v>
      </c>
      <c r="B5" s="17" t="s">
        <v>24</v>
      </c>
      <c r="E5" s="13" t="str">
        <f>IFERROR(VLOOKUP(A5,scrape[],1,FALSE),"")</f>
        <v>Paris 2023 Challengers Sticker Capsule</v>
      </c>
      <c r="F5" s="9"/>
      <c r="G5" s="9">
        <f>IFERROR(VALUE(SUBSTITUTE(SUBSTITUTE(MID(VLOOKUP(A5, scrape[], 2, FALSE), 2, LEN(VLOOKUP(A5, scrape[], 2, FALSE))), ".", ","), " USD", "")), "")</f>
        <v>0.26</v>
      </c>
      <c r="H5" s="9">
        <f>IF(Investment[[#This Row],[Price bought]]=0,0,Investment[[#This Row],[Current price]]-Investment[[#This Row],[Price bought]])</f>
        <v>0</v>
      </c>
      <c r="I5" s="12">
        <f>IF(Investment[[#This Row],[Change]]=0,0,(Investment[[#This Row],[Current price]]-Investment[[#This Row],[Price bought]])/Investment[[#This Row],[Price bought]])</f>
        <v>0</v>
      </c>
      <c r="J5" s="4"/>
      <c r="K5" s="9">
        <f>Investment[[#This Row],[Number bought]]*Investment[[#This Row],[Price bought]]</f>
        <v>0</v>
      </c>
      <c r="L5" s="9">
        <f>Investment[[#This Row],[Number bought]]*Investment[[#This Row],[Current price]]</f>
        <v>0</v>
      </c>
      <c r="M5" s="9">
        <f>Investment[[#This Row],[Value now]]-(Investment[[#This Row],[Value now]]*$P$2)</f>
        <v>0</v>
      </c>
      <c r="N5" s="9">
        <f>Investment[[#This Row],[Value now]]-Investment[[#This Row],[Paid]]</f>
        <v>0</v>
      </c>
      <c r="O5" s="11">
        <f>Investment[[#This Row],[Value after tax]]-Investment[[#This Row],[Paid]]</f>
        <v>0</v>
      </c>
    </row>
    <row r="6" spans="1:16" ht="15.75" thickBot="1" x14ac:dyDescent="0.3">
      <c r="A6" s="17" t="s">
        <v>5</v>
      </c>
      <c r="B6" s="17" t="s">
        <v>24</v>
      </c>
      <c r="E6" s="13" t="str">
        <f>IFERROR(VLOOKUP(A6,scrape[],1,FALSE),"")</f>
        <v>Paris 2023 Legends Sticker Capsule</v>
      </c>
      <c r="F6" s="9"/>
      <c r="G6" s="9">
        <f>IFERROR(VALUE(SUBSTITUTE(SUBSTITUTE(MID(VLOOKUP(A6, scrape[], 2, FALSE), 2, LEN(VLOOKUP(A6, scrape[], 2, FALSE))), ".", ","), " USD", "")), "")</f>
        <v>0.26</v>
      </c>
      <c r="H6" s="9">
        <f>IF(Investment[[#This Row],[Price bought]]=0,0,Investment[[#This Row],[Current price]]-Investment[[#This Row],[Price bought]])</f>
        <v>0</v>
      </c>
      <c r="I6" s="12">
        <f>IF(Investment[[#This Row],[Change]]=0,0,(Investment[[#This Row],[Current price]]-Investment[[#This Row],[Price bought]])/Investment[[#This Row],[Price bought]])</f>
        <v>0</v>
      </c>
      <c r="J6" s="4"/>
      <c r="K6" s="9">
        <f>Investment[[#This Row],[Number bought]]*Investment[[#This Row],[Price bought]]</f>
        <v>0</v>
      </c>
      <c r="L6" s="9">
        <f>Investment[[#This Row],[Number bought]]*Investment[[#This Row],[Current price]]</f>
        <v>0</v>
      </c>
      <c r="M6" s="9">
        <f>Investment[[#This Row],[Value now]]-(Investment[[#This Row],[Value now]]*$P$2)</f>
        <v>0</v>
      </c>
      <c r="N6" s="9">
        <f>Investment[[#This Row],[Value now]]-Investment[[#This Row],[Paid]]</f>
        <v>0</v>
      </c>
      <c r="O6" s="11">
        <f>Investment[[#This Row],[Value after tax]]-Investment[[#This Row],[Paid]]</f>
        <v>0</v>
      </c>
    </row>
    <row r="7" spans="1:16" ht="15.75" thickBot="1" x14ac:dyDescent="0.3">
      <c r="A7" s="17" t="s">
        <v>3</v>
      </c>
      <c r="B7" s="17" t="s">
        <v>24</v>
      </c>
      <c r="E7" s="13" t="str">
        <f>IFERROR(VLOOKUP(A7,scrape[],1,FALSE),"")</f>
        <v>Paris 2023 Contenders Sticker Capsule</v>
      </c>
      <c r="F7" s="9"/>
      <c r="G7" s="9">
        <f>IFERROR(VALUE(SUBSTITUTE(SUBSTITUTE(MID(VLOOKUP(A7, scrape[], 2, FALSE), 2, LEN(VLOOKUP(A7, scrape[], 2, FALSE))), ".", ","), " USD", "")), "")</f>
        <v>0.26</v>
      </c>
      <c r="H7" s="9">
        <f>IF(Investment[[#This Row],[Price bought]]=0,0,Investment[[#This Row],[Current price]]-Investment[[#This Row],[Price bought]])</f>
        <v>0</v>
      </c>
      <c r="I7" s="12">
        <f>IF(Investment[[#This Row],[Change]]=0,0,(Investment[[#This Row],[Current price]]-Investment[[#This Row],[Price bought]])/Investment[[#This Row],[Price bought]])</f>
        <v>0</v>
      </c>
      <c r="J7" s="4"/>
      <c r="K7" s="9">
        <f>Investment[[#This Row],[Number bought]]*Investment[[#This Row],[Price bought]]</f>
        <v>0</v>
      </c>
      <c r="L7" s="9">
        <f>Investment[[#This Row],[Number bought]]*Investment[[#This Row],[Current price]]</f>
        <v>0</v>
      </c>
      <c r="M7" s="9">
        <f>Investment[[#This Row],[Value now]]-(Investment[[#This Row],[Value now]]*$P$2)</f>
        <v>0</v>
      </c>
      <c r="N7" s="9">
        <f>Investment[[#This Row],[Value now]]-Investment[[#This Row],[Paid]]</f>
        <v>0</v>
      </c>
      <c r="O7" s="11">
        <f>Investment[[#This Row],[Value after tax]]-Investment[[#This Row],[Paid]]</f>
        <v>0</v>
      </c>
    </row>
    <row r="8" spans="1:16" ht="15.75" thickBot="1" x14ac:dyDescent="0.3">
      <c r="A8" s="17" t="s">
        <v>4</v>
      </c>
      <c r="B8" s="17" t="s">
        <v>24</v>
      </c>
      <c r="E8" s="13" t="str">
        <f>IFERROR(VLOOKUP(A8,scrape[],1,FALSE),"")</f>
        <v>Paris 2023 Challengers Autograph Capsule</v>
      </c>
      <c r="F8" s="9"/>
      <c r="G8" s="9">
        <f>IFERROR(VALUE(SUBSTITUTE(SUBSTITUTE(MID(VLOOKUP(A8, scrape[], 2, FALSE), 2, LEN(VLOOKUP(A8, scrape[], 2, FALSE))), ".", ","), " USD", "")), "")</f>
        <v>0.26</v>
      </c>
      <c r="H8" s="9">
        <f>IF(Investment[[#This Row],[Price bought]]=0,0,Investment[[#This Row],[Current price]]-Investment[[#This Row],[Price bought]])</f>
        <v>0</v>
      </c>
      <c r="I8" s="12">
        <f>IF(Investment[[#This Row],[Change]]=0,0,(Investment[[#This Row],[Current price]]-Investment[[#This Row],[Price bought]])/Investment[[#This Row],[Price bought]])</f>
        <v>0</v>
      </c>
      <c r="J8" s="4"/>
      <c r="K8" s="9">
        <f>Investment[[#This Row],[Number bought]]*Investment[[#This Row],[Price bought]]</f>
        <v>0</v>
      </c>
      <c r="L8" s="9">
        <f>Investment[[#This Row],[Number bought]]*Investment[[#This Row],[Current price]]</f>
        <v>0</v>
      </c>
      <c r="M8" s="9">
        <f>Investment[[#This Row],[Value now]]-(Investment[[#This Row],[Value now]]*$P$2)</f>
        <v>0</v>
      </c>
      <c r="N8" s="9">
        <f>Investment[[#This Row],[Value now]]-Investment[[#This Row],[Paid]]</f>
        <v>0</v>
      </c>
      <c r="O8" s="11">
        <f>Investment[[#This Row],[Value after tax]]-Investment[[#This Row],[Paid]]</f>
        <v>0</v>
      </c>
    </row>
    <row r="9" spans="1:16" x14ac:dyDescent="0.25">
      <c r="E9" s="5" t="s">
        <v>20</v>
      </c>
      <c r="F9" s="6"/>
      <c r="G9" s="6"/>
      <c r="H9" s="6"/>
      <c r="I9" s="6"/>
      <c r="J9" s="6">
        <f>SUBTOTAL(109,Investment[Number bought])</f>
        <v>0</v>
      </c>
      <c r="K9" s="10" t="e">
        <f>SUBTOTAL(109,Investment[Paid])</f>
        <v>#VALUE!</v>
      </c>
      <c r="L9" s="10" t="e">
        <f>SUBTOTAL(109,Investment[Value now])</f>
        <v>#VALUE!</v>
      </c>
      <c r="M9" s="10" t="e">
        <f>SUBTOTAL(109,Investment[Value after tax])</f>
        <v>#VALUE!</v>
      </c>
      <c r="N9" s="10" t="e">
        <f>SUBTOTAL(109,Investment[Profit])</f>
        <v>#VALUE!</v>
      </c>
      <c r="O9" s="14" t="e">
        <f>SUBTOTAL(109,Investment[Profit after tax])</f>
        <v>#VALUE!</v>
      </c>
    </row>
  </sheetData>
  <conditionalFormatting sqref="F2:O8">
    <cfRule type="cellIs" dxfId="14" priority="8" operator="equal">
      <formula>0</formula>
    </cfRule>
  </conditionalFormatting>
  <conditionalFormatting sqref="H2:I8">
    <cfRule type="cellIs" dxfId="13" priority="12" operator="equal">
      <formula>0</formula>
    </cfRule>
    <cfRule type="cellIs" dxfId="12" priority="13" operator="equal">
      <formula>0</formula>
    </cfRule>
    <cfRule type="cellIs" dxfId="11" priority="14" operator="lessThan">
      <formula>0</formula>
    </cfRule>
    <cfRule type="cellIs" dxfId="10" priority="15" operator="greaterThan">
      <formula>0</formula>
    </cfRule>
  </conditionalFormatting>
  <conditionalFormatting sqref="N2:O8">
    <cfRule type="cellIs" dxfId="9" priority="11" operator="equal">
      <formula>0</formula>
    </cfRule>
  </conditionalFormatting>
  <conditionalFormatting sqref="N2:O9">
    <cfRule type="cellIs" dxfId="8" priority="6" operator="lessThan">
      <formula>0</formula>
    </cfRule>
    <cfRule type="cellIs" dxfId="7" priority="7" operator="greaterThan">
      <formula>0</formula>
    </cfRule>
  </conditionalFormatting>
  <conditionalFormatting sqref="N9:O9">
    <cfRule type="cellIs" dxfId="6" priority="1" operator="equal">
      <formula>0</formula>
    </cfRule>
    <cfRule type="cellIs" dxfId="5" priority="2" operator="equal">
      <formula>0</formula>
    </cfRule>
    <cfRule type="cellIs" dxfId="4" priority="3" operator="equal">
      <formula>0</formula>
    </cfRule>
    <cfRule type="cellIs" dxfId="3" priority="4" operator="equal">
      <formula>"$0,00"</formula>
    </cfRule>
    <cfRule type="cellIs" dxfId="2" priority="5" operator="equal">
      <formula>0</formula>
    </cfRule>
  </conditionalFormatting>
  <dataValidations count="1">
    <dataValidation allowBlank="1" showInputMessage="1" showErrorMessage="1" prompt="examples:_x000a_=IF([@Name]=&quot;Paris 2023 Legends Sticker Capsule&quot;;0,25;0)_x000a__x000a_=IF(COUNTIF([@Name];&quot;Paris 2023 * Capsule&quot;;0,25;0))" sqref="F2" xr:uid="{3EC01A0C-8A7D-46F6-B0C9-41FFF03039B2}"/>
  </dataValidations>
  <pageMargins left="0.7" right="0.7" top="0.75" bottom="0.75" header="0.3" footer="0.3"/>
  <pageSetup paperSize="9" orientation="portrait" verticalDpi="300" r:id="rId1"/>
  <ignoredErrors>
    <ignoredError sqref="H2:I8" calculatedColumn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Z X c 2 V 9 O / 4 M a k A A A A 9 w A A A B I A H A B D b 2 5 m a W c v U G F j a 2 F n Z S 5 4 b W w g o h g A K K A U A A A A A A A A A A A A A A A A A A A A A A A A A A A A h Y + x D o I w G I R 3 E 9 + B d K c t d S M / Z X C F h M T E u D b Q Y G N p C S 2 W d 3 P w k X w F I Y q 6 O d 7 d l 9 z d 4 3 a H f O p 0 d J W D U 9 Z k K M E U R c 4 L 0 w h t j c y Q s S j n 2 w 1 U o r 6 I V k Y z b V w 6 u S Z D Z + / 7 l J A Q A g 4 7 b I e W M E o T c i q L Q 3 2 W n U A f W P 2 H Y 2 W W 2 l o i D s f X G s 5 w w i h m j G E K Z D W h V O Y L s H n w k v 6 Y s B + 1 H w f J e x 1 X B Z B V A n l / 4 E 9 Q S w M E F A A C A A g A Z X c 2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V 3 N l d R 9 8 A 0 K w E A A D g C A A A T A B w A R m 9 y b X V s Y X M v U 2 V j d G l v b j E u b S C i G A A o o B Q A A A A A A A A A A A A A A A A A A A A A A A A A A A C F k F 9 L w z A U x d 8 L / Q 4 h v r Q Q B v P R s Q f p F E W Q w S Y + r E O y 9 s 7 W p b k l 9 x Y 6 x r 6 7 q a 3 / 5 s C 8 X H J O k t 8 5 I c i 4 R C s W / R x P w i A M q N A O c k G Z 0 z W I q T D A Y S D 8 W m D j s k 6 5 a T M w o 2 d 0 u w 3 i L r o t D Y w S t A y W K Z L J V f p E 4 C j d l q a h d A a 0 Y 6 z T e s 8 F 2 p Q Y d F U 7 f P P I t G e M W k O t j J W w j T F K s G s g V g O y A O D x y 8 f w 4 D 7 B Y X X P U E 1 l b 0 r 1 U N p 8 2 M n 1 c T X T r N f D / Q u Z F N q + + j r L f Q 3 S P 7 H U G 5 9 2 6 b S l L b o q Q d N U t j M p + g l T h 4 P s P Q 8 Q 7 H 3 B 0 P J R i U / 9 8 p d + j L + I c 4 c V s k f e g c 7 9 P 3 x T B 2 f Q o 5 N w S q y G A 9 f G L D J t t K N p 9 x n r + G y b 8 T 9 1 z i T p W j 3 q C v 5 U m r s y g 5 N C Y V D a 8 9 z J O 1 B L A Q I t A B Q A A g A I A G V 3 N l f T v + D G p A A A A P c A A A A S A A A A A A A A A A A A A A A A A A A A A A B D b 2 5 m a W c v U G F j a 2 F n Z S 5 4 b W x Q S w E C L Q A U A A I A C A B l d z Z X U 3 I 4 L J s A A A D h A A A A E w A A A A A A A A A A A A A A A A D w A A A A W 0 N v b n R l b n R f V H l w Z X N d L n h t b F B L A Q I t A B Q A A g A I A G V 3 N l d R 9 8 A 0 K w E A A D g C A A A T A A A A A A A A A A A A A A A A A N g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L A A A A A A A A 3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3 J h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N j c m F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y V D E y O j U 5 O j E w L j U w O D E 5 M j F a I i A v P j x F b n R y e S B U e X B l P S J G a W x s Q 2 9 s d W 1 u V H l w Z X M i I F Z h b H V l P S J z Q m d Z P S I g L z 4 8 R W 5 0 c n k g V H l w Z T 0 i R m l s b E N v b H V t b k 5 h b W V z I i B W Y W x 1 Z T 0 i c 1 s m c X V v d D t O Y W 1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l L 0 F 1 d G 9 S Z W 1 v d m V k Q 2 9 s d W 1 u c z E u e 0 5 h b W U s M H 0 m c X V v d D s s J n F 1 b 3 Q 7 U 2 V j d G l v b j E v c 2 N y Y X B l L 0 F 1 d G 9 S Z W 1 v d m V k Q 2 9 s d W 1 u c z E u e 1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c m F w Z S 9 B d X R v U m V t b 3 Z l Z E N v b H V t b n M x L n t O Y W 1 l L D B 9 J n F 1 b 3 Q 7 L C Z x d W 9 0 O 1 N l Y 3 R p b 2 4 x L 3 N j c m F w Z S 9 B d X R v U m V t b 3 Z l Z E N v b H V t b n M x L n t Q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y Y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3 J h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y Y X B l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D k I / c j B 3 R o G a u m y 0 O P H g A A A A A A I A A A A A A B B m A A A A A Q A A I A A A A P S v 3 Z T l R s 4 H H L E 7 X D u 4 + 0 Q U Z f / A U E 6 s 9 q 9 m 6 S s 6 a F C q A A A A A A 6 A A A A A A g A A I A A A A G m n C y 9 9 b f n g t l n x Y K r n A F + / v + 5 S U Y e O h R D K R N f 4 d 3 O 6 U A A A A P 3 / u Z E h 3 q 1 9 s h q 9 + K l C Y N r F 7 l 2 t v W Y Y q 4 V W 2 a G Y d y b 3 U n M j I q / G 5 9 r l 4 w 2 p 9 N p G D p G W 8 e h C e N 6 c y C g W m g n p V C V a t M w G y q + 7 I b r m 5 S F h l c R S Q A A A A J j k X I U W T q 1 7 8 K k i Y 9 L N T T Z 2 P i L u A E Z N 8 9 I y D t S m W n 3 P a t U / Y b B Y 1 t I L y a + z 3 p I I Z q 0 8 9 p H 7 N r i R u 8 Y v o F 8 i o V g = < / D a t a M a s h u p > 
</file>

<file path=customXml/itemProps1.xml><?xml version="1.0" encoding="utf-8"?>
<ds:datastoreItem xmlns:ds="http://schemas.openxmlformats.org/officeDocument/2006/customXml" ds:itemID="{1AF1113C-75CE-4090-9FCF-CF1D28AF16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Filusz</cp:lastModifiedBy>
  <dcterms:created xsi:type="dcterms:W3CDTF">2015-06-05T18:17:20Z</dcterms:created>
  <dcterms:modified xsi:type="dcterms:W3CDTF">2023-09-22T13:00:02Z</dcterms:modified>
</cp:coreProperties>
</file>