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omments1.xml" ContentType="application/vnd.openxmlformats-officedocument.spreadsheetml.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Global Nutrition Cluster Caseload Calculator/"/>
    </mc:Choice>
  </mc:AlternateContent>
  <xr:revisionPtr revIDLastSave="2960" documentId="8_{FC9FCD9C-C29E-4332-924F-781918F9916B}" xr6:coauthVersionLast="47" xr6:coauthVersionMax="47" xr10:uidLastSave="{229B8167-F6EA-419F-871C-C41006CC92E2}"/>
  <bookViews>
    <workbookView xWindow="-15180" yWindow="-18120" windowWidth="29040" windowHeight="17640" activeTab="5" xr2:uid="{00000000-000D-0000-FFFF-FFFF00000000}"/>
  </bookViews>
  <sheets>
    <sheet name="Instructions" sheetId="7" r:id="rId1"/>
    <sheet name="Prevalence" sheetId="6" r:id="rId2"/>
    <sheet name="Burden" sheetId="18" r:id="rId3"/>
    <sheet name="Amplitude" sheetId="19" r:id="rId4"/>
    <sheet name="Other interventions" sheetId="8" r:id="rId5"/>
    <sheet name="Selected supplies" sheetId="15" r:id="rId6"/>
    <sheet name="CMAM summary" sheetId="13" r:id="rId7"/>
    <sheet name="Other interventions summary" sheetId="14" r:id="rId8"/>
  </sheets>
  <definedNames>
    <definedName name="_xlcn.WorksheetConnection_CMAMAQ33BC671" hidden="1">Prevalence!$AR$164:$BD$198</definedName>
    <definedName name="_xlcn.WorksheetConnection_GNCCaseloadcalculatorDRAFTUPDATE.xlsxTableP0to51" hidden="1">TableP0to5[]</definedName>
    <definedName name="_xlcn.WorksheetConnection_GNCCaseloadcalculatorupdated.xlsxTable11" hidden="1">TableP6to59[]</definedName>
    <definedName name="_xlcn.WorksheetConnection_PrevalenceAR227BD2611" hidden="1">Prevalence!$AR$227:$BD$261</definedName>
    <definedName name="Slicer_Admin_11">#N/A</definedName>
  </definedNames>
  <calcPr calcId="191028"/>
  <pivotCaches>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Prevalence!$AR$227:$BD$261"/>
          <x15:modelTable id="Table1" name="Table1" connection="WorksheetConnection_GNC-Caseload calculator updated.xlsx!Table1"/>
          <x15:modelTable id="TableP0to5" name="TableP0to5" connection="WorksheetConnection_GNC-Caseload calculator DRAFT UPDATE.xlsx!TableP0to5"/>
          <x15:modelTable id="Range" name="Range" connection="WorksheetConnection_CMAM!$AQ$33:$BC$67"/>
        </x15:modelTables>
        <x15:modelRelationships>
          <x15:modelRelationship fromTable="Table1" fromColumn="Admin 1" toTable="Range" toColumn="Admin 1"/>
          <x15:modelRelationship fromTable="TableP0to5" fromColumn="Admin 1" toTable="Table1" toColumn="Admin 1"/>
          <x15:modelRelationship fromTable="Range 1" fromColumn="Admin 1" toTable="Range" toColumn="Admin 1"/>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5" l="1"/>
  <c r="G12" i="15"/>
  <c r="B11" i="15"/>
  <c r="J8" i="13"/>
  <c r="J6" i="13"/>
  <c r="N32" i="19" l="1"/>
  <c r="N24" i="19"/>
  <c r="N14" i="19"/>
  <c r="E32" i="18"/>
  <c r="BQ59" i="6"/>
  <c r="BM47" i="6"/>
  <c r="AQ164" i="6"/>
  <c r="AQ165" i="6"/>
  <c r="AQ166" i="6"/>
  <c r="AQ167" i="6"/>
  <c r="AQ168" i="6"/>
  <c r="AQ169" i="6"/>
  <c r="AQ170" i="6"/>
  <c r="AQ171" i="6"/>
  <c r="AQ172" i="6"/>
  <c r="AQ173" i="6"/>
  <c r="AQ174" i="6"/>
  <c r="AQ175" i="6"/>
  <c r="AQ176" i="6"/>
  <c r="AQ177" i="6"/>
  <c r="AQ178" i="6"/>
  <c r="AQ179" i="6"/>
  <c r="AQ180" i="6"/>
  <c r="AQ181" i="6"/>
  <c r="AQ182" i="6"/>
  <c r="AQ183" i="6"/>
  <c r="AQ184" i="6"/>
  <c r="AQ185" i="6"/>
  <c r="AQ186" i="6"/>
  <c r="AQ187" i="6"/>
  <c r="AQ188" i="6"/>
  <c r="AQ189" i="6"/>
  <c r="AQ190" i="6"/>
  <c r="AQ191" i="6"/>
  <c r="AQ192" i="6"/>
  <c r="AQ193" i="6"/>
  <c r="AQ194" i="6"/>
  <c r="AQ195" i="6"/>
  <c r="AQ196" i="6"/>
  <c r="AQ197" i="6"/>
  <c r="AQ198" i="6"/>
  <c r="AQ199" i="6"/>
  <c r="AQ200" i="6"/>
  <c r="AQ201" i="6"/>
  <c r="AQ202" i="6"/>
  <c r="AQ203" i="6"/>
  <c r="AQ204" i="6"/>
  <c r="AQ205" i="6"/>
  <c r="AQ206" i="6"/>
  <c r="AQ163" i="6"/>
  <c r="AQ227" i="6"/>
  <c r="AQ228" i="6"/>
  <c r="AQ229" i="6"/>
  <c r="AQ230" i="6"/>
  <c r="AQ231" i="6"/>
  <c r="AQ232" i="6"/>
  <c r="AQ233" i="6"/>
  <c r="AQ234" i="6"/>
  <c r="AQ235" i="6"/>
  <c r="AQ236" i="6"/>
  <c r="AQ237" i="6"/>
  <c r="AQ238" i="6"/>
  <c r="AQ239" i="6"/>
  <c r="AQ240" i="6"/>
  <c r="AQ241" i="6"/>
  <c r="AQ242" i="6"/>
  <c r="AQ243" i="6"/>
  <c r="AQ244" i="6"/>
  <c r="AQ245" i="6"/>
  <c r="AQ246" i="6"/>
  <c r="AQ247" i="6"/>
  <c r="AQ248" i="6"/>
  <c r="AQ249" i="6"/>
  <c r="AQ250" i="6"/>
  <c r="AQ251" i="6"/>
  <c r="AQ252" i="6"/>
  <c r="AQ253" i="6"/>
  <c r="AQ254" i="6"/>
  <c r="AQ255" i="6"/>
  <c r="AQ256" i="6"/>
  <c r="AQ257" i="6"/>
  <c r="AQ258" i="6"/>
  <c r="AQ259" i="6"/>
  <c r="AQ260" i="6"/>
  <c r="AQ261" i="6"/>
  <c r="AQ262" i="6"/>
  <c r="BE262" i="6" s="1" a="1"/>
  <c r="BE262" i="6" s="1"/>
  <c r="AQ263" i="6"/>
  <c r="BE263" i="6" s="1" a="1"/>
  <c r="BE263" i="6" s="1"/>
  <c r="AQ264" i="6"/>
  <c r="AQ265" i="6"/>
  <c r="BE265" i="6" s="1" a="1"/>
  <c r="BE265" i="6" s="1"/>
  <c r="AQ266" i="6"/>
  <c r="BE266" i="6" s="1" a="1"/>
  <c r="BE266" i="6" s="1"/>
  <c r="AQ267" i="6"/>
  <c r="BE267" i="6" s="1" a="1"/>
  <c r="BE267" i="6" s="1"/>
  <c r="AQ268" i="6"/>
  <c r="BE268" i="6" s="1" a="1"/>
  <c r="BE268" i="6" s="1"/>
  <c r="AQ269" i="6"/>
  <c r="BE269" i="6" s="1" a="1"/>
  <c r="BE269" i="6" s="1"/>
  <c r="AQ226" i="6"/>
  <c r="AC228" i="6"/>
  <c r="AR228" i="6" s="1"/>
  <c r="AC229" i="6"/>
  <c r="AR229" i="6" s="1"/>
  <c r="AC230" i="6"/>
  <c r="AR230" i="6" s="1"/>
  <c r="AC231" i="6"/>
  <c r="AR231" i="6" s="1"/>
  <c r="AC232" i="6"/>
  <c r="AR232" i="6" s="1"/>
  <c r="AC233" i="6"/>
  <c r="AR233" i="6" s="1"/>
  <c r="AC234" i="6"/>
  <c r="AR234" i="6" s="1"/>
  <c r="AC235" i="6"/>
  <c r="AR235" i="6" s="1"/>
  <c r="AC236" i="6"/>
  <c r="AC237" i="6"/>
  <c r="AR237" i="6" s="1"/>
  <c r="AC238" i="6"/>
  <c r="AR238" i="6" s="1"/>
  <c r="AC239" i="6"/>
  <c r="AR239" i="6" s="1"/>
  <c r="AC240" i="6"/>
  <c r="AR240" i="6" s="1"/>
  <c r="AC241" i="6"/>
  <c r="AR241" i="6" s="1"/>
  <c r="AC242" i="6"/>
  <c r="AR242" i="6" s="1"/>
  <c r="AC243" i="6"/>
  <c r="AR243" i="6" s="1"/>
  <c r="AC244" i="6"/>
  <c r="AR244" i="6" s="1"/>
  <c r="AC245" i="6"/>
  <c r="AR245" i="6" s="1"/>
  <c r="AC246" i="6"/>
  <c r="AR246" i="6" s="1"/>
  <c r="AC247" i="6"/>
  <c r="AR247" i="6" s="1"/>
  <c r="AC248" i="6"/>
  <c r="AR248" i="6" s="1"/>
  <c r="AC249" i="6"/>
  <c r="AR249" i="6" s="1"/>
  <c r="AC250" i="6"/>
  <c r="AR250" i="6" s="1"/>
  <c r="AC251" i="6"/>
  <c r="AR251" i="6" s="1"/>
  <c r="AC252" i="6"/>
  <c r="AR252" i="6" s="1"/>
  <c r="AC253" i="6"/>
  <c r="AR253" i="6" s="1"/>
  <c r="AC254" i="6"/>
  <c r="AR254" i="6" s="1"/>
  <c r="AC255" i="6"/>
  <c r="AR255" i="6" s="1"/>
  <c r="AC256" i="6"/>
  <c r="AR256" i="6" s="1"/>
  <c r="AC257" i="6"/>
  <c r="AR257" i="6" s="1"/>
  <c r="AC258" i="6"/>
  <c r="AR258" i="6" s="1"/>
  <c r="AC259" i="6"/>
  <c r="AR259" i="6" s="1"/>
  <c r="AC260" i="6"/>
  <c r="AC261" i="6"/>
  <c r="AR261" i="6" s="1"/>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R269" i="6"/>
  <c r="AR268" i="6"/>
  <c r="AR267" i="6"/>
  <c r="AR266" i="6"/>
  <c r="AR265" i="6"/>
  <c r="AR264" i="6"/>
  <c r="AR263" i="6"/>
  <c r="AR262" i="6"/>
  <c r="AR260" i="6"/>
  <c r="AR236" i="6"/>
  <c r="BH227" i="6"/>
  <c r="AR227" i="6"/>
  <c r="AR226" i="6"/>
  <c r="BR68" i="6"/>
  <c r="BR101" i="6"/>
  <c r="BR96" i="6"/>
  <c r="BR103" i="6"/>
  <c r="BR95" i="6"/>
  <c r="BR104" i="6"/>
  <c r="BR100" i="6"/>
  <c r="BR98" i="6"/>
  <c r="BR99" i="6"/>
  <c r="BR93" i="6"/>
  <c r="BR94" i="6"/>
  <c r="BR102" i="6"/>
  <c r="BR97" i="6"/>
  <c r="BE264" i="6" l="1" a="1"/>
  <c r="BE264" i="6" s="1"/>
  <c r="BS94" i="6"/>
  <c r="BS96" i="6"/>
  <c r="BS98" i="6"/>
  <c r="BS100" i="6"/>
  <c r="BS102" i="6"/>
  <c r="BS104" i="6"/>
  <c r="BS93" i="6"/>
  <c r="BR106" i="6"/>
  <c r="BO106" i="6"/>
  <c r="BO93" i="6"/>
  <c r="I40" i="18" s="1"/>
  <c r="I41" i="18" s="1"/>
  <c r="BS97" i="6"/>
  <c r="BS99" i="6"/>
  <c r="BS103" i="6"/>
  <c r="BS95" i="6"/>
  <c r="BS101" i="6"/>
  <c r="K32" i="19"/>
  <c r="N22" i="19"/>
  <c r="BO94" i="6" l="1"/>
  <c r="J40" i="18" s="1"/>
  <c r="J41" i="18" s="1"/>
  <c r="BP93" i="6"/>
  <c r="Q32" i="19"/>
  <c r="K18" i="19"/>
  <c r="N18" i="19"/>
  <c r="K24" i="19"/>
  <c r="K22" i="19"/>
  <c r="N36" i="19"/>
  <c r="K36" i="19"/>
  <c r="N34" i="19"/>
  <c r="K34" i="19"/>
  <c r="N30" i="19"/>
  <c r="K30" i="19"/>
  <c r="N28" i="19"/>
  <c r="K28" i="19"/>
  <c r="N26" i="19"/>
  <c r="K26" i="19"/>
  <c r="N20" i="19"/>
  <c r="K20" i="19"/>
  <c r="N16" i="19"/>
  <c r="K14" i="19"/>
  <c r="K16" i="19"/>
  <c r="B44" i="6"/>
  <c r="BO95" i="6" l="1"/>
  <c r="K40" i="18" s="1"/>
  <c r="K41" i="18" s="1"/>
  <c r="BP94" i="6"/>
  <c r="BH164" i="6"/>
  <c r="BO96" i="6" l="1"/>
  <c r="L40" i="18" s="1"/>
  <c r="L41" i="18" s="1"/>
  <c r="BP95" i="6"/>
  <c r="E35" i="18"/>
  <c r="BO97" i="6" l="1"/>
  <c r="M40" i="18" s="1"/>
  <c r="M41" i="18" s="1"/>
  <c r="BP96" i="6"/>
  <c r="F23" i="18"/>
  <c r="AS268" i="6" l="1"/>
  <c r="BF268" i="6" s="1"/>
  <c r="AS266" i="6"/>
  <c r="BF266" i="6" s="1"/>
  <c r="AS265" i="6"/>
  <c r="BF265" i="6" s="1"/>
  <c r="AS262" i="6"/>
  <c r="BF262" i="6" s="1"/>
  <c r="AS263" i="6"/>
  <c r="BF263" i="6" s="1"/>
  <c r="AS267" i="6"/>
  <c r="BF267" i="6" s="1"/>
  <c r="AS269" i="6"/>
  <c r="BF269" i="6" s="1"/>
  <c r="AS264" i="6"/>
  <c r="BF264" i="6" s="1"/>
  <c r="BO98" i="6"/>
  <c r="N40" i="18" s="1"/>
  <c r="N41" i="18" s="1"/>
  <c r="BP97" i="6"/>
  <c r="BE200" i="6" a="1"/>
  <c r="BE200" i="6" s="1"/>
  <c r="BE204" i="6" a="1"/>
  <c r="BE204" i="6" s="1"/>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16" i="8"/>
  <c r="AD53" i="18"/>
  <c r="BJ20" i="18"/>
  <c r="BJ19" i="18" s="1"/>
  <c r="BO47" i="18"/>
  <c r="BO46" i="18"/>
  <c r="BO40" i="18"/>
  <c r="BL23" i="18"/>
  <c r="BO48" i="18"/>
  <c r="BO50" i="18"/>
  <c r="BL24" i="18"/>
  <c r="BL27" i="18"/>
  <c r="BO45" i="18"/>
  <c r="BL30" i="18"/>
  <c r="BO51" i="18"/>
  <c r="BL20" i="18"/>
  <c r="BO41" i="18"/>
  <c r="BO49" i="18"/>
  <c r="BL25" i="18"/>
  <c r="BL28" i="18"/>
  <c r="BO43" i="18"/>
  <c r="BO42" i="18"/>
  <c r="BL19" i="18"/>
  <c r="BO44" i="18"/>
  <c r="BL21" i="18"/>
  <c r="BL22" i="18"/>
  <c r="BL26" i="18"/>
  <c r="BL29" i="18"/>
  <c r="BO99" i="6" l="1"/>
  <c r="O40" i="18" s="1"/>
  <c r="O41" i="18" s="1"/>
  <c r="BP98" i="6"/>
  <c r="AS201" i="6"/>
  <c r="BH201" i="6" s="1"/>
  <c r="AS200" i="6"/>
  <c r="BH200" i="6" s="1"/>
  <c r="BE201" i="6" a="1"/>
  <c r="BE201" i="6" s="1"/>
  <c r="AS206" i="6"/>
  <c r="BH206" i="6" s="1"/>
  <c r="AS204" i="6"/>
  <c r="BH204" i="6" s="1"/>
  <c r="AS203" i="6"/>
  <c r="BH203" i="6" s="1"/>
  <c r="BE206" i="6" a="1"/>
  <c r="BE206" i="6" s="1"/>
  <c r="BE203" i="6" a="1"/>
  <c r="BE203" i="6" s="1"/>
  <c r="BE202" i="6" a="1"/>
  <c r="BE202" i="6" s="1"/>
  <c r="AS202" i="6"/>
  <c r="BH202" i="6" s="1"/>
  <c r="BE205" i="6" a="1"/>
  <c r="BE205" i="6" s="1"/>
  <c r="AS205" i="6"/>
  <c r="BH205" i="6" s="1"/>
  <c r="BE199" i="6" a="1"/>
  <c r="BE199" i="6" s="1"/>
  <c r="AS199" i="6"/>
  <c r="BH199" i="6" s="1"/>
  <c r="BP44" i="18"/>
  <c r="BP48" i="18"/>
  <c r="BP41" i="18"/>
  <c r="BP45" i="18"/>
  <c r="BP50" i="18"/>
  <c r="BP42" i="18"/>
  <c r="BP47" i="18"/>
  <c r="BP51" i="18"/>
  <c r="BP40" i="18"/>
  <c r="BP43" i="18"/>
  <c r="BP46" i="18"/>
  <c r="BP49" i="18"/>
  <c r="BL40" i="18"/>
  <c r="BM40" i="18" s="1"/>
  <c r="BM29" i="6"/>
  <c r="G13" i="15"/>
  <c r="B10" i="15"/>
  <c r="H12" i="8"/>
  <c r="F12" i="8"/>
  <c r="D12" i="8"/>
  <c r="G5" i="8"/>
  <c r="G2" i="8"/>
  <c r="G8" i="8"/>
  <c r="G47" i="6"/>
  <c r="H47" i="6"/>
  <c r="I47" i="6"/>
  <c r="G48" i="6"/>
  <c r="H48" i="6"/>
  <c r="I48" i="6"/>
  <c r="G49" i="6"/>
  <c r="H49" i="6"/>
  <c r="I49" i="6"/>
  <c r="G50" i="6"/>
  <c r="H50" i="6"/>
  <c r="I50" i="6"/>
  <c r="G51" i="6"/>
  <c r="H51" i="6"/>
  <c r="I51" i="6"/>
  <c r="G52" i="6"/>
  <c r="H52" i="6"/>
  <c r="I52" i="6"/>
  <c r="G53" i="6"/>
  <c r="H53" i="6"/>
  <c r="I53" i="6"/>
  <c r="G54" i="6"/>
  <c r="H54" i="6"/>
  <c r="I54" i="6"/>
  <c r="G55" i="6"/>
  <c r="H55" i="6"/>
  <c r="I55" i="6"/>
  <c r="G56" i="6"/>
  <c r="H56" i="6"/>
  <c r="I56" i="6"/>
  <c r="G57" i="6"/>
  <c r="H57" i="6"/>
  <c r="I57" i="6"/>
  <c r="G58" i="6"/>
  <c r="H58" i="6"/>
  <c r="I58" i="6"/>
  <c r="G59" i="6"/>
  <c r="H59" i="6"/>
  <c r="I59" i="6"/>
  <c r="G60" i="6"/>
  <c r="H60" i="6"/>
  <c r="I60" i="6"/>
  <c r="G61" i="6"/>
  <c r="H61" i="6"/>
  <c r="I61" i="6"/>
  <c r="G62" i="6"/>
  <c r="H62" i="6"/>
  <c r="I62" i="6"/>
  <c r="G63" i="6"/>
  <c r="H63" i="6"/>
  <c r="I63" i="6"/>
  <c r="G64" i="6"/>
  <c r="H64" i="6"/>
  <c r="I64" i="6"/>
  <c r="G65" i="6"/>
  <c r="H65" i="6"/>
  <c r="I65" i="6"/>
  <c r="G66" i="6"/>
  <c r="H66" i="6"/>
  <c r="I66" i="6"/>
  <c r="G67" i="6"/>
  <c r="H67" i="6"/>
  <c r="I67" i="6"/>
  <c r="G68" i="6"/>
  <c r="H68" i="6"/>
  <c r="I68" i="6"/>
  <c r="G69" i="6"/>
  <c r="H69" i="6"/>
  <c r="I69" i="6"/>
  <c r="G70" i="6"/>
  <c r="H70" i="6"/>
  <c r="I70" i="6"/>
  <c r="G71" i="6"/>
  <c r="H71" i="6"/>
  <c r="I71" i="6"/>
  <c r="G72" i="6"/>
  <c r="H72" i="6"/>
  <c r="I72" i="6"/>
  <c r="G73" i="6"/>
  <c r="H73" i="6"/>
  <c r="I73" i="6"/>
  <c r="G74" i="6"/>
  <c r="H74" i="6"/>
  <c r="I74" i="6"/>
  <c r="G75" i="6"/>
  <c r="H75" i="6"/>
  <c r="I75" i="6"/>
  <c r="G76" i="6"/>
  <c r="H76" i="6"/>
  <c r="I76" i="6"/>
  <c r="G77" i="6"/>
  <c r="H77" i="6"/>
  <c r="I77" i="6"/>
  <c r="G78" i="6"/>
  <c r="H78" i="6"/>
  <c r="I78" i="6"/>
  <c r="G79" i="6"/>
  <c r="H79" i="6"/>
  <c r="I79" i="6"/>
  <c r="I46" i="6"/>
  <c r="H46" i="6"/>
  <c r="G46" i="6"/>
  <c r="H44" i="6"/>
  <c r="G44" i="6"/>
  <c r="I44" i="6"/>
  <c r="AR201" i="6"/>
  <c r="AR202" i="6"/>
  <c r="AR203" i="6"/>
  <c r="AR204" i="6"/>
  <c r="BM46" i="6" l="1"/>
  <c r="BO100" i="6"/>
  <c r="P40" i="18" s="1"/>
  <c r="P41" i="18" s="1"/>
  <c r="BP99" i="6"/>
  <c r="H27" i="8"/>
  <c r="I27" i="8" s="1"/>
  <c r="H39" i="8"/>
  <c r="I39" i="8" s="1"/>
  <c r="H51" i="8"/>
  <c r="I51" i="8" s="1"/>
  <c r="H29" i="8"/>
  <c r="I29" i="8" s="1"/>
  <c r="H41" i="8"/>
  <c r="I41" i="8" s="1"/>
  <c r="H30" i="8"/>
  <c r="I30" i="8" s="1"/>
  <c r="H54" i="8"/>
  <c r="I54" i="8" s="1"/>
  <c r="H55" i="8"/>
  <c r="I55" i="8" s="1"/>
  <c r="H44" i="8"/>
  <c r="I44" i="8" s="1"/>
  <c r="H21" i="8"/>
  <c r="I21" i="8" s="1"/>
  <c r="H16" i="8"/>
  <c r="I16" i="8" s="1"/>
  <c r="H28" i="8"/>
  <c r="I28" i="8" s="1"/>
  <c r="H40" i="8"/>
  <c r="I40" i="8" s="1"/>
  <c r="H52" i="8"/>
  <c r="I52" i="8" s="1"/>
  <c r="H17" i="8"/>
  <c r="I17" i="8" s="1"/>
  <c r="H53" i="8"/>
  <c r="I53" i="8" s="1"/>
  <c r="H42" i="8"/>
  <c r="I42" i="8" s="1"/>
  <c r="H43" i="8"/>
  <c r="I43" i="8" s="1"/>
  <c r="H32" i="8"/>
  <c r="I32" i="8" s="1"/>
  <c r="H56" i="8"/>
  <c r="I56" i="8" s="1"/>
  <c r="H33" i="8"/>
  <c r="I33" i="8" s="1"/>
  <c r="H46" i="8"/>
  <c r="I46" i="8" s="1"/>
  <c r="H24" i="8"/>
  <c r="I24" i="8" s="1"/>
  <c r="H49" i="8"/>
  <c r="I49" i="8" s="1"/>
  <c r="H20" i="8"/>
  <c r="I20" i="8" s="1"/>
  <c r="H23" i="8"/>
  <c r="I23" i="8" s="1"/>
  <c r="H48" i="8"/>
  <c r="I48" i="8" s="1"/>
  <c r="H26" i="8"/>
  <c r="I26" i="8" s="1"/>
  <c r="H18" i="8"/>
  <c r="I18" i="8" s="1"/>
  <c r="H14" i="8"/>
  <c r="I14" i="8" s="1"/>
  <c r="H34" i="8"/>
  <c r="I34" i="8" s="1"/>
  <c r="H47" i="8"/>
  <c r="I47" i="8" s="1"/>
  <c r="H37" i="8"/>
  <c r="I37" i="8" s="1"/>
  <c r="H50" i="8"/>
  <c r="I50" i="8" s="1"/>
  <c r="H19" i="8"/>
  <c r="I19" i="8" s="1"/>
  <c r="H31" i="8"/>
  <c r="I31" i="8" s="1"/>
  <c r="H45" i="8"/>
  <c r="I45" i="8" s="1"/>
  <c r="H22" i="8"/>
  <c r="I22" i="8" s="1"/>
  <c r="H35" i="8"/>
  <c r="I35" i="8" s="1"/>
  <c r="H36" i="8"/>
  <c r="I36" i="8" s="1"/>
  <c r="H25" i="8"/>
  <c r="I25" i="8" s="1"/>
  <c r="H38" i="8"/>
  <c r="I38" i="8" s="1"/>
  <c r="D18" i="8"/>
  <c r="E18" i="8" s="1"/>
  <c r="D35" i="8"/>
  <c r="E35" i="8" s="1"/>
  <c r="D41" i="8"/>
  <c r="E41" i="8" s="1"/>
  <c r="D50" i="8"/>
  <c r="E50" i="8" s="1"/>
  <c r="D53" i="8"/>
  <c r="E53" i="8" s="1"/>
  <c r="D21" i="8"/>
  <c r="E21" i="8" s="1"/>
  <c r="D27" i="8"/>
  <c r="E27" i="8" s="1"/>
  <c r="D44" i="8"/>
  <c r="E44" i="8" s="1"/>
  <c r="D24" i="8"/>
  <c r="E24" i="8" s="1"/>
  <c r="D39" i="8"/>
  <c r="E39" i="8" s="1"/>
  <c r="D16" i="8"/>
  <c r="E16" i="8" s="1"/>
  <c r="D19" i="8"/>
  <c r="E19" i="8" s="1"/>
  <c r="D36" i="8"/>
  <c r="E36" i="8" s="1"/>
  <c r="D42" i="8"/>
  <c r="E42" i="8" s="1"/>
  <c r="D51" i="8"/>
  <c r="E51" i="8" s="1"/>
  <c r="D54" i="8"/>
  <c r="E54" i="8" s="1"/>
  <c r="D25" i="8"/>
  <c r="E25" i="8" s="1"/>
  <c r="D28" i="8"/>
  <c r="E28" i="8" s="1"/>
  <c r="D45" i="8"/>
  <c r="E45" i="8" s="1"/>
  <c r="D22" i="8"/>
  <c r="E22" i="8" s="1"/>
  <c r="D31" i="8"/>
  <c r="E31" i="8" s="1"/>
  <c r="D48" i="8"/>
  <c r="E48" i="8" s="1"/>
  <c r="D37" i="8"/>
  <c r="E37" i="8" s="1"/>
  <c r="D40" i="8"/>
  <c r="E40" i="8" s="1"/>
  <c r="D52" i="8"/>
  <c r="E52" i="8" s="1"/>
  <c r="D38" i="8"/>
  <c r="E38" i="8" s="1"/>
  <c r="D47" i="8"/>
  <c r="E47" i="8" s="1"/>
  <c r="D56" i="8"/>
  <c r="E56" i="8" s="1"/>
  <c r="D33" i="8"/>
  <c r="E33" i="8" s="1"/>
  <c r="D17" i="8"/>
  <c r="E17" i="8" s="1"/>
  <c r="D34" i="8"/>
  <c r="E34" i="8" s="1"/>
  <c r="D43" i="8"/>
  <c r="E43" i="8" s="1"/>
  <c r="D20" i="8"/>
  <c r="E20" i="8" s="1"/>
  <c r="D26" i="8"/>
  <c r="E26" i="8" s="1"/>
  <c r="D49" i="8"/>
  <c r="E49" i="8" s="1"/>
  <c r="D55" i="8"/>
  <c r="E55" i="8" s="1"/>
  <c r="D14" i="8"/>
  <c r="E14" i="8" s="1"/>
  <c r="D23" i="8"/>
  <c r="E23" i="8" s="1"/>
  <c r="D29" i="8"/>
  <c r="E29" i="8" s="1"/>
  <c r="D46" i="8"/>
  <c r="E46" i="8" s="1"/>
  <c r="D32" i="8"/>
  <c r="E32" i="8" s="1"/>
  <c r="D30" i="8"/>
  <c r="E30" i="8" s="1"/>
  <c r="F29" i="8"/>
  <c r="G29" i="8" s="1"/>
  <c r="F18" i="8"/>
  <c r="G18" i="8" s="1"/>
  <c r="F32" i="8"/>
  <c r="G32" i="8" s="1"/>
  <c r="F35" i="8"/>
  <c r="G35" i="8" s="1"/>
  <c r="F38" i="8"/>
  <c r="G38" i="8" s="1"/>
  <c r="F53" i="8"/>
  <c r="G53" i="8" s="1"/>
  <c r="F24" i="8"/>
  <c r="G24" i="8" s="1"/>
  <c r="F27" i="8"/>
  <c r="G27" i="8" s="1"/>
  <c r="F39" i="8"/>
  <c r="G39" i="8" s="1"/>
  <c r="F56" i="8"/>
  <c r="G56" i="8" s="1"/>
  <c r="F41" i="8"/>
  <c r="G41" i="8" s="1"/>
  <c r="F21" i="8"/>
  <c r="G21" i="8" s="1"/>
  <c r="F44" i="8"/>
  <c r="G44" i="8" s="1"/>
  <c r="F16" i="8"/>
  <c r="G16" i="8" s="1"/>
  <c r="F33" i="8"/>
  <c r="G33" i="8" s="1"/>
  <c r="F36" i="8"/>
  <c r="G36" i="8" s="1"/>
  <c r="F42" i="8"/>
  <c r="G42" i="8" s="1"/>
  <c r="F51" i="8"/>
  <c r="G51" i="8" s="1"/>
  <c r="F19" i="8"/>
  <c r="G19" i="8" s="1"/>
  <c r="F54" i="8"/>
  <c r="G54" i="8" s="1"/>
  <c r="F22" i="8"/>
  <c r="G22" i="8" s="1"/>
  <c r="F45" i="8"/>
  <c r="G45" i="8" s="1"/>
  <c r="F48" i="8"/>
  <c r="G48" i="8" s="1"/>
  <c r="F47" i="8"/>
  <c r="G47" i="8" s="1"/>
  <c r="F25" i="8"/>
  <c r="G25" i="8" s="1"/>
  <c r="F28" i="8"/>
  <c r="G28" i="8" s="1"/>
  <c r="F55" i="8"/>
  <c r="G55" i="8" s="1"/>
  <c r="F50" i="8"/>
  <c r="G50" i="8" s="1"/>
  <c r="F31" i="8"/>
  <c r="G31" i="8" s="1"/>
  <c r="F14" i="8"/>
  <c r="G14" i="8" s="1"/>
  <c r="F34" i="8"/>
  <c r="G34" i="8" s="1"/>
  <c r="F37" i="8"/>
  <c r="G37" i="8" s="1"/>
  <c r="F40" i="8"/>
  <c r="G40" i="8" s="1"/>
  <c r="F52" i="8"/>
  <c r="G52" i="8" s="1"/>
  <c r="F17" i="8"/>
  <c r="G17" i="8" s="1"/>
  <c r="F43" i="8"/>
  <c r="G43" i="8" s="1"/>
  <c r="F49" i="8"/>
  <c r="G49" i="8" s="1"/>
  <c r="F20" i="8"/>
  <c r="G20" i="8" s="1"/>
  <c r="F23" i="8"/>
  <c r="G23" i="8" s="1"/>
  <c r="F26" i="8"/>
  <c r="G26" i="8" s="1"/>
  <c r="F46" i="8"/>
  <c r="G46" i="8" s="1"/>
  <c r="F30" i="8"/>
  <c r="G30" i="8" s="1"/>
  <c r="BL41" i="18"/>
  <c r="BM41" i="18" s="1"/>
  <c r="BS68" i="6"/>
  <c r="AR165" i="6"/>
  <c r="BM28" i="6"/>
  <c r="E30" i="18" s="1"/>
  <c r="E31" i="18" s="1"/>
  <c r="E33" i="18" s="1"/>
  <c r="AR164" i="6"/>
  <c r="AR199" i="6"/>
  <c r="AR200" i="6"/>
  <c r="AR205" i="6"/>
  <c r="AR206" i="6"/>
  <c r="AR163" i="6"/>
  <c r="AR166" i="6"/>
  <c r="AR167" i="6"/>
  <c r="AR168" i="6"/>
  <c r="AR169" i="6"/>
  <c r="AR170" i="6"/>
  <c r="AR171" i="6"/>
  <c r="AR172" i="6"/>
  <c r="AR173" i="6"/>
  <c r="AR174" i="6"/>
  <c r="AR175" i="6"/>
  <c r="AR176" i="6"/>
  <c r="AR177" i="6"/>
  <c r="AR178" i="6"/>
  <c r="AR179" i="6"/>
  <c r="AR180" i="6"/>
  <c r="AR181" i="6"/>
  <c r="AR182" i="6"/>
  <c r="AR183" i="6"/>
  <c r="AR184" i="6"/>
  <c r="AR185" i="6"/>
  <c r="AR186" i="6"/>
  <c r="AR187" i="6"/>
  <c r="AR188" i="6"/>
  <c r="AR189" i="6"/>
  <c r="AR190" i="6"/>
  <c r="AR191" i="6"/>
  <c r="AR192" i="6"/>
  <c r="AR193" i="6"/>
  <c r="AR194" i="6"/>
  <c r="AR195" i="6"/>
  <c r="AR196" i="6"/>
  <c r="AR197" i="6"/>
  <c r="AR198" i="6"/>
  <c r="AN136" i="6"/>
  <c r="AQ134" i="6"/>
  <c r="AQ135" i="6" s="1"/>
  <c r="AR134" i="6"/>
  <c r="AR135" i="6" s="1"/>
  <c r="AS134" i="6"/>
  <c r="AS135" i="6" s="1"/>
  <c r="AT134" i="6"/>
  <c r="AT135" i="6" s="1"/>
  <c r="AU134" i="6"/>
  <c r="AU135" i="6" s="1"/>
  <c r="AV134" i="6"/>
  <c r="AV135" i="6" s="1"/>
  <c r="AW134" i="6"/>
  <c r="AX134" i="6"/>
  <c r="AX135" i="6" s="1"/>
  <c r="AY134" i="6"/>
  <c r="AY135" i="6" s="1"/>
  <c r="AM225" i="6" s="1"/>
  <c r="AZ134" i="6"/>
  <c r="AZ135" i="6" s="1"/>
  <c r="BA134" i="6"/>
  <c r="BA135" i="6" s="1"/>
  <c r="AP134" i="6"/>
  <c r="AP135" i="6" s="1"/>
  <c r="H12" i="15"/>
  <c r="H13" i="15"/>
  <c r="H14" i="15"/>
  <c r="BR77" i="6"/>
  <c r="BR69" i="6"/>
  <c r="BR75" i="6"/>
  <c r="BR79" i="6"/>
  <c r="BR71" i="6"/>
  <c r="BR73" i="6"/>
  <c r="BR74" i="6"/>
  <c r="BR76" i="6"/>
  <c r="BR78" i="6"/>
  <c r="BR72" i="6"/>
  <c r="BR70" i="6"/>
  <c r="BR109" i="6" l="1"/>
  <c r="BR84" i="6"/>
  <c r="AW135" i="6"/>
  <c r="AK225" i="6" s="1"/>
  <c r="BO101" i="6"/>
  <c r="Q40" i="18" s="1"/>
  <c r="Q41" i="18" s="1"/>
  <c r="BP100" i="6"/>
  <c r="AG162" i="6"/>
  <c r="AG225" i="6"/>
  <c r="AF162" i="6"/>
  <c r="AF225" i="6"/>
  <c r="AE162" i="6"/>
  <c r="AE225" i="6"/>
  <c r="AL162" i="6"/>
  <c r="AL225" i="6"/>
  <c r="AN162" i="6"/>
  <c r="AN225" i="6"/>
  <c r="AO162" i="6"/>
  <c r="AO225" i="6"/>
  <c r="AJ162" i="6"/>
  <c r="AJ225" i="6"/>
  <c r="AI162" i="6"/>
  <c r="AI225" i="6"/>
  <c r="AD162" i="6"/>
  <c r="AD225" i="6"/>
  <c r="AH162" i="6"/>
  <c r="AH225" i="6"/>
  <c r="AX139" i="6"/>
  <c r="AX140" i="6" s="1"/>
  <c r="AX146" i="6"/>
  <c r="AX147" i="6" s="1"/>
  <c r="AZ144" i="6"/>
  <c r="AZ145" i="6" s="1"/>
  <c r="AZ142" i="6"/>
  <c r="AZ143" i="6" s="1"/>
  <c r="AZ146" i="6"/>
  <c r="AZ147" i="6" s="1"/>
  <c r="AP144" i="6"/>
  <c r="AP145" i="6" s="1"/>
  <c r="AQ144" i="6"/>
  <c r="AQ145" i="6" s="1"/>
  <c r="AS144" i="6"/>
  <c r="AS145" i="6" s="1"/>
  <c r="AU146" i="6"/>
  <c r="AU147" i="6" s="1"/>
  <c r="AW144" i="6"/>
  <c r="AW145" i="6" s="1"/>
  <c r="AW142" i="6"/>
  <c r="AW143" i="6" s="1"/>
  <c r="AX144" i="6"/>
  <c r="AX145" i="6" s="1"/>
  <c r="AY142" i="6"/>
  <c r="AY143" i="6" s="1"/>
  <c r="AY146" i="6"/>
  <c r="AY147" i="6" s="1"/>
  <c r="BA144" i="6"/>
  <c r="BA145" i="6" s="1"/>
  <c r="AP142" i="6"/>
  <c r="AP143" i="6" s="1"/>
  <c r="BA142" i="6"/>
  <c r="BA143" i="6" s="1"/>
  <c r="BA146" i="6"/>
  <c r="BA147" i="6" s="1"/>
  <c r="AQ142" i="6"/>
  <c r="AQ143" i="6" s="1"/>
  <c r="AP146" i="6"/>
  <c r="AP147" i="6" s="1"/>
  <c r="AR144" i="6"/>
  <c r="AR145" i="6" s="1"/>
  <c r="AR142" i="6"/>
  <c r="AR143" i="6" s="1"/>
  <c r="AQ146" i="6"/>
  <c r="AQ147" i="6" s="1"/>
  <c r="AS142" i="6"/>
  <c r="AS143" i="6" s="1"/>
  <c r="AR146" i="6"/>
  <c r="AR147" i="6" s="1"/>
  <c r="AT144" i="6"/>
  <c r="AT145" i="6" s="1"/>
  <c r="AT142" i="6"/>
  <c r="AT143" i="6" s="1"/>
  <c r="AS146" i="6"/>
  <c r="AS147" i="6" s="1"/>
  <c r="AU144" i="6"/>
  <c r="AU145" i="6" s="1"/>
  <c r="AU142" i="6"/>
  <c r="AU143" i="6" s="1"/>
  <c r="AT146" i="6"/>
  <c r="AT147" i="6" s="1"/>
  <c r="AV144" i="6"/>
  <c r="AV145" i="6" s="1"/>
  <c r="AV142" i="6"/>
  <c r="AV143" i="6" s="1"/>
  <c r="AV146" i="6"/>
  <c r="AV147" i="6" s="1"/>
  <c r="AX142" i="6"/>
  <c r="AX143" i="6" s="1"/>
  <c r="AY144" i="6"/>
  <c r="AY145" i="6" s="1"/>
  <c r="BR81" i="6"/>
  <c r="BO81" i="6"/>
  <c r="BL42" i="18"/>
  <c r="BM42" i="18" s="1"/>
  <c r="BS69" i="6"/>
  <c r="BS70" i="6"/>
  <c r="BS71" i="6"/>
  <c r="BS72" i="6"/>
  <c r="BS73" i="6"/>
  <c r="BS74" i="6"/>
  <c r="BS75" i="6"/>
  <c r="BS76" i="6"/>
  <c r="BS77" i="6"/>
  <c r="BS78" i="6"/>
  <c r="BS79" i="6"/>
  <c r="BO68" i="6"/>
  <c r="AP139" i="6"/>
  <c r="AP140" i="6" s="1"/>
  <c r="AY139" i="6"/>
  <c r="AY140" i="6" s="1"/>
  <c r="AZ139" i="6"/>
  <c r="AZ140" i="6" s="1"/>
  <c r="AT139" i="6"/>
  <c r="AT140" i="6" s="1"/>
  <c r="AM162" i="6"/>
  <c r="AQ139" i="6"/>
  <c r="AQ140" i="6" s="1"/>
  <c r="BA139" i="6"/>
  <c r="BA140" i="6" s="1"/>
  <c r="AV139" i="6"/>
  <c r="AV140" i="6" s="1"/>
  <c r="AU139" i="6"/>
  <c r="AU140" i="6" s="1"/>
  <c r="AS139" i="6"/>
  <c r="AS140" i="6" s="1"/>
  <c r="AR139" i="6"/>
  <c r="AR140" i="6" s="1"/>
  <c r="I38" i="18" l="1"/>
  <c r="I36" i="18" s="1"/>
  <c r="U42" i="18"/>
  <c r="BD143" i="6"/>
  <c r="AW139" i="6"/>
  <c r="AW140" i="6" s="1"/>
  <c r="AW146" i="6"/>
  <c r="AW147" i="6" s="1"/>
  <c r="U44" i="18" s="1"/>
  <c r="AK162" i="6"/>
  <c r="BO102" i="6"/>
  <c r="R40" i="18" s="1"/>
  <c r="R41" i="18" s="1"/>
  <c r="BP101" i="6"/>
  <c r="BL43" i="18"/>
  <c r="BM43" i="18" s="1"/>
  <c r="BO69" i="6"/>
  <c r="J38" i="18" s="1"/>
  <c r="J39" i="18" s="1"/>
  <c r="J37" i="18" s="1"/>
  <c r="BP68" i="6"/>
  <c r="F12" i="15"/>
  <c r="I39" i="18" l="1"/>
  <c r="I37" i="18" s="1"/>
  <c r="BD140" i="6"/>
  <c r="J36" i="18"/>
  <c r="BO103" i="6"/>
  <c r="S40" i="18" s="1"/>
  <c r="S41" i="18" s="1"/>
  <c r="BP102" i="6"/>
  <c r="BL44" i="18"/>
  <c r="BM44" i="18" s="1"/>
  <c r="BP69" i="6"/>
  <c r="BO70" i="6"/>
  <c r="K38" i="18" s="1"/>
  <c r="K39" i="18" s="1"/>
  <c r="K37" i="18" s="1"/>
  <c r="F8" i="15"/>
  <c r="F7" i="15"/>
  <c r="AQ141" i="6" l="1"/>
  <c r="AR141" i="6"/>
  <c r="AF163" i="6" s="1"/>
  <c r="AS141" i="6"/>
  <c r="AT141" i="6"/>
  <c r="AU141" i="6"/>
  <c r="AV141" i="6"/>
  <c r="AW141" i="6"/>
  <c r="AX141" i="6"/>
  <c r="AL163" i="6" s="1"/>
  <c r="BA141" i="6"/>
  <c r="AY141" i="6"/>
  <c r="AZ141" i="6"/>
  <c r="AP141" i="6"/>
  <c r="AE163" i="6"/>
  <c r="K36" i="18"/>
  <c r="BO104" i="6"/>
  <c r="BP103" i="6"/>
  <c r="BL45" i="18"/>
  <c r="BM45" i="18" s="1"/>
  <c r="BF201" i="6"/>
  <c r="BF205" i="6"/>
  <c r="BF199" i="6"/>
  <c r="BF200" i="6"/>
  <c r="BF202" i="6"/>
  <c r="BF203" i="6"/>
  <c r="BF204" i="6"/>
  <c r="BF206" i="6"/>
  <c r="BP70" i="6"/>
  <c r="BO71" i="6"/>
  <c r="L38" i="18" s="1"/>
  <c r="L39" i="18" s="1"/>
  <c r="L37" i="18" s="1"/>
  <c r="G14" i="15"/>
  <c r="I14" i="15"/>
  <c r="F13" i="15"/>
  <c r="I13" i="15" s="1"/>
  <c r="BO30" i="6"/>
  <c r="BO31" i="6"/>
  <c r="BO33" i="6"/>
  <c r="BO35" i="6"/>
  <c r="BO28" i="6"/>
  <c r="BO38" i="6"/>
  <c r="BO39" i="6"/>
  <c r="BO37" i="6"/>
  <c r="BO29" i="6"/>
  <c r="BO34" i="6"/>
  <c r="BO32" i="6"/>
  <c r="AL174" i="6" l="1"/>
  <c r="AL186" i="6"/>
  <c r="AL198" i="6"/>
  <c r="AL173" i="6"/>
  <c r="AL185" i="6"/>
  <c r="AL197" i="6"/>
  <c r="AL165" i="6"/>
  <c r="AL169" i="6"/>
  <c r="AL171" i="6"/>
  <c r="AL178" i="6"/>
  <c r="AL181" i="6"/>
  <c r="AL188" i="6"/>
  <c r="AL180" i="6"/>
  <c r="AL187" i="6"/>
  <c r="AL190" i="6"/>
  <c r="AL170" i="6"/>
  <c r="AL183" i="6"/>
  <c r="AL189" i="6"/>
  <c r="AL196" i="6"/>
  <c r="AL175" i="6"/>
  <c r="AL177" i="6"/>
  <c r="AL179" i="6"/>
  <c r="AL192" i="6"/>
  <c r="AL166" i="6"/>
  <c r="AL194" i="6"/>
  <c r="AL172" i="6"/>
  <c r="AL176" i="6"/>
  <c r="AL168" i="6"/>
  <c r="AL195" i="6"/>
  <c r="AL167" i="6"/>
  <c r="AL182" i="6"/>
  <c r="AL191" i="6"/>
  <c r="AL184" i="6"/>
  <c r="AL193" i="6"/>
  <c r="AD226" i="6"/>
  <c r="AS222" i="6" s="1"/>
  <c r="AS159" i="6"/>
  <c r="AN226" i="6"/>
  <c r="BC222" i="6" s="1"/>
  <c r="BC159" i="6"/>
  <c r="AY159" i="6"/>
  <c r="AJ226" i="6"/>
  <c r="AY222" i="6" s="1"/>
  <c r="AZ159" i="6"/>
  <c r="AK226" i="6"/>
  <c r="AF168" i="6"/>
  <c r="AF180" i="6"/>
  <c r="AF192" i="6"/>
  <c r="AF167" i="6"/>
  <c r="AF179" i="6"/>
  <c r="AF191" i="6"/>
  <c r="AF193" i="6"/>
  <c r="AF197" i="6"/>
  <c r="AF165" i="6"/>
  <c r="AF166" i="6"/>
  <c r="AF172" i="6"/>
  <c r="AF175" i="6"/>
  <c r="AF182" i="6"/>
  <c r="AF198" i="6"/>
  <c r="AF184" i="6"/>
  <c r="AF188" i="6"/>
  <c r="AF187" i="6"/>
  <c r="AF189" i="6"/>
  <c r="AF194" i="6"/>
  <c r="AF169" i="6"/>
  <c r="AF174" i="6"/>
  <c r="AF178" i="6"/>
  <c r="AF196" i="6"/>
  <c r="AF176" i="6"/>
  <c r="AF170" i="6"/>
  <c r="AF186" i="6"/>
  <c r="AF190" i="6"/>
  <c r="AF171" i="6"/>
  <c r="AF177" i="6"/>
  <c r="AF181" i="6"/>
  <c r="AF195" i="6"/>
  <c r="AF173" i="6"/>
  <c r="AF183" i="6"/>
  <c r="AF185" i="6"/>
  <c r="AI163" i="6"/>
  <c r="AX159" i="6"/>
  <c r="AI226" i="6"/>
  <c r="AX222" i="6" s="1"/>
  <c r="AO226" i="6"/>
  <c r="BD222" i="6" s="1"/>
  <c r="BD159" i="6"/>
  <c r="AW159" i="6"/>
  <c r="AH226" i="6"/>
  <c r="AW222" i="6" s="1"/>
  <c r="AV159" i="6"/>
  <c r="AG226" i="6"/>
  <c r="AV222" i="6" s="1"/>
  <c r="AL226" i="6"/>
  <c r="BA159" i="6"/>
  <c r="AU159" i="6"/>
  <c r="AF226" i="6"/>
  <c r="AM226" i="6"/>
  <c r="BB222" i="6" s="1"/>
  <c r="BB159" i="6"/>
  <c r="AE167" i="6"/>
  <c r="AE179" i="6"/>
  <c r="AE191" i="6"/>
  <c r="AE166" i="6"/>
  <c r="AE178" i="6"/>
  <c r="AE190" i="6"/>
  <c r="AE180" i="6"/>
  <c r="AE184" i="6"/>
  <c r="AE188" i="6"/>
  <c r="AE171" i="6"/>
  <c r="AE165" i="6"/>
  <c r="AE168" i="6"/>
  <c r="AE170" i="6"/>
  <c r="AE173" i="6"/>
  <c r="AE183" i="6"/>
  <c r="AE172" i="6"/>
  <c r="AE175" i="6"/>
  <c r="AE182" i="6"/>
  <c r="AE192" i="6"/>
  <c r="AE169" i="6"/>
  <c r="AE185" i="6"/>
  <c r="AE186" i="6"/>
  <c r="AE193" i="6"/>
  <c r="AE189" i="6"/>
  <c r="AE194" i="6"/>
  <c r="AE174" i="6"/>
  <c r="AE196" i="6"/>
  <c r="AE176" i="6"/>
  <c r="AE198" i="6"/>
  <c r="AE195" i="6"/>
  <c r="AE197" i="6"/>
  <c r="AE177" i="6"/>
  <c r="AE181" i="6"/>
  <c r="AE187" i="6"/>
  <c r="AE226" i="6"/>
  <c r="AT159" i="6"/>
  <c r="BO52" i="6"/>
  <c r="AJ163" i="6"/>
  <c r="AM163" i="6"/>
  <c r="AO163" i="6"/>
  <c r="AN163" i="6"/>
  <c r="AK163" i="6"/>
  <c r="AH163" i="6"/>
  <c r="AG163" i="6"/>
  <c r="AD163" i="6"/>
  <c r="BO56" i="6"/>
  <c r="BP104" i="6"/>
  <c r="T40" i="18"/>
  <c r="L36" i="18"/>
  <c r="BL46" i="18"/>
  <c r="BM46" i="18" s="1"/>
  <c r="BP71" i="6"/>
  <c r="BO72" i="6"/>
  <c r="M38" i="18" s="1"/>
  <c r="M39" i="18" s="1"/>
  <c r="M37" i="18" s="1"/>
  <c r="G12" i="8"/>
  <c r="E12" i="8"/>
  <c r="I12" i="8"/>
  <c r="BO36" i="6"/>
  <c r="BO41" i="6" l="1"/>
  <c r="BR85" i="6" s="1"/>
  <c r="BR86" i="6" s="1"/>
  <c r="BO53" i="6"/>
  <c r="AZ222" i="6"/>
  <c r="BO47" i="6"/>
  <c r="AT222" i="6"/>
  <c r="BO48" i="6"/>
  <c r="AU222" i="6"/>
  <c r="BO51" i="6"/>
  <c r="BO54" i="6"/>
  <c r="BA222" i="6"/>
  <c r="AJ172" i="6"/>
  <c r="AJ184" i="6"/>
  <c r="AJ196" i="6"/>
  <c r="AJ171" i="6"/>
  <c r="AJ183" i="6"/>
  <c r="AJ195" i="6"/>
  <c r="AJ173" i="6"/>
  <c r="AJ177" i="6"/>
  <c r="AJ181" i="6"/>
  <c r="AJ168" i="6"/>
  <c r="AJ166" i="6"/>
  <c r="AJ194" i="6"/>
  <c r="AJ167" i="6"/>
  <c r="AJ176" i="6"/>
  <c r="AJ169" i="6"/>
  <c r="AJ174" i="6"/>
  <c r="AJ192" i="6"/>
  <c r="AJ197" i="6"/>
  <c r="AJ185" i="6"/>
  <c r="AJ187" i="6"/>
  <c r="AJ189" i="6"/>
  <c r="AJ178" i="6"/>
  <c r="AJ180" i="6"/>
  <c r="AJ182" i="6"/>
  <c r="AJ191" i="6"/>
  <c r="AJ179" i="6"/>
  <c r="AJ188" i="6"/>
  <c r="AJ198" i="6"/>
  <c r="AJ165" i="6"/>
  <c r="AJ186" i="6"/>
  <c r="AJ190" i="6"/>
  <c r="AJ193" i="6"/>
  <c r="AJ170" i="6"/>
  <c r="AJ175" i="6"/>
  <c r="AD251" i="6"/>
  <c r="AD237" i="6"/>
  <c r="AD249" i="6"/>
  <c r="AD261" i="6"/>
  <c r="AD238" i="6"/>
  <c r="AD250" i="6"/>
  <c r="AD228" i="6"/>
  <c r="AD241" i="6"/>
  <c r="AD256" i="6"/>
  <c r="AD242" i="6"/>
  <c r="AD257" i="6"/>
  <c r="AD244" i="6"/>
  <c r="AD229" i="6"/>
  <c r="AD245" i="6"/>
  <c r="AD231" i="6"/>
  <c r="AD247" i="6"/>
  <c r="AD235" i="6"/>
  <c r="AD254" i="6"/>
  <c r="AD236" i="6"/>
  <c r="AD255" i="6"/>
  <c r="AD253" i="6"/>
  <c r="AD258" i="6"/>
  <c r="AD243" i="6"/>
  <c r="AD246" i="6"/>
  <c r="AD248" i="6"/>
  <c r="AD252" i="6"/>
  <c r="AD230" i="6"/>
  <c r="AD259" i="6"/>
  <c r="AD239" i="6"/>
  <c r="AD240" i="6"/>
  <c r="AD232" i="6"/>
  <c r="AD233" i="6"/>
  <c r="AD234" i="6"/>
  <c r="AD260" i="6"/>
  <c r="AE230" i="6"/>
  <c r="AE242" i="6"/>
  <c r="AE254" i="6"/>
  <c r="AE228" i="6"/>
  <c r="AE240" i="6"/>
  <c r="AE252" i="6"/>
  <c r="AE229" i="6"/>
  <c r="AE241" i="6"/>
  <c r="AE253" i="6"/>
  <c r="AE231" i="6"/>
  <c r="AE234" i="6"/>
  <c r="AE237" i="6"/>
  <c r="AE244" i="6"/>
  <c r="AE246" i="6"/>
  <c r="AE232" i="6"/>
  <c r="AE260" i="6"/>
  <c r="AE236" i="6"/>
  <c r="AE255" i="6"/>
  <c r="AE233" i="6"/>
  <c r="AE261" i="6"/>
  <c r="AE247" i="6"/>
  <c r="AE249" i="6"/>
  <c r="AE243" i="6"/>
  <c r="AE258" i="6"/>
  <c r="AE235" i="6"/>
  <c r="AE238" i="6"/>
  <c r="AE250" i="6"/>
  <c r="AE256" i="6"/>
  <c r="AE259" i="6"/>
  <c r="AE239" i="6"/>
  <c r="AE248" i="6"/>
  <c r="AE251" i="6"/>
  <c r="AE245" i="6"/>
  <c r="AE257" i="6"/>
  <c r="AM236" i="6"/>
  <c r="AM260" i="6"/>
  <c r="AM228" i="6"/>
  <c r="AM238" i="6"/>
  <c r="AM250" i="6"/>
  <c r="AM248" i="6"/>
  <c r="AM237" i="6"/>
  <c r="AM249" i="6"/>
  <c r="AM261" i="6"/>
  <c r="AM239" i="6"/>
  <c r="AM242" i="6"/>
  <c r="AM245" i="6"/>
  <c r="AM229" i="6"/>
  <c r="AM232" i="6"/>
  <c r="AM235" i="6"/>
  <c r="AM233" i="6"/>
  <c r="AM252" i="6"/>
  <c r="AM254" i="6"/>
  <c r="AM240" i="6"/>
  <c r="AM244" i="6"/>
  <c r="AM241" i="6"/>
  <c r="AM255" i="6"/>
  <c r="AM257" i="6"/>
  <c r="AM231" i="6"/>
  <c r="AM234" i="6"/>
  <c r="AM243" i="6"/>
  <c r="AM246" i="6"/>
  <c r="AM258" i="6"/>
  <c r="AM230" i="6"/>
  <c r="AM251" i="6"/>
  <c r="AM256" i="6"/>
  <c r="AM259" i="6"/>
  <c r="AM253" i="6"/>
  <c r="AM247" i="6"/>
  <c r="AK236" i="6"/>
  <c r="AK248" i="6"/>
  <c r="AK260" i="6"/>
  <c r="AK234" i="6"/>
  <c r="AK246" i="6"/>
  <c r="AK258" i="6"/>
  <c r="AK235" i="6"/>
  <c r="AK247" i="6"/>
  <c r="AK259" i="6"/>
  <c r="AK261" i="6"/>
  <c r="AK251" i="6"/>
  <c r="AK254" i="6"/>
  <c r="AK257" i="6"/>
  <c r="AK256" i="6"/>
  <c r="AK242" i="6"/>
  <c r="AK244" i="6"/>
  <c r="AK228" i="6"/>
  <c r="AK237" i="6"/>
  <c r="AK243" i="6"/>
  <c r="AK229" i="6"/>
  <c r="AK231" i="6"/>
  <c r="AK250" i="6"/>
  <c r="AK240" i="6"/>
  <c r="AK249" i="6"/>
  <c r="AK252" i="6"/>
  <c r="AK255" i="6"/>
  <c r="AK230" i="6"/>
  <c r="AK233" i="6"/>
  <c r="AK245" i="6"/>
  <c r="AK239" i="6"/>
  <c r="AK241" i="6"/>
  <c r="AK232" i="6"/>
  <c r="AK253" i="6"/>
  <c r="AK238" i="6"/>
  <c r="AD174" i="6"/>
  <c r="AD186" i="6"/>
  <c r="AD198" i="6"/>
  <c r="AD175" i="6"/>
  <c r="AD187" i="6"/>
  <c r="AD165" i="6"/>
  <c r="AD173" i="6"/>
  <c r="AS173" i="6" s="1"/>
  <c r="AD189" i="6"/>
  <c r="AS189" i="6" s="1"/>
  <c r="AD179" i="6"/>
  <c r="AS179" i="6" s="1"/>
  <c r="AD194" i="6"/>
  <c r="AS194" i="6" s="1"/>
  <c r="AD168" i="6"/>
  <c r="AS168" i="6" s="1"/>
  <c r="AD183" i="6"/>
  <c r="AS183" i="6" s="1"/>
  <c r="AD176" i="6"/>
  <c r="AS176" i="6" s="1"/>
  <c r="AD193" i="6"/>
  <c r="AS193" i="6" s="1"/>
  <c r="AD177" i="6"/>
  <c r="AD195" i="6"/>
  <c r="AS195" i="6" s="1"/>
  <c r="AD169" i="6"/>
  <c r="AD188" i="6"/>
  <c r="AD170" i="6"/>
  <c r="AD190" i="6"/>
  <c r="AS190" i="6" s="1"/>
  <c r="AD171" i="6"/>
  <c r="AS171" i="6" s="1"/>
  <c r="AD191" i="6"/>
  <c r="AD172" i="6"/>
  <c r="AS172" i="6" s="1"/>
  <c r="AD192" i="6"/>
  <c r="AS192" i="6" s="1"/>
  <c r="AD178" i="6"/>
  <c r="AS178" i="6" s="1"/>
  <c r="AD196" i="6"/>
  <c r="AS196" i="6" s="1"/>
  <c r="AD197" i="6"/>
  <c r="AD166" i="6"/>
  <c r="AD167" i="6"/>
  <c r="AD180" i="6"/>
  <c r="AD181" i="6"/>
  <c r="AS181" i="6" s="1"/>
  <c r="AD182" i="6"/>
  <c r="AS182" i="6" s="1"/>
  <c r="AD184" i="6"/>
  <c r="AS184" i="6" s="1"/>
  <c r="AD185" i="6"/>
  <c r="AF229" i="6"/>
  <c r="AF241" i="6"/>
  <c r="AF231" i="6"/>
  <c r="AF243" i="6"/>
  <c r="AF255" i="6"/>
  <c r="AF253" i="6"/>
  <c r="AF230" i="6"/>
  <c r="AF242" i="6"/>
  <c r="AF254" i="6"/>
  <c r="AF244" i="6"/>
  <c r="AF247" i="6"/>
  <c r="AF250" i="6"/>
  <c r="AF228" i="6"/>
  <c r="AF234" i="6"/>
  <c r="AF237" i="6"/>
  <c r="AF240" i="6"/>
  <c r="AF239" i="6"/>
  <c r="AF258" i="6"/>
  <c r="AF246" i="6"/>
  <c r="AF248" i="6"/>
  <c r="AF245" i="6"/>
  <c r="AF233" i="6"/>
  <c r="AF261" i="6"/>
  <c r="AF257" i="6"/>
  <c r="AF249" i="6"/>
  <c r="AF252" i="6"/>
  <c r="AF232" i="6"/>
  <c r="AF235" i="6"/>
  <c r="AF238" i="6"/>
  <c r="AF259" i="6"/>
  <c r="AF251" i="6"/>
  <c r="AF236" i="6"/>
  <c r="AF260" i="6"/>
  <c r="AF256" i="6"/>
  <c r="AI171" i="6"/>
  <c r="AI183" i="6"/>
  <c r="AI195" i="6"/>
  <c r="AI170" i="6"/>
  <c r="AI182" i="6"/>
  <c r="AI194" i="6"/>
  <c r="AI168" i="6"/>
  <c r="AI198" i="6"/>
  <c r="AI174" i="6"/>
  <c r="AI184" i="6"/>
  <c r="AI173" i="6"/>
  <c r="AI176" i="6"/>
  <c r="AI179" i="6"/>
  <c r="AI186" i="6"/>
  <c r="AI196" i="6"/>
  <c r="AI178" i="6"/>
  <c r="AI180" i="6"/>
  <c r="AI191" i="6"/>
  <c r="AI181" i="6"/>
  <c r="AI185" i="6"/>
  <c r="AI166" i="6"/>
  <c r="AI187" i="6"/>
  <c r="AI189" i="6"/>
  <c r="AI169" i="6"/>
  <c r="AI172" i="6"/>
  <c r="AI167" i="6"/>
  <c r="AI193" i="6"/>
  <c r="AI175" i="6"/>
  <c r="AI197" i="6"/>
  <c r="AI165" i="6"/>
  <c r="AI190" i="6"/>
  <c r="AI177" i="6"/>
  <c r="AI188" i="6"/>
  <c r="AI192" i="6"/>
  <c r="AM175" i="6"/>
  <c r="AM187" i="6"/>
  <c r="AM174" i="6"/>
  <c r="AM186" i="6"/>
  <c r="AM198" i="6"/>
  <c r="AM178" i="6"/>
  <c r="AM182" i="6"/>
  <c r="AM165" i="6"/>
  <c r="AM169" i="6"/>
  <c r="AM172" i="6"/>
  <c r="AM166" i="6"/>
  <c r="AM177" i="6"/>
  <c r="AM173" i="6"/>
  <c r="AM180" i="6"/>
  <c r="AM194" i="6"/>
  <c r="AM168" i="6"/>
  <c r="AM190" i="6"/>
  <c r="AM195" i="6"/>
  <c r="AM171" i="6"/>
  <c r="AM197" i="6"/>
  <c r="AM179" i="6"/>
  <c r="AM181" i="6"/>
  <c r="AM183" i="6"/>
  <c r="AM185" i="6"/>
  <c r="AM192" i="6"/>
  <c r="AM189" i="6"/>
  <c r="AM196" i="6"/>
  <c r="AM188" i="6"/>
  <c r="AM170" i="6"/>
  <c r="AM193" i="6"/>
  <c r="AM176" i="6"/>
  <c r="AM167" i="6"/>
  <c r="AM191" i="6"/>
  <c r="AM184" i="6"/>
  <c r="AO238" i="6"/>
  <c r="AO250" i="6"/>
  <c r="AO228" i="6"/>
  <c r="AO240" i="6"/>
  <c r="AO252" i="6"/>
  <c r="AO239" i="6"/>
  <c r="AO251" i="6"/>
  <c r="AO255" i="6"/>
  <c r="AO258" i="6"/>
  <c r="AO261" i="6"/>
  <c r="AO231" i="6"/>
  <c r="AO259" i="6"/>
  <c r="AO247" i="6"/>
  <c r="AO242" i="6"/>
  <c r="AO249" i="6"/>
  <c r="AO246" i="6"/>
  <c r="AO248" i="6"/>
  <c r="AO234" i="6"/>
  <c r="AO253" i="6"/>
  <c r="AO237" i="6"/>
  <c r="AO233" i="6"/>
  <c r="AO236" i="6"/>
  <c r="AO245" i="6"/>
  <c r="AO254" i="6"/>
  <c r="AO257" i="6"/>
  <c r="AO260" i="6"/>
  <c r="AO230" i="6"/>
  <c r="AO243" i="6"/>
  <c r="AO241" i="6"/>
  <c r="AO232" i="6"/>
  <c r="AO256" i="6"/>
  <c r="AO235" i="6"/>
  <c r="AO244" i="6"/>
  <c r="AO229" i="6"/>
  <c r="AG169" i="6"/>
  <c r="AG181" i="6"/>
  <c r="AG193" i="6"/>
  <c r="AG168" i="6"/>
  <c r="AG180" i="6"/>
  <c r="AG192" i="6"/>
  <c r="AG172" i="6"/>
  <c r="AG176" i="6"/>
  <c r="AG167" i="6"/>
  <c r="AG171" i="6"/>
  <c r="AG190" i="6"/>
  <c r="AG189" i="6"/>
  <c r="AG182" i="6"/>
  <c r="AG166" i="6"/>
  <c r="AG183" i="6"/>
  <c r="AG185" i="6"/>
  <c r="AG187" i="6"/>
  <c r="AG194" i="6"/>
  <c r="AG174" i="6"/>
  <c r="AG178" i="6"/>
  <c r="AG191" i="6"/>
  <c r="AG196" i="6"/>
  <c r="AG198" i="6"/>
  <c r="AG184" i="6"/>
  <c r="AG188" i="6"/>
  <c r="AG165" i="6"/>
  <c r="AG170" i="6"/>
  <c r="AG197" i="6"/>
  <c r="AG186" i="6"/>
  <c r="AG177" i="6"/>
  <c r="AG195" i="6"/>
  <c r="AG173" i="6"/>
  <c r="AG175" i="6"/>
  <c r="AG179" i="6"/>
  <c r="AH170" i="6"/>
  <c r="AH182" i="6"/>
  <c r="AH194" i="6"/>
  <c r="AH169" i="6"/>
  <c r="AH181" i="6"/>
  <c r="AH193" i="6"/>
  <c r="AH185" i="6"/>
  <c r="AH189" i="6"/>
  <c r="AH171" i="6"/>
  <c r="AH165" i="6"/>
  <c r="AH177" i="6"/>
  <c r="AH180" i="6"/>
  <c r="AH187" i="6"/>
  <c r="AH197" i="6"/>
  <c r="AH179" i="6"/>
  <c r="AH186" i="6"/>
  <c r="AH196" i="6"/>
  <c r="AH172" i="6"/>
  <c r="AH174" i="6"/>
  <c r="AH176" i="6"/>
  <c r="AH178" i="6"/>
  <c r="AH191" i="6"/>
  <c r="AH167" i="6"/>
  <c r="AH166" i="6"/>
  <c r="AH183" i="6"/>
  <c r="AH198" i="6"/>
  <c r="AH184" i="6"/>
  <c r="AH190" i="6"/>
  <c r="AH195" i="6"/>
  <c r="AH173" i="6"/>
  <c r="AH188" i="6"/>
  <c r="AH168" i="6"/>
  <c r="AH192" i="6"/>
  <c r="AH175" i="6"/>
  <c r="AJ245" i="6"/>
  <c r="AJ257" i="6"/>
  <c r="AJ235" i="6"/>
  <c r="AJ247" i="6"/>
  <c r="AJ259" i="6"/>
  <c r="AJ234" i="6"/>
  <c r="AJ246" i="6"/>
  <c r="AJ258" i="6"/>
  <c r="AJ233" i="6"/>
  <c r="AJ248" i="6"/>
  <c r="AJ251" i="6"/>
  <c r="AJ254" i="6"/>
  <c r="AJ238" i="6"/>
  <c r="AJ241" i="6"/>
  <c r="AJ244" i="6"/>
  <c r="AJ242" i="6"/>
  <c r="AJ261" i="6"/>
  <c r="AJ230" i="6"/>
  <c r="AJ249" i="6"/>
  <c r="AJ232" i="6"/>
  <c r="AJ253" i="6"/>
  <c r="AJ229" i="6"/>
  <c r="AJ231" i="6"/>
  <c r="AJ250" i="6"/>
  <c r="AJ236" i="6"/>
  <c r="AJ237" i="6"/>
  <c r="AJ240" i="6"/>
  <c r="AJ243" i="6"/>
  <c r="AJ252" i="6"/>
  <c r="AJ255" i="6"/>
  <c r="AJ228" i="6"/>
  <c r="AJ239" i="6"/>
  <c r="AJ260" i="6"/>
  <c r="AJ256" i="6"/>
  <c r="AJ217" i="6"/>
  <c r="AH231" i="6"/>
  <c r="AH243" i="6"/>
  <c r="AH233" i="6"/>
  <c r="AH245" i="6"/>
  <c r="AH257" i="6"/>
  <c r="AH255" i="6"/>
  <c r="AH232" i="6"/>
  <c r="AH244" i="6"/>
  <c r="AH256" i="6"/>
  <c r="AH260" i="6"/>
  <c r="AH228" i="6"/>
  <c r="AH235" i="6"/>
  <c r="AH237" i="6"/>
  <c r="AH251" i="6"/>
  <c r="AH253" i="6"/>
  <c r="AH246" i="6"/>
  <c r="AH252" i="6"/>
  <c r="AH238" i="6"/>
  <c r="AH240" i="6"/>
  <c r="AH259" i="6"/>
  <c r="AH249" i="6"/>
  <c r="AH258" i="6"/>
  <c r="AH261" i="6"/>
  <c r="AH229" i="6"/>
  <c r="AH236" i="6"/>
  <c r="AH248" i="6"/>
  <c r="AH234" i="6"/>
  <c r="AH241" i="6"/>
  <c r="AH250" i="6"/>
  <c r="AH239" i="6"/>
  <c r="AH242" i="6"/>
  <c r="AH247" i="6"/>
  <c r="AH254" i="6"/>
  <c r="AH230" i="6"/>
  <c r="AI232" i="6"/>
  <c r="AI234" i="6"/>
  <c r="AI246" i="6"/>
  <c r="AI258" i="6"/>
  <c r="AI244" i="6"/>
  <c r="AI256" i="6"/>
  <c r="AI233" i="6"/>
  <c r="AI245" i="6"/>
  <c r="AI257" i="6"/>
  <c r="AI235" i="6"/>
  <c r="AI238" i="6"/>
  <c r="AI241" i="6"/>
  <c r="AI231" i="6"/>
  <c r="AI230" i="6"/>
  <c r="AI249" i="6"/>
  <c r="AI228" i="6"/>
  <c r="AI237" i="6"/>
  <c r="AI239" i="6"/>
  <c r="AI260" i="6"/>
  <c r="AI236" i="6"/>
  <c r="AI252" i="6"/>
  <c r="AI261" i="6"/>
  <c r="AI242" i="6"/>
  <c r="AI251" i="6"/>
  <c r="AI254" i="6"/>
  <c r="AI248" i="6"/>
  <c r="AI240" i="6"/>
  <c r="AI243" i="6"/>
  <c r="AI255" i="6"/>
  <c r="AI259" i="6"/>
  <c r="AI253" i="6"/>
  <c r="AI229" i="6"/>
  <c r="AI247" i="6"/>
  <c r="AI250" i="6"/>
  <c r="AL235" i="6"/>
  <c r="AL247" i="6"/>
  <c r="AL228" i="6"/>
  <c r="AL237" i="6"/>
  <c r="AL249" i="6"/>
  <c r="AL261" i="6"/>
  <c r="AL259" i="6"/>
  <c r="AL236" i="6"/>
  <c r="AL248" i="6"/>
  <c r="AL260" i="6"/>
  <c r="AL229" i="6"/>
  <c r="AL232" i="6"/>
  <c r="AL240" i="6"/>
  <c r="AL256" i="6"/>
  <c r="AL230" i="6"/>
  <c r="AL251" i="6"/>
  <c r="AL258" i="6"/>
  <c r="AL255" i="6"/>
  <c r="AL257" i="6"/>
  <c r="AL243" i="6"/>
  <c r="AL231" i="6"/>
  <c r="AL234" i="6"/>
  <c r="AL246" i="6"/>
  <c r="AL233" i="6"/>
  <c r="AL242" i="6"/>
  <c r="AL245" i="6"/>
  <c r="AL254" i="6"/>
  <c r="AL239" i="6"/>
  <c r="AL252" i="6"/>
  <c r="AL238" i="6"/>
  <c r="AL250" i="6"/>
  <c r="AL244" i="6"/>
  <c r="AL253" i="6"/>
  <c r="AL241" i="6"/>
  <c r="AK173" i="6"/>
  <c r="AK185" i="6"/>
  <c r="AK197" i="6"/>
  <c r="AK172" i="6"/>
  <c r="AK184" i="6"/>
  <c r="AK196" i="6"/>
  <c r="AK186" i="6"/>
  <c r="AK190" i="6"/>
  <c r="AK194" i="6"/>
  <c r="AK169" i="6"/>
  <c r="AK166" i="6"/>
  <c r="AK168" i="6"/>
  <c r="AK191" i="6"/>
  <c r="AK170" i="6"/>
  <c r="AK183" i="6"/>
  <c r="AK193" i="6"/>
  <c r="AK167" i="6"/>
  <c r="AK187" i="6"/>
  <c r="AK189" i="6"/>
  <c r="AK176" i="6"/>
  <c r="AK171" i="6"/>
  <c r="AK175" i="6"/>
  <c r="AK177" i="6"/>
  <c r="AK179" i="6"/>
  <c r="AK181" i="6"/>
  <c r="AK192" i="6"/>
  <c r="AK174" i="6"/>
  <c r="AK188" i="6"/>
  <c r="AK180" i="6"/>
  <c r="AK198" i="6"/>
  <c r="AK165" i="6"/>
  <c r="AK182" i="6"/>
  <c r="AK178" i="6"/>
  <c r="AK195" i="6"/>
  <c r="AN176" i="6"/>
  <c r="AN188" i="6"/>
  <c r="AN175" i="6"/>
  <c r="AN187" i="6"/>
  <c r="AN191" i="6"/>
  <c r="AN195" i="6"/>
  <c r="AN169" i="6"/>
  <c r="AN172" i="6"/>
  <c r="AN198" i="6"/>
  <c r="AN165" i="6"/>
  <c r="AN197" i="6"/>
  <c r="AN177" i="6"/>
  <c r="AN166" i="6"/>
  <c r="AN185" i="6"/>
  <c r="AN192" i="6"/>
  <c r="AN194" i="6"/>
  <c r="AN168" i="6"/>
  <c r="AN190" i="6"/>
  <c r="AN171" i="6"/>
  <c r="AN179" i="6"/>
  <c r="AN181" i="6"/>
  <c r="AN183" i="6"/>
  <c r="AN196" i="6"/>
  <c r="AN184" i="6"/>
  <c r="AN193" i="6"/>
  <c r="AN180" i="6"/>
  <c r="AN170" i="6"/>
  <c r="AN186" i="6"/>
  <c r="AN182" i="6"/>
  <c r="AN167" i="6"/>
  <c r="AN173" i="6"/>
  <c r="AN178" i="6"/>
  <c r="AN174" i="6"/>
  <c r="AN189" i="6"/>
  <c r="AG230" i="6"/>
  <c r="AG254" i="6"/>
  <c r="AG232" i="6"/>
  <c r="AG244" i="6"/>
  <c r="AG256" i="6"/>
  <c r="AG242" i="6"/>
  <c r="AG231" i="6"/>
  <c r="AG243" i="6"/>
  <c r="AG255" i="6"/>
  <c r="AG257" i="6"/>
  <c r="AG260" i="6"/>
  <c r="AG247" i="6"/>
  <c r="AG250" i="6"/>
  <c r="AG253" i="6"/>
  <c r="AG251" i="6"/>
  <c r="AG239" i="6"/>
  <c r="AG258" i="6"/>
  <c r="AG234" i="6"/>
  <c r="AG241" i="6"/>
  <c r="AG238" i="6"/>
  <c r="AG240" i="6"/>
  <c r="AG259" i="6"/>
  <c r="AG245" i="6"/>
  <c r="AG228" i="6"/>
  <c r="AG237" i="6"/>
  <c r="AG246" i="6"/>
  <c r="AG249" i="6"/>
  <c r="AG252" i="6"/>
  <c r="AG261" i="6"/>
  <c r="AG229" i="6"/>
  <c r="AG233" i="6"/>
  <c r="AG235" i="6"/>
  <c r="AG236" i="6"/>
  <c r="AG248" i="6"/>
  <c r="AO165" i="6"/>
  <c r="AO177" i="6"/>
  <c r="AO189" i="6"/>
  <c r="AO176" i="6"/>
  <c r="AO188" i="6"/>
  <c r="AO166" i="6"/>
  <c r="AO170" i="6"/>
  <c r="AO174" i="6"/>
  <c r="AO167" i="6"/>
  <c r="AO175" i="6"/>
  <c r="AO185" i="6"/>
  <c r="AO192" i="6"/>
  <c r="AO195" i="6"/>
  <c r="AO168" i="6"/>
  <c r="AO184" i="6"/>
  <c r="AO194" i="6"/>
  <c r="AO187" i="6"/>
  <c r="AO179" i="6"/>
  <c r="AO181" i="6"/>
  <c r="AO183" i="6"/>
  <c r="AO169" i="6"/>
  <c r="AO173" i="6"/>
  <c r="AO190" i="6"/>
  <c r="AO197" i="6"/>
  <c r="AO171" i="6"/>
  <c r="AO178" i="6"/>
  <c r="AO196" i="6"/>
  <c r="AO180" i="6"/>
  <c r="AO193" i="6"/>
  <c r="AO172" i="6"/>
  <c r="AO198" i="6"/>
  <c r="AO186" i="6"/>
  <c r="AO182" i="6"/>
  <c r="AO191" i="6"/>
  <c r="AN261" i="6"/>
  <c r="AN228" i="6"/>
  <c r="AN239" i="6"/>
  <c r="AN251" i="6"/>
  <c r="AN237" i="6"/>
  <c r="AN249" i="6"/>
  <c r="AN238" i="6"/>
  <c r="AN250" i="6"/>
  <c r="AN252" i="6"/>
  <c r="AN255" i="6"/>
  <c r="AN258" i="6"/>
  <c r="AN242" i="6"/>
  <c r="AN245" i="6"/>
  <c r="AN248" i="6"/>
  <c r="AN247" i="6"/>
  <c r="AN233" i="6"/>
  <c r="AN235" i="6"/>
  <c r="AN254" i="6"/>
  <c r="AN256" i="6"/>
  <c r="AN234" i="6"/>
  <c r="AN253" i="6"/>
  <c r="AN241" i="6"/>
  <c r="AN236" i="6"/>
  <c r="AN257" i="6"/>
  <c r="AN260" i="6"/>
  <c r="AN230" i="6"/>
  <c r="AN231" i="6"/>
  <c r="AN240" i="6"/>
  <c r="AN243" i="6"/>
  <c r="AN246" i="6"/>
  <c r="AN232" i="6"/>
  <c r="AN244" i="6"/>
  <c r="AN259" i="6"/>
  <c r="AN229" i="6"/>
  <c r="BO49" i="6"/>
  <c r="BO55" i="6"/>
  <c r="BO50" i="6"/>
  <c r="BO57" i="6"/>
  <c r="AS170" i="6"/>
  <c r="AS169" i="6"/>
  <c r="AS186" i="6"/>
  <c r="AS167" i="6"/>
  <c r="BE163" i="6"/>
  <c r="AS163" i="6"/>
  <c r="AS209" i="6" s="1"/>
  <c r="AS187" i="6"/>
  <c r="BR59" i="6"/>
  <c r="BO59" i="6" s="1"/>
  <c r="BO46" i="6"/>
  <c r="AS226" i="6"/>
  <c r="AS272" i="6" s="1"/>
  <c r="BE226" i="6"/>
  <c r="T41" i="18"/>
  <c r="U40" i="18"/>
  <c r="M36" i="18"/>
  <c r="AS258" i="6"/>
  <c r="AS177" i="6"/>
  <c r="AS198" i="6"/>
  <c r="AS165" i="6"/>
  <c r="BL47" i="18"/>
  <c r="BM47" i="18" s="1"/>
  <c r="BO73" i="6"/>
  <c r="N38" i="18" s="1"/>
  <c r="N39" i="18" s="1"/>
  <c r="N37" i="18" s="1"/>
  <c r="BP72" i="6"/>
  <c r="BE231" i="6" l="1" a="1"/>
  <c r="BE231" i="6" s="1"/>
  <c r="BE177" i="6" a="1"/>
  <c r="BE177" i="6" s="1"/>
  <c r="BF177" i="6" s="1"/>
  <c r="BE238" i="6" a="1"/>
  <c r="BE238" i="6" s="1"/>
  <c r="BE240" i="6" a="1"/>
  <c r="BE240" i="6" s="1"/>
  <c r="BE258" i="6" a="1"/>
  <c r="BE258" i="6" s="1"/>
  <c r="BF258" i="6" s="1"/>
  <c r="BE175" i="6" a="1"/>
  <c r="BE175" i="6" s="1"/>
  <c r="BE260" i="6" a="1"/>
  <c r="BE260" i="6" s="1"/>
  <c r="BE248" i="6" a="1"/>
  <c r="BE248" i="6" s="1"/>
  <c r="BE241" i="6" a="1"/>
  <c r="BE241" i="6" s="1"/>
  <c r="BE233" i="6" a="1"/>
  <c r="BE233" i="6" s="1"/>
  <c r="BE239" i="6" a="1"/>
  <c r="BE239" i="6" s="1"/>
  <c r="BE244" i="6" a="1"/>
  <c r="BE244" i="6" s="1"/>
  <c r="BE246" i="6" a="1"/>
  <c r="BE246" i="6" s="1"/>
  <c r="BE230" i="6" a="1"/>
  <c r="BE230" i="6" s="1"/>
  <c r="BE232" i="6" a="1"/>
  <c r="BE232" i="6" s="1"/>
  <c r="BE253" i="6" a="1"/>
  <c r="BE253" i="6" s="1"/>
  <c r="BE245" i="6" a="1"/>
  <c r="BE245" i="6" s="1"/>
  <c r="BE236" i="6" a="1"/>
  <c r="BE236" i="6" s="1"/>
  <c r="BE257" i="6" a="1"/>
  <c r="BE257" i="6" s="1"/>
  <c r="BE254" i="6" a="1"/>
  <c r="BE254" i="6" s="1"/>
  <c r="BE229" i="6" a="1"/>
  <c r="BE229" i="6" s="1"/>
  <c r="BE252" i="6" a="1"/>
  <c r="BE252" i="6" s="1"/>
  <c r="BE242" i="6" a="1"/>
  <c r="BE242" i="6" s="1"/>
  <c r="BE261" i="6" a="1"/>
  <c r="BE261" i="6" s="1"/>
  <c r="BE256" i="6" a="1"/>
  <c r="BE256" i="6" s="1"/>
  <c r="BE237" i="6" a="1"/>
  <c r="BE237" i="6" s="1"/>
  <c r="BE249" i="6" a="1"/>
  <c r="BE249" i="6" s="1"/>
  <c r="AS244" i="6"/>
  <c r="BE194" i="6" a="1"/>
  <c r="BE194" i="6" s="1"/>
  <c r="BF194" i="6" s="1"/>
  <c r="AS254" i="6"/>
  <c r="BE196" i="6" a="1"/>
  <c r="BE196" i="6" s="1"/>
  <c r="BF196" i="6" s="1"/>
  <c r="BE176" i="6" a="1"/>
  <c r="BE176" i="6" s="1"/>
  <c r="BF176" i="6" s="1"/>
  <c r="BE184" i="6" a="1"/>
  <c r="BE184" i="6" s="1"/>
  <c r="BF184" i="6" s="1"/>
  <c r="BE183" i="6" a="1"/>
  <c r="BE183" i="6" s="1"/>
  <c r="BF183" i="6" s="1"/>
  <c r="BE170" i="6" a="1"/>
  <c r="BE170" i="6" s="1"/>
  <c r="BF170" i="6" s="1"/>
  <c r="BE174" i="6" a="1"/>
  <c r="BE174" i="6" s="1"/>
  <c r="BE189" i="6" a="1"/>
  <c r="BE189" i="6" s="1"/>
  <c r="BF189" i="6" s="1"/>
  <c r="BE188" i="6" a="1"/>
  <c r="BE188" i="6" s="1"/>
  <c r="BE180" i="6" a="1"/>
  <c r="BE180" i="6" s="1"/>
  <c r="BE193" i="6" a="1"/>
  <c r="BE193" i="6" s="1"/>
  <c r="BF193" i="6" s="1"/>
  <c r="BE169" i="6" a="1"/>
  <c r="BE169" i="6" s="1"/>
  <c r="BF169" i="6" s="1"/>
  <c r="BE197" i="6" a="1"/>
  <c r="BE197" i="6" s="1"/>
  <c r="BE168" i="6" a="1"/>
  <c r="BE168" i="6" s="1"/>
  <c r="BF168" i="6" s="1"/>
  <c r="BE179" i="6" a="1"/>
  <c r="BE179" i="6" s="1"/>
  <c r="BF179" i="6" s="1"/>
  <c r="BE195" i="6" a="1"/>
  <c r="BE195" i="6" s="1"/>
  <c r="BF195" i="6" s="1"/>
  <c r="AS239" i="6"/>
  <c r="BE187" i="6" a="1"/>
  <c r="BE187" i="6" s="1"/>
  <c r="BF187" i="6" s="1"/>
  <c r="BE172" i="6" a="1"/>
  <c r="BE172" i="6" s="1"/>
  <c r="BF172" i="6" s="1"/>
  <c r="AS188" i="6"/>
  <c r="BE191" i="6" a="1"/>
  <c r="BE191" i="6" s="1"/>
  <c r="BE185" i="6" a="1"/>
  <c r="BE185" i="6" s="1"/>
  <c r="AS245" i="6"/>
  <c r="BE178" i="6" a="1"/>
  <c r="BE178" i="6" s="1"/>
  <c r="BF178" i="6" s="1"/>
  <c r="BE165" i="6" a="1"/>
  <c r="BE165" i="6" s="1"/>
  <c r="BF165" i="6" s="1"/>
  <c r="BE181" i="6" a="1"/>
  <c r="BE181" i="6" s="1"/>
  <c r="BF181" i="6" s="1"/>
  <c r="BE198" i="6" a="1"/>
  <c r="BE198" i="6" s="1"/>
  <c r="BF198" i="6" s="1"/>
  <c r="AS180" i="6"/>
  <c r="AS175" i="6"/>
  <c r="BE192" i="6" a="1"/>
  <c r="BE192" i="6" s="1"/>
  <c r="BF192" i="6" s="1"/>
  <c r="BE173" i="6" a="1"/>
  <c r="BE173" i="6" s="1"/>
  <c r="BF173" i="6" s="1"/>
  <c r="BE166" i="6" a="1"/>
  <c r="BE166" i="6" s="1"/>
  <c r="BE186" i="6" a="1"/>
  <c r="BE186" i="6" s="1"/>
  <c r="BF186" i="6" s="1"/>
  <c r="AS197" i="6"/>
  <c r="BE190" i="6" a="1"/>
  <c r="BE190" i="6" s="1"/>
  <c r="BF190" i="6" s="1"/>
  <c r="AS253" i="6"/>
  <c r="BE167" i="6" a="1"/>
  <c r="BE167" i="6" s="1"/>
  <c r="BF167" i="6" s="1"/>
  <c r="AS191" i="6"/>
  <c r="AS185" i="6"/>
  <c r="BE182" i="6" a="1"/>
  <c r="BE182" i="6" s="1"/>
  <c r="BF182" i="6" s="1"/>
  <c r="AS248" i="6"/>
  <c r="BE171" i="6" a="1"/>
  <c r="BE171" i="6" s="1"/>
  <c r="BF171" i="6" s="1"/>
  <c r="AS261" i="6"/>
  <c r="AS256" i="6"/>
  <c r="AS240" i="6"/>
  <c r="AS166" i="6"/>
  <c r="BF163" i="6"/>
  <c r="AY160" i="6" s="1"/>
  <c r="AS232" i="6"/>
  <c r="AS238" i="6"/>
  <c r="AS236" i="6"/>
  <c r="AS242" i="6"/>
  <c r="AS174" i="6"/>
  <c r="AS230" i="6"/>
  <c r="AS233" i="6"/>
  <c r="AS257" i="6"/>
  <c r="AS229" i="6"/>
  <c r="AS246" i="6"/>
  <c r="BE247" i="6" a="1"/>
  <c r="BE247" i="6" s="1"/>
  <c r="AS247" i="6"/>
  <c r="BE251" i="6" a="1"/>
  <c r="BE251" i="6" s="1"/>
  <c r="AS251" i="6"/>
  <c r="AS237" i="6"/>
  <c r="AS231" i="6"/>
  <c r="AS241" i="6"/>
  <c r="BE243" i="6" a="1"/>
  <c r="BE243" i="6" s="1"/>
  <c r="AS243" i="6"/>
  <c r="BE234" i="6" a="1"/>
  <c r="BE234" i="6" s="1"/>
  <c r="AS234" i="6"/>
  <c r="AS252" i="6"/>
  <c r="AS228" i="6"/>
  <c r="BE228" i="6" a="1"/>
  <c r="BE228" i="6" s="1"/>
  <c r="BE259" i="6" a="1"/>
  <c r="BE259" i="6" s="1"/>
  <c r="AS259" i="6"/>
  <c r="AS249" i="6"/>
  <c r="AS260" i="6"/>
  <c r="BF226" i="6"/>
  <c r="BE235" i="6" a="1"/>
  <c r="BE235" i="6" s="1"/>
  <c r="AS235" i="6"/>
  <c r="BE250" i="6" a="1"/>
  <c r="BE250" i="6" s="1"/>
  <c r="AS250" i="6"/>
  <c r="BE255" i="6" a="1"/>
  <c r="BE255" i="6" s="1"/>
  <c r="AS255" i="6"/>
  <c r="BR110" i="6"/>
  <c r="BR111" i="6" s="1"/>
  <c r="E34" i="18"/>
  <c r="N36" i="18"/>
  <c r="BL48" i="18"/>
  <c r="BM48" i="18" s="1"/>
  <c r="BO74" i="6"/>
  <c r="O38" i="18" s="1"/>
  <c r="O39" i="18" s="1"/>
  <c r="O37" i="18" s="1"/>
  <c r="BP73" i="6"/>
  <c r="G10" i="15"/>
  <c r="H10" i="15"/>
  <c r="I10" i="15" s="1"/>
  <c r="BA160" i="6" l="1"/>
  <c r="AZ160" i="6"/>
  <c r="BF238" i="6"/>
  <c r="BF231" i="6"/>
  <c r="AX160" i="6"/>
  <c r="BD160" i="6"/>
  <c r="BF248" i="6"/>
  <c r="BB160" i="6"/>
  <c r="BF260" i="6"/>
  <c r="BF175" i="6"/>
  <c r="BF236" i="6"/>
  <c r="BF240" i="6"/>
  <c r="BF233" i="6"/>
  <c r="BC160" i="6"/>
  <c r="BF239" i="6"/>
  <c r="BF188" i="6"/>
  <c r="BF241" i="6"/>
  <c r="BF230" i="6"/>
  <c r="BF174" i="6"/>
  <c r="BF244" i="6"/>
  <c r="BF249" i="6"/>
  <c r="BF232" i="6"/>
  <c r="BF245" i="6"/>
  <c r="BF237" i="6"/>
  <c r="BF254" i="6"/>
  <c r="BF246" i="6"/>
  <c r="BF256" i="6"/>
  <c r="BF253" i="6"/>
  <c r="BF242" i="6"/>
  <c r="BF252" i="6"/>
  <c r="BF229" i="6"/>
  <c r="BF257" i="6"/>
  <c r="BF261" i="6"/>
  <c r="AU160" i="6"/>
  <c r="BF185" i="6"/>
  <c r="BF180" i="6"/>
  <c r="BF228" i="6"/>
  <c r="BF191" i="6"/>
  <c r="AW160" i="6"/>
  <c r="AV160" i="6"/>
  <c r="AT160" i="6"/>
  <c r="BF197" i="6"/>
  <c r="BF166" i="6"/>
  <c r="BF235" i="6"/>
  <c r="BF250" i="6"/>
  <c r="BF234" i="6"/>
  <c r="BB223" i="6"/>
  <c r="BA223" i="6"/>
  <c r="AY223" i="6"/>
  <c r="AV223" i="6"/>
  <c r="BD223" i="6"/>
  <c r="AX223" i="6"/>
  <c r="AZ223" i="6"/>
  <c r="BC223" i="6"/>
  <c r="AU223" i="6"/>
  <c r="AW223" i="6"/>
  <c r="AT223" i="6"/>
  <c r="BF259" i="6"/>
  <c r="AS273" i="6"/>
  <c r="BF251" i="6"/>
  <c r="BF243" i="6"/>
  <c r="BF255" i="6"/>
  <c r="BF247" i="6"/>
  <c r="O36" i="18"/>
  <c r="BL49" i="18"/>
  <c r="BM49" i="18" s="1"/>
  <c r="H11" i="15"/>
  <c r="I11" i="15" s="1"/>
  <c r="AS210" i="6"/>
  <c r="BO75" i="6"/>
  <c r="P38" i="18" s="1"/>
  <c r="P39" i="18" s="1"/>
  <c r="P37" i="18" s="1"/>
  <c r="BP74" i="6"/>
  <c r="I12" i="15"/>
  <c r="BF160" i="6" l="1"/>
  <c r="BA161" i="6" s="1"/>
  <c r="BA255" i="6" s="1"/>
  <c r="BF223" i="6"/>
  <c r="AW224" i="6" s="1"/>
  <c r="AW226" i="6" s="1"/>
  <c r="P36" i="18"/>
  <c r="BL50" i="18"/>
  <c r="BM50" i="18" s="1"/>
  <c r="BO76" i="6"/>
  <c r="Q38" i="18" s="1"/>
  <c r="Q39" i="18" s="1"/>
  <c r="Q37" i="18" s="1"/>
  <c r="BP75" i="6"/>
  <c r="AZ161" i="6" l="1"/>
  <c r="BA257" i="6"/>
  <c r="BA241" i="6"/>
  <c r="BA263" i="6"/>
  <c r="BA172" i="6"/>
  <c r="AY161" i="6"/>
  <c r="BC161" i="6"/>
  <c r="BA200" i="6"/>
  <c r="BA176" i="6"/>
  <c r="AX161" i="6"/>
  <c r="AX263" i="6" s="1"/>
  <c r="BA179" i="6"/>
  <c r="BA236" i="6"/>
  <c r="BA169" i="6"/>
  <c r="BA201" i="6"/>
  <c r="BA233" i="6"/>
  <c r="BA239" i="6"/>
  <c r="BA240" i="6"/>
  <c r="BA268" i="6"/>
  <c r="BA246" i="6"/>
  <c r="BA177" i="6"/>
  <c r="BA166" i="6"/>
  <c r="BA269" i="6"/>
  <c r="BA265" i="6"/>
  <c r="BA189" i="6"/>
  <c r="BA191" i="6"/>
  <c r="BA252" i="6"/>
  <c r="BA260" i="6"/>
  <c r="BA266" i="6"/>
  <c r="BA173" i="6"/>
  <c r="BA235" i="6"/>
  <c r="BA228" i="6"/>
  <c r="BB161" i="6"/>
  <c r="BB268" i="6" s="1"/>
  <c r="BA202" i="6"/>
  <c r="BA192" i="6"/>
  <c r="BA231" i="6"/>
  <c r="BA165" i="6"/>
  <c r="BA171" i="6"/>
  <c r="BA247" i="6"/>
  <c r="BA194" i="6"/>
  <c r="BA182" i="6"/>
  <c r="BA197" i="6"/>
  <c r="BA205" i="6"/>
  <c r="BA253" i="6"/>
  <c r="BA242" i="6"/>
  <c r="BA237" i="6"/>
  <c r="BA264" i="6"/>
  <c r="BA195" i="6"/>
  <c r="BA243" i="6"/>
  <c r="BD161" i="6"/>
  <c r="BA249" i="6"/>
  <c r="BA178" i="6"/>
  <c r="BA190" i="6"/>
  <c r="BA229" i="6"/>
  <c r="BA203" i="6"/>
  <c r="BA244" i="6"/>
  <c r="BA180" i="6"/>
  <c r="BA187" i="6"/>
  <c r="BA184" i="6"/>
  <c r="BA204" i="6"/>
  <c r="BA232" i="6"/>
  <c r="BA251" i="6"/>
  <c r="BA261" i="6"/>
  <c r="AT161" i="6"/>
  <c r="AT163" i="6" s="1"/>
  <c r="BA170" i="6"/>
  <c r="AW161" i="6"/>
  <c r="BA248" i="6"/>
  <c r="BA181" i="6"/>
  <c r="AV161" i="6"/>
  <c r="AV268" i="6" s="1"/>
  <c r="BA258" i="6"/>
  <c r="BA167" i="6"/>
  <c r="BA267" i="6"/>
  <c r="BA188" i="6"/>
  <c r="BA206" i="6"/>
  <c r="BA175" i="6"/>
  <c r="BA185" i="6"/>
  <c r="BA196" i="6"/>
  <c r="BA183" i="6"/>
  <c r="BA163" i="6"/>
  <c r="BA209" i="6" s="1"/>
  <c r="BA245" i="6"/>
  <c r="BA238" i="6"/>
  <c r="BA259" i="6"/>
  <c r="BA254" i="6"/>
  <c r="BA198" i="6"/>
  <c r="BA199" i="6"/>
  <c r="BA168" i="6"/>
  <c r="BA234" i="6"/>
  <c r="BA193" i="6"/>
  <c r="BA174" i="6"/>
  <c r="BA186" i="6"/>
  <c r="AU161" i="6"/>
  <c r="AU255" i="6" s="1"/>
  <c r="BA230" i="6"/>
  <c r="BA256" i="6"/>
  <c r="BA250" i="6"/>
  <c r="BA262" i="6"/>
  <c r="AT224" i="6"/>
  <c r="AT226" i="6" s="1"/>
  <c r="AT272" i="6" s="1"/>
  <c r="BB224" i="6"/>
  <c r="BB226" i="6" s="1"/>
  <c r="BA224" i="6"/>
  <c r="BA226" i="6" s="1"/>
  <c r="AZ224" i="6"/>
  <c r="AZ226" i="6" s="1"/>
  <c r="AY224" i="6"/>
  <c r="AY226" i="6" s="1"/>
  <c r="BD224" i="6"/>
  <c r="BD226" i="6" s="1"/>
  <c r="BD272" i="6" s="1"/>
  <c r="AV224" i="6"/>
  <c r="AV226" i="6" s="1"/>
  <c r="AV272" i="6" s="1"/>
  <c r="AX224" i="6"/>
  <c r="AX226" i="6" s="1"/>
  <c r="BC224" i="6"/>
  <c r="BC226" i="6" s="1"/>
  <c r="AU224" i="6"/>
  <c r="AU226" i="6" s="1"/>
  <c r="AU272" i="6" s="1"/>
  <c r="Q36" i="18"/>
  <c r="AX165" i="6"/>
  <c r="AX262" i="6"/>
  <c r="AX264" i="6"/>
  <c r="BC188" i="6"/>
  <c r="BC268" i="6"/>
  <c r="BC262" i="6"/>
  <c r="BC264" i="6"/>
  <c r="BC266" i="6"/>
  <c r="BC267" i="6"/>
  <c r="BC265" i="6"/>
  <c r="BC263" i="6"/>
  <c r="BC269" i="6"/>
  <c r="BC235" i="6"/>
  <c r="BC243" i="6"/>
  <c r="BC255" i="6"/>
  <c r="BC231" i="6"/>
  <c r="BC228" i="6"/>
  <c r="BC261" i="6"/>
  <c r="BC258" i="6"/>
  <c r="BC242" i="6"/>
  <c r="BC257" i="6"/>
  <c r="BC256" i="6"/>
  <c r="BC251" i="6"/>
  <c r="BC260" i="6"/>
  <c r="BC240" i="6"/>
  <c r="BC250" i="6"/>
  <c r="BC229" i="6"/>
  <c r="BC234" i="6"/>
  <c r="BC238" i="6"/>
  <c r="BC247" i="6"/>
  <c r="BC259" i="6"/>
  <c r="BC249" i="6"/>
  <c r="BC239" i="6"/>
  <c r="BC241" i="6"/>
  <c r="BC254" i="6"/>
  <c r="BC237" i="6"/>
  <c r="BC244" i="6"/>
  <c r="BC252" i="6"/>
  <c r="BC233" i="6"/>
  <c r="BC245" i="6"/>
  <c r="BC232" i="6"/>
  <c r="BC230" i="6"/>
  <c r="BC236" i="6"/>
  <c r="BC248" i="6"/>
  <c r="BC253" i="6"/>
  <c r="BC246" i="6"/>
  <c r="BB255" i="6"/>
  <c r="BB259" i="6"/>
  <c r="BB251" i="6"/>
  <c r="BB236" i="6"/>
  <c r="BB245" i="6"/>
  <c r="AU268" i="6"/>
  <c r="AU262" i="6"/>
  <c r="AU264" i="6"/>
  <c r="AU263" i="6"/>
  <c r="AU235" i="6"/>
  <c r="AU259" i="6"/>
  <c r="AU256" i="6"/>
  <c r="AU261" i="6"/>
  <c r="AU238" i="6"/>
  <c r="AU228" i="6"/>
  <c r="AU237" i="6"/>
  <c r="AU251" i="6"/>
  <c r="AU249" i="6"/>
  <c r="AU229" i="6"/>
  <c r="AU257" i="6"/>
  <c r="AU244" i="6"/>
  <c r="AU230" i="6"/>
  <c r="AU252" i="6"/>
  <c r="AU236" i="6"/>
  <c r="AZ176" i="6"/>
  <c r="AZ264" i="6"/>
  <c r="AZ262" i="6"/>
  <c r="AZ268" i="6"/>
  <c r="AZ266" i="6"/>
  <c r="AZ265" i="6"/>
  <c r="AZ267" i="6"/>
  <c r="AZ269" i="6"/>
  <c r="AZ263" i="6"/>
  <c r="AZ243" i="6"/>
  <c r="AZ235" i="6"/>
  <c r="AZ255" i="6"/>
  <c r="AZ260" i="6"/>
  <c r="AZ256" i="6"/>
  <c r="AZ242" i="6"/>
  <c r="AZ244" i="6"/>
  <c r="AZ261" i="6"/>
  <c r="AZ251" i="6"/>
  <c r="AZ254" i="6"/>
  <c r="AZ257" i="6"/>
  <c r="AZ228" i="6"/>
  <c r="AZ247" i="6"/>
  <c r="AZ239" i="6"/>
  <c r="AZ237" i="6"/>
  <c r="AZ229" i="6"/>
  <c r="AZ249" i="6"/>
  <c r="AZ238" i="6"/>
  <c r="AZ240" i="6"/>
  <c r="AZ250" i="6"/>
  <c r="AZ258" i="6"/>
  <c r="AZ231" i="6"/>
  <c r="AZ241" i="6"/>
  <c r="AZ259" i="6"/>
  <c r="AZ234" i="6"/>
  <c r="AZ245" i="6"/>
  <c r="AZ253" i="6"/>
  <c r="AZ230" i="6"/>
  <c r="AZ246" i="6"/>
  <c r="AZ233" i="6"/>
  <c r="AZ232" i="6"/>
  <c r="AZ252" i="6"/>
  <c r="AZ248" i="6"/>
  <c r="AZ236" i="6"/>
  <c r="AT176" i="6"/>
  <c r="AT268" i="6"/>
  <c r="BH268" i="6" s="1"/>
  <c r="AT264" i="6"/>
  <c r="BH264" i="6" s="1"/>
  <c r="AT266" i="6"/>
  <c r="BH266" i="6" s="1"/>
  <c r="AT262" i="6"/>
  <c r="BH262" i="6" s="1"/>
  <c r="AT265" i="6"/>
  <c r="BH265" i="6" s="1"/>
  <c r="AT267" i="6"/>
  <c r="BH267" i="6" s="1"/>
  <c r="AT263" i="6"/>
  <c r="BH263" i="6" s="1"/>
  <c r="AT269" i="6"/>
  <c r="BH269" i="6" s="1"/>
  <c r="AT235" i="6"/>
  <c r="AT255" i="6"/>
  <c r="AT243" i="6"/>
  <c r="AT237" i="6"/>
  <c r="AT257" i="6"/>
  <c r="AT260" i="6"/>
  <c r="AT234" i="6"/>
  <c r="AT244" i="6"/>
  <c r="AT231" i="6"/>
  <c r="AT261" i="6"/>
  <c r="AT240" i="6"/>
  <c r="AT254" i="6"/>
  <c r="AT229" i="6"/>
  <c r="AT259" i="6"/>
  <c r="AT249" i="6"/>
  <c r="AT250" i="6"/>
  <c r="AT247" i="6"/>
  <c r="AT258" i="6"/>
  <c r="AT256" i="6"/>
  <c r="AT242" i="6"/>
  <c r="AT241" i="6"/>
  <c r="AT251" i="6"/>
  <c r="AT239" i="6"/>
  <c r="AT228" i="6"/>
  <c r="AT238" i="6"/>
  <c r="AT232" i="6"/>
  <c r="AT236" i="6"/>
  <c r="AT233" i="6"/>
  <c r="AT252" i="6"/>
  <c r="AT253" i="6"/>
  <c r="AT230" i="6"/>
  <c r="AT246" i="6"/>
  <c r="AT245" i="6"/>
  <c r="AT248" i="6"/>
  <c r="AV263" i="6"/>
  <c r="AV243" i="6"/>
  <c r="AV250" i="6"/>
  <c r="AV256" i="6"/>
  <c r="AV249" i="6"/>
  <c r="AV247" i="6"/>
  <c r="AV248" i="6"/>
  <c r="AW262" i="6"/>
  <c r="AW268" i="6"/>
  <c r="AW264" i="6"/>
  <c r="AW266" i="6"/>
  <c r="AW267" i="6"/>
  <c r="AW265" i="6"/>
  <c r="AW269" i="6"/>
  <c r="AW263" i="6"/>
  <c r="AW235" i="6"/>
  <c r="AW243" i="6"/>
  <c r="AW255" i="6"/>
  <c r="AW240" i="6"/>
  <c r="AW241" i="6"/>
  <c r="AW249" i="6"/>
  <c r="AW231" i="6"/>
  <c r="AW247" i="6"/>
  <c r="AW250" i="6"/>
  <c r="AW260" i="6"/>
  <c r="AW244" i="6"/>
  <c r="AW257" i="6"/>
  <c r="AW258" i="6"/>
  <c r="AW256" i="6"/>
  <c r="AW242" i="6"/>
  <c r="AW254" i="6"/>
  <c r="AW239" i="6"/>
  <c r="AW228" i="6"/>
  <c r="AW229" i="6"/>
  <c r="AW259" i="6"/>
  <c r="AW261" i="6"/>
  <c r="AW238" i="6"/>
  <c r="AW234" i="6"/>
  <c r="AW251" i="6"/>
  <c r="AW237" i="6"/>
  <c r="AW233" i="6"/>
  <c r="AW253" i="6"/>
  <c r="AW252" i="6"/>
  <c r="AW232" i="6"/>
  <c r="AW248" i="6"/>
  <c r="AW236" i="6"/>
  <c r="AW230" i="6"/>
  <c r="AW246" i="6"/>
  <c r="AW245" i="6"/>
  <c r="AY268" i="6"/>
  <c r="AY262" i="6"/>
  <c r="AY264" i="6"/>
  <c r="AY266" i="6"/>
  <c r="AY267" i="6"/>
  <c r="AY265" i="6"/>
  <c r="AY263" i="6"/>
  <c r="AY269" i="6"/>
  <c r="AY255" i="6"/>
  <c r="AY243" i="6"/>
  <c r="AY235" i="6"/>
  <c r="AY261" i="6"/>
  <c r="AY238" i="6"/>
  <c r="AY237" i="6"/>
  <c r="AY249" i="6"/>
  <c r="AY251" i="6"/>
  <c r="AY260" i="6"/>
  <c r="AY256" i="6"/>
  <c r="AY242" i="6"/>
  <c r="AY228" i="6"/>
  <c r="AY257" i="6"/>
  <c r="AY239" i="6"/>
  <c r="AY234" i="6"/>
  <c r="AY231" i="6"/>
  <c r="AY240" i="6"/>
  <c r="AY250" i="6"/>
  <c r="AY259" i="6"/>
  <c r="AY244" i="6"/>
  <c r="AY258" i="6"/>
  <c r="AY254" i="6"/>
  <c r="AY241" i="6"/>
  <c r="AY229" i="6"/>
  <c r="AY247" i="6"/>
  <c r="AY232" i="6"/>
  <c r="AY248" i="6"/>
  <c r="AY246" i="6"/>
  <c r="AY253" i="6"/>
  <c r="AY252" i="6"/>
  <c r="AY230" i="6"/>
  <c r="AY236" i="6"/>
  <c r="AY233" i="6"/>
  <c r="AY245" i="6"/>
  <c r="BD176" i="6"/>
  <c r="BD266" i="6"/>
  <c r="BD264" i="6"/>
  <c r="BD268" i="6"/>
  <c r="BD262" i="6"/>
  <c r="BD267" i="6"/>
  <c r="BD265" i="6"/>
  <c r="BD263" i="6"/>
  <c r="BD269" i="6"/>
  <c r="BD243" i="6"/>
  <c r="BD255" i="6"/>
  <c r="BD235" i="6"/>
  <c r="BD256" i="6"/>
  <c r="BD234" i="6"/>
  <c r="BD250" i="6"/>
  <c r="BD259" i="6"/>
  <c r="BD241" i="6"/>
  <c r="BD237" i="6"/>
  <c r="BD228" i="6"/>
  <c r="BD261" i="6"/>
  <c r="BD238" i="6"/>
  <c r="BD247" i="6"/>
  <c r="BD258" i="6"/>
  <c r="BD260" i="6"/>
  <c r="BD249" i="6"/>
  <c r="BD251" i="6"/>
  <c r="BD257" i="6"/>
  <c r="BD229" i="6"/>
  <c r="BD231" i="6"/>
  <c r="BD254" i="6"/>
  <c r="BD240" i="6"/>
  <c r="BD239" i="6"/>
  <c r="BD244" i="6"/>
  <c r="BD242" i="6"/>
  <c r="BD248" i="6"/>
  <c r="BD233" i="6"/>
  <c r="BD246" i="6"/>
  <c r="BD253" i="6"/>
  <c r="BD230" i="6"/>
  <c r="BD236" i="6"/>
  <c r="BD252" i="6"/>
  <c r="BD232" i="6"/>
  <c r="BD245" i="6"/>
  <c r="BD194" i="6"/>
  <c r="BD183" i="6"/>
  <c r="AX192" i="6"/>
  <c r="BD197" i="6"/>
  <c r="BD201" i="6"/>
  <c r="BC173" i="6"/>
  <c r="BC171" i="6"/>
  <c r="BC180" i="6"/>
  <c r="AX170" i="6"/>
  <c r="BC204" i="6"/>
  <c r="BB178" i="6"/>
  <c r="AX198" i="6"/>
  <c r="AX179" i="6"/>
  <c r="AZ195" i="6"/>
  <c r="BC163" i="6"/>
  <c r="BC209" i="6" s="1"/>
  <c r="AZ182" i="6"/>
  <c r="AZ180" i="6"/>
  <c r="AZ194" i="6"/>
  <c r="AX197" i="6"/>
  <c r="BD186" i="6"/>
  <c r="BD196" i="6"/>
  <c r="BD170" i="6"/>
  <c r="BC181" i="6"/>
  <c r="BD187" i="6"/>
  <c r="BD178" i="6"/>
  <c r="BC193" i="6"/>
  <c r="BD192" i="6"/>
  <c r="BD189" i="6"/>
  <c r="BC197" i="6"/>
  <c r="AT196" i="6"/>
  <c r="BB180" i="6"/>
  <c r="AX182" i="6"/>
  <c r="BD171" i="6"/>
  <c r="BD202" i="6"/>
  <c r="BC184" i="6"/>
  <c r="AT185" i="6"/>
  <c r="BB171" i="6"/>
  <c r="AT182" i="6"/>
  <c r="BD185" i="6"/>
  <c r="BD205" i="6"/>
  <c r="AT202" i="6"/>
  <c r="BD172" i="6"/>
  <c r="BC195" i="6"/>
  <c r="AX173" i="6"/>
  <c r="BD165" i="6"/>
  <c r="BD173" i="6"/>
  <c r="BC187" i="6"/>
  <c r="AX200" i="6"/>
  <c r="BD182" i="6"/>
  <c r="BC166" i="6"/>
  <c r="BB166" i="6"/>
  <c r="BB191" i="6"/>
  <c r="BD166" i="6"/>
  <c r="BD204" i="6"/>
  <c r="AU180" i="6"/>
  <c r="BD177" i="6"/>
  <c r="BD191" i="6"/>
  <c r="BD200" i="6"/>
  <c r="BC189" i="6"/>
  <c r="AZ199" i="6"/>
  <c r="BD169" i="6"/>
  <c r="BD190" i="6"/>
  <c r="BD184" i="6"/>
  <c r="BD199" i="6"/>
  <c r="BC191" i="6"/>
  <c r="AT194" i="6"/>
  <c r="AU197" i="6"/>
  <c r="BC182" i="6"/>
  <c r="AZ184" i="6"/>
  <c r="BD181" i="6"/>
  <c r="BD206" i="6"/>
  <c r="BC190" i="6"/>
  <c r="AT180" i="6"/>
  <c r="AT171" i="6"/>
  <c r="AZ172" i="6"/>
  <c r="AT169" i="6"/>
  <c r="AT189" i="6"/>
  <c r="AT170" i="6"/>
  <c r="AT167" i="6"/>
  <c r="AT199" i="6"/>
  <c r="AT187" i="6"/>
  <c r="AT206" i="6"/>
  <c r="AT209" i="6"/>
  <c r="AT181" i="6"/>
  <c r="AT175" i="6"/>
  <c r="AT188" i="6"/>
  <c r="BC167" i="6"/>
  <c r="AT168" i="6"/>
  <c r="BB173" i="6"/>
  <c r="AT204" i="6"/>
  <c r="AT172" i="6"/>
  <c r="AT197" i="6"/>
  <c r="AU169" i="6"/>
  <c r="AU195" i="6"/>
  <c r="AU182" i="6"/>
  <c r="AU190" i="6"/>
  <c r="AU201" i="6"/>
  <c r="AU206" i="6"/>
  <c r="AU204" i="6"/>
  <c r="AU205" i="6"/>
  <c r="AU173" i="6"/>
  <c r="AU200" i="6"/>
  <c r="AU185" i="6"/>
  <c r="AU181" i="6"/>
  <c r="AT183" i="6"/>
  <c r="BC178" i="6"/>
  <c r="BC175" i="6"/>
  <c r="BC172" i="6"/>
  <c r="BC203" i="6"/>
  <c r="BC206" i="6"/>
  <c r="BC168" i="6"/>
  <c r="BC170" i="6"/>
  <c r="BC201" i="6"/>
  <c r="BC177" i="6"/>
  <c r="BC196" i="6"/>
  <c r="BC174" i="6"/>
  <c r="BC183" i="6"/>
  <c r="BC202" i="6"/>
  <c r="BC192" i="6"/>
  <c r="BC198" i="6"/>
  <c r="BC200" i="6"/>
  <c r="BC185" i="6"/>
  <c r="BC169" i="6"/>
  <c r="BC199" i="6"/>
  <c r="AU196" i="6"/>
  <c r="AU177" i="6"/>
  <c r="BC194" i="6"/>
  <c r="BC186" i="6"/>
  <c r="BC205" i="6"/>
  <c r="AU171" i="6"/>
  <c r="AU186" i="6"/>
  <c r="AT190" i="6"/>
  <c r="AT191" i="6"/>
  <c r="BB167" i="6"/>
  <c r="BD174" i="6"/>
  <c r="BD195" i="6"/>
  <c r="BD203" i="6"/>
  <c r="AU188" i="6"/>
  <c r="AU168" i="6"/>
  <c r="AU199" i="6"/>
  <c r="AT195" i="6"/>
  <c r="AT203" i="6"/>
  <c r="BB201" i="6"/>
  <c r="BD168" i="6"/>
  <c r="BD180" i="6"/>
  <c r="BD167" i="6"/>
  <c r="AU174" i="6"/>
  <c r="AU189" i="6"/>
  <c r="AT193" i="6"/>
  <c r="AT186" i="6"/>
  <c r="AX194" i="6"/>
  <c r="AX180" i="6"/>
  <c r="AX169" i="6"/>
  <c r="AX163" i="6"/>
  <c r="AX209" i="6" s="1"/>
  <c r="AU187" i="6"/>
  <c r="AU167" i="6"/>
  <c r="AT174" i="6"/>
  <c r="AT184" i="6"/>
  <c r="AT201" i="6"/>
  <c r="BD188" i="6"/>
  <c r="AZ178" i="6"/>
  <c r="AZ202" i="6"/>
  <c r="AZ191" i="6"/>
  <c r="AZ203" i="6"/>
  <c r="AZ188" i="6"/>
  <c r="AZ173" i="6"/>
  <c r="AZ206" i="6"/>
  <c r="AZ198" i="6"/>
  <c r="AZ201" i="6"/>
  <c r="AZ167" i="6"/>
  <c r="AZ166" i="6"/>
  <c r="AZ168" i="6"/>
  <c r="AZ183" i="6"/>
  <c r="AZ163" i="6"/>
  <c r="AZ209" i="6" s="1"/>
  <c r="AZ171" i="6"/>
  <c r="AZ193" i="6"/>
  <c r="AZ189" i="6"/>
  <c r="AZ204" i="6"/>
  <c r="AZ197" i="6"/>
  <c r="AZ175" i="6"/>
  <c r="AZ177" i="6"/>
  <c r="AZ200" i="6"/>
  <c r="AZ165" i="6"/>
  <c r="AZ179" i="6"/>
  <c r="AZ196" i="6"/>
  <c r="AZ205" i="6"/>
  <c r="AT179" i="6"/>
  <c r="AU194" i="6"/>
  <c r="AU183" i="6"/>
  <c r="AU202" i="6"/>
  <c r="AZ187" i="6"/>
  <c r="AZ185" i="6"/>
  <c r="AZ186" i="6"/>
  <c r="AU192" i="6"/>
  <c r="AU198" i="6"/>
  <c r="AZ190" i="6"/>
  <c r="AZ174" i="6"/>
  <c r="AZ170" i="6"/>
  <c r="AT165" i="6"/>
  <c r="AU172" i="6"/>
  <c r="AU178" i="6"/>
  <c r="AT177" i="6"/>
  <c r="AT166" i="6"/>
  <c r="AT198" i="6"/>
  <c r="AT205" i="6"/>
  <c r="AZ192" i="6"/>
  <c r="AZ181" i="6"/>
  <c r="AZ169" i="6"/>
  <c r="BD175" i="6"/>
  <c r="BD193" i="6"/>
  <c r="BD198" i="6"/>
  <c r="BD163" i="6"/>
  <c r="BD209" i="6" s="1"/>
  <c r="AU166" i="6"/>
  <c r="AU191" i="6"/>
  <c r="AT173" i="6"/>
  <c r="AT192" i="6"/>
  <c r="AT178" i="6"/>
  <c r="AT200" i="6"/>
  <c r="AU203" i="6"/>
  <c r="BD179" i="6"/>
  <c r="BC176" i="6"/>
  <c r="BC179" i="6"/>
  <c r="BC165" i="6"/>
  <c r="AU184" i="6"/>
  <c r="AU175" i="6"/>
  <c r="AU193" i="6"/>
  <c r="AU170" i="6"/>
  <c r="AU176" i="6"/>
  <c r="AU179" i="6"/>
  <c r="AU165" i="6"/>
  <c r="AW163" i="6"/>
  <c r="AW209" i="6" s="1"/>
  <c r="AW202" i="6"/>
  <c r="AW206" i="6"/>
  <c r="AW203" i="6"/>
  <c r="AW199" i="6"/>
  <c r="AW200" i="6"/>
  <c r="AW204" i="6"/>
  <c r="AW205" i="6"/>
  <c r="AW201" i="6"/>
  <c r="AW197" i="6"/>
  <c r="AW184" i="6"/>
  <c r="AW183" i="6"/>
  <c r="AW178" i="6"/>
  <c r="AW169" i="6"/>
  <c r="AW167" i="6"/>
  <c r="AW191" i="6"/>
  <c r="AW170" i="6"/>
  <c r="AW189" i="6"/>
  <c r="AW198" i="6"/>
  <c r="AW186" i="6"/>
  <c r="AW187" i="6"/>
  <c r="AW180" i="6"/>
  <c r="AW193" i="6"/>
  <c r="AW192" i="6"/>
  <c r="AW185" i="6"/>
  <c r="AW168" i="6"/>
  <c r="AW181" i="6"/>
  <c r="AW177" i="6"/>
  <c r="AW171" i="6"/>
  <c r="AW195" i="6"/>
  <c r="AW172" i="6"/>
  <c r="AW190" i="6"/>
  <c r="AW182" i="6"/>
  <c r="AW174" i="6"/>
  <c r="AW166" i="6"/>
  <c r="AW194" i="6"/>
  <c r="AW175" i="6"/>
  <c r="AW196" i="6"/>
  <c r="AW173" i="6"/>
  <c r="AW176" i="6"/>
  <c r="AW179" i="6"/>
  <c r="AW188" i="6"/>
  <c r="AW165" i="6"/>
  <c r="AV201" i="6"/>
  <c r="AV202" i="6"/>
  <c r="AV170" i="6"/>
  <c r="AV197" i="6"/>
  <c r="AV168" i="6"/>
  <c r="AV166" i="6"/>
  <c r="AV173" i="6"/>
  <c r="AV185" i="6"/>
  <c r="AV190" i="6"/>
  <c r="AV188" i="6"/>
  <c r="AY163" i="6"/>
  <c r="AY209" i="6" s="1"/>
  <c r="AY201" i="6"/>
  <c r="AY202" i="6"/>
  <c r="AY206" i="6"/>
  <c r="AY203" i="6"/>
  <c r="AY200" i="6"/>
  <c r="AY199" i="6"/>
  <c r="AY205" i="6"/>
  <c r="AY204" i="6"/>
  <c r="AY186" i="6"/>
  <c r="AY183" i="6"/>
  <c r="AY197" i="6"/>
  <c r="AY184" i="6"/>
  <c r="AY189" i="6"/>
  <c r="AY169" i="6"/>
  <c r="AY167" i="6"/>
  <c r="AY191" i="6"/>
  <c r="AY170" i="6"/>
  <c r="AY178" i="6"/>
  <c r="AY198" i="6"/>
  <c r="AY193" i="6"/>
  <c r="AY173" i="6"/>
  <c r="AY192" i="6"/>
  <c r="AY174" i="6"/>
  <c r="AY185" i="6"/>
  <c r="AY196" i="6"/>
  <c r="AY168" i="6"/>
  <c r="AY194" i="6"/>
  <c r="AY177" i="6"/>
  <c r="AY175" i="6"/>
  <c r="AY171" i="6"/>
  <c r="AY166" i="6"/>
  <c r="AY190" i="6"/>
  <c r="AY187" i="6"/>
  <c r="AY172" i="6"/>
  <c r="AY195" i="6"/>
  <c r="AY182" i="6"/>
  <c r="AY180" i="6"/>
  <c r="AY181" i="6"/>
  <c r="AY165" i="6"/>
  <c r="AY179" i="6"/>
  <c r="AY176" i="6"/>
  <c r="AY188" i="6"/>
  <c r="BL51" i="18"/>
  <c r="BM51" i="18" s="1"/>
  <c r="BO77" i="6"/>
  <c r="R38" i="18" s="1"/>
  <c r="R39" i="18" s="1"/>
  <c r="R37" i="18" s="1"/>
  <c r="BP76" i="6"/>
  <c r="AX177" i="6" l="1"/>
  <c r="AX189" i="6"/>
  <c r="AX201" i="6"/>
  <c r="AX205" i="6"/>
  <c r="AX181" i="6"/>
  <c r="AX172" i="6"/>
  <c r="AX184" i="6"/>
  <c r="AX257" i="6"/>
  <c r="AX244" i="6"/>
  <c r="BH244" i="6" s="1"/>
  <c r="AX231" i="6"/>
  <c r="BA210" i="6"/>
  <c r="AX176" i="6"/>
  <c r="BH176" i="6" s="1"/>
  <c r="AX174" i="6"/>
  <c r="AX168" i="6"/>
  <c r="AX256" i="6"/>
  <c r="AX188" i="6"/>
  <c r="AX171" i="6"/>
  <c r="AX237" i="6"/>
  <c r="AX199" i="6"/>
  <c r="AX190" i="6"/>
  <c r="AX191" i="6"/>
  <c r="AX187" i="6"/>
  <c r="AU233" i="6"/>
  <c r="AU250" i="6"/>
  <c r="BH250" i="6" s="1"/>
  <c r="AU247" i="6"/>
  <c r="AX232" i="6"/>
  <c r="AX247" i="6"/>
  <c r="AX185" i="6"/>
  <c r="AX166" i="6"/>
  <c r="AX245" i="6"/>
  <c r="AX228" i="6"/>
  <c r="AX186" i="6"/>
  <c r="AX175" i="6"/>
  <c r="AX204" i="6"/>
  <c r="AX196" i="6"/>
  <c r="AV253" i="6"/>
  <c r="AU253" i="6"/>
  <c r="AU254" i="6"/>
  <c r="AU243" i="6"/>
  <c r="BB234" i="6"/>
  <c r="AX230" i="6"/>
  <c r="AX254" i="6"/>
  <c r="AX253" i="6"/>
  <c r="AX258" i="6"/>
  <c r="AX203" i="6"/>
  <c r="AX195" i="6"/>
  <c r="AX206" i="6"/>
  <c r="AU248" i="6"/>
  <c r="BH248" i="6" s="1"/>
  <c r="AU231" i="6"/>
  <c r="AU269" i="6"/>
  <c r="BB266" i="6"/>
  <c r="AX236" i="6"/>
  <c r="AX242" i="6"/>
  <c r="AX183" i="6"/>
  <c r="AX193" i="6"/>
  <c r="AX178" i="6"/>
  <c r="AU245" i="6"/>
  <c r="BH245" i="6" s="1"/>
  <c r="AU241" i="6"/>
  <c r="BH241" i="6" s="1"/>
  <c r="AU267" i="6"/>
  <c r="AX252" i="6"/>
  <c r="AX229" i="6"/>
  <c r="AX167" i="6"/>
  <c r="AX202" i="6"/>
  <c r="AV254" i="6"/>
  <c r="AU232" i="6"/>
  <c r="AU242" i="6"/>
  <c r="AU265" i="6"/>
  <c r="AX233" i="6"/>
  <c r="AX243" i="6"/>
  <c r="BB252" i="6"/>
  <c r="BB240" i="6"/>
  <c r="BB237" i="6"/>
  <c r="BB264" i="6"/>
  <c r="BA273" i="6"/>
  <c r="BB165" i="6"/>
  <c r="AV245" i="6"/>
  <c r="AV240" i="6"/>
  <c r="AV235" i="6"/>
  <c r="BB246" i="6"/>
  <c r="BB231" i="6"/>
  <c r="BH231" i="6" s="1"/>
  <c r="BB254" i="6"/>
  <c r="BH254" i="6" s="1"/>
  <c r="BB262" i="6"/>
  <c r="AV181" i="6"/>
  <c r="BH181" i="6" s="1"/>
  <c r="AV184" i="6"/>
  <c r="BH184" i="6" s="1"/>
  <c r="AV205" i="6"/>
  <c r="AV176" i="6"/>
  <c r="AV187" i="6"/>
  <c r="AV198" i="6"/>
  <c r="AV204" i="6"/>
  <c r="BB206" i="6"/>
  <c r="BB199" i="6"/>
  <c r="BB205" i="6"/>
  <c r="BB197" i="6"/>
  <c r="BB179" i="6"/>
  <c r="BH179" i="6" s="1"/>
  <c r="BB181" i="6"/>
  <c r="AV237" i="6"/>
  <c r="AV238" i="6"/>
  <c r="AV255" i="6"/>
  <c r="BB232" i="6"/>
  <c r="BB238" i="6"/>
  <c r="BB241" i="6"/>
  <c r="BB188" i="6"/>
  <c r="AV165" i="6"/>
  <c r="AV175" i="6"/>
  <c r="AV191" i="6"/>
  <c r="BH191" i="6" s="1"/>
  <c r="AV200" i="6"/>
  <c r="BB202" i="6"/>
  <c r="BB169" i="6"/>
  <c r="BB193" i="6"/>
  <c r="BB195" i="6"/>
  <c r="BB172" i="6"/>
  <c r="BB186" i="6"/>
  <c r="AV231" i="6"/>
  <c r="AV251" i="6"/>
  <c r="AV269" i="6"/>
  <c r="AU258" i="6"/>
  <c r="AU239" i="6"/>
  <c r="AU266" i="6"/>
  <c r="BB248" i="6"/>
  <c r="BB229" i="6"/>
  <c r="BB235" i="6"/>
  <c r="AX248" i="6"/>
  <c r="AX239" i="6"/>
  <c r="AX255" i="6"/>
  <c r="AV179" i="6"/>
  <c r="BB189" i="6"/>
  <c r="BB190" i="6"/>
  <c r="BB200" i="6"/>
  <c r="BB182" i="6"/>
  <c r="BB196" i="6"/>
  <c r="BB184" i="6"/>
  <c r="BB194" i="6"/>
  <c r="AV232" i="6"/>
  <c r="AV234" i="6"/>
  <c r="AV261" i="6"/>
  <c r="AV267" i="6"/>
  <c r="BB257" i="6"/>
  <c r="BB239" i="6"/>
  <c r="BB243" i="6"/>
  <c r="AV178" i="6"/>
  <c r="BB174" i="6"/>
  <c r="BB168" i="6"/>
  <c r="BH168" i="6" s="1"/>
  <c r="AV230" i="6"/>
  <c r="AV259" i="6"/>
  <c r="BH259" i="6" s="1"/>
  <c r="AV241" i="6"/>
  <c r="AV265" i="6"/>
  <c r="BB228" i="6"/>
  <c r="BB258" i="6"/>
  <c r="BB263" i="6"/>
  <c r="AX251" i="6"/>
  <c r="AX269" i="6"/>
  <c r="AV182" i="6"/>
  <c r="AV180" i="6"/>
  <c r="BH180" i="6" s="1"/>
  <c r="AV203" i="6"/>
  <c r="AV196" i="6"/>
  <c r="AV174" i="6"/>
  <c r="AV186" i="6"/>
  <c r="AV206" i="6"/>
  <c r="BB176" i="6"/>
  <c r="BB170" i="6"/>
  <c r="BB175" i="6"/>
  <c r="BB177" i="6"/>
  <c r="AV252" i="6"/>
  <c r="AV258" i="6"/>
  <c r="AV242" i="6"/>
  <c r="BH242" i="6" s="1"/>
  <c r="AV264" i="6"/>
  <c r="AU246" i="6"/>
  <c r="AU240" i="6"/>
  <c r="BH240" i="6" s="1"/>
  <c r="AU260" i="6"/>
  <c r="AU163" i="6"/>
  <c r="AU209" i="6" s="1"/>
  <c r="BB249" i="6"/>
  <c r="BB242" i="6"/>
  <c r="BB269" i="6"/>
  <c r="AX238" i="6"/>
  <c r="AX234" i="6"/>
  <c r="AX265" i="6"/>
  <c r="AV167" i="6"/>
  <c r="AV171" i="6"/>
  <c r="BH171" i="6" s="1"/>
  <c r="AV177" i="6"/>
  <c r="BH177" i="6" s="1"/>
  <c r="AV172" i="6"/>
  <c r="BH172" i="6" s="1"/>
  <c r="AV189" i="6"/>
  <c r="AV163" i="6"/>
  <c r="AV209" i="6" s="1"/>
  <c r="BB187" i="6"/>
  <c r="BB183" i="6"/>
  <c r="BB185" i="6"/>
  <c r="AV233" i="6"/>
  <c r="AV257" i="6"/>
  <c r="BH257" i="6" s="1"/>
  <c r="AV239" i="6"/>
  <c r="AV262" i="6"/>
  <c r="BB230" i="6"/>
  <c r="BB261" i="6"/>
  <c r="BB247" i="6"/>
  <c r="BH247" i="6" s="1"/>
  <c r="BB265" i="6"/>
  <c r="AX260" i="6"/>
  <c r="AX250" i="6"/>
  <c r="AX267" i="6"/>
  <c r="AV199" i="6"/>
  <c r="AV194" i="6"/>
  <c r="AV192" i="6"/>
  <c r="AV169" i="6"/>
  <c r="BB198" i="6"/>
  <c r="BH198" i="6" s="1"/>
  <c r="BB163" i="6"/>
  <c r="BB209" i="6" s="1"/>
  <c r="BE209" i="6" s="1"/>
  <c r="AV236" i="6"/>
  <c r="BH236" i="6" s="1"/>
  <c r="AV228" i="6"/>
  <c r="BH228" i="6" s="1"/>
  <c r="AV229" i="6"/>
  <c r="AV266" i="6"/>
  <c r="BB233" i="6"/>
  <c r="BB244" i="6"/>
  <c r="BB250" i="6"/>
  <c r="BB267" i="6"/>
  <c r="AX261" i="6"/>
  <c r="AX249" i="6"/>
  <c r="BH249" i="6" s="1"/>
  <c r="AX268" i="6"/>
  <c r="AV193" i="6"/>
  <c r="BH193" i="6" s="1"/>
  <c r="AV195" i="6"/>
  <c r="AV183" i="6"/>
  <c r="BH183" i="6" s="1"/>
  <c r="BB203" i="6"/>
  <c r="BB192" i="6"/>
  <c r="BB204" i="6"/>
  <c r="AV246" i="6"/>
  <c r="AV244" i="6"/>
  <c r="AV260" i="6"/>
  <c r="AU234" i="6"/>
  <c r="BB253" i="6"/>
  <c r="BB260" i="6"/>
  <c r="BH260" i="6" s="1"/>
  <c r="BB256" i="6"/>
  <c r="BH256" i="6" s="1"/>
  <c r="AX246" i="6"/>
  <c r="AX240" i="6"/>
  <c r="AX259" i="6"/>
  <c r="AX266" i="6"/>
  <c r="AX241" i="6"/>
  <c r="AX235" i="6"/>
  <c r="BH235" i="6" s="1"/>
  <c r="AZ272" i="6"/>
  <c r="R36" i="18"/>
  <c r="AX272" i="6"/>
  <c r="BC272" i="6"/>
  <c r="BB272" i="6"/>
  <c r="AY272" i="6"/>
  <c r="BD273" i="6"/>
  <c r="BH251" i="6"/>
  <c r="AW273" i="6"/>
  <c r="AT273" i="6"/>
  <c r="BC273" i="6"/>
  <c r="BA272" i="6"/>
  <c r="BH232" i="6"/>
  <c r="AZ273" i="6"/>
  <c r="BH237" i="6"/>
  <c r="BH255" i="6"/>
  <c r="AY273" i="6"/>
  <c r="BH238" i="6"/>
  <c r="AT210" i="6"/>
  <c r="BD210" i="6"/>
  <c r="AZ210" i="6"/>
  <c r="BC210" i="6"/>
  <c r="BH188" i="6"/>
  <c r="BH189" i="6"/>
  <c r="AU210" i="6"/>
  <c r="BH186" i="6"/>
  <c r="BH173" i="6"/>
  <c r="BH170" i="6"/>
  <c r="BH178" i="6"/>
  <c r="BH197" i="6"/>
  <c r="BH165" i="6"/>
  <c r="BH166" i="6"/>
  <c r="BH185" i="6"/>
  <c r="AY210" i="6"/>
  <c r="AW210" i="6"/>
  <c r="BO78" i="6"/>
  <c r="S38" i="18" s="1"/>
  <c r="S39" i="18" s="1"/>
  <c r="S37" i="18" s="1"/>
  <c r="BP77" i="6"/>
  <c r="BH230" i="6" l="1"/>
  <c r="BH196" i="6"/>
  <c r="BH195" i="6"/>
  <c r="AX210" i="6"/>
  <c r="BH174" i="6"/>
  <c r="BH261" i="6"/>
  <c r="BH192" i="6"/>
  <c r="BH243" i="6"/>
  <c r="BH190" i="6"/>
  <c r="BH169" i="6"/>
  <c r="BH175" i="6"/>
  <c r="BH194" i="6"/>
  <c r="BH253" i="6"/>
  <c r="BH187" i="6"/>
  <c r="BH229" i="6"/>
  <c r="BH239" i="6"/>
  <c r="AV273" i="6"/>
  <c r="BH182" i="6"/>
  <c r="BH258" i="6"/>
  <c r="BH233" i="6"/>
  <c r="BB273" i="6"/>
  <c r="AU273" i="6"/>
  <c r="BE273" i="6" s="1"/>
  <c r="BH252" i="6"/>
  <c r="BH246" i="6"/>
  <c r="BB210" i="6"/>
  <c r="AV210" i="6"/>
  <c r="BH163" i="6"/>
  <c r="BH167" i="6"/>
  <c r="AX273" i="6"/>
  <c r="BH234" i="6"/>
  <c r="S36" i="18"/>
  <c r="BO79" i="6"/>
  <c r="BP78" i="6"/>
  <c r="BE210" i="6" l="1"/>
  <c r="BE211" i="6" s="1"/>
  <c r="T38" i="18"/>
  <c r="AW272" i="6"/>
  <c r="BH226" i="6"/>
  <c r="BE212" i="6"/>
  <c r="BP79" i="6"/>
  <c r="B8" i="15" s="1"/>
  <c r="U38" i="18" l="1"/>
  <c r="T39" i="18"/>
  <c r="T37" i="18" s="1"/>
  <c r="T36" i="18"/>
  <c r="U36" i="18" s="1"/>
  <c r="BE272" i="6"/>
  <c r="BE274" i="6" s="1"/>
  <c r="BE275" i="6" s="1"/>
  <c r="B6" i="15"/>
  <c r="H6" i="15" s="1"/>
  <c r="I6" i="15" s="1"/>
  <c r="B9" i="15"/>
  <c r="H9" i="15" s="1"/>
  <c r="I9" i="15" s="1"/>
  <c r="B7" i="15"/>
  <c r="H7" i="15" s="1"/>
  <c r="I7" i="15" s="1"/>
  <c r="H8" i="15"/>
  <c r="I8" i="15" s="1"/>
  <c r="G8" i="15"/>
  <c r="T42" i="18" l="1"/>
  <c r="G9" i="15"/>
  <c r="G7" i="15"/>
  <c r="G6" i="15"/>
  <c r="T44" i="18" l="1"/>
  <c r="E36" i="18"/>
  <c r="I42" i="18"/>
  <c r="I44" i="18"/>
  <c r="J44" i="18"/>
  <c r="J42" i="18"/>
  <c r="K44" i="18"/>
  <c r="K42" i="18"/>
  <c r="L44" i="18"/>
  <c r="L42" i="18"/>
  <c r="M42" i="18"/>
  <c r="M44" i="18"/>
  <c r="N42" i="18"/>
  <c r="N44" i="18"/>
  <c r="O44" i="18"/>
  <c r="O42" i="18"/>
  <c r="P44" i="18"/>
  <c r="P42" i="18"/>
  <c r="Q42" i="18"/>
  <c r="Q44" i="18"/>
  <c r="R44" i="18"/>
  <c r="R42" i="18"/>
  <c r="S44" i="18"/>
  <c r="S4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SCHUMACHER Britta</author>
  </authors>
  <commentList>
    <comment ref="B1" authorId="0" shapeId="0" xr:uid="{00000000-0006-0000-0300-000001000000}">
      <text>
        <r>
          <rPr>
            <b/>
            <sz val="9"/>
            <color indexed="81"/>
            <rFont val="Tahoma"/>
            <family val="2"/>
          </rPr>
          <t>SCHUMACHER Britta:</t>
        </r>
        <r>
          <rPr>
            <sz val="9"/>
            <color indexed="81"/>
            <rFont val="Tahoma"/>
            <family val="2"/>
          </rPr>
          <t xml:space="preserve">
for our supplies it makes more sense to calculate the  requirements first and then  calculating  the number of cartons / bags etc  because  for certain interventions the  amount / p / day  varies ( see below)</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921474-0142-4014-A473-68DAD320AAB2}" keepAlive="1" name="Query - Table13" description="Connection to the 'Table13' query in the workbook." type="5" refreshedVersion="0" background="1" saveData="1">
    <dbPr connection="Provider=Microsoft.Mashup.OleDb.1;Data Source=$Workbook$;Location=Table13;Extended Properties=&quot;&quot;" command="SELECT * FROM [Table13]"/>
  </connection>
  <connection id="2" xr16:uid="{8CF44314-E297-48B9-A6BA-A9F5F2B4A2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B55A3CB-A625-4C35-93F3-001678EC1531}" name="WorksheetConnection_CMAM!$AQ$33:$BC$67" type="102" refreshedVersion="8" minRefreshableVersion="5">
    <extLst>
      <ext xmlns:x15="http://schemas.microsoft.com/office/spreadsheetml/2010/11/main" uri="{DE250136-89BD-433C-8126-D09CA5730AF9}">
        <x15:connection id="Range" autoDelete="1">
          <x15:rangePr sourceName="_xlcn.WorksheetConnection_CMAMAQ33BC671"/>
        </x15:connection>
      </ext>
    </extLst>
  </connection>
  <connection id="4" xr16:uid="{7EBF5CC2-E760-478B-BBBF-8CB7F9BD6A50}" name="WorksheetConnection_GNC-Caseload calculator DRAFT UPDATE.xlsx!TableP0to5" type="102" refreshedVersion="8" minRefreshableVersion="5">
    <extLst>
      <ext xmlns:x15="http://schemas.microsoft.com/office/spreadsheetml/2010/11/main" uri="{DE250136-89BD-433C-8126-D09CA5730AF9}">
        <x15:connection id="TableP0to5" autoDelete="1">
          <x15:rangePr sourceName="_xlcn.WorksheetConnection_GNCCaseloadcalculatorDRAFTUPDATE.xlsxTableP0to51"/>
        </x15:connection>
      </ext>
    </extLst>
  </connection>
  <connection id="5" xr16:uid="{4C80EC4B-5896-4360-AF09-DCDC95390A69}" name="WorksheetConnection_GNC-Caseload calculator updated.xlsx!Table1" type="102" refreshedVersion="8" minRefreshableVersion="5">
    <extLst>
      <ext xmlns:x15="http://schemas.microsoft.com/office/spreadsheetml/2010/11/main" uri="{DE250136-89BD-433C-8126-D09CA5730AF9}">
        <x15:connection id="Table1" autoDelete="1">
          <x15:rangePr sourceName="_xlcn.WorksheetConnection_GNCCaseloadcalculatorupdated.xlsxTable11"/>
        </x15:connection>
      </ext>
    </extLst>
  </connection>
  <connection id="6" xr16:uid="{E690C30F-9548-4CAC-A78D-41EBF5E763BA}" name="WorksheetConnection_Prevalence!$AR$227:$BD$261" type="102" refreshedVersion="8" minRefreshableVersion="5">
    <extLst>
      <ext xmlns:x15="http://schemas.microsoft.com/office/spreadsheetml/2010/11/main" uri="{DE250136-89BD-433C-8126-D09CA5730AF9}">
        <x15:connection id="Range 1" autoDelete="1">
          <x15:rangePr sourceName="_xlcn.WorksheetConnection_PrevalenceAR227BD261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<sst xmlns="http://schemas.openxmlformats.org/spreadsheetml/2006/main" count="1234" uniqueCount="436">
  <si>
    <t>Assumptions</t>
  </si>
  <si>
    <t xml:space="preserve">All survey based inputs are assumed to have been colllected at the same time with the same dates of data collection. </t>
  </si>
  <si>
    <t xml:space="preserve">The amplitude and duration of condition (SAM, MAM or acute malnutrition in PLW) is assumed to remain the same throughout the year. </t>
  </si>
  <si>
    <t>The model only allows for 0 or 1 seasonal peaks.  There will be regions with twin peaks but it is assumed that these conditions will make little difference in program planning</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</si>
  <si>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</si>
  <si>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 1 and ICF = 1.6 or higher/lower</t>
  </si>
  <si>
    <t xml:space="preserve">January expected cases is Pop*Prev(Jan)*40% </t>
  </si>
  <si>
    <t xml:space="preserve">This assumes that there is a natural distribution of cases in the month(s) of duration of illness centred on January. </t>
  </si>
  <si>
    <t>The months burden from Feb to Dec are calculated as % of remaining 11 months burden standardized to monthly proportion of cases</t>
  </si>
  <si>
    <t>The percent coverage does not change during the year</t>
  </si>
  <si>
    <t>DRAFT</t>
  </si>
  <si>
    <t xml:space="preserve">INSTRUCTIONS: </t>
  </si>
  <si>
    <t xml:space="preserve">6. Enter the amplitude of annual wasting variation.  See the amplitude tab, for more information on expected amplitude of wasting in countries and regions. </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</si>
  <si>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</si>
  <si>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</si>
  <si>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</si>
  <si>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</si>
  <si>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</si>
  <si>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</si>
  <si>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 xml:space="preserve">17. Enter the prevalence of Acute Malnutrition in pregnant and lactating women in column J for overall and all admin levels listed. </t>
  </si>
  <si>
    <t xml:space="preserve">18. After making any changes in the inputs in columns A - J.  Click in the pivot table and right click.  Click on refresh. </t>
  </si>
  <si>
    <t>19. Enter the conditions (weather, disease, key events, conflict and economic) by month and color in the monthly mapping below the graph of severe wasting</t>
  </si>
  <si>
    <t>Prevention and Treatment of Wasting Program</t>
  </si>
  <si>
    <t xml:space="preserve">After each change in the inputs in columns A - J.  Click in the pivot table and right click.  Click on refresh. </t>
  </si>
  <si>
    <t>Annual seasonal adjusted wasting prevalence calculations</t>
  </si>
  <si>
    <t xml:space="preserve">Note:  the grand total below is an unweighted average. It is not the correct estimate. </t>
  </si>
  <si>
    <t xml:space="preserve">Country </t>
  </si>
  <si>
    <t>Afghanistan</t>
  </si>
  <si>
    <t>Column Labels</t>
  </si>
  <si>
    <t>Output for Prevalence by Month Graph</t>
  </si>
  <si>
    <t>Year of program</t>
  </si>
  <si>
    <t>Values</t>
  </si>
  <si>
    <t>Badakhshan</t>
  </si>
  <si>
    <t>Badghis</t>
  </si>
  <si>
    <t>Baghlan</t>
  </si>
  <si>
    <t>Balkh</t>
  </si>
  <si>
    <t>Bamyan</t>
  </si>
  <si>
    <t>Dykundi</t>
  </si>
  <si>
    <t>Farah</t>
  </si>
  <si>
    <t>Faryab</t>
  </si>
  <si>
    <t>Ghazni</t>
  </si>
  <si>
    <t>Ghor</t>
  </si>
  <si>
    <t>Helmand</t>
  </si>
  <si>
    <t>Hirat</t>
  </si>
  <si>
    <t>Jawzjan</t>
  </si>
  <si>
    <t>Kabul</t>
  </si>
  <si>
    <t>Kandahar</t>
  </si>
  <si>
    <t>Kapisa</t>
  </si>
  <si>
    <t>Khost</t>
  </si>
  <si>
    <t>Kunar</t>
  </si>
  <si>
    <t>Kunduz</t>
  </si>
  <si>
    <t>Laghman</t>
  </si>
  <si>
    <t>Logar</t>
  </si>
  <si>
    <t>Nangarhar</t>
  </si>
  <si>
    <t>Nimroz</t>
  </si>
  <si>
    <t>Nuristan</t>
  </si>
  <si>
    <t>Paktika</t>
  </si>
  <si>
    <t>Paktya</t>
  </si>
  <si>
    <t>Panjsher</t>
  </si>
  <si>
    <t>Parwan</t>
  </si>
  <si>
    <t>Samangan</t>
  </si>
  <si>
    <t>Sar-e-Pul</t>
  </si>
  <si>
    <t>Takhar</t>
  </si>
  <si>
    <t>Urozgan</t>
  </si>
  <si>
    <t>Wardak</t>
  </si>
  <si>
    <t>Zabul</t>
  </si>
  <si>
    <t>Grand Total</t>
  </si>
  <si>
    <t>Slicer Name</t>
  </si>
  <si>
    <t>Monthly Estimate 6-59M</t>
  </si>
  <si>
    <t xml:space="preserve">Name of survey </t>
  </si>
  <si>
    <t xml:space="preserve">Enter the source of data used for prevalence  </t>
  </si>
  <si>
    <t>SMART 2023</t>
  </si>
  <si>
    <t>Average of Jan-23</t>
  </si>
  <si>
    <t xml:space="preserve">Dates of data collection </t>
  </si>
  <si>
    <t>Enter the start and end months data collection and year(s)</t>
  </si>
  <si>
    <t>8-2023 to 10-2023</t>
  </si>
  <si>
    <t>Average of Feb-23</t>
  </si>
  <si>
    <t>Mid-point of data collection</t>
  </si>
  <si>
    <t>Average of Mar-23</t>
  </si>
  <si>
    <t>Month (#)</t>
  </si>
  <si>
    <t>Enter the  month number of the mid point of data collection</t>
  </si>
  <si>
    <t>Average of Apr-23</t>
  </si>
  <si>
    <t>Year</t>
  </si>
  <si>
    <t>Enter the year of the mid point of data collection</t>
  </si>
  <si>
    <t>Average of May-23</t>
  </si>
  <si>
    <t>Seasonality Model Inputs</t>
  </si>
  <si>
    <t>Average of Jun-23</t>
  </si>
  <si>
    <t>Amplitude</t>
  </si>
  <si>
    <t>Enter the amplitude of annual wasting variation</t>
  </si>
  <si>
    <t>Average of Jul-23</t>
  </si>
  <si>
    <t>Peak (month)</t>
  </si>
  <si>
    <t>Enter the month number of the peak of annual wasting</t>
  </si>
  <si>
    <t>Average of Aug-23</t>
  </si>
  <si>
    <t>Average of Sep-23</t>
  </si>
  <si>
    <t>Case definition for admissions to SAM treatment 6-59M</t>
  </si>
  <si>
    <t>Average of Oct-23</t>
  </si>
  <si>
    <t>Case definition for admissions for SAM treatment in infants 0-5M</t>
  </si>
  <si>
    <t>Average of Nov-23</t>
  </si>
  <si>
    <t>Case definition for admissions for MAM Rx Children 6-59M</t>
  </si>
  <si>
    <t>WHZ &gt;= - 3 SD &amp; &lt; -2SD or MUAC &gt;= 115mm &amp; &lt; 125 mm</t>
  </si>
  <si>
    <t>Average of Dec-23</t>
  </si>
  <si>
    <t>Case definition for admissions of Pregnant and Lactating Women</t>
  </si>
  <si>
    <t>MUAC&lt;23 CM</t>
  </si>
  <si>
    <t>Average</t>
  </si>
  <si>
    <t>National</t>
  </si>
  <si>
    <t>Admin 1 or Admin 2</t>
  </si>
  <si>
    <t xml:space="preserve">Total Population 
</t>
  </si>
  <si>
    <t>GAM % (WFH or MUAC) Children 0-59M</t>
  </si>
  <si>
    <t>SAM % Children 0-59M</t>
  </si>
  <si>
    <t>MAM % Children 6-59M (WFH or MUAC)</t>
  </si>
  <si>
    <t>Infants 0-5M % (admission criteria for treatment)</t>
  </si>
  <si>
    <t>Acute malnutrition in PLW, %</t>
  </si>
  <si>
    <t>Country Name</t>
  </si>
  <si>
    <t>Enter Admin 1 or Admin 2 names</t>
  </si>
  <si>
    <t>Enter data for admin level from the latest demographic survey, accounting for population growth, displacement and migration.</t>
  </si>
  <si>
    <t>Use data from the latest nutrition survey.</t>
  </si>
  <si>
    <t>Use data from the latest nutrition survey. If only GAM data are available estimate SAM as 20% of GAM</t>
  </si>
  <si>
    <t xml:space="preserve">Use data from the latest nutrition survey, nutrition assessments or screening.  </t>
  </si>
  <si>
    <t>Jan</t>
  </si>
  <si>
    <t>Feb</t>
  </si>
  <si>
    <t>Mar</t>
  </si>
  <si>
    <t>Apr</t>
  </si>
  <si>
    <t>May</t>
  </si>
  <si>
    <t>Jun</t>
  </si>
  <si>
    <t>Jul</t>
  </si>
  <si>
    <t>Aug</t>
  </si>
  <si>
    <t>Sep</t>
  </si>
  <si>
    <t>Oct</t>
  </si>
  <si>
    <t>Nov</t>
  </si>
  <si>
    <t>Dec</t>
  </si>
  <si>
    <t>Weather</t>
  </si>
  <si>
    <t>Cold</t>
  </si>
  <si>
    <t>Hot</t>
  </si>
  <si>
    <t>Monthly Estimate 0-5M</t>
  </si>
  <si>
    <t>Rains</t>
  </si>
  <si>
    <t>Floods</t>
  </si>
  <si>
    <t>Drought</t>
  </si>
  <si>
    <t>Disease</t>
  </si>
  <si>
    <t>Diarrhea</t>
  </si>
  <si>
    <t>ARI</t>
  </si>
  <si>
    <t>Measles</t>
  </si>
  <si>
    <t xml:space="preserve">Malaria </t>
  </si>
  <si>
    <t>Cholera</t>
  </si>
  <si>
    <t>Key Events</t>
  </si>
  <si>
    <t>Ramadan</t>
  </si>
  <si>
    <t xml:space="preserve">Planting </t>
  </si>
  <si>
    <t>Harvest</t>
  </si>
  <si>
    <t>Grazing</t>
  </si>
  <si>
    <t>Conflict</t>
  </si>
  <si>
    <t>Economics</t>
  </si>
  <si>
    <t>Food Prices</t>
  </si>
  <si>
    <t>Shock</t>
  </si>
  <si>
    <t>Documentation of seasonal factors that provoke malnutrition or impede service delivery</t>
  </si>
  <si>
    <t>Output for Cumulative and Annual Burden by Month Graph</t>
  </si>
  <si>
    <t>Cumulative Expected Cases</t>
  </si>
  <si>
    <t>Cumulative Expected Admissions</t>
  </si>
  <si>
    <t>Monthly Estimate</t>
  </si>
  <si>
    <t>Monthly Expected Admissions</t>
  </si>
  <si>
    <t>Sum of Jan-23</t>
  </si>
  <si>
    <t>Sum of Feb-23</t>
  </si>
  <si>
    <t>Sum of Mar-23</t>
  </si>
  <si>
    <t>Sum of Apr-23</t>
  </si>
  <si>
    <t>Sum of May-23</t>
  </si>
  <si>
    <t>Sum of Jun-23</t>
  </si>
  <si>
    <t>Sum of Jul-23</t>
  </si>
  <si>
    <t>Sum of Aug-23</t>
  </si>
  <si>
    <t>Sum of Sep-23</t>
  </si>
  <si>
    <t>Sum of Oct-23</t>
  </si>
  <si>
    <t>Sum of Nov-23</t>
  </si>
  <si>
    <t>Sum of Dec-23</t>
  </si>
  <si>
    <t>N/D</t>
  </si>
  <si>
    <t xml:space="preserve">IN THE PIVOT TABLES </t>
  </si>
  <si>
    <t>How to link the slicer to 2 different pivot tables</t>
  </si>
  <si>
    <t>Verify</t>
  </si>
  <si>
    <t>Burden calculation based on monthly estimates</t>
  </si>
  <si>
    <t>Don't include any extra rows</t>
  </si>
  <si>
    <t>https://theexceltrainer.co.uk/excel-slicers-2-pivot-tables-based-on-different-data-sources/</t>
  </si>
  <si>
    <t>In column labels enter filter  - does not equal (blank)</t>
  </si>
  <si>
    <t>https://www.extendoffice.com/documents/excel/7195-excel-get-slicer-selected-value.html</t>
  </si>
  <si>
    <t>Sub-national</t>
  </si>
  <si>
    <t xml:space="preserve">Pivot table options - allow multiple filters </t>
  </si>
  <si>
    <t>To rotate axes of pivot table, make graph and reverse axes</t>
  </si>
  <si>
    <t>Pop</t>
  </si>
  <si>
    <t xml:space="preserve">To link tables to slider. Ensure all pivot tables were added to data table.  Make relationships between all tables.  Select slider and set relationship.  </t>
  </si>
  <si>
    <t>Prev</t>
  </si>
  <si>
    <t>Burden calculation based on one estimate</t>
  </si>
  <si>
    <t>Graph Title</t>
  </si>
  <si>
    <t>Return slicer here</t>
  </si>
  <si>
    <t>National Level Seasonal Prevalence Estimates</t>
  </si>
  <si>
    <t>Month Num</t>
  </si>
  <si>
    <t>M-Y</t>
  </si>
  <si>
    <t>Mid point of data collection</t>
  </si>
  <si>
    <t>Rotation</t>
  </si>
  <si>
    <t xml:space="preserve">Pull thru prevalence </t>
  </si>
  <si>
    <t xml:space="preserve">Pull thru adjustment for season </t>
  </si>
  <si>
    <t xml:space="preserve">National Monthly estimate </t>
  </si>
  <si>
    <t>Check for negative numbers</t>
  </si>
  <si>
    <t xml:space="preserve"> MAM % Children 6-59M (WFH or MUAC)</t>
  </si>
  <si>
    <t>Adjusted annual survey estimate</t>
  </si>
  <si>
    <t xml:space="preserve">If amplitude for PLW changes, must add data entry point for this datum. </t>
  </si>
  <si>
    <t>Table 1</t>
  </si>
  <si>
    <t>Table 2</t>
  </si>
  <si>
    <t>Seasonally adjusted Severe Wasting Prevalence in children 6-59M</t>
  </si>
  <si>
    <t>Annual and cumulative burden estimates in children 6-59M</t>
  </si>
  <si>
    <t>Proportion</t>
  </si>
  <si>
    <t>Unstandardized counts</t>
  </si>
  <si>
    <t>Standardized 11M</t>
  </si>
  <si>
    <t>Population</t>
  </si>
  <si>
    <t>Check</t>
  </si>
  <si>
    <t>Monthly estimate</t>
  </si>
  <si>
    <t>Admin 1</t>
  </si>
  <si>
    <t>Jan-23</t>
  </si>
  <si>
    <t>Feb-23</t>
  </si>
  <si>
    <t>Mar-23</t>
  </si>
  <si>
    <t>Apr-23</t>
  </si>
  <si>
    <t>May-23</t>
  </si>
  <si>
    <t>Jun-23</t>
  </si>
  <si>
    <t>Jul-23</t>
  </si>
  <si>
    <t>Aug-23</t>
  </si>
  <si>
    <t>Sep-23</t>
  </si>
  <si>
    <t>Oct-23</t>
  </si>
  <si>
    <t>Nov-23</t>
  </si>
  <si>
    <t>Dec-23</t>
  </si>
  <si>
    <t xml:space="preserve">Total </t>
  </si>
  <si>
    <t>11 M</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</si>
  <si>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</si>
  <si>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</si>
  <si>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</si>
  <si>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</si>
  <si>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</si>
  <si>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 3</t>
  </si>
  <si>
    <t>Table 4</t>
  </si>
  <si>
    <t>Seasonally adjusted Severe Wasting Prevalence in children 0-5M</t>
  </si>
  <si>
    <t>Annual and cumulative burden estimates in children 0-5M</t>
  </si>
  <si>
    <t xml:space="preserve">Total  selects the mean prevalence taken from table 1, does not need to identify the peak/trough for ID of mean </t>
  </si>
  <si>
    <t xml:space="preserve">Enter the locally contextualized incidence correction factor for SAM. If not known, enter 1.6 for SAM.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</si>
  <si>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</si>
  <si>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Use proportion of children 6-59 months from the latest demographic survey. If no such data exists, estimate as 20% of the population (in low income countries only)</t>
  </si>
  <si>
    <t xml:space="preserve">Enter the locally contextualized incidence correction factor for MAM. If not known, enter 1.6 for SAM.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</si>
  <si>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</si>
  <si>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Use proportion of PLW from the latest demographic survey. If no such data exists, estimate as 5% of the population (in low income countries only)</t>
  </si>
  <si>
    <t>Annual Burden Calculations</t>
  </si>
  <si>
    <t>Children 0-5 months % of total population</t>
  </si>
  <si>
    <t>SAM ICF 0-5 months (Incident correction factor)</t>
  </si>
  <si>
    <t xml:space="preserve">Compare National </t>
  </si>
  <si>
    <t>Expected SAM programme coverage, %</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</si>
  <si>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</si>
  <si>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</si>
  <si>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</si>
  <si>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</si>
  <si>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t>
  </si>
  <si>
    <t>Expected MAM programme coverage, %</t>
  </si>
  <si>
    <t>Pregnant and lactating women as percentage of total population, %</t>
  </si>
  <si>
    <t>PLW  ICF (Incident correction factor)</t>
  </si>
  <si>
    <t>Expected programme coverage, %</t>
  </si>
  <si>
    <t xml:space="preserve">Calculation of burden for </t>
  </si>
  <si>
    <t xml:space="preserve">Total Population </t>
  </si>
  <si>
    <t>% of total pop who are children 0-59m of age</t>
  </si>
  <si>
    <t xml:space="preserve">Population of children 0-59M </t>
  </si>
  <si>
    <t>Adjusted annual severe wasting prevalence 0-59M %</t>
  </si>
  <si>
    <t>Incidence Correction Factor</t>
  </si>
  <si>
    <t>Month</t>
  </si>
  <si>
    <t>Overall / National</t>
  </si>
  <si>
    <t>Burden</t>
  </si>
  <si>
    <t>Overall SAM 0-59M</t>
  </si>
  <si>
    <t>Overall Expected Admissions 0-59M</t>
  </si>
  <si>
    <t xml:space="preserve">SAM 6-59M </t>
  </si>
  <si>
    <t>Expected Admissions 6-59M</t>
  </si>
  <si>
    <t>SAM admission criteria Infants 0-5M</t>
  </si>
  <si>
    <t>Expected Admissions 0-5M</t>
  </si>
  <si>
    <t xml:space="preserve">January expected cases is Pop*Prev(Jan)*40% as the duration of SAM is </t>
  </si>
  <si>
    <t>months</t>
  </si>
  <si>
    <t xml:space="preserve">This assumes that there is a uniform distribution of cases in the month(s) of duration of illness centred on January. </t>
  </si>
  <si>
    <t>Following months burden are calculated as % of remaining 11 months burden standardized to monthly proportion of cases</t>
  </si>
  <si>
    <t xml:space="preserve">Assumption: </t>
  </si>
  <si>
    <t xml:space="preserve">The duration of SAM episode does not change during the year. </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</si>
  <si>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</si>
  <si>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</si>
  <si>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</si>
  <si>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</si>
  <si>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</si>
  <si>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</si>
  <si>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</si>
  <si>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</si>
  <si>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</si>
  <si>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</si>
  <si>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5. Select the amplitude corresponding to the selected area, date and character</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</si>
  <si>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</si>
  <si>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</si>
  <si>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</si>
  <si>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</si>
  <si>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</si>
  <si>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</si>
  <si>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</si>
  <si>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</si>
  <si>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</si>
  <si>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</si>
  <si>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</si>
  <si>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</si>
  <si>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</si>
  <si>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</si>
  <si>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</si>
  <si>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</si>
  <si>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</si>
  <si>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</si>
  <si>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</si>
  <si>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</si>
  <si>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</si>
  <si>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</si>
  <si>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</si>
  <si>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</si>
  <si>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</si>
  <si>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</si>
  <si>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</si>
  <si>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Regular 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</si>
  <si>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</si>
  <si>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</si>
  <si>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</si>
  <si>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</si>
  <si>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</si>
  <si>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</si>
  <si>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</si>
  <si>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</si>
  <si>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</si>
  <si>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</si>
  <si>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</si>
  <si>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</si>
  <si>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</si>
  <si>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</si>
  <si>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</si>
  <si>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</si>
  <si>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</si>
  <si>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</si>
  <si>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</si>
  <si>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</si>
  <si>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</si>
  <si>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</si>
  <si>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</si>
  <si>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</si>
  <si>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</si>
  <si>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</si>
  <si>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</si>
  <si>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</si>
  <si>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</si>
  <si>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</si>
  <si>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</si>
  <si>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</si>
  <si>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Preventative interventions caseload calculations</t>
  </si>
  <si>
    <t>IYCF counselling</t>
  </si>
  <si>
    <t>children 0-24 months and PW</t>
  </si>
  <si>
    <t>Calculated from Burden inputs (%)</t>
  </si>
  <si>
    <t>Duration of programme, months</t>
  </si>
  <si>
    <t>The caseload calculation is usually done for a year, however on some occasions (new emergency, shorter term response plan, etc.) it can be done for different duration</t>
  </si>
  <si>
    <t xml:space="preserve">Note the length of programming has no impact on the number esimated. </t>
  </si>
  <si>
    <t>This is  mean coverage that is expected to be achieved by the program over the time period. To agree on expected coverage clusters usually take into account current capacity and capacity to scale up. If mean coverage for the previous year is known, base your estimates on this number accounting for potential scale up/down.</t>
  </si>
  <si>
    <t>Screening and referral</t>
  </si>
  <si>
    <t>6-59 months</t>
  </si>
  <si>
    <t>BSFP</t>
  </si>
  <si>
    <t>Children 6-23 months</t>
  </si>
  <si>
    <t>Admin 2</t>
  </si>
  <si>
    <t>Admin 1 names  from Prevalence</t>
  </si>
  <si>
    <t>Admin 2 names  from Prevalence</t>
  </si>
  <si>
    <t>Automatic calculation</t>
  </si>
  <si>
    <t>Selected supplies forecasting</t>
  </si>
  <si>
    <r>
      <rPr>
        <b/>
        <sz val="12"/>
        <color theme="5" tint="-0.249977111117893"/>
        <rFont val="Calibri"/>
        <family val="2"/>
        <scheme val="minor"/>
      </rPr>
      <t>Important note:</t>
    </r>
    <r>
      <rPr>
        <b/>
        <sz val="12"/>
        <color theme="1"/>
        <rFont val="Calibri"/>
        <family val="2"/>
        <scheme val="minor"/>
      </rPr>
      <t xml:space="preserve"> the purpose of this supplies calculator is to allow NCCs to oversee how many of the main commodities is needed to cover cluster targets. If it is to be used for programme planning it should be adapted</t>
    </r>
  </si>
  <si>
    <t>For supplies forecasting for the SAM treatment as per UNICEF recommendations, refer to "Nutrition supplies forecast sheet 2012" by UNICEF (available from UNICEF intranet)</t>
  </si>
  <si>
    <t>Programme</t>
  </si>
  <si>
    <t>Target, beneficiaries</t>
  </si>
  <si>
    <t>Supply item</t>
  </si>
  <si>
    <t>Number of items in one carton</t>
  </si>
  <si>
    <t>Number of items per one beneficiary</t>
  </si>
  <si>
    <t>Net weight of 1 carton, kg</t>
  </si>
  <si>
    <t>Total number of supply items needed</t>
  </si>
  <si>
    <t>Total number of cartons needed</t>
  </si>
  <si>
    <t>Total weight (net), Mt</t>
  </si>
  <si>
    <t>Comments and notes</t>
  </si>
  <si>
    <t>SAM treatment (outpatient), children 6-59 mo</t>
  </si>
  <si>
    <t>Therapeutic spread, sachet 92g/CAR-150</t>
  </si>
  <si>
    <t>UNICEF recommended supplies for treatment of one child is 136 sachets +10% leakage, amounting for total 150 sachets (one carton) per one child. Of 100 SAM cases it is expected that 80% will be referred to outpatient treatment and 20 % for inpatient care, that will later be transitioned to outpatient care, hence the supplies are calculated on 100% of the target</t>
  </si>
  <si>
    <t>Inpatient SAM treatment (phase 1), children 0-59 mo</t>
  </si>
  <si>
    <t>F-75 therap.diet,sachet, 102.5g/CAR-120</t>
  </si>
  <si>
    <t xml:space="preserve">UNICEF recommended supplies for treatment of one child is 12 sachets +10% leakage, amounting for total 13 sachets per one child. Of 100% SAM cases it is expected that 80% will be referred to outpatient treatment and 20 % for inpatient care, </t>
  </si>
  <si>
    <t>Inpatient SAM treatment (phase 2), children 0-59 mo</t>
  </si>
  <si>
    <t xml:space="preserve">  F-100 therap. diet, sachet,114g/CAR-90</t>
  </si>
  <si>
    <t xml:space="preserve">The provided calculation is for when inpatient care is followed by outpatient care with RUTF. It estimates the quantity needed to cobver transition and exceptions (children who are anable to take RUTF in phase 2). UNICEF recommended supplies for transitioning phase 2 of one child is 4 sachets +10% leakage, amounting for total 4.5 sachets per one child. Of 100% SAM cases it is expected that 80% will be referred to outpatient treatment and 20 % for inpatient care, </t>
  </si>
  <si>
    <t>MAM treatment, children 6-59 mo</t>
  </si>
  <si>
    <t xml:space="preserve">Supplementary spread,sachet 92g/CAR-150 </t>
  </si>
  <si>
    <t>AM treatment, PLW</t>
  </si>
  <si>
    <t xml:space="preserve">Supercereal (CSB+) /BAG-25kg </t>
  </si>
  <si>
    <t>The standard ration foresees Supercereal   200-250 g / p / d plus 20-25 g oil, amounting for about 15 kg of CSB+  (60% of one 25kg bag) per one woman per treatment</t>
  </si>
  <si>
    <t>BSFP, children</t>
  </si>
  <si>
    <t xml:space="preserve">Supercereal Plus (CSB++)/BAG-1,5KG </t>
  </si>
  <si>
    <t>Enter here number of items per beneficiary (agreed in country)</t>
  </si>
  <si>
    <r>
      <rPr>
        <b/>
        <sz val="12"/>
        <color theme="1"/>
        <rFont val="Calibri"/>
        <family val="2"/>
        <scheme val="minor"/>
      </rPr>
      <t>OR</t>
    </r>
    <r>
      <rPr>
        <sz val="12"/>
        <color theme="1"/>
        <rFont val="Calibri"/>
        <family val="2"/>
        <scheme val="minor"/>
      </rPr>
      <t xml:space="preserve"> Supplementary spread, pot. 325g/CAR-36</t>
    </r>
  </si>
  <si>
    <t>Medium quantity LNS  is usually given in 46 g ( 50 g) sachets / p / day  , however it can vary depending on resourses available</t>
  </si>
  <si>
    <t>IYCF-E (artificial feeding), children 0-5 months</t>
  </si>
  <si>
    <t>Enter here number of target beneficiaries</t>
  </si>
  <si>
    <t>Ready to use infant formula, bottle 200g / pack-6</t>
  </si>
  <si>
    <t>For calculating purposes, an average of 750ml per day of liquid formula is suggested (total 135 liter for 6 months)</t>
  </si>
  <si>
    <r>
      <rPr>
        <b/>
        <sz val="12"/>
        <color theme="1"/>
        <rFont val="Calibri"/>
        <family val="2"/>
        <scheme val="minor"/>
      </rPr>
      <t xml:space="preserve">OR </t>
    </r>
    <r>
      <rPr>
        <sz val="12"/>
        <color theme="1"/>
        <rFont val="Calibri"/>
        <family val="2"/>
        <scheme val="minor"/>
      </rPr>
      <t>Powdered infant formula / CAN 400g</t>
    </r>
  </si>
  <si>
    <t>For calculating purposes, an average of 50 cans with 400g powdered milk is suggested (total 20kg for 6 months).</t>
  </si>
  <si>
    <t xml:space="preserve">NOT UPDATED </t>
  </si>
  <si>
    <t>Row Labels</t>
  </si>
  <si>
    <t>Sum of Children 6-59 mo in need of SAM management</t>
  </si>
  <si>
    <t>Sum of Cluster targeted caseload for SAM management</t>
  </si>
  <si>
    <t>Sum of Children 6-59 mo in need of MAM management</t>
  </si>
  <si>
    <t>Sum of Cluster targeted caseload for MAM management</t>
  </si>
  <si>
    <t>Sum of PLW in need of AM management</t>
  </si>
  <si>
    <t>Sum of Cluster targeted caseload for AM treatment in PLW</t>
  </si>
  <si>
    <t>Sum of Children 6-23 months in need of BSFP</t>
  </si>
  <si>
    <t>Sum of Cluster targeted caseload for BSFP</t>
  </si>
  <si>
    <t>Sum of children 0-24 months and PW in need of IYCF counselling</t>
  </si>
  <si>
    <t>Sum of Cluster targeted caseload for IYCF counselling</t>
  </si>
  <si>
    <t>Sum of 6-59 months in need of Screening and referral</t>
  </si>
  <si>
    <t>Sum of Cluster targeted caseload for Screening and referral</t>
  </si>
  <si>
    <t>(blank)</t>
  </si>
  <si>
    <t>1. Enter the name of the country in line 26</t>
  </si>
  <si>
    <t>2. Enter the year of the program in line 27</t>
  </si>
  <si>
    <t>3. Enter the name of the survey or source of the data that are used to provide data on child malnutrition for program planning in line 28</t>
  </si>
  <si>
    <t>4. Enter the month number of the mid point of data collection of the source listed in line 29</t>
  </si>
  <si>
    <t>5. Enter the year of the mid-point of data collection of the source listed in line 31</t>
  </si>
  <si>
    <t xml:space="preserve">7. Enter the peak month number of annual wasting in line 35.  See the amplitude tab, for more information on peak month of wasting. </t>
  </si>
  <si>
    <t>8. Enter the case definitions for admissions for treatment for women and children by age range and severity according to the program in country in lines 37-41</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</si>
  <si>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</si>
  <si>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</si>
  <si>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The percent coverage does not change during the year.</t>
  </si>
  <si>
    <t xml:space="preserve">This is mean coverage that is expected to be achieved by the program over the time period. </t>
  </si>
  <si>
    <t xml:space="preserve">This is  mean coverage that is expected to be achieved by the program over the time period. </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</si>
  <si>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</si>
  <si>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 xml:space="preserve">Length of SAM episode in months </t>
  </si>
  <si>
    <t>Note the colors used to identify seasonal factors should not be the same as those that identify the types of malnutrition (upper left)</t>
  </si>
  <si>
    <t xml:space="preserve">SAM %  (WFH, MUAC or nutritional edema) 6-59M </t>
  </si>
  <si>
    <t>WHZ&lt;-3SD, MUAC&lt;115 MM or nutritional edema</t>
  </si>
  <si>
    <t>WAZ&lt;-2SD, WHZ&lt;-3SD, MUAC&lt;110 MM, nutritional edema or lack of wgt gain</t>
  </si>
  <si>
    <t xml:space="preserve">The proportional differences from national/overall to sub-national are applied to calculate the sub-national (admin 1 or 2) monthly estimates.  </t>
  </si>
  <si>
    <t xml:space="preserve">While ready to use Ready to use LNS are the standrad in emergencies, it is still possible that  CSB++/WSB++ is provided  /preferred ; Standard  ration would be 200 g /p/day (includes provision for sharing)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</si>
</sst>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0.000"/>
  </numFmts>
  <fonts count="40"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Tahoma"/>
      <family val="2"/>
    </font>
    <font>
      <i/>
      <sz val="10"/>
      <color theme="1"/>
      <name val="Tahoma"/>
      <family val="2"/>
    </font>
    <font>
      <sz val="10"/>
      <name val="Tahoma"/>
      <family val="2"/>
    </font>
    <font>
      <i/>
      <sz val="10"/>
      <name val="Tahoma"/>
      <family val="2"/>
    </font>
    <font>
      <i/>
      <sz val="9"/>
      <name val="Tahoma"/>
      <family val="2"/>
    </font>
    <font>
      <sz val="9"/>
      <name val="Tahoma"/>
      <family val="2"/>
    </font>
    <font>
      <i/>
      <sz val="10"/>
      <color theme="0"/>
      <name val="Tahoma"/>
      <family val="2"/>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b/>
      <i/>
      <sz val="10"/>
      <color theme="0"/>
      <name val="Tahoma"/>
      <family val="2"/>
    </font>
    <font>
      <sz val="12"/>
      <color theme="1"/>
      <name val="Calibri"/>
      <family val="2"/>
      <scheme val="minor"/>
    </font>
    <font>
      <b/>
      <sz val="12"/>
      <color theme="1"/>
      <name val="Calibri"/>
      <family val="2"/>
      <scheme val="minor"/>
    </font>
    <font>
      <b/>
      <sz val="12"/>
      <color theme="5" tint="-0.249977111117893"/>
      <name val="Calibri"/>
      <family val="2"/>
      <scheme val="minor"/>
    </font>
    <font>
      <sz val="12"/>
      <color theme="0"/>
      <name val="Calibri"/>
      <family val="2"/>
      <scheme val="minor"/>
    </font>
    <font>
      <sz val="12"/>
      <color rgb="FFFF0000"/>
      <name val="Calibri"/>
      <family val="2"/>
      <scheme val="minor"/>
    </font>
    <font>
      <b/>
      <sz val="12"/>
      <color theme="0"/>
      <name val="Calibri"/>
      <family val="2"/>
      <scheme val="minor"/>
    </font>
    <font>
      <sz val="9"/>
      <color indexed="81"/>
      <name val="Tahoma"/>
      <family val="2"/>
    </font>
    <font>
      <b/>
      <sz val="9"/>
      <color indexed="81"/>
      <name val="Tahoma"/>
      <family val="2"/>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2"/>
      <name val="Times New Roman"/>
      <family val="2"/>
    </font>
    <font>
      <sz val="10"/>
      <color theme="0"/>
      <name val="Tahoma"/>
      <family val="2"/>
    </font>
    <font>
      <sz val="12"/>
      <color rgb="FFFFFF00"/>
      <name val="Calibri"/>
      <family val="2"/>
      <scheme val="minor"/>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b/>
      <sz val="17"/>
      <color theme="1"/>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style="thin">
        <color rgb="FFFF0000"/>
      </left>
      <right/>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style="thin">
        <color rgb="FFFF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s>
  <cellStyleXfs count="4">
    <xf numFmtId="0" fontId="0" fillId="0" borderId="0"/>
    <xf numFmtId="43" fontId="28" fillId="0" borderId="0" applyFont="0" applyFill="0" applyBorder="0" applyAlignment="0" applyProtection="0"/>
    <xf numFmtId="9" fontId="28" fillId="0" borderId="0" applyFont="0" applyFill="0" applyBorder="0" applyAlignment="0" applyProtection="0"/>
    <xf numFmtId="0" fontId="35" fillId="0" borderId="0"/>
  </cellStyleXfs>
  <cellXfs count="277">
    <xf numFmtId="0" fontId="0" fillId="0" borderId="0" xfId="0"/>
    <xf numFmtId="0" fontId="4" fillId="0" borderId="0" xfId="0" applyFont="1"/>
    <xf numFmtId="3" fontId="4" fillId="0" borderId="0" xfId="0" applyNumberFormat="1" applyFont="1"/>
    <xf numFmtId="0" fontId="5" fillId="0" borderId="0" xfId="0" applyFont="1" applyAlignment="1">
      <alignment horizontal="center" vertical="center" wrapText="1"/>
    </xf>
    <xf numFmtId="3" fontId="6" fillId="2" borderId="2" xfId="0" applyNumberFormat="1" applyFont="1" applyFill="1" applyBorder="1"/>
    <xf numFmtId="0" fontId="7" fillId="0" borderId="0" xfId="0" applyFont="1" applyAlignment="1">
      <alignment horizontal="center" vertical="center"/>
    </xf>
    <xf numFmtId="0" fontId="6" fillId="0" borderId="0" xfId="0" applyFont="1"/>
    <xf numFmtId="0" fontId="8" fillId="0" borderId="0" xfId="0" applyFont="1" applyAlignment="1">
      <alignment horizontal="center" vertical="center" wrapText="1"/>
    </xf>
    <xf numFmtId="3" fontId="9" fillId="3"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wrapText="1"/>
    </xf>
    <xf numFmtId="0" fontId="11" fillId="0" borderId="0" xfId="0" applyFont="1"/>
    <xf numFmtId="3" fontId="11" fillId="0" borderId="0" xfId="0" applyNumberFormat="1" applyFont="1"/>
    <xf numFmtId="164" fontId="11" fillId="0" borderId="4" xfId="0" applyNumberFormat="1" applyFont="1" applyBorder="1"/>
    <xf numFmtId="0" fontId="13" fillId="0" borderId="0" xfId="0" applyFont="1" applyAlignment="1">
      <alignment horizontal="center" vertical="center" wrapText="1"/>
    </xf>
    <xf numFmtId="0" fontId="14" fillId="0" borderId="0" xfId="0" applyFont="1" applyAlignment="1">
      <alignment horizontal="center" vertical="center" wrapText="1"/>
    </xf>
    <xf numFmtId="164" fontId="11" fillId="0" borderId="5" xfId="0" applyNumberFormat="1" applyFont="1" applyBorder="1"/>
    <xf numFmtId="164" fontId="11" fillId="0" borderId="6" xfId="0" applyNumberFormat="1" applyFont="1" applyBorder="1"/>
    <xf numFmtId="0" fontId="12" fillId="0" borderId="4" xfId="0" applyFont="1" applyBorder="1" applyAlignment="1">
      <alignment horizontal="left"/>
    </xf>
    <xf numFmtId="0" fontId="12" fillId="0" borderId="0" xfId="0" applyFont="1"/>
    <xf numFmtId="0" fontId="16" fillId="0" borderId="0" xfId="0" applyFont="1"/>
    <xf numFmtId="0" fontId="0" fillId="2" borderId="0" xfId="0" applyFill="1"/>
    <xf numFmtId="0" fontId="19" fillId="0" borderId="0" xfId="0" applyFont="1"/>
    <xf numFmtId="0" fontId="20" fillId="0" borderId="0" xfId="0" applyFont="1"/>
    <xf numFmtId="0" fontId="19" fillId="0" borderId="0" xfId="0" applyFont="1" applyAlignment="1">
      <alignment wrapText="1"/>
    </xf>
    <xf numFmtId="0" fontId="19" fillId="3" borderId="1" xfId="0" applyFont="1" applyFill="1" applyBorder="1"/>
    <xf numFmtId="3" fontId="19" fillId="3" borderId="1" xfId="0" applyNumberFormat="1" applyFont="1" applyFill="1" applyBorder="1"/>
    <xf numFmtId="0" fontId="19" fillId="3" borderId="8" xfId="0" applyFont="1" applyFill="1" applyBorder="1"/>
    <xf numFmtId="0" fontId="19" fillId="3" borderId="3" xfId="0" applyFont="1" applyFill="1" applyBorder="1"/>
    <xf numFmtId="0" fontId="23" fillId="0" borderId="4" xfId="0" applyFont="1" applyBorder="1" applyAlignment="1">
      <alignment wrapText="1"/>
    </xf>
    <xf numFmtId="0" fontId="19" fillId="3" borderId="10" xfId="0" applyFont="1" applyFill="1" applyBorder="1"/>
    <xf numFmtId="0" fontId="19" fillId="3" borderId="12" xfId="0" applyFont="1" applyFill="1" applyBorder="1"/>
    <xf numFmtId="0" fontId="19" fillId="3" borderId="9" xfId="0" applyFont="1" applyFill="1" applyBorder="1"/>
    <xf numFmtId="0" fontId="23" fillId="0" borderId="5" xfId="0" applyFont="1" applyBorder="1" applyAlignment="1">
      <alignment wrapText="1"/>
    </xf>
    <xf numFmtId="0" fontId="19" fillId="3" borderId="13" xfId="0" applyFont="1" applyFill="1" applyBorder="1"/>
    <xf numFmtId="3" fontId="19" fillId="3" borderId="11" xfId="0" applyNumberFormat="1" applyFont="1" applyFill="1" applyBorder="1"/>
    <xf numFmtId="0" fontId="19" fillId="3" borderId="2" xfId="0" applyFont="1" applyFill="1" applyBorder="1"/>
    <xf numFmtId="0" fontId="20" fillId="3" borderId="11" xfId="0" applyFont="1" applyFill="1" applyBorder="1"/>
    <xf numFmtId="3" fontId="19" fillId="3" borderId="2" xfId="0" applyNumberFormat="1" applyFont="1" applyFill="1" applyBorder="1"/>
    <xf numFmtId="0" fontId="22" fillId="7" borderId="17" xfId="0" applyFont="1" applyFill="1" applyBorder="1" applyAlignment="1">
      <alignment horizontal="center" wrapText="1"/>
    </xf>
    <xf numFmtId="0" fontId="22" fillId="7" borderId="18" xfId="0" applyFont="1" applyFill="1" applyBorder="1" applyAlignment="1">
      <alignment horizontal="center" wrapText="1"/>
    </xf>
    <xf numFmtId="0" fontId="22" fillId="7" borderId="19" xfId="0" applyFont="1" applyFill="1" applyBorder="1" applyAlignment="1">
      <alignment horizontal="center" wrapText="1"/>
    </xf>
    <xf numFmtId="0" fontId="24" fillId="7" borderId="17" xfId="0" applyFont="1" applyFill="1" applyBorder="1" applyAlignment="1">
      <alignment horizontal="center" wrapText="1"/>
    </xf>
    <xf numFmtId="0" fontId="24" fillId="7" borderId="18" xfId="0" applyFont="1" applyFill="1" applyBorder="1" applyAlignment="1">
      <alignment horizontal="center" wrapText="1"/>
    </xf>
    <xf numFmtId="3" fontId="20" fillId="3" borderId="16" xfId="0" applyNumberFormat="1" applyFont="1" applyFill="1" applyBorder="1"/>
    <xf numFmtId="3" fontId="20" fillId="3" borderId="2" xfId="0" applyNumberFormat="1" applyFont="1" applyFill="1" applyBorder="1"/>
    <xf numFmtId="3" fontId="20" fillId="3" borderId="14" xfId="0" applyNumberFormat="1" applyFont="1" applyFill="1" applyBorder="1"/>
    <xf numFmtId="3" fontId="20" fillId="3" borderId="15" xfId="0" applyNumberFormat="1" applyFont="1" applyFill="1" applyBorder="1"/>
    <xf numFmtId="166" fontId="19" fillId="3" borderId="10" xfId="0" applyNumberFormat="1" applyFont="1" applyFill="1" applyBorder="1"/>
    <xf numFmtId="3" fontId="20" fillId="3" borderId="10" xfId="0" applyNumberFormat="1" applyFont="1" applyFill="1" applyBorder="1"/>
    <xf numFmtId="3" fontId="20" fillId="3" borderId="3" xfId="0" applyNumberFormat="1" applyFont="1" applyFill="1" applyBorder="1"/>
    <xf numFmtId="0" fontId="19" fillId="3" borderId="1" xfId="0" applyFont="1" applyFill="1" applyBorder="1" applyAlignment="1">
      <alignment wrapText="1"/>
    </xf>
    <xf numFmtId="0" fontId="24" fillId="7" borderId="19" xfId="0" applyFont="1" applyFill="1" applyBorder="1" applyAlignment="1">
      <alignment horizontal="center" wrapText="1"/>
    </xf>
    <xf numFmtId="3" fontId="20" fillId="3" borderId="20" xfId="0" applyNumberFormat="1" applyFont="1" applyFill="1" applyBorder="1"/>
    <xf numFmtId="0" fontId="22" fillId="7" borderId="1" xfId="0" applyFont="1" applyFill="1" applyBorder="1" applyAlignment="1">
      <alignment horizontal="center" wrapText="1"/>
    </xf>
    <xf numFmtId="0" fontId="17" fillId="3" borderId="2" xfId="0" applyFont="1" applyFill="1" applyBorder="1"/>
    <xf numFmtId="0" fontId="23" fillId="3" borderId="1" xfId="0" applyFont="1" applyFill="1" applyBorder="1" applyAlignment="1">
      <alignment wrapText="1"/>
    </xf>
    <xf numFmtId="0" fontId="17" fillId="3" borderId="1" xfId="0" applyFont="1" applyFill="1" applyBorder="1" applyAlignment="1">
      <alignment wrapText="1"/>
    </xf>
    <xf numFmtId="3" fontId="12" fillId="0" borderId="4" xfId="0" applyNumberFormat="1" applyFont="1" applyBorder="1" applyAlignment="1">
      <alignment horizontal="right"/>
    </xf>
    <xf numFmtId="3" fontId="0" fillId="0" borderId="0" xfId="0" applyNumberFormat="1" applyAlignment="1">
      <alignment wrapText="1"/>
    </xf>
    <xf numFmtId="3" fontId="0" fillId="0" borderId="0" xfId="0" applyNumberFormat="1" applyAlignment="1">
      <alignment horizontal="center"/>
    </xf>
    <xf numFmtId="3" fontId="0" fillId="0" borderId="0" xfId="0" applyNumberFormat="1"/>
    <xf numFmtId="0" fontId="17" fillId="0" borderId="0" xfId="0" applyFont="1"/>
    <xf numFmtId="0" fontId="27" fillId="0" borderId="0" xfId="0" applyFont="1" applyAlignment="1">
      <alignment horizontal="left" vertical="center" indent="8"/>
    </xf>
    <xf numFmtId="4" fontId="11" fillId="0" borderId="0" xfId="0" applyNumberFormat="1" applyFont="1"/>
    <xf numFmtId="1" fontId="11" fillId="0" borderId="0" xfId="0" applyNumberFormat="1" applyFont="1"/>
    <xf numFmtId="0" fontId="11" fillId="0" borderId="4" xfId="0" applyFont="1" applyBorder="1"/>
    <xf numFmtId="167" fontId="11" fillId="0" borderId="0" xfId="0" applyNumberFormat="1" applyFont="1"/>
    <xf numFmtId="166" fontId="0" fillId="0" borderId="0" xfId="0" applyNumberFormat="1"/>
    <xf numFmtId="166" fontId="11" fillId="0" borderId="0" xfId="0" applyNumberFormat="1" applyFont="1"/>
    <xf numFmtId="166" fontId="12" fillId="0" borderId="0" xfId="0" applyNumberFormat="1" applyFont="1"/>
    <xf numFmtId="0" fontId="17" fillId="8" borderId="0" xfId="0" applyFont="1" applyFill="1"/>
    <xf numFmtId="3" fontId="17" fillId="8" borderId="4" xfId="0" applyNumberFormat="1" applyFont="1" applyFill="1" applyBorder="1" applyAlignment="1">
      <alignment horizontal="right"/>
    </xf>
    <xf numFmtId="164" fontId="19" fillId="8" borderId="5" xfId="0" applyNumberFormat="1" applyFont="1" applyFill="1" applyBorder="1"/>
    <xf numFmtId="164" fontId="19" fillId="8" borderId="6" xfId="0" applyNumberFormat="1" applyFont="1" applyFill="1" applyBorder="1"/>
    <xf numFmtId="3" fontId="12" fillId="0" borderId="0" xfId="0" applyNumberFormat="1" applyFont="1"/>
    <xf numFmtId="0" fontId="0" fillId="0" borderId="0" xfId="0" pivotButton="1"/>
    <xf numFmtId="0" fontId="11" fillId="8" borderId="0" xfId="0" applyFont="1" applyFill="1"/>
    <xf numFmtId="164" fontId="11" fillId="0" borderId="0" xfId="0" applyNumberFormat="1" applyFont="1"/>
    <xf numFmtId="0" fontId="11" fillId="0" borderId="0" xfId="0" applyFont="1" applyAlignment="1">
      <alignment horizontal="left" vertical="center"/>
    </xf>
    <xf numFmtId="168" fontId="12" fillId="0" borderId="0" xfId="1" applyNumberFormat="1" applyFont="1"/>
    <xf numFmtId="168" fontId="30" fillId="9" borderId="21" xfId="1" applyNumberFormat="1" applyFont="1" applyFill="1" applyBorder="1"/>
    <xf numFmtId="168" fontId="29" fillId="9" borderId="22" xfId="1" applyNumberFormat="1" applyFont="1" applyFill="1" applyBorder="1"/>
    <xf numFmtId="168" fontId="29" fillId="9" borderId="23" xfId="1" applyNumberFormat="1" applyFont="1" applyFill="1" applyBorder="1"/>
    <xf numFmtId="168" fontId="0" fillId="0" borderId="0" xfId="0" applyNumberFormat="1"/>
    <xf numFmtId="168" fontId="12" fillId="0" borderId="0" xfId="0" applyNumberFormat="1" applyFont="1"/>
    <xf numFmtId="168" fontId="11" fillId="0" borderId="0" xfId="0" applyNumberFormat="1" applyFont="1"/>
    <xf numFmtId="168" fontId="12" fillId="8" borderId="0" xfId="0" applyNumberFormat="1" applyFont="1" applyFill="1"/>
    <xf numFmtId="168" fontId="11" fillId="0" borderId="0" xfId="1" applyNumberFormat="1" applyFont="1"/>
    <xf numFmtId="164" fontId="11" fillId="0" borderId="4" xfId="0" applyNumberFormat="1" applyFont="1" applyBorder="1" applyAlignment="1">
      <alignment vertical="top"/>
    </xf>
    <xf numFmtId="0" fontId="11" fillId="0" borderId="0" xfId="0" applyFont="1" applyAlignment="1">
      <alignment vertical="top"/>
    </xf>
    <xf numFmtId="165" fontId="11" fillId="0" borderId="4" xfId="0" applyNumberFormat="1" applyFont="1" applyBorder="1" applyAlignment="1">
      <alignment vertical="top"/>
    </xf>
    <xf numFmtId="9" fontId="11" fillId="0" borderId="4" xfId="0" applyNumberFormat="1" applyFont="1" applyBorder="1" applyAlignment="1">
      <alignment vertical="top"/>
    </xf>
    <xf numFmtId="164" fontId="11" fillId="0" borderId="5" xfId="0" applyNumberFormat="1" applyFont="1" applyBorder="1" applyAlignment="1">
      <alignment horizontal="right"/>
    </xf>
    <xf numFmtId="164" fontId="11" fillId="0" borderId="6" xfId="0" applyNumberFormat="1" applyFont="1" applyBorder="1" applyAlignment="1">
      <alignment horizontal="right"/>
    </xf>
    <xf numFmtId="2" fontId="11" fillId="0" borderId="0" xfId="0" applyNumberFormat="1" applyFont="1" applyAlignment="1">
      <alignment horizontal="center" vertical="center" wrapText="1"/>
    </xf>
    <xf numFmtId="0" fontId="17" fillId="0" borderId="4" xfId="0" applyFont="1" applyBorder="1" applyAlignment="1">
      <alignment horizontal="left"/>
    </xf>
    <xf numFmtId="3" fontId="17" fillId="0" borderId="4" xfId="0" applyNumberFormat="1" applyFont="1" applyBorder="1" applyAlignment="1">
      <alignment horizontal="right"/>
    </xf>
    <xf numFmtId="164" fontId="19" fillId="0" borderId="5" xfId="0" applyNumberFormat="1" applyFont="1" applyBorder="1"/>
    <xf numFmtId="164" fontId="19" fillId="0" borderId="6" xfId="0" applyNumberFormat="1" applyFont="1" applyBorder="1"/>
    <xf numFmtId="0" fontId="11" fillId="4" borderId="1" xfId="0" applyFont="1" applyFill="1" applyBorder="1" applyAlignment="1">
      <alignment horizontal="center" vertical="center" wrapText="1"/>
    </xf>
    <xf numFmtId="3" fontId="11" fillId="4" borderId="1" xfId="0" applyNumberFormat="1" applyFont="1" applyFill="1" applyBorder="1" applyAlignment="1">
      <alignment horizontal="center" vertical="center" wrapText="1"/>
    </xf>
    <xf numFmtId="0" fontId="15" fillId="3" borderId="1" xfId="0" applyFont="1" applyFill="1" applyBorder="1" applyAlignment="1">
      <alignment horizontal="center" vertical="top" wrapText="1"/>
    </xf>
    <xf numFmtId="3" fontId="15" fillId="3" borderId="1" xfId="0" applyNumberFormat="1" applyFont="1" applyFill="1" applyBorder="1" applyAlignment="1">
      <alignment horizontal="center" vertical="top" wrapText="1"/>
    </xf>
    <xf numFmtId="0" fontId="11" fillId="3" borderId="0" xfId="0" applyFont="1" applyFill="1"/>
    <xf numFmtId="0" fontId="12" fillId="0" borderId="0" xfId="0" applyFont="1" applyAlignment="1">
      <alignment vertical="top" wrapText="1"/>
    </xf>
    <xf numFmtId="0" fontId="12" fillId="4" borderId="1" xfId="0" applyFont="1" applyFill="1" applyBorder="1" applyAlignment="1">
      <alignment horizontal="left" vertical="top"/>
    </xf>
    <xf numFmtId="9" fontId="11" fillId="0" borderId="4" xfId="0" applyNumberFormat="1" applyFont="1" applyBorder="1" applyAlignment="1">
      <alignment horizontal="right" vertical="top"/>
    </xf>
    <xf numFmtId="3" fontId="11" fillId="0" borderId="0" xfId="0" applyNumberFormat="1" applyFont="1" applyAlignment="1">
      <alignment horizontal="center" vertical="center"/>
    </xf>
    <xf numFmtId="0" fontId="11" fillId="0" borderId="0" xfId="0" applyFont="1" applyAlignment="1">
      <alignment horizontal="center"/>
    </xf>
    <xf numFmtId="0" fontId="11" fillId="0" borderId="26" xfId="0" applyFont="1" applyBorder="1" applyAlignment="1">
      <alignment horizontal="center"/>
    </xf>
    <xf numFmtId="0" fontId="11" fillId="0" borderId="13" xfId="0" applyFont="1" applyBorder="1" applyAlignment="1">
      <alignment horizontal="center"/>
    </xf>
    <xf numFmtId="0" fontId="11" fillId="0" borderId="28" xfId="0" applyFont="1" applyBorder="1" applyAlignment="1">
      <alignment horizontal="center"/>
    </xf>
    <xf numFmtId="0" fontId="11" fillId="0" borderId="10"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xf numFmtId="0" fontId="11" fillId="4" borderId="12" xfId="0" applyFont="1" applyFill="1" applyBorder="1" applyAlignment="1">
      <alignment horizontal="center"/>
    </xf>
    <xf numFmtId="0" fontId="11" fillId="11" borderId="26" xfId="0" applyFont="1" applyFill="1" applyBorder="1" applyAlignment="1">
      <alignment horizontal="center"/>
    </xf>
    <xf numFmtId="0" fontId="11" fillId="10" borderId="0" xfId="0" applyFont="1" applyFill="1" applyAlignment="1">
      <alignment horizontal="center"/>
    </xf>
    <xf numFmtId="0" fontId="11" fillId="12" borderId="0" xfId="0" applyFont="1" applyFill="1" applyAlignment="1">
      <alignment horizontal="center"/>
    </xf>
    <xf numFmtId="0" fontId="11" fillId="13" borderId="13" xfId="0" applyFont="1" applyFill="1" applyBorder="1" applyAlignment="1">
      <alignment horizontal="center"/>
    </xf>
    <xf numFmtId="0" fontId="11" fillId="13" borderId="0" xfId="0" applyFont="1" applyFill="1" applyAlignment="1">
      <alignment horizontal="center"/>
    </xf>
    <xf numFmtId="0" fontId="11" fillId="14" borderId="0" xfId="0" applyFont="1" applyFill="1" applyAlignment="1">
      <alignment horizontal="center"/>
    </xf>
    <xf numFmtId="0" fontId="11" fillId="15" borderId="0" xfId="0" applyFont="1" applyFill="1" applyAlignment="1">
      <alignment horizontal="center"/>
    </xf>
    <xf numFmtId="0" fontId="11" fillId="16" borderId="0" xfId="0" applyFont="1" applyFill="1" applyAlignment="1">
      <alignment horizontal="center"/>
    </xf>
    <xf numFmtId="0" fontId="11" fillId="17" borderId="0" xfId="0" applyFont="1" applyFill="1" applyAlignment="1">
      <alignment horizontal="center"/>
    </xf>
    <xf numFmtId="0" fontId="11" fillId="18" borderId="0" xfId="0" applyFont="1" applyFill="1" applyAlignment="1">
      <alignment horizontal="center"/>
    </xf>
    <xf numFmtId="0" fontId="11" fillId="19" borderId="0" xfId="0" applyFont="1" applyFill="1" applyAlignment="1">
      <alignment horizontal="center"/>
    </xf>
    <xf numFmtId="0" fontId="11" fillId="20" borderId="0" xfId="0" applyFont="1" applyFill="1" applyAlignment="1">
      <alignment horizontal="center"/>
    </xf>
    <xf numFmtId="0" fontId="11" fillId="8" borderId="0" xfId="0" applyFont="1" applyFill="1" applyAlignment="1">
      <alignment horizontal="center"/>
    </xf>
    <xf numFmtId="0" fontId="11" fillId="6" borderId="29" xfId="0" applyFont="1" applyFill="1" applyBorder="1" applyAlignment="1">
      <alignment horizontal="center"/>
    </xf>
    <xf numFmtId="0" fontId="11" fillId="21" borderId="0" xfId="0" applyFont="1" applyFill="1" applyAlignment="1">
      <alignment horizontal="center"/>
    </xf>
    <xf numFmtId="0" fontId="12" fillId="22" borderId="0" xfId="0" applyFont="1" applyFill="1" applyAlignment="1">
      <alignment horizontal="center"/>
    </xf>
    <xf numFmtId="168" fontId="32" fillId="0" borderId="0" xfId="0" applyNumberFormat="1" applyFont="1"/>
    <xf numFmtId="0" fontId="32" fillId="0" borderId="0" xfId="0" pivotButton="1" applyFont="1"/>
    <xf numFmtId="0" fontId="32" fillId="0" borderId="0" xfId="0" applyFont="1" applyAlignment="1">
      <alignment horizontal="left"/>
    </xf>
    <xf numFmtId="0" fontId="32" fillId="0" borderId="0" xfId="0" applyFont="1"/>
    <xf numFmtId="0" fontId="9"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1" xfId="0" applyNumberFormat="1" applyFont="1" applyFill="1" applyBorder="1" applyAlignment="1">
      <alignment horizontal="center" vertical="center" wrapText="1"/>
    </xf>
    <xf numFmtId="0" fontId="10" fillId="4" borderId="1" xfId="0" applyFont="1" applyFill="1" applyBorder="1" applyAlignment="1">
      <alignment horizontal="left" vertical="top" wrapText="1"/>
    </xf>
    <xf numFmtId="164" fontId="4" fillId="0" borderId="7" xfId="0" applyNumberFormat="1" applyFont="1" applyBorder="1" applyAlignment="1">
      <alignment horizontal="left" vertical="top"/>
    </xf>
    <xf numFmtId="3" fontId="11" fillId="0" borderId="0" xfId="0" applyNumberFormat="1" applyFont="1" applyAlignment="1">
      <alignment horizontal="left" vertical="top"/>
    </xf>
    <xf numFmtId="0" fontId="11" fillId="0" borderId="0" xfId="0" applyFont="1" applyAlignment="1">
      <alignment horizontal="left" vertical="top"/>
    </xf>
    <xf numFmtId="0" fontId="7" fillId="4" borderId="1" xfId="0" applyFont="1" applyFill="1" applyBorder="1" applyAlignment="1">
      <alignment horizontal="left" vertical="top" wrapText="1"/>
    </xf>
    <xf numFmtId="3" fontId="4" fillId="0" borderId="7" xfId="0" applyNumberFormat="1" applyFont="1" applyBorder="1" applyAlignment="1">
      <alignment horizontal="left" vertical="top"/>
    </xf>
    <xf numFmtId="9" fontId="4" fillId="0" borderId="7" xfId="0" applyNumberFormat="1" applyFont="1" applyBorder="1" applyAlignment="1">
      <alignment horizontal="left" vertical="top"/>
    </xf>
    <xf numFmtId="3" fontId="4" fillId="0" borderId="0" xfId="0" applyNumberFormat="1" applyFont="1" applyAlignment="1">
      <alignment horizontal="left" vertical="top"/>
    </xf>
    <xf numFmtId="0" fontId="4" fillId="0" borderId="0" xfId="0" applyFont="1" applyAlignment="1">
      <alignment horizontal="left" vertical="top"/>
    </xf>
    <xf numFmtId="3" fontId="11" fillId="0" borderId="31" xfId="0" applyNumberFormat="1" applyFont="1" applyBorder="1"/>
    <xf numFmtId="0" fontId="11" fillId="0" borderId="32" xfId="0" applyFont="1" applyBorder="1"/>
    <xf numFmtId="3" fontId="11" fillId="0" borderId="32" xfId="0" applyNumberFormat="1" applyFont="1" applyBorder="1"/>
    <xf numFmtId="9" fontId="11" fillId="0" borderId="7" xfId="0" applyNumberFormat="1" applyFont="1" applyBorder="1" applyAlignment="1">
      <alignment horizontal="right" vertical="top"/>
    </xf>
    <xf numFmtId="3" fontId="33" fillId="2" borderId="2" xfId="0" applyNumberFormat="1" applyFont="1" applyFill="1" applyBorder="1"/>
    <xf numFmtId="0" fontId="11" fillId="4" borderId="27" xfId="0" applyFont="1" applyFill="1" applyBorder="1" applyAlignment="1">
      <alignment horizontal="center"/>
    </xf>
    <xf numFmtId="0" fontId="12" fillId="11" borderId="1" xfId="0" applyFont="1" applyFill="1" applyBorder="1" applyAlignment="1">
      <alignment horizontal="left" vertical="top" wrapText="1"/>
    </xf>
    <xf numFmtId="0" fontId="12" fillId="19" borderId="1" xfId="0" applyFont="1" applyFill="1" applyBorder="1" applyAlignment="1">
      <alignment horizontal="left" vertical="top" wrapText="1"/>
    </xf>
    <xf numFmtId="0" fontId="12" fillId="23" borderId="1" xfId="0" applyFont="1" applyFill="1" applyBorder="1" applyAlignment="1">
      <alignment horizontal="left" vertical="top" wrapText="1"/>
    </xf>
    <xf numFmtId="0" fontId="11" fillId="23" borderId="1" xfId="0" applyFont="1" applyFill="1" applyBorder="1" applyAlignment="1">
      <alignment horizontal="center" vertical="center" wrapText="1"/>
    </xf>
    <xf numFmtId="0" fontId="12" fillId="11" borderId="1" xfId="0" applyFont="1" applyFill="1" applyBorder="1" applyAlignment="1">
      <alignment horizontal="left" vertical="top"/>
    </xf>
    <xf numFmtId="0" fontId="11" fillId="11" borderId="0" xfId="0" applyFont="1" applyFill="1"/>
    <xf numFmtId="0" fontId="12" fillId="24" borderId="1" xfId="0" applyFont="1" applyFill="1" applyBorder="1" applyAlignment="1">
      <alignment horizontal="left" vertical="top"/>
    </xf>
    <xf numFmtId="0" fontId="11" fillId="24" borderId="0" xfId="0" applyFont="1" applyFill="1"/>
    <xf numFmtId="0" fontId="12" fillId="23" borderId="1" xfId="0" applyFont="1" applyFill="1" applyBorder="1" applyAlignment="1">
      <alignment horizontal="left" vertical="top"/>
    </xf>
    <xf numFmtId="0" fontId="11" fillId="23" borderId="0" xfId="0" applyFont="1" applyFill="1"/>
    <xf numFmtId="3" fontId="11" fillId="23" borderId="0" xfId="0" applyNumberFormat="1" applyFont="1" applyFill="1"/>
    <xf numFmtId="0" fontId="34" fillId="8" borderId="4" xfId="0" applyFont="1" applyFill="1" applyBorder="1" applyAlignment="1">
      <alignment horizontal="left"/>
    </xf>
    <xf numFmtId="166" fontId="19" fillId="0" borderId="0" xfId="0" applyNumberFormat="1" applyFont="1"/>
    <xf numFmtId="2" fontId="12" fillId="0" borderId="0" xfId="0" applyNumberFormat="1" applyFont="1"/>
    <xf numFmtId="165" fontId="12" fillId="0" borderId="0" xfId="0" applyNumberFormat="1" applyFont="1"/>
    <xf numFmtId="3" fontId="11" fillId="0" borderId="0" xfId="0" applyNumberFormat="1" applyFont="1" applyAlignment="1">
      <alignment horizontal="right"/>
    </xf>
    <xf numFmtId="0" fontId="11" fillId="0" borderId="0" xfId="0" applyFont="1" applyAlignment="1">
      <alignment horizontal="right"/>
    </xf>
    <xf numFmtId="0" fontId="12" fillId="0" borderId="0" xfId="0" applyFont="1" applyAlignment="1">
      <alignment horizontal="right"/>
    </xf>
    <xf numFmtId="0" fontId="11" fillId="0" borderId="0" xfId="0" applyFont="1" applyAlignment="1">
      <alignment horizontal="right" vertical="top"/>
    </xf>
    <xf numFmtId="10" fontId="12" fillId="0" borderId="0" xfId="2" applyNumberFormat="1" applyFont="1"/>
    <xf numFmtId="0" fontId="14" fillId="8" borderId="0" xfId="0" applyFont="1" applyFill="1" applyAlignment="1">
      <alignment horizontal="center" vertical="center" wrapText="1"/>
    </xf>
    <xf numFmtId="166" fontId="14" fillId="0" borderId="0" xfId="0" applyNumberFormat="1" applyFont="1" applyAlignment="1">
      <alignment horizontal="center" vertical="center" wrapText="1"/>
    </xf>
    <xf numFmtId="171" fontId="12" fillId="0" borderId="0" xfId="0" applyNumberFormat="1" applyFont="1"/>
    <xf numFmtId="168" fontId="12" fillId="10" borderId="0" xfId="1" applyNumberFormat="1" applyFont="1" applyFill="1"/>
    <xf numFmtId="168" fontId="12" fillId="0" borderId="21" xfId="1" applyNumberFormat="1" applyFont="1" applyFill="1" applyBorder="1"/>
    <xf numFmtId="168" fontId="11" fillId="0" borderId="0" xfId="0" applyNumberFormat="1" applyFont="1" applyAlignment="1">
      <alignment horizontal="center" vertical="center" wrapText="1"/>
    </xf>
    <xf numFmtId="172" fontId="11" fillId="0" borderId="0" xfId="1" applyNumberFormat="1" applyFont="1"/>
    <xf numFmtId="0" fontId="35" fillId="0" borderId="0" xfId="3"/>
    <xf numFmtId="0" fontId="35" fillId="0" borderId="0" xfId="3" applyAlignment="1">
      <alignment wrapText="1"/>
    </xf>
    <xf numFmtId="0" fontId="35" fillId="19" borderId="0" xfId="3" applyFill="1"/>
    <xf numFmtId="0" fontId="35" fillId="11" borderId="0" xfId="3" applyFill="1"/>
    <xf numFmtId="0" fontId="35" fillId="25" borderId="0" xfId="3" applyFill="1"/>
    <xf numFmtId="0" fontId="15" fillId="0" borderId="0" xfId="0" applyFont="1" applyAlignment="1">
      <alignment horizontal="left" vertical="center"/>
    </xf>
    <xf numFmtId="3" fontId="11" fillId="0" borderId="0" xfId="0" applyNumberFormat="1" applyFont="1" applyAlignment="1">
      <alignment horizontal="center"/>
    </xf>
    <xf numFmtId="0" fontId="11" fillId="11" borderId="1" xfId="0" applyFont="1" applyFill="1" applyBorder="1" applyAlignment="1">
      <alignment horizontal="right" vertical="center"/>
    </xf>
    <xf numFmtId="0" fontId="11" fillId="24" borderId="1" xfId="0" applyFont="1" applyFill="1" applyBorder="1" applyAlignment="1">
      <alignment horizontal="right" vertical="center"/>
    </xf>
    <xf numFmtId="0" fontId="11" fillId="23" borderId="1" xfId="0" applyFont="1" applyFill="1" applyBorder="1" applyAlignment="1">
      <alignment horizontal="right" vertical="center"/>
    </xf>
    <xf numFmtId="169" fontId="0" fillId="0" borderId="0" xfId="0" applyNumberFormat="1"/>
    <xf numFmtId="0" fontId="36" fillId="0" borderId="0" xfId="0" applyFont="1"/>
    <xf numFmtId="0" fontId="36" fillId="0" borderId="0" xfId="0" applyFont="1" applyAlignment="1">
      <alignment horizontal="left" vertical="center"/>
    </xf>
    <xf numFmtId="0" fontId="15" fillId="0" borderId="0" xfId="0" applyFont="1"/>
    <xf numFmtId="0" fontId="12" fillId="0" borderId="0" xfId="0" quotePrefix="1" applyFont="1"/>
    <xf numFmtId="0" fontId="11" fillId="25" borderId="1" xfId="0" applyFont="1" applyFill="1" applyBorder="1" applyAlignment="1">
      <alignment horizontal="right" vertical="center"/>
    </xf>
    <xf numFmtId="0" fontId="12" fillId="25" borderId="1" xfId="0" applyFont="1" applyFill="1" applyBorder="1" applyAlignment="1">
      <alignment horizontal="left" vertical="top" wrapText="1"/>
    </xf>
    <xf numFmtId="0" fontId="11" fillId="25" borderId="0" xfId="0" applyFont="1" applyFill="1"/>
    <xf numFmtId="0" fontId="11" fillId="11" borderId="1" xfId="0" applyFont="1" applyFill="1" applyBorder="1" applyAlignment="1">
      <alignment vertical="center"/>
    </xf>
    <xf numFmtId="0" fontId="11" fillId="25" borderId="1" xfId="0" applyFont="1" applyFill="1" applyBorder="1" applyAlignment="1">
      <alignment horizontal="left"/>
    </xf>
    <xf numFmtId="1" fontId="0" fillId="0" borderId="0" xfId="0" applyNumberFormat="1"/>
    <xf numFmtId="168" fontId="0" fillId="25" borderId="0" xfId="0" applyNumberFormat="1" applyFill="1"/>
    <xf numFmtId="0" fontId="11" fillId="25" borderId="0" xfId="0" applyFont="1" applyFill="1" applyAlignment="1">
      <alignment horizontal="right"/>
    </xf>
    <xf numFmtId="0" fontId="12" fillId="25" borderId="0" xfId="0" applyFont="1" applyFill="1"/>
    <xf numFmtId="3" fontId="37" fillId="0" borderId="0" xfId="0" applyNumberFormat="1" applyFont="1"/>
    <xf numFmtId="0" fontId="37" fillId="0" borderId="0" xfId="0" applyFont="1"/>
    <xf numFmtId="43" fontId="12" fillId="0" borderId="0" xfId="0" applyNumberFormat="1" applyFont="1"/>
    <xf numFmtId="168" fontId="11" fillId="0" borderId="0" xfId="1" applyNumberFormat="1" applyFont="1" applyFill="1"/>
    <xf numFmtId="0" fontId="11" fillId="8" borderId="1" xfId="0" applyFont="1" applyFill="1" applyBorder="1" applyAlignment="1">
      <alignment horizontal="center" vertical="top" wrapText="1"/>
    </xf>
    <xf numFmtId="0" fontId="11" fillId="11" borderId="1" xfId="0" applyFont="1" applyFill="1" applyBorder="1" applyAlignment="1">
      <alignment horizontal="center" vertical="top" wrapText="1"/>
    </xf>
    <xf numFmtId="0" fontId="11" fillId="24" borderId="1" xfId="0" applyFont="1" applyFill="1" applyBorder="1" applyAlignment="1">
      <alignment horizontal="center" vertical="top" wrapText="1"/>
    </xf>
    <xf numFmtId="0" fontId="11" fillId="25" borderId="1" xfId="0" applyFont="1" applyFill="1" applyBorder="1" applyAlignment="1">
      <alignment horizontal="center" vertical="top" wrapText="1"/>
    </xf>
    <xf numFmtId="0" fontId="38" fillId="26" borderId="1" xfId="0" applyFont="1" applyFill="1" applyBorder="1" applyAlignment="1">
      <alignment horizontal="center" vertical="top" wrapText="1"/>
    </xf>
    <xf numFmtId="0" fontId="38" fillId="26" borderId="1" xfId="0" applyFont="1" applyFill="1" applyBorder="1" applyAlignment="1">
      <alignment horizontal="right" vertical="center"/>
    </xf>
    <xf numFmtId="164" fontId="39" fillId="0" borderId="0" xfId="0" applyNumberFormat="1" applyFont="1"/>
    <xf numFmtId="0" fontId="35" fillId="20" borderId="0" xfId="3" applyFill="1"/>
    <xf numFmtId="166" fontId="35" fillId="20" borderId="0" xfId="3" applyNumberFormat="1" applyFill="1"/>
    <xf numFmtId="0" fontId="35" fillId="20" borderId="0" xfId="3" applyFill="1" applyAlignment="1">
      <alignment wrapText="1"/>
    </xf>
    <xf numFmtId="0" fontId="35" fillId="27" borderId="0" xfId="3" applyFill="1"/>
    <xf numFmtId="166" fontId="35" fillId="27" borderId="0" xfId="3" applyNumberFormat="1" applyFill="1"/>
    <xf numFmtId="17" fontId="35" fillId="27" borderId="0" xfId="3" applyNumberFormat="1" applyFill="1"/>
    <xf numFmtId="0" fontId="35" fillId="14" borderId="0" xfId="3" applyFill="1"/>
    <xf numFmtId="166" fontId="35" fillId="14" borderId="0" xfId="3" applyNumberFormat="1" applyFill="1"/>
    <xf numFmtId="0" fontId="35" fillId="28" borderId="0" xfId="3" applyFill="1"/>
    <xf numFmtId="166" fontId="35" fillId="28" borderId="0" xfId="3" applyNumberFormat="1" applyFill="1"/>
    <xf numFmtId="0" fontId="11" fillId="11" borderId="0" xfId="0" applyFont="1" applyFill="1" applyAlignment="1">
      <alignment horizontal="right" vertical="center"/>
    </xf>
    <xf numFmtId="43" fontId="11" fillId="0" borderId="0" xfId="1" applyFont="1"/>
    <xf numFmtId="0" fontId="3" fillId="2" borderId="0" xfId="0" applyFont="1" applyFill="1"/>
    <xf numFmtId="3" fontId="0" fillId="8" borderId="0" xfId="0" applyNumberFormat="1" applyFill="1"/>
    <xf numFmtId="3" fontId="0" fillId="8" borderId="0" xfId="0" applyNumberFormat="1" applyFill="1" applyAlignment="1">
      <alignment horizontal="center"/>
    </xf>
    <xf numFmtId="0" fontId="3" fillId="0" borderId="0" xfId="0" applyFont="1" applyAlignment="1">
      <alignment horizontal="left"/>
    </xf>
    <xf numFmtId="168" fontId="3" fillId="0" borderId="0" xfId="0" applyNumberFormat="1" applyFont="1"/>
    <xf numFmtId="168" fontId="3" fillId="10" borderId="0" xfId="0" applyNumberFormat="1" applyFont="1" applyFill="1"/>
    <xf numFmtId="0" fontId="3" fillId="10" borderId="0" xfId="1" applyNumberFormat="1" applyFont="1" applyFill="1"/>
    <xf numFmtId="170" fontId="3" fillId="10" borderId="0" xfId="0" applyNumberFormat="1" applyFont="1" applyFill="1"/>
    <xf numFmtId="166" fontId="3" fillId="10" borderId="0" xfId="0" applyNumberFormat="1" applyFont="1" applyFill="1"/>
    <xf numFmtId="168" fontId="3" fillId="11" borderId="0" xfId="0" applyNumberFormat="1" applyFont="1" applyFill="1"/>
    <xf numFmtId="166" fontId="3" fillId="11" borderId="0" xfId="0" applyNumberFormat="1" applyFont="1" applyFill="1"/>
    <xf numFmtId="169" fontId="3" fillId="0" borderId="0" xfId="0" applyNumberFormat="1" applyFont="1"/>
    <xf numFmtId="2" fontId="3" fillId="11" borderId="0" xfId="0" applyNumberFormat="1" applyFont="1" applyFill="1"/>
    <xf numFmtId="168" fontId="3" fillId="25" borderId="0" xfId="0" applyNumberFormat="1" applyFont="1" applyFill="1"/>
    <xf numFmtId="166" fontId="3" fillId="25" borderId="0" xfId="0" applyNumberFormat="1" applyFont="1" applyFill="1"/>
    <xf numFmtId="166" fontId="3" fillId="19" borderId="0" xfId="0" applyNumberFormat="1" applyFont="1" applyFill="1"/>
    <xf numFmtId="166" fontId="3" fillId="19" borderId="0" xfId="0" applyNumberFormat="1" applyFont="1" applyFill="1" applyAlignment="1">
      <alignment horizontal="right"/>
    </xf>
    <xf numFmtId="166" fontId="3" fillId="23" borderId="0" xfId="0" applyNumberFormat="1" applyFont="1" applyFill="1"/>
    <xf numFmtId="166" fontId="3" fillId="23" borderId="0" xfId="0" applyNumberFormat="1" applyFont="1" applyFill="1" applyAlignment="1">
      <alignment horizontal="right"/>
    </xf>
    <xf numFmtId="3" fontId="3" fillId="0" borderId="0" xfId="0" pivotButton="1" applyNumberFormat="1" applyFont="1" applyAlignment="1">
      <alignment wrapText="1"/>
    </xf>
    <xf numFmtId="3" fontId="3" fillId="0" borderId="0" xfId="0" applyNumberFormat="1" applyFont="1" applyAlignment="1">
      <alignment horizontal="center" wrapText="1"/>
    </xf>
    <xf numFmtId="3" fontId="3" fillId="0" borderId="0" xfId="0" applyNumberFormat="1" applyFont="1" applyAlignment="1">
      <alignment horizontal="left"/>
    </xf>
    <xf numFmtId="3" fontId="3" fillId="0" borderId="0" xfId="0" applyNumberFormat="1" applyFont="1" applyAlignment="1">
      <alignment horizontal="center"/>
    </xf>
    <xf numFmtId="0" fontId="3" fillId="0" borderId="0" xfId="0" pivotButton="1" applyFont="1" applyAlignment="1">
      <alignment wrapText="1"/>
    </xf>
    <xf numFmtId="0" fontId="3" fillId="0" borderId="0" xfId="0" applyFont="1" applyAlignment="1">
      <alignment wrapText="1"/>
    </xf>
    <xf numFmtId="0" fontId="2" fillId="2" borderId="0" xfId="0" applyFont="1" applyFill="1"/>
    <xf numFmtId="168" fontId="11" fillId="8" borderId="0" xfId="0" applyNumberFormat="1" applyFont="1" applyFill="1"/>
    <xf numFmtId="164" fontId="11" fillId="8" borderId="0" xfId="2" applyNumberFormat="1" applyFont="1" applyFill="1"/>
    <xf numFmtId="166" fontId="12" fillId="8" borderId="0" xfId="0" applyNumberFormat="1" applyFont="1" applyFill="1"/>
    <xf numFmtId="0" fontId="11" fillId="26" borderId="3" xfId="0" applyFont="1" applyFill="1" applyBorder="1" applyAlignment="1">
      <alignment horizontal="right" vertical="center"/>
    </xf>
    <xf numFmtId="0" fontId="11" fillId="26" borderId="9" xfId="0" applyFont="1" applyFill="1" applyBorder="1" applyAlignment="1">
      <alignment horizontal="right" vertical="center"/>
    </xf>
    <xf numFmtId="0" fontId="11" fillId="11" borderId="3" xfId="0" applyFont="1" applyFill="1" applyBorder="1" applyAlignment="1">
      <alignment horizontal="right" vertical="center"/>
    </xf>
    <xf numFmtId="0" fontId="11" fillId="11" borderId="9" xfId="0" applyFont="1" applyFill="1" applyBorder="1" applyAlignment="1">
      <alignment horizontal="right" vertical="center"/>
    </xf>
    <xf numFmtId="4" fontId="0" fillId="0" borderId="0" xfId="0" applyNumberFormat="1"/>
    <xf numFmtId="173" fontId="0" fillId="0" borderId="0" xfId="0" applyNumberFormat="1"/>
    <xf numFmtId="3" fontId="12" fillId="3" borderId="3" xfId="0" applyNumberFormat="1" applyFont="1" applyFill="1" applyBorder="1" applyAlignment="1">
      <alignment horizontal="left" vertical="top" wrapText="1"/>
    </xf>
    <xf numFmtId="3" fontId="12" fillId="3" borderId="24" xfId="0" applyNumberFormat="1" applyFont="1" applyFill="1" applyBorder="1" applyAlignment="1">
      <alignment horizontal="left" vertical="top" wrapText="1"/>
    </xf>
    <xf numFmtId="3" fontId="12" fillId="3" borderId="25" xfId="0" applyNumberFormat="1" applyFont="1" applyFill="1" applyBorder="1" applyAlignment="1">
      <alignment horizontal="left" vertical="top" wrapText="1"/>
    </xf>
    <xf numFmtId="3" fontId="12" fillId="3" borderId="3" xfId="0" applyNumberFormat="1" applyFont="1" applyFill="1" applyBorder="1" applyAlignment="1">
      <alignment horizontal="left" vertical="center" wrapText="1"/>
    </xf>
    <xf numFmtId="3" fontId="12" fillId="3" borderId="24" xfId="0" applyNumberFormat="1" applyFont="1" applyFill="1" applyBorder="1" applyAlignment="1">
      <alignment horizontal="left" vertical="center" wrapText="1"/>
    </xf>
    <xf numFmtId="3" fontId="12" fillId="3" borderId="25" xfId="0" applyNumberFormat="1" applyFont="1" applyFill="1" applyBorder="1" applyAlignment="1">
      <alignment horizontal="left" vertical="center" wrapText="1"/>
    </xf>
    <xf numFmtId="0" fontId="18" fillId="5" borderId="1" xfId="0" applyFont="1" applyFill="1" applyBorder="1" applyAlignment="1">
      <alignment horizontal="left" vertical="top" wrapText="1"/>
    </xf>
    <xf numFmtId="3" fontId="6" fillId="3" borderId="1" xfId="0" applyNumberFormat="1" applyFont="1" applyFill="1" applyBorder="1" applyAlignment="1">
      <alignment horizontal="left" vertical="top" wrapText="1"/>
    </xf>
    <xf numFmtId="0" fontId="1" fillId="2" borderId="0" xfId="0" applyFont="1" applyFill="1"/>
    <xf numFmtId="0" fontId="12" fillId="15" borderId="1" xfId="0" applyFont="1" applyFill="1" applyBorder="1" applyAlignment="1">
      <alignment horizontal="left" vertical="top"/>
    </xf>
    <xf numFmtId="0" fontId="11" fillId="15" borderId="0" xfId="0" applyFont="1" applyFill="1"/>
  </cellXfs>
  <cellStyles count="4">
    <cellStyle name="Comma" xfId="1" builtinId="3"/>
    <cellStyle name="Normal" xfId="0" builtinId="0"/>
    <cellStyle name="Normal 2" xfId="3" xr:uid="{51187A15-0400-4F5E-A486-8E479D9129E4}"/>
    <cellStyle name="Percent" xfId="2" builtinId="5"/>
  </cellStyles>
  <dxfs count="76">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168" formatCode="_(* #,##0_);_(* \(#,##0\);_(* &quot;-&quot;??_);_(@_)"/>
    </dxf>
    <dxf>
      <alignment wrapText="1" readingOrder="0"/>
    </dxf>
    <dxf>
      <alignment wrapText="1" readingOrder="0"/>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 formatCode="#,##0"/>
    </dxf>
    <dxf>
      <numFmt numFmtId="3" formatCode="#,##0"/>
    </dxf>
    <dxf>
      <numFmt numFmtId="3" formatCode="#,##0"/>
    </dxf>
    <dxf>
      <numFmt numFmtId="3" formatCode="#,##0"/>
    </dxf>
    <dxf>
      <numFmt numFmtId="3" formatCode="#,##0"/>
    </dxf>
    <dxf>
      <numFmt numFmtId="3" formatCode="#,##0"/>
    </dxf>
    <dxf>
      <alignment horizontal="center" readingOrder="0"/>
    </dxf>
    <dxf>
      <alignment horizontal="center" readingOrder="0"/>
    </dxf>
    <dxf>
      <alignment wrapText="1" readingOrder="0"/>
    </dxf>
    <dxf>
      <alignment wrapText="1" readingOrder="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theme="1"/>
        <name val="Calibri"/>
        <family val="2"/>
        <scheme val="minor"/>
      </font>
      <numFmt numFmtId="167" formatCode="[$-409]mmm\-yy;@"/>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166" formatCode="0.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theme="1"/>
        <name val="Calibri"/>
        <family val="2"/>
        <scheme val="minor"/>
      </font>
      <numFmt numFmtId="167" formatCode="[$-409]mmm\-yy;@"/>
    </dxf>
    <dxf>
      <numFmt numFmtId="1" formatCode="0"/>
    </dxf>
    <dxf>
      <font>
        <color auto="1"/>
      </font>
    </dxf>
    <dxf>
      <font>
        <color auto="1"/>
      </font>
    </dxf>
    <dxf>
      <font>
        <color auto="1"/>
      </font>
    </dxf>
    <dxf>
      <font>
        <color auto="1"/>
      </font>
    </dxf>
    <dxf>
      <font>
        <color auto="1"/>
      </font>
    </dxf>
    <dxf>
      <numFmt numFmtId="168" formatCode="_(* #,##0_);_(* \(#,##0\);_(* &quot;-&quot;??_);_(@_)"/>
    </dxf>
    <dxf>
      <numFmt numFmtId="166" formatCode="0.0"/>
    </dxf>
    <dxf>
      <numFmt numFmtId="166" formatCode="0.0"/>
    </dxf>
  </dxfs>
  <tableStyles count="0" defaultTableStyle="TableStyleMedium2" defaultPivotStyle="PivotStyleLight16"/>
  <colors>
    <mruColors>
      <color rgb="FFFFFF00"/>
      <color rgb="FFFFE0A3"/>
      <color rgb="FFFFCC66"/>
      <color rgb="FFFDB1B1"/>
      <color rgb="FFFF9933"/>
      <color rgb="FF99FF99"/>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Prevalence!$BM$28</c:f>
          <c:strCache>
            <c:ptCount val="1"/>
            <c:pt idx="0">
              <c:v>National</c:v>
            </c:pt>
          </c:strCache>
        </c:strRef>
      </c:tx>
      <c:layout>
        <c:manualLayout>
          <c:xMode val="edge"/>
          <c:yMode val="edge"/>
          <c:x val="0.47376993081974944"/>
          <c:y val="1.992941384332499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Prevalence!$BO$45</c:f>
              <c:strCache>
                <c:ptCount val="1"/>
                <c:pt idx="0">
                  <c:v>Monthly Estimate 0-5M</c:v>
                </c:pt>
              </c:strCache>
            </c:strRef>
          </c:tx>
          <c:spPr>
            <a:ln w="28575" cap="rnd">
              <a:solidFill>
                <a:srgbClr val="FDB1B1"/>
              </a:solidFill>
              <a:round/>
            </a:ln>
            <a:effectLst/>
          </c:spPr>
          <c:marker>
            <c:symbol val="none"/>
          </c:marker>
          <c:val>
            <c:numRef>
              <c:f>Prevalence!$BO$46:$BO$57</c:f>
              <c:numCache>
                <c:formatCode>0.0</c:formatCode>
                <c:ptCount val="12"/>
                <c:pt idx="0">
                  <c:v>3.2190967741935474</c:v>
                </c:pt>
                <c:pt idx="1">
                  <c:v>3.48864501825692</c:v>
                </c:pt>
                <c:pt idx="2">
                  <c:v>4.2250645161290308</c:v>
                </c:pt>
                <c:pt idx="3">
                  <c:v>5.2310322580645146</c:v>
                </c:pt>
                <c:pt idx="4">
                  <c:v>6.2369999999999983</c:v>
                </c:pt>
                <c:pt idx="5">
                  <c:v>6.9734194978721096</c:v>
                </c:pt>
                <c:pt idx="6">
                  <c:v>7.2429677419354821</c:v>
                </c:pt>
                <c:pt idx="7">
                  <c:v>6.9734194978721096</c:v>
                </c:pt>
                <c:pt idx="8">
                  <c:v>6.2369999999999983</c:v>
                </c:pt>
                <c:pt idx="9">
                  <c:v>5.2310322580645146</c:v>
                </c:pt>
                <c:pt idx="10">
                  <c:v>4.2250645161290308</c:v>
                </c:pt>
                <c:pt idx="11">
                  <c:v>3.48864501825692</c:v>
                </c:pt>
              </c:numCache>
            </c:numRef>
          </c:val>
          <c:smooth val="0"/>
          <c:extLst>
            <c:ext xmlns:c16="http://schemas.microsoft.com/office/drawing/2014/chart" uri="{C3380CC4-5D6E-409C-BE32-E72D297353CC}">
              <c16:uniqueId val="{00000000-FD9C-49EC-B37D-DF872FE3B4C8}"/>
            </c:ext>
          </c:extLst>
        </c:ser>
        <c:ser>
          <c:idx val="0"/>
          <c:order val="1"/>
          <c:tx>
            <c:strRef>
              <c:f>Prevalence!$BO$27</c:f>
              <c:strCache>
                <c:ptCount val="1"/>
                <c:pt idx="0">
                  <c:v>Monthly Estimate 6-59M</c:v>
                </c:pt>
              </c:strCache>
            </c:strRef>
          </c:tx>
          <c:spPr>
            <a:ln w="28575" cap="rnd">
              <a:solidFill>
                <a:srgbClr val="FF0000"/>
              </a:solidFill>
              <a:round/>
            </a:ln>
            <a:effectLst/>
          </c:spPr>
          <c:marker>
            <c:symbol val="none"/>
          </c:marker>
          <c:cat>
            <c:numRef>
              <c:f>Prevalence!$BN$28:$BN$39</c:f>
              <c:numCache>
                <c:formatCode>[$-409]mmm\-yy;@</c:formatCode>
                <c:ptCount val="12"/>
                <c:pt idx="0">
                  <c:v>44941</c:v>
                </c:pt>
                <c:pt idx="1">
                  <c:v>44972</c:v>
                </c:pt>
                <c:pt idx="2">
                  <c:v>45000</c:v>
                </c:pt>
                <c:pt idx="3">
                  <c:v>45031</c:v>
                </c:pt>
                <c:pt idx="4">
                  <c:v>45061</c:v>
                </c:pt>
                <c:pt idx="5">
                  <c:v>45092</c:v>
                </c:pt>
                <c:pt idx="6">
                  <c:v>45122</c:v>
                </c:pt>
                <c:pt idx="7">
                  <c:v>45153</c:v>
                </c:pt>
                <c:pt idx="8">
                  <c:v>45184</c:v>
                </c:pt>
                <c:pt idx="9">
                  <c:v>45214</c:v>
                </c:pt>
                <c:pt idx="10">
                  <c:v>45245</c:v>
                </c:pt>
                <c:pt idx="11">
                  <c:v>45275</c:v>
                </c:pt>
              </c:numCache>
            </c:numRef>
          </c:cat>
          <c:val>
            <c:numRef>
              <c:f>Prevalence!$BO$28:$BO$39</c:f>
              <c:numCache>
                <c:formatCode>0.0</c:formatCode>
                <c:ptCount val="12"/>
                <c:pt idx="0">
                  <c:v>1.5999999999999996</c:v>
                </c:pt>
                <c:pt idx="1">
                  <c:v>1.7339745962155608</c:v>
                </c:pt>
                <c:pt idx="2">
                  <c:v>2.0999999999999996</c:v>
                </c:pt>
                <c:pt idx="3">
                  <c:v>2.5999999999999996</c:v>
                </c:pt>
                <c:pt idx="4">
                  <c:v>3.0999999999999996</c:v>
                </c:pt>
                <c:pt idx="5">
                  <c:v>3.4660254037844385</c:v>
                </c:pt>
                <c:pt idx="6">
                  <c:v>3.5999999999999996</c:v>
                </c:pt>
                <c:pt idx="7">
                  <c:v>3.4660254037844385</c:v>
                </c:pt>
                <c:pt idx="8">
                  <c:v>3.0999999999999996</c:v>
                </c:pt>
                <c:pt idx="9">
                  <c:v>2.5999999999999996</c:v>
                </c:pt>
                <c:pt idx="10">
                  <c:v>2.0999999999999996</c:v>
                </c:pt>
                <c:pt idx="11">
                  <c:v>1.7339745962155608</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Prevalence!$BM$28</c:f>
          <c:strCache>
            <c:ptCount val="1"/>
            <c:pt idx="0">
              <c:v>National</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05310210437326E-2"/>
          <c:y val="0.14382390866628972"/>
          <c:w val="0.92789468978956291"/>
          <c:h val="0.78976932378643772"/>
        </c:manualLayout>
      </c:layout>
      <c:lineChart>
        <c:grouping val="standard"/>
        <c:varyColors val="0"/>
        <c:ser>
          <c:idx val="2"/>
          <c:order val="0"/>
          <c:tx>
            <c:strRef>
              <c:f>Burden!$H$36</c:f>
              <c:strCache>
                <c:ptCount val="1"/>
                <c:pt idx="0">
                  <c:v>Overall SAM 0-59M</c:v>
                </c:pt>
              </c:strCache>
            </c:strRef>
          </c:tx>
          <c:spPr>
            <a:ln w="28575" cap="rnd">
              <a:solidFill>
                <a:schemeClr val="accent2">
                  <a:lumMod val="75000"/>
                </a:schemeClr>
              </a:solidFill>
              <a:round/>
            </a:ln>
            <a:effectLst/>
          </c:spPr>
          <c:marker>
            <c:symbol val="none"/>
          </c:marker>
          <c:val>
            <c:numRef>
              <c:f>Burden!$I$36:$T$36</c:f>
              <c:numCache>
                <c:formatCode>#,##0</c:formatCode>
                <c:ptCount val="12"/>
                <c:pt idx="0">
                  <c:v>21531.919502820805</c:v>
                </c:pt>
                <c:pt idx="1">
                  <c:v>57719.370233790018</c:v>
                </c:pt>
                <c:pt idx="2">
                  <c:v>101545.64467915571</c:v>
                </c:pt>
                <c:pt idx="3">
                  <c:v>155806.74637341802</c:v>
                </c:pt>
                <c:pt idx="4">
                  <c:v>220502.6753165769</c:v>
                </c:pt>
                <c:pt idx="5">
                  <c:v>292837.4279741323</c:v>
                </c:pt>
                <c:pt idx="6">
                  <c:v>367968.18416618777</c:v>
                </c:pt>
                <c:pt idx="7">
                  <c:v>440302.93682374316</c:v>
                </c:pt>
                <c:pt idx="8">
                  <c:v>504998.86576690205</c:v>
                </c:pt>
                <c:pt idx="9">
                  <c:v>559259.96746116434</c:v>
                </c:pt>
                <c:pt idx="10">
                  <c:v>603086.24190652999</c:v>
                </c:pt>
                <c:pt idx="11">
                  <c:v>639273.69263749931</c:v>
                </c:pt>
              </c:numCache>
            </c:numRef>
          </c:val>
          <c:smooth val="0"/>
          <c:extLst>
            <c:ext xmlns:c16="http://schemas.microsoft.com/office/drawing/2014/chart" uri="{C3380CC4-5D6E-409C-BE32-E72D297353CC}">
              <c16:uniqueId val="{00000000-9309-4143-B520-2A769008C006}"/>
            </c:ext>
          </c:extLst>
        </c:ser>
        <c:ser>
          <c:idx val="3"/>
          <c:order val="1"/>
          <c:tx>
            <c:strRef>
              <c:f>Burden!$H$37</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Burden!$I$37:$T$37</c:f>
              <c:numCache>
                <c:formatCode>#,##0</c:formatCode>
                <c:ptCount val="12"/>
                <c:pt idx="0">
                  <c:v>16148.939627115604</c:v>
                </c:pt>
                <c:pt idx="1">
                  <c:v>43289.527675342513</c:v>
                </c:pt>
                <c:pt idx="2">
                  <c:v>76159.233509366779</c:v>
                </c:pt>
                <c:pt idx="3">
                  <c:v>116855.0597800635</c:v>
                </c:pt>
                <c:pt idx="4">
                  <c:v>165377.00648743269</c:v>
                </c:pt>
                <c:pt idx="5">
                  <c:v>219628.07098059921</c:v>
                </c:pt>
                <c:pt idx="6">
                  <c:v>275976.1381246408</c:v>
                </c:pt>
                <c:pt idx="7">
                  <c:v>330227.20261780737</c:v>
                </c:pt>
                <c:pt idx="8">
                  <c:v>378749.14932517655</c:v>
                </c:pt>
                <c:pt idx="9">
                  <c:v>419444.9755958732</c:v>
                </c:pt>
                <c:pt idx="10">
                  <c:v>452314.68142989755</c:v>
                </c:pt>
                <c:pt idx="11">
                  <c:v>479455.26947812445</c:v>
                </c:pt>
              </c:numCache>
            </c:numRef>
          </c:val>
          <c:smooth val="0"/>
          <c:extLst>
            <c:ext xmlns:c16="http://schemas.microsoft.com/office/drawing/2014/chart" uri="{C3380CC4-5D6E-409C-BE32-E72D297353CC}">
              <c16:uniqueId val="{00000001-9309-4143-B520-2A769008C006}"/>
            </c:ext>
          </c:extLst>
        </c:ser>
        <c:ser>
          <c:idx val="0"/>
          <c:order val="2"/>
          <c:tx>
            <c:strRef>
              <c:f>Burden!$H$38</c:f>
              <c:strCache>
                <c:ptCount val="1"/>
                <c:pt idx="0">
                  <c:v>SAM 6-59M </c:v>
                </c:pt>
              </c:strCache>
            </c:strRef>
          </c:tx>
          <c:spPr>
            <a:ln w="28575" cap="rnd">
              <a:solidFill>
                <a:srgbClr val="FF0000"/>
              </a:solidFill>
              <a:prstDash val="solid"/>
              <a:round/>
            </a:ln>
            <a:effectLst/>
          </c:spPr>
          <c:marker>
            <c:symbol val="none"/>
          </c:marker>
          <c:cat>
            <c:numRef>
              <c:f>Burden!$BK$40:$BK$51</c:f>
              <c:numCache>
                <c:formatCode>[$-409]mmm\-yy;@</c:formatCode>
                <c:ptCount val="12"/>
                <c:pt idx="0">
                  <c:v>44941</c:v>
                </c:pt>
                <c:pt idx="1">
                  <c:v>44972</c:v>
                </c:pt>
                <c:pt idx="2">
                  <c:v>45000</c:v>
                </c:pt>
                <c:pt idx="3">
                  <c:v>45031</c:v>
                </c:pt>
                <c:pt idx="4">
                  <c:v>45061</c:v>
                </c:pt>
                <c:pt idx="5">
                  <c:v>45092</c:v>
                </c:pt>
                <c:pt idx="6">
                  <c:v>45122</c:v>
                </c:pt>
                <c:pt idx="7">
                  <c:v>45153</c:v>
                </c:pt>
                <c:pt idx="8">
                  <c:v>45184</c:v>
                </c:pt>
                <c:pt idx="9">
                  <c:v>45214</c:v>
                </c:pt>
                <c:pt idx="10">
                  <c:v>45245</c:v>
                </c:pt>
                <c:pt idx="11">
                  <c:v>45275</c:v>
                </c:pt>
              </c:numCache>
            </c:numRef>
          </c:cat>
          <c:val>
            <c:numRef>
              <c:f>Burden!$I$38:$T$38</c:f>
              <c:numCache>
                <c:formatCode>#,##0</c:formatCode>
                <c:ptCount val="12"/>
                <c:pt idx="0">
                  <c:v>16201.828612710586</c:v>
                </c:pt>
                <c:pt idx="1">
                  <c:v>45327.541408950397</c:v>
                </c:pt>
                <c:pt idx="2">
                  <c:v>80601.412782611471</c:v>
                </c:pt>
                <c:pt idx="3">
                  <c:v>124273.82495952518</c:v>
                </c:pt>
                <c:pt idx="4">
                  <c:v>176344.77793969156</c:v>
                </c:pt>
                <c:pt idx="5">
                  <c:v>234563.88949727916</c:v>
                </c:pt>
                <c:pt idx="6">
                  <c:v>295033.38328069815</c:v>
                </c:pt>
                <c:pt idx="7">
                  <c:v>353252.49483828578</c:v>
                </c:pt>
                <c:pt idx="8">
                  <c:v>405323.44781845214</c:v>
                </c:pt>
                <c:pt idx="9">
                  <c:v>448995.85999536584</c:v>
                </c:pt>
                <c:pt idx="10">
                  <c:v>484269.73136902694</c:v>
                </c:pt>
                <c:pt idx="11">
                  <c:v>513395.44416526676</c:v>
                </c:pt>
              </c:numCache>
            </c:numRef>
          </c:val>
          <c:smooth val="0"/>
          <c:extLst>
            <c:ext xmlns:c16="http://schemas.microsoft.com/office/drawing/2014/chart" uri="{C3380CC4-5D6E-409C-BE32-E72D297353CC}">
              <c16:uniqueId val="{00000001-EC99-424E-A717-2B3DF67AF0E2}"/>
            </c:ext>
          </c:extLst>
        </c:ser>
        <c:ser>
          <c:idx val="4"/>
          <c:order val="3"/>
          <c:tx>
            <c:strRef>
              <c:f>Burden!$H$39</c:f>
              <c:strCache>
                <c:ptCount val="1"/>
                <c:pt idx="0">
                  <c:v>Expected Admissions 6-59M</c:v>
                </c:pt>
              </c:strCache>
            </c:strRef>
          </c:tx>
          <c:spPr>
            <a:ln w="28575" cap="rnd">
              <a:solidFill>
                <a:srgbClr val="FF0000"/>
              </a:solidFill>
              <a:prstDash val="sysDot"/>
              <a:round/>
            </a:ln>
            <a:effectLst/>
          </c:spPr>
          <c:marker>
            <c:symbol val="none"/>
          </c:marker>
          <c:val>
            <c:numRef>
              <c:f>Burden!$I$39:$T$39</c:f>
              <c:numCache>
                <c:formatCode>#,##0</c:formatCode>
                <c:ptCount val="12"/>
                <c:pt idx="0">
                  <c:v>12151.37145953294</c:v>
                </c:pt>
                <c:pt idx="1">
                  <c:v>33995.656056712796</c:v>
                </c:pt>
                <c:pt idx="2">
                  <c:v>60451.059586958603</c:v>
                </c:pt>
                <c:pt idx="3">
                  <c:v>93205.368719643884</c:v>
                </c:pt>
                <c:pt idx="4">
                  <c:v>132258.58345476867</c:v>
                </c:pt>
                <c:pt idx="5">
                  <c:v>175922.91712295936</c:v>
                </c:pt>
                <c:pt idx="6">
                  <c:v>221275.0374605236</c:v>
                </c:pt>
                <c:pt idx="7">
                  <c:v>264939.37112871435</c:v>
                </c:pt>
                <c:pt idx="8">
                  <c:v>303992.58586383914</c:v>
                </c:pt>
                <c:pt idx="9">
                  <c:v>336746.89499652438</c:v>
                </c:pt>
                <c:pt idx="10">
                  <c:v>363202.2985267702</c:v>
                </c:pt>
                <c:pt idx="11">
                  <c:v>385046.58312395005</c:v>
                </c:pt>
              </c:numCache>
            </c:numRef>
          </c:val>
          <c:smooth val="0"/>
          <c:extLst>
            <c:ext xmlns:c16="http://schemas.microsoft.com/office/drawing/2014/chart" uri="{C3380CC4-5D6E-409C-BE32-E72D297353CC}">
              <c16:uniqueId val="{00000002-9309-4143-B520-2A769008C006}"/>
            </c:ext>
          </c:extLst>
        </c:ser>
        <c:ser>
          <c:idx val="1"/>
          <c:order val="4"/>
          <c:tx>
            <c:strRef>
              <c:f>Burden!$H$40</c:f>
              <c:strCache>
                <c:ptCount val="1"/>
                <c:pt idx="0">
                  <c:v>SAM admission criteria Infants 0-5M</c:v>
                </c:pt>
              </c:strCache>
            </c:strRef>
          </c:tx>
          <c:spPr>
            <a:ln w="38100" cap="rnd">
              <a:solidFill>
                <a:srgbClr val="FDB1B1"/>
              </a:solidFill>
              <a:round/>
            </a:ln>
            <a:effectLst/>
          </c:spPr>
          <c:marker>
            <c:symbol val="none"/>
          </c:marker>
          <c:cat>
            <c:numRef>
              <c:f>Burden!$BK$40:$BK$51</c:f>
              <c:numCache>
                <c:formatCode>[$-409]mmm\-yy;@</c:formatCode>
                <c:ptCount val="12"/>
                <c:pt idx="0">
                  <c:v>44941</c:v>
                </c:pt>
                <c:pt idx="1">
                  <c:v>44972</c:v>
                </c:pt>
                <c:pt idx="2">
                  <c:v>45000</c:v>
                </c:pt>
                <c:pt idx="3">
                  <c:v>45031</c:v>
                </c:pt>
                <c:pt idx="4">
                  <c:v>45061</c:v>
                </c:pt>
                <c:pt idx="5">
                  <c:v>45092</c:v>
                </c:pt>
                <c:pt idx="6">
                  <c:v>45122</c:v>
                </c:pt>
                <c:pt idx="7">
                  <c:v>45153</c:v>
                </c:pt>
                <c:pt idx="8">
                  <c:v>45184</c:v>
                </c:pt>
                <c:pt idx="9">
                  <c:v>45214</c:v>
                </c:pt>
                <c:pt idx="10">
                  <c:v>45245</c:v>
                </c:pt>
                <c:pt idx="11">
                  <c:v>45275</c:v>
                </c:pt>
              </c:numCache>
            </c:numRef>
          </c:cat>
          <c:val>
            <c:numRef>
              <c:f>Burden!$I$40:$T$40</c:f>
              <c:numCache>
                <c:formatCode>#,##0</c:formatCode>
                <c:ptCount val="12"/>
                <c:pt idx="0">
                  <c:v>5330.0908901102193</c:v>
                </c:pt>
                <c:pt idx="1">
                  <c:v>12391.828824839622</c:v>
                </c:pt>
                <c:pt idx="2">
                  <c:v>20944.231896544243</c:v>
                </c:pt>
                <c:pt idx="3">
                  <c:v>31532.921413892822</c:v>
                </c:pt>
                <c:pt idx="4">
                  <c:v>44157.897376885361</c:v>
                </c:pt>
                <c:pt idx="5">
                  <c:v>58273.538476853115</c:v>
                </c:pt>
                <c:pt idx="6">
                  <c:v>72934.800885489603</c:v>
                </c:pt>
                <c:pt idx="7">
                  <c:v>87050.44198545735</c:v>
                </c:pt>
                <c:pt idx="8">
                  <c:v>99675.417948449889</c:v>
                </c:pt>
                <c:pt idx="9">
                  <c:v>110264.10746579847</c:v>
                </c:pt>
                <c:pt idx="10">
                  <c:v>118816.5105375031</c:v>
                </c:pt>
                <c:pt idx="11">
                  <c:v>125878.2484722325</c:v>
                </c:pt>
              </c:numCache>
            </c:numRef>
          </c:val>
          <c:smooth val="0"/>
          <c:extLst>
            <c:ext xmlns:c16="http://schemas.microsoft.com/office/drawing/2014/chart" uri="{C3380CC4-5D6E-409C-BE32-E72D297353CC}">
              <c16:uniqueId val="{00000000-EC99-424E-A717-2B3DF67AF0E2}"/>
            </c:ext>
          </c:extLst>
        </c:ser>
        <c:ser>
          <c:idx val="5"/>
          <c:order val="5"/>
          <c:tx>
            <c:strRef>
              <c:f>Burden!$H$41</c:f>
              <c:strCache>
                <c:ptCount val="1"/>
                <c:pt idx="0">
                  <c:v>Expected Admissions 0-5M</c:v>
                </c:pt>
              </c:strCache>
            </c:strRef>
          </c:tx>
          <c:spPr>
            <a:ln w="28575" cap="rnd">
              <a:solidFill>
                <a:srgbClr val="FDB1B1"/>
              </a:solidFill>
              <a:prstDash val="sysDot"/>
              <a:round/>
            </a:ln>
            <a:effectLst/>
          </c:spPr>
          <c:marker>
            <c:symbol val="none"/>
          </c:marker>
          <c:val>
            <c:numRef>
              <c:f>Burden!$I$41:$T$41</c:f>
              <c:numCache>
                <c:formatCode>#,##0</c:formatCode>
                <c:ptCount val="12"/>
                <c:pt idx="0">
                  <c:v>3997.5681675826645</c:v>
                </c:pt>
                <c:pt idx="1">
                  <c:v>9293.871618629717</c:v>
                </c:pt>
                <c:pt idx="2">
                  <c:v>15708.173922408183</c:v>
                </c:pt>
                <c:pt idx="3">
                  <c:v>23649.691060419616</c:v>
                </c:pt>
                <c:pt idx="4">
                  <c:v>33118.423032664025</c:v>
                </c:pt>
                <c:pt idx="5">
                  <c:v>43705.153857639838</c:v>
                </c:pt>
                <c:pt idx="6">
                  <c:v>54701.100664117199</c:v>
                </c:pt>
                <c:pt idx="7">
                  <c:v>65287.831489093012</c:v>
                </c:pt>
                <c:pt idx="8">
                  <c:v>74756.563461337413</c:v>
                </c:pt>
                <c:pt idx="9">
                  <c:v>82698.080599348847</c:v>
                </c:pt>
                <c:pt idx="10">
                  <c:v>89112.38290312732</c:v>
                </c:pt>
                <c:pt idx="11">
                  <c:v>94408.686354174381</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247650</xdr:colOff>
      <xdr:row>2</xdr:row>
      <xdr:rowOff>95251</xdr:rowOff>
    </xdr:from>
    <xdr:to>
      <xdr:col>12</xdr:col>
      <xdr:colOff>428625</xdr:colOff>
      <xdr:row>25</xdr:row>
      <xdr:rowOff>161926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7650" y="495301"/>
          <a:ext cx="8410575" cy="46672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different sheets in the tool:</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CMAM</a:t>
          </a:r>
          <a:r>
            <a:rPr lang="en-GB" sz="1100">
              <a:solidFill>
                <a:schemeClr val="dk1"/>
              </a:solidFill>
              <a:effectLst/>
              <a:latin typeface="+mn-lt"/>
              <a:ea typeface="+mn-ea"/>
              <a:cs typeface="+mn-cs"/>
            </a:rPr>
            <a:t> – to calculate caseload for SAM and MAM treatment in children 6-59 months and AM treatment in pregnant and lactating women (PLW). The data to be entered per admin 2 level (ex. district, county).</a:t>
          </a:r>
        </a:p>
        <a:p>
          <a:pPr lvl="0"/>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Other interventions</a:t>
          </a:r>
          <a:r>
            <a:rPr lang="en-GB" sz="1100">
              <a:solidFill>
                <a:schemeClr val="dk1"/>
              </a:solidFill>
              <a:effectLst/>
              <a:latin typeface="+mn-lt"/>
              <a:ea typeface="+mn-ea"/>
              <a:cs typeface="+mn-cs"/>
            </a:rPr>
            <a:t> – to calculate caseload for all other Nutrition Cluster interventions such as IYCF counselling, Blanket supplementary feeding programmes, micronutrient supplementation and others. The data to be entered per admin 2 level (ex. district, county).</a:t>
          </a:r>
        </a:p>
        <a:p>
          <a:pPr lvl="0"/>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Selected supplies </a:t>
          </a:r>
          <a:r>
            <a:rPr lang="en-GB" sz="1100">
              <a:solidFill>
                <a:schemeClr val="dk1"/>
              </a:solidFill>
              <a:effectLst/>
              <a:latin typeface="+mn-lt"/>
              <a:ea typeface="+mn-ea"/>
              <a:cs typeface="+mn-cs"/>
            </a:rPr>
            <a:t>– to facilitate estimation of main nutrition supplies (for SAM and MAM treatment, BSFP and artificial feeding).</a:t>
          </a:r>
          <a:endParaRPr lang="en-US">
            <a:effectLst/>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CMAM summary, Other interventions summary</a:t>
          </a:r>
          <a:r>
            <a:rPr lang="en-GB" sz="1100">
              <a:solidFill>
                <a:schemeClr val="dk1"/>
              </a:solidFill>
              <a:effectLst/>
              <a:latin typeface="+mn-lt"/>
              <a:ea typeface="+mn-ea"/>
              <a:cs typeface="+mn-cs"/>
            </a:rPr>
            <a:t> – automatic pivot table to present population in need per admin 1 level (ex. State, Oblast) and grant total for the whole country.</a:t>
          </a:r>
        </a:p>
        <a:p>
          <a:pPr lvl="0"/>
          <a:endParaRPr lang="en-US"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 and all calculations will be done automatically.</a:t>
          </a:r>
        </a:p>
        <a:p>
          <a:r>
            <a:rPr lang="en-GB" sz="1100" b="0">
              <a:solidFill>
                <a:srgbClr val="FF0000"/>
              </a:solidFill>
              <a:effectLst/>
              <a:latin typeface="+mn-lt"/>
              <a:ea typeface="+mn-ea"/>
              <a:cs typeface="+mn-cs"/>
            </a:rPr>
            <a:t>                     After any modification on CMAM or</a:t>
          </a:r>
          <a:r>
            <a:rPr lang="en-GB" sz="1100" b="0" baseline="0">
              <a:solidFill>
                <a:srgbClr val="FF0000"/>
              </a:solidFill>
              <a:effectLst/>
              <a:latin typeface="+mn-lt"/>
              <a:ea typeface="+mn-ea"/>
              <a:cs typeface="+mn-cs"/>
            </a:rPr>
            <a:t> Other interventions sheet</a:t>
          </a:r>
          <a:r>
            <a:rPr lang="en-GB" sz="1100" b="0">
              <a:solidFill>
                <a:srgbClr val="FF0000"/>
              </a:solidFill>
              <a:effectLst/>
              <a:latin typeface="+mn-lt"/>
              <a:ea typeface="+mn-ea"/>
              <a:cs typeface="+mn-cs"/>
            </a:rPr>
            <a:t>, do not forget to right</a:t>
          </a:r>
          <a:r>
            <a:rPr lang="en-GB" sz="1100" b="0" baseline="0">
              <a:solidFill>
                <a:srgbClr val="FF0000"/>
              </a:solidFill>
              <a:effectLst/>
              <a:latin typeface="+mn-lt"/>
              <a:ea typeface="+mn-ea"/>
              <a:cs typeface="+mn-cs"/>
            </a:rPr>
            <a:t> click on the pivot tables and refresh.</a:t>
          </a:r>
          <a:endParaRPr lang="en-US" sz="1100" b="0">
            <a:solidFill>
              <a:srgbClr val="FF0000"/>
            </a:solidFill>
            <a:effectLst/>
            <a:latin typeface="+mn-lt"/>
            <a:ea typeface="+mn-ea"/>
            <a:cs typeface="+mn-cs"/>
          </a:endParaRPr>
        </a:p>
      </xdr:txBody>
    </xdr:sp>
    <xdr:clientData/>
  </xdr:twoCellAnchor>
  <xdr:twoCellAnchor editAs="oneCell">
    <xdr:from>
      <xdr:col>5</xdr:col>
      <xdr:colOff>419100</xdr:colOff>
      <xdr:row>2</xdr:row>
      <xdr:rowOff>123824</xdr:rowOff>
    </xdr:from>
    <xdr:to>
      <xdr:col>6</xdr:col>
      <xdr:colOff>600075</xdr:colOff>
      <xdr:row>6</xdr:row>
      <xdr:rowOff>188437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3848100" y="523874"/>
          <a:ext cx="866775" cy="864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393246</xdr:colOff>
      <xdr:row>22</xdr:row>
      <xdr:rowOff>0</xdr:rowOff>
    </xdr:from>
    <xdr:to>
      <xdr:col>24</xdr:col>
      <xdr:colOff>161737</xdr:colOff>
      <xdr:row>43</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437889</xdr:colOff>
      <xdr:row>22</xdr:row>
      <xdr:rowOff>75308</xdr:rowOff>
    </xdr:from>
    <xdr:to>
      <xdr:col>26</xdr:col>
      <xdr:colOff>287741</xdr:colOff>
      <xdr:row>61</xdr:row>
      <xdr:rowOff>67663</xdr:rowOff>
    </xdr:to>
    <mc:AlternateContent xmlns:mc="http://schemas.openxmlformats.org/markup-compatibility/2006" xmlns:a14="http://schemas.microsoft.com/office/drawing/2010/main">
      <mc:Choice Requires="a14">
        <xdr:graphicFrame macro="">
          <xdr:nvGraphicFramePr>
            <xdr:cNvPr id="22" name="Admin 1 1">
              <a:extLst>
                <a:ext uri="{FF2B5EF4-FFF2-40B4-BE49-F238E27FC236}">
                  <a16:creationId xmlns:a16="http://schemas.microsoft.com/office/drawing/2014/main" id="{821F647B-45AC-DAED-13DC-1488C33A2DAB}"/>
                </a:ext>
              </a:extLst>
            </xdr:cNvPr>
            <xdr:cNvGraphicFramePr/>
          </xdr:nvGraphicFramePr>
          <xdr:xfrm>
            <a:off x="0" y="0"/>
            <a:ext cx="0" cy="0"/>
          </xdr:xfrm>
          <a:graphic>
            <a:graphicData uri="http://schemas.microsoft.com/office/drawing/2010/slicer">
              <sle:slicer xmlns:sle="http://schemas.microsoft.com/office/drawing/2010/slicer" name="Admin 1 1"/>
            </a:graphicData>
          </a:graphic>
        </xdr:graphicFrame>
      </mc:Choice>
      <mc:Fallback xmlns="">
        <xdr:sp macro="" textlink="">
          <xdr:nvSpPr>
            <xdr:cNvPr id="0" name=""/>
            <xdr:cNvSpPr>
              <a:spLocks noTextEdit="1"/>
            </xdr:cNvSpPr>
          </xdr:nvSpPr>
          <xdr:spPr>
            <a:xfrm>
              <a:off x="17275972" y="75308"/>
              <a:ext cx="1818354" cy="9904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833438</xdr:colOff>
      <xdr:row>13</xdr:row>
      <xdr:rowOff>182468</xdr:rowOff>
    </xdr:from>
    <xdr:to>
      <xdr:col>20</xdr:col>
      <xdr:colOff>0</xdr:colOff>
      <xdr:row>34</xdr:row>
      <xdr:rowOff>11205</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182377</xdr:colOff>
      <xdr:row>13</xdr:row>
      <xdr:rowOff>141227</xdr:rowOff>
    </xdr:from>
    <xdr:to>
      <xdr:col>22</xdr:col>
      <xdr:colOff>656648</xdr:colOff>
      <xdr:row>53</xdr:row>
      <xdr:rowOff>133760</xdr:rowOff>
    </xdr:to>
    <mc:AlternateContent xmlns:mc="http://schemas.openxmlformats.org/markup-compatibility/2006" xmlns:a14="http://schemas.microsoft.com/office/drawing/2010/main">
      <mc:Choice Requires="a14">
        <xdr:graphicFrame macro="">
          <xdr:nvGraphicFramePr>
            <xdr:cNvPr id="4" name="Admin 1 2">
              <a:extLst>
                <a:ext uri="{FF2B5EF4-FFF2-40B4-BE49-F238E27FC236}">
                  <a16:creationId xmlns:a16="http://schemas.microsoft.com/office/drawing/2014/main" id="{E051FE6C-0DA7-419E-80AD-AC3678D5FAF5}"/>
                </a:ext>
              </a:extLst>
            </xdr:cNvPr>
            <xdr:cNvGraphicFramePr/>
          </xdr:nvGraphicFramePr>
          <xdr:xfrm>
            <a:off x="0" y="0"/>
            <a:ext cx="0" cy="0"/>
          </xdr:xfrm>
          <a:graphic>
            <a:graphicData uri="http://schemas.microsoft.com/office/drawing/2010/slicer">
              <sle:slicer xmlns:sle="http://schemas.microsoft.com/office/drawing/2010/slicer" name="Admin 1 2"/>
            </a:graphicData>
          </a:graphic>
        </xdr:graphicFrame>
      </mc:Choice>
      <mc:Fallback xmlns="">
        <xdr:sp macro="" textlink="">
          <xdr:nvSpPr>
            <xdr:cNvPr id="0" name=""/>
            <xdr:cNvSpPr>
              <a:spLocks noTextEdit="1"/>
            </xdr:cNvSpPr>
          </xdr:nvSpPr>
          <xdr:spPr>
            <a:xfrm>
              <a:off x="17772437" y="144402"/>
              <a:ext cx="1825327" cy="9851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Expected Cases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Ziolkovska" refreshedDate="42652.598097569447" createdVersion="5" refreshedVersion="5" minRefreshableVersion="3" recordCount="43" xr:uid="{00000000-000A-0000-FFFF-FFFF00000000}">
  <cacheSource type="worksheet">
    <worksheetSource ref="C44:J89" sheet="Prevalence"/>
  </cacheSource>
  <cacheFields count="12">
    <cacheField name="Admin 1" numFmtId="0">
      <sharedItems containsBlank="1" count="37">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m/>
        <s v="ZXCZXC" u="1"/>
        <s v="cXZCZ" u="1"/>
      </sharedItems>
    </cacheField>
    <cacheField name="Admin 2" numFmtId="0">
      <sharedItems containsNonDate="0" containsString="0" containsBlank="1"/>
    </cacheField>
    <cacheField name="Population per admin 2 as of year you are doing calculations for" numFmtId="3">
      <sharedItems containsString="0" containsBlank="1" containsNumber="1" containsInteger="1" minValue="150391" maxValue="4523718"/>
    </cacheField>
    <cacheField name="GAM rate, % (WFH or MUAC, according to your admission criteria)" numFmtId="164">
      <sharedItems containsString="0" containsBlank="1" containsNumber="1" minValue="3.7345187182510869E-2" maxValue="0.33299999999999996"/>
    </cacheField>
    <cacheField name="SAM rate, %  (WFH or MUAC, according to your admission criteria)" numFmtId="164">
      <sharedItems containsString="0" containsBlank="1" containsNumber="1" minValue="0.01" maxValue="0.11213089027322097"/>
    </cacheField>
    <cacheField name="Children 6-59 mo in need of SAM management" numFmtId="3">
      <sharedItems containsSemiMixedTypes="0" containsString="0" containsNumber="1" minValue="0" maxValue="38460.790784000004"/>
    </cacheField>
    <cacheField name="Cluster targeted caseload for SAM management" numFmtId="3">
      <sharedItems containsSemiMixedTypes="0" containsString="0" containsNumber="1" minValue="0" maxValue="28845.593088000001"/>
    </cacheField>
    <cacheField name="Children 6-59 mo in need of MAM management" numFmtId="3">
      <sharedItems containsSemiMixedTypes="0" containsString="0" containsNumber="1" minValue="0" maxValue="122997.99154306832"/>
    </cacheField>
    <cacheField name="Cluster targeted caseload for MAM management" numFmtId="3">
      <sharedItems containsSemiMixedTypes="0" containsString="0" containsNumber="1" minValue="0" maxValue="92248.493657301238"/>
    </cacheField>
    <cacheField name="Acute malnutrition in PLW, %" numFmtId="164">
      <sharedItems containsString="0" containsBlank="1" containsNumber="1" minValue="0" maxValue="0.23199999999999998"/>
    </cacheField>
    <cacheField name="PLW in need of AM management" numFmtId="3">
      <sharedItems containsSemiMixedTypes="0" containsString="0" containsNumber="1" minValue="0" maxValue="17542.99296"/>
    </cacheField>
    <cacheField name="Cluster targeted caseload for AM treatment in PLW" numFmtId="3">
      <sharedItems containsSemiMixedTypes="0" containsString="0" containsNumber="1" minValue="0" maxValue="13157.24471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05.639307754631" createdVersion="5" refreshedVersion="8" minRefreshableVersion="3" recordCount="41" xr:uid="{00000000-000A-0000-FFFF-FFFF01000000}">
  <cacheSource type="worksheet">
    <worksheetSource ref="B16:G56" sheet="Other interventions"/>
  </cacheSource>
  <cacheFields count="9">
    <cacheField name="Admin 1" numFmtId="0">
      <sharedItems containsBlank="1" count="35">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m/>
      </sharedItems>
    </cacheField>
    <cacheField name="Admin 2" numFmtId="0">
      <sharedItems containsNonDate="0" containsString="0" containsBlank="1"/>
    </cacheField>
    <cacheField name="Population per admin 2 as of year you are doing calculations for" numFmtId="3">
      <sharedItems containsString="0" containsBlank="1" containsNumber="1" containsInteger="1" minValue="150391" maxValue="4523718"/>
    </cacheField>
    <cacheField name="Children 6-23 months in need of BSFP" numFmtId="3">
      <sharedItems containsSemiMixedTypes="0" containsString="0" containsNumber="1" minValue="0" maxValue="271423.08"/>
    </cacheField>
    <cacheField name="Cluster targeted caseload for BSFP" numFmtId="3">
      <sharedItems containsSemiMixedTypes="0" containsString="0" containsNumber="1" containsInteger="1" minValue="0" maxValue="0"/>
    </cacheField>
    <cacheField name="children 0-24 months and PW in need of IYCF counselling" numFmtId="3">
      <sharedItems containsSemiMixedTypes="0" containsString="0" containsNumber="1" minValue="0" maxValue="452371.80000000005"/>
    </cacheField>
    <cacheField name="Cluster targeted caseload for IYCF counselling" numFmtId="3">
      <sharedItems containsSemiMixedTypes="0" containsString="0" containsNumber="1" containsInteger="1" minValue="0" maxValue="0"/>
    </cacheField>
    <cacheField name="6-59 months in need of Screening and referral" numFmtId="3">
      <sharedItems containsSemiMixedTypes="0" containsString="0" containsNumber="1" minValue="0" maxValue="723794.88"/>
    </cacheField>
    <cacheField name="Cluster targeted caseload for Screening and referral" numFmtId="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432.535777199075" backgroundQuery="1" createdVersion="8" refreshedVersion="8" minRefreshableVersion="3" recordCount="0" supportSubquery="1" supportAdvancedDrill="1" xr:uid="{853DF1D8-FB6D-415B-BE16-39F53B689321}">
  <cacheSource type="external" connectionId="2"/>
  <cacheFields count="13">
    <cacheField name="[Range].[Admin 1].[Admin 1]" caption="Admin 1" numFmtId="0" level="1">
      <sharedItems count="34">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sharedItems>
    </cacheField>
    <cacheField name="[Measures].[Sum of Jan-23 2]" caption="Sum of Jan-23 2" numFmtId="0" hierarchy="81" level="32767"/>
    <cacheField name="[Measures].[Sum of Feb-23 2]" caption="Sum of Feb-23 2" numFmtId="0" hierarchy="82" level="32767"/>
    <cacheField name="[Measures].[Sum of Mar-23 2]" caption="Sum of Mar-23 2" numFmtId="0" hierarchy="83" level="32767"/>
    <cacheField name="[Measures].[Sum of Apr-23 2]" caption="Sum of Apr-23 2" numFmtId="0" hierarchy="84" level="32767"/>
    <cacheField name="[Measures].[Sum of May-23 2]" caption="Sum of May-23 2" numFmtId="0" hierarchy="85" level="32767"/>
    <cacheField name="[Measures].[Sum of Jun-23 2]" caption="Sum of Jun-23 2" numFmtId="0" hierarchy="86" level="32767"/>
    <cacheField name="[Measures].[Sum of Jul-23 2]" caption="Sum of Jul-23 2" numFmtId="0" hierarchy="87" level="32767"/>
    <cacheField name="[Measures].[Sum of Aug-23 2]" caption="Sum of Aug-23 2" numFmtId="0" hierarchy="88" level="32767"/>
    <cacheField name="[Measures].[Sum of Sep-23 2]" caption="Sum of Sep-23 2" numFmtId="0" hierarchy="89" level="32767"/>
    <cacheField name="[Measures].[Sum of Oct-23 2]" caption="Sum of Oct-23 2" numFmtId="0" hierarchy="90" level="32767"/>
    <cacheField name="[Measures].[Sum of Nov-23 2]" caption="Sum of Nov-23 2" numFmtId="0" hierarchy="91" level="32767"/>
    <cacheField name="[Measures].[Sum of Dec-23 2]" caption="Sum of Dec-23 2" numFmtId="0" hierarchy="92" level="32767"/>
  </cacheFields>
  <cacheHierarchies count="131">
    <cacheHierarchy uniqueName="[Range].[Admin 1]" caption="Admin 1" attribute="1" defaultMemberUniqueName="[Range].[Admin 1].[All]" allUniqueName="[Range].[Admin 1].[All]" dimensionUniqueName="[Range]" displayFolder="" count="2" memberValueDatatype="130" unbalanced="0">
      <fieldsUsage count="2">
        <fieldUsage x="-1"/>
        <fieldUsage x="0"/>
      </fieldsUsage>
    </cacheHierarchy>
    <cacheHierarchy uniqueName="[Range].[Jan-23]" caption="Jan-23" attribute="1" defaultMemberUniqueName="[Range].[Jan-23].[All]" allUniqueName="[Range].[Jan-23].[All]" dimensionUniqueName="[Range]" displayFolder="" count="0" memberValueDatatype="5" unbalanced="0"/>
    <cacheHierarchy uniqueName="[Range].[Feb-23]" caption="Feb-23" attribute="1" defaultMemberUniqueName="[Range].[Feb-23].[All]" allUniqueName="[Range].[Feb-23].[All]" dimensionUniqueName="[Range]" displayFolder="" count="0" memberValueDatatype="5" unbalanced="0"/>
    <cacheHierarchy uniqueName="[Range].[Mar-23]" caption="Mar-23" attribute="1" defaultMemberUniqueName="[Range].[Mar-23].[All]" allUniqueName="[Range].[Mar-23].[All]" dimensionUniqueName="[Range]" displayFolder="" count="0" memberValueDatatype="5" unbalanced="0"/>
    <cacheHierarchy uniqueName="[Range].[Apr-23]" caption="Apr-23" attribute="1" defaultMemberUniqueName="[Range].[Apr-23].[All]" allUniqueName="[Range].[Apr-23].[All]" dimensionUniqueName="[Range]" displayFolder="" count="0" memberValueDatatype="5" unbalanced="0"/>
    <cacheHierarchy uniqueName="[Range].[May-23]" caption="May-23" attribute="1" defaultMemberUniqueName="[Range].[May-23].[All]" allUniqueName="[Range].[May-23].[All]" dimensionUniqueName="[Range]" displayFolder="" count="0" memberValueDatatype="5" unbalanced="0"/>
    <cacheHierarchy uniqueName="[Range].[Jun-23]" caption="Jun-23" attribute="1" defaultMemberUniqueName="[Range].[Jun-23].[All]" allUniqueName="[Range].[Jun-23].[All]" dimensionUniqueName="[Range]" displayFolder="" count="0" memberValueDatatype="5" unbalanced="0"/>
    <cacheHierarchy uniqueName="[Range].[Jul-23]" caption="Jul-23" attribute="1" defaultMemberUniqueName="[Range].[Jul-23].[All]" allUniqueName="[Range].[Jul-23].[All]" dimensionUniqueName="[Range]" displayFolder="" count="0" memberValueDatatype="5" unbalanced="0"/>
    <cacheHierarchy uniqueName="[Range].[Aug-23]" caption="Aug-23" attribute="1" defaultMemberUniqueName="[Range].[Aug-23].[All]" allUniqueName="[Range].[Aug-23].[All]" dimensionUniqueName="[Range]" displayFolder="" count="0" memberValueDatatype="5" unbalanced="0"/>
    <cacheHierarchy uniqueName="[Range].[Sep-23]" caption="Sep-23" attribute="1" defaultMemberUniqueName="[Range].[Sep-23].[All]" allUniqueName="[Range].[Sep-23].[All]" dimensionUniqueName="[Range]" displayFolder="" count="0" memberValueDatatype="5" unbalanced="0"/>
    <cacheHierarchy uniqueName="[Range].[Oct-23]" caption="Oct-23" attribute="1" defaultMemberUniqueName="[Range].[Oct-23].[All]" allUniqueName="[Range].[Oct-23].[All]" dimensionUniqueName="[Range]" displayFolder="" count="0" memberValueDatatype="5" unbalanced="0"/>
    <cacheHierarchy uniqueName="[Range].[Nov-23]" caption="Nov-23" attribute="1" defaultMemberUniqueName="[Range].[Nov-23].[All]" allUniqueName="[Range].[Nov-23].[All]" dimensionUniqueName="[Range]" displayFolder="" count="0" memberValueDatatype="5" unbalanced="0"/>
    <cacheHierarchy uniqueName="[Range].[Dec-23]" caption="Dec-23" attribute="1" defaultMemberUniqueName="[Range].[Dec-23].[All]" allUniqueName="[Range].[Dec-23].[All]" dimensionUniqueName="[Range]" displayFolder="" count="0" memberValueDatatype="5" unbalanced="0"/>
    <cacheHierarchy uniqueName="[Range 1].[Admin 1]" caption="Admin 1" attribute="1" defaultMemberUniqueName="[Range 1].[Admin 1].[All]" allUniqueName="[Range 1].[Admin 1].[All]" dimensionUniqueName="[Range 1]" displayFolder="" count="0" memberValueDatatype="130" unbalanced="0"/>
    <cacheHierarchy uniqueName="[Range 1].[Jan-23]" caption="Jan-23" attribute="1" defaultMemberUniqueName="[Range 1].[Jan-23].[All]" allUniqueName="[Range 1].[Jan-23].[All]" dimensionUniqueName="[Range 1]" displayFolder="" count="0" memberValueDatatype="5" unbalanced="0"/>
    <cacheHierarchy uniqueName="[Range 1].[Feb-23]" caption="Feb-23" attribute="1" defaultMemberUniqueName="[Range 1].[Feb-23].[All]" allUniqueName="[Range 1].[Feb-23].[All]" dimensionUniqueName="[Range 1]" displayFolder="" count="0" memberValueDatatype="5" unbalanced="0"/>
    <cacheHierarchy uniqueName="[Range 1].[Mar-23]" caption="Mar-23" attribute="1" defaultMemberUniqueName="[Range 1].[Mar-23].[All]" allUniqueName="[Range 1].[Mar-23].[All]" dimensionUniqueName="[Range 1]" displayFolder="" count="0" memberValueDatatype="5" unbalanced="0"/>
    <cacheHierarchy uniqueName="[Range 1].[Apr-23]" caption="Apr-23" attribute="1" defaultMemberUniqueName="[Range 1].[Apr-23].[All]" allUniqueName="[Range 1].[Apr-23].[All]" dimensionUniqueName="[Range 1]" displayFolder="" count="0" memberValueDatatype="5" unbalanced="0"/>
    <cacheHierarchy uniqueName="[Range 1].[May-23]" caption="May-23" attribute="1" defaultMemberUniqueName="[Range 1].[May-23].[All]" allUniqueName="[Range 1].[May-23].[All]" dimensionUniqueName="[Range 1]" displayFolder="" count="0" memberValueDatatype="5" unbalanced="0"/>
    <cacheHierarchy uniqueName="[Range 1].[Jun-23]" caption="Jun-23" attribute="1" defaultMemberUniqueName="[Range 1].[Jun-23].[All]" allUniqueName="[Range 1].[Jun-23].[All]" dimensionUniqueName="[Range 1]" displayFolder="" count="0" memberValueDatatype="5" unbalanced="0"/>
    <cacheHierarchy uniqueName="[Range 1].[Jul-23]" caption="Jul-23" attribute="1" defaultMemberUniqueName="[Range 1].[Jul-23].[All]" allUniqueName="[Range 1].[Jul-23].[All]" dimensionUniqueName="[Range 1]" displayFolder="" count="0" memberValueDatatype="5" unbalanced="0"/>
    <cacheHierarchy uniqueName="[Range 1].[Aug-23]" caption="Aug-23" attribute="1" defaultMemberUniqueName="[Range 1].[Aug-23].[All]" allUniqueName="[Range 1].[Aug-23].[All]" dimensionUniqueName="[Range 1]" displayFolder="" count="0" memberValueDatatype="5" unbalanced="0"/>
    <cacheHierarchy uniqueName="[Range 1].[Sep-23]" caption="Sep-23" attribute="1" defaultMemberUniqueName="[Range 1].[Sep-23].[All]" allUniqueName="[Range 1].[Sep-23].[All]" dimensionUniqueName="[Range 1]" displayFolder="" count="0" memberValueDatatype="5" unbalanced="0"/>
    <cacheHierarchy uniqueName="[Range 1].[Oct-23]" caption="Oct-23" attribute="1" defaultMemberUniqueName="[Range 1].[Oct-23].[All]" allUniqueName="[Range 1].[Oct-23].[All]" dimensionUniqueName="[Range 1]" displayFolder="" count="0" memberValueDatatype="5" unbalanced="0"/>
    <cacheHierarchy uniqueName="[Range 1].[Nov-23]" caption="Nov-23" attribute="1" defaultMemberUniqueName="[Range 1].[Nov-23].[All]" allUniqueName="[Range 1].[Nov-23].[All]" dimensionUniqueName="[Range 1]" displayFolder="" count="0" memberValueDatatype="5" unbalanced="0"/>
    <cacheHierarchy uniqueName="[Range 1].[Dec-23]" caption="Dec-23" attribute="1" defaultMemberUniqueName="[Range 1].[Dec-23].[All]" allUniqueName="[Range 1].[Dec-23].[All]" dimensionUniqueName="[Range 1]" displayFolder="" count="0" memberValueDatatype="5" unbalanced="0"/>
    <cacheHierarchy uniqueName="[Table1].[Admin 1]" caption="Admin 1" attribute="1" defaultMemberUniqueName="[Table1].[Admin 1].[All]" allUniqueName="[Table1].[Admin 1].[All]" dimensionUniqueName="[Table1]" displayFolder="" count="0" memberValueDatatype="130" unbalanced="0"/>
    <cacheHierarchy uniqueName="[Table1].[Jan-23]" caption="Jan-23" attribute="1" defaultMemberUniqueName="[Table1].[Jan-23].[All]" allUniqueName="[Table1].[Jan-23].[All]" dimensionUniqueName="[Table1]" displayFolder="" count="0" memberValueDatatype="5" unbalanced="0"/>
    <cacheHierarchy uniqueName="[Table1].[Feb-23]" caption="Feb-23" attribute="1" defaultMemberUniqueName="[Table1].[Feb-23].[All]" allUniqueName="[Table1].[Feb-23].[All]" dimensionUniqueName="[Table1]" displayFolder="" count="0" memberValueDatatype="5" unbalanced="0"/>
    <cacheHierarchy uniqueName="[Table1].[Mar-23]" caption="Mar-23" attribute="1" defaultMemberUniqueName="[Table1].[Mar-23].[All]" allUniqueName="[Table1].[Mar-23].[All]" dimensionUniqueName="[Table1]" displayFolder="" count="0" memberValueDatatype="5" unbalanced="0"/>
    <cacheHierarchy uniqueName="[Table1].[Apr-23]" caption="Apr-23" attribute="1" defaultMemberUniqueName="[Table1].[Apr-23].[All]" allUniqueName="[Table1].[Apr-23].[All]" dimensionUniqueName="[Table1]" displayFolder="" count="0" memberValueDatatype="5" unbalanced="0"/>
    <cacheHierarchy uniqueName="[Table1].[May-23]" caption="May-23" attribute="1" defaultMemberUniqueName="[Table1].[May-23].[All]" allUniqueName="[Table1].[May-23].[All]" dimensionUniqueName="[Table1]" displayFolder="" count="0" memberValueDatatype="5" unbalanced="0"/>
    <cacheHierarchy uniqueName="[Table1].[Jun-23]" caption="Jun-23" attribute="1" defaultMemberUniqueName="[Table1].[Jun-23].[All]" allUniqueName="[Table1].[Jun-23].[All]" dimensionUniqueName="[Table1]" displayFolder="" count="0" memberValueDatatype="5" unbalanced="0"/>
    <cacheHierarchy uniqueName="[Table1].[Jul-23]" caption="Jul-23" attribute="1" defaultMemberUniqueName="[Table1].[Jul-23].[All]" allUniqueName="[Table1].[Jul-23].[All]" dimensionUniqueName="[Table1]" displayFolder="" count="0" memberValueDatatype="5" unbalanced="0"/>
    <cacheHierarchy uniqueName="[Table1].[Aug-23]" caption="Aug-23" attribute="1" defaultMemberUniqueName="[Table1].[Aug-23].[All]" allUniqueName="[Table1].[Aug-23].[All]" dimensionUniqueName="[Table1]" displayFolder="" count="0" memberValueDatatype="5" unbalanced="0"/>
    <cacheHierarchy uniqueName="[Table1].[Sep-23]" caption="Sep-23" attribute="1" defaultMemberUniqueName="[Table1].[Sep-23].[All]" allUniqueName="[Table1].[Sep-23].[All]" dimensionUniqueName="[Table1]" displayFolder="" count="0" memberValueDatatype="5" unbalanced="0"/>
    <cacheHierarchy uniqueName="[Table1].[Oct-23]" caption="Oct-23" attribute="1" defaultMemberUniqueName="[Table1].[Oct-23].[All]" allUniqueName="[Table1].[Oct-23].[All]" dimensionUniqueName="[Table1]" displayFolder="" count="0" memberValueDatatype="5" unbalanced="0"/>
    <cacheHierarchy uniqueName="[Table1].[Nov-23]" caption="Nov-23" attribute="1" defaultMemberUniqueName="[Table1].[Nov-23].[All]" allUniqueName="[Table1].[Nov-23].[All]" dimensionUniqueName="[Table1]" displayFolder="" count="0" memberValueDatatype="5" unbalanced="0"/>
    <cacheHierarchy uniqueName="[Table1].[Dec-23]" caption="Dec-23" attribute="1" defaultMemberUniqueName="[Table1].[Dec-23].[All]" allUniqueName="[Table1].[Dec-23].[All]" dimensionUniqueName="[Table1]" displayFolder="" count="0" memberValueDatatype="5" unbalanced="0"/>
    <cacheHierarchy uniqueName="[TableP0to5].[Admin 1]" caption="Admin 1" attribute="1" defaultMemberUniqueName="[TableP0to5].[Admin 1].[All]" allUniqueName="[TableP0to5].[Admin 1].[All]" dimensionUniqueName="[TableP0to5]" displayFolder="" count="0" memberValueDatatype="130" unbalanced="0"/>
    <cacheHierarchy uniqueName="[TableP0to5].[Jan-23]" caption="Jan-23" attribute="1" defaultMemberUniqueName="[TableP0to5].[Jan-23].[All]" allUniqueName="[TableP0to5].[Jan-23].[All]" dimensionUniqueName="[TableP0to5]" displayFolder="" count="0" memberValueDatatype="5" unbalanced="0"/>
    <cacheHierarchy uniqueName="[TableP0to5].[Feb-23]" caption="Feb-23" attribute="1" defaultMemberUniqueName="[TableP0to5].[Feb-23].[All]" allUniqueName="[TableP0to5].[Feb-23].[All]" dimensionUniqueName="[TableP0to5]" displayFolder="" count="0" memberValueDatatype="5" unbalanced="0"/>
    <cacheHierarchy uniqueName="[TableP0to5].[Mar-23]" caption="Mar-23" attribute="1" defaultMemberUniqueName="[TableP0to5].[Mar-23].[All]" allUniqueName="[TableP0to5].[Mar-23].[All]" dimensionUniqueName="[TableP0to5]" displayFolder="" count="0" memberValueDatatype="5" unbalanced="0"/>
    <cacheHierarchy uniqueName="[TableP0to5].[Apr-23]" caption="Apr-23" attribute="1" defaultMemberUniqueName="[TableP0to5].[Apr-23].[All]" allUniqueName="[TableP0to5].[Apr-23].[All]" dimensionUniqueName="[TableP0to5]" displayFolder="" count="0" memberValueDatatype="5" unbalanced="0"/>
    <cacheHierarchy uniqueName="[TableP0to5].[May-23]" caption="May-23" attribute="1" defaultMemberUniqueName="[TableP0to5].[May-23].[All]" allUniqueName="[TableP0to5].[May-23].[All]" dimensionUniqueName="[TableP0to5]" displayFolder="" count="0" memberValueDatatype="5" unbalanced="0"/>
    <cacheHierarchy uniqueName="[TableP0to5].[Jun-23]" caption="Jun-23" attribute="1" defaultMemberUniqueName="[TableP0to5].[Jun-23].[All]" allUniqueName="[TableP0to5].[Jun-23].[All]" dimensionUniqueName="[TableP0to5]" displayFolder="" count="0" memberValueDatatype="5" unbalanced="0"/>
    <cacheHierarchy uniqueName="[TableP0to5].[Jul-23]" caption="Jul-23" attribute="1" defaultMemberUniqueName="[TableP0to5].[Jul-23].[All]" allUniqueName="[TableP0to5].[Jul-23].[All]" dimensionUniqueName="[TableP0to5]" displayFolder="" count="0" memberValueDatatype="5" unbalanced="0"/>
    <cacheHierarchy uniqueName="[TableP0to5].[Aug-23]" caption="Aug-23" attribute="1" defaultMemberUniqueName="[TableP0to5].[Aug-23].[All]" allUniqueName="[TableP0to5].[Aug-23].[All]" dimensionUniqueName="[TableP0to5]" displayFolder="" count="0" memberValueDatatype="5" unbalanced="0"/>
    <cacheHierarchy uniqueName="[TableP0to5].[Sep-23]" caption="Sep-23" attribute="1" defaultMemberUniqueName="[TableP0to5].[Sep-23].[All]" allUniqueName="[TableP0to5].[Sep-23].[All]" dimensionUniqueName="[TableP0to5]" displayFolder="" count="0" memberValueDatatype="5" unbalanced="0"/>
    <cacheHierarchy uniqueName="[TableP0to5].[Oct-23]" caption="Oct-23" attribute="1" defaultMemberUniqueName="[TableP0to5].[Oct-23].[All]" allUniqueName="[TableP0to5].[Oct-23].[All]" dimensionUniqueName="[TableP0to5]" displayFolder="" count="0" memberValueDatatype="5" unbalanced="0"/>
    <cacheHierarchy uniqueName="[TableP0to5].[Nov-23]" caption="Nov-23" attribute="1" defaultMemberUniqueName="[TableP0to5].[Nov-23].[All]" allUniqueName="[TableP0to5].[Nov-23].[All]" dimensionUniqueName="[TableP0to5]" displayFolder="" count="0" memberValueDatatype="5" unbalanced="0"/>
    <cacheHierarchy uniqueName="[TableP0to5].[Dec-23]" caption="Dec-23" attribute="1" defaultMemberUniqueName="[TableP0to5].[Dec-23].[All]" allUniqueName="[TableP0to5].[Dec-23].[All]" dimensionUniqueName="[TableP0to5]"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TableP0to5]" caption="__XL_Count TableP0to5" measure="1" displayFolder="" measureGroup="TableP0to5"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Jan-23]" caption="Sum of Jan-23" measure="1" displayFolder="" measureGroup="Table1" count="0" hidden="1">
      <extLst>
        <ext xmlns:x15="http://schemas.microsoft.com/office/spreadsheetml/2010/11/main" uri="{B97F6D7D-B522-45F9-BDA1-12C45D357490}">
          <x15:cacheHierarchy aggregatedColumn="27"/>
        </ext>
      </extLst>
    </cacheHierarchy>
    <cacheHierarchy uniqueName="[Measures].[Sum of Feb-23]" caption="Sum of Feb-23" measure="1" displayFolder="" measureGroup="Table1" count="0" hidden="1">
      <extLst>
        <ext xmlns:x15="http://schemas.microsoft.com/office/spreadsheetml/2010/11/main" uri="{B97F6D7D-B522-45F9-BDA1-12C45D357490}">
          <x15:cacheHierarchy aggregatedColumn="28"/>
        </ext>
      </extLst>
    </cacheHierarchy>
    <cacheHierarchy uniqueName="[Measures].[Sum of Mar-23]" caption="Sum of Mar-23" measure="1" displayFolder="" measureGroup="Table1" count="0" hidden="1">
      <extLst>
        <ext xmlns:x15="http://schemas.microsoft.com/office/spreadsheetml/2010/11/main" uri="{B97F6D7D-B522-45F9-BDA1-12C45D357490}">
          <x15:cacheHierarchy aggregatedColumn="29"/>
        </ext>
      </extLst>
    </cacheHierarchy>
    <cacheHierarchy uniqueName="[Measures].[Sum of Apr-23]" caption="Sum of Apr-23" measure="1" displayFolder="" measureGroup="Table1" count="0" hidden="1">
      <extLst>
        <ext xmlns:x15="http://schemas.microsoft.com/office/spreadsheetml/2010/11/main" uri="{B97F6D7D-B522-45F9-BDA1-12C45D357490}">
          <x15:cacheHierarchy aggregatedColumn="30"/>
        </ext>
      </extLst>
    </cacheHierarchy>
    <cacheHierarchy uniqueName="[Measures].[Sum of May-23]" caption="Sum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an-23]" caption="Average of Jan-23" measure="1" displayFolder="" measureGroup="Table1" count="0" hidden="1">
      <extLst>
        <ext xmlns:x15="http://schemas.microsoft.com/office/spreadsheetml/2010/11/main" uri="{B97F6D7D-B522-45F9-BDA1-12C45D357490}">
          <x15:cacheHierarchy aggregatedColumn="27"/>
        </ext>
      </extLst>
    </cacheHierarchy>
    <cacheHierarchy uniqueName="[Measures].[Sum of Jun-23]" caption="Sum of Jun-23" measure="1" displayFolder="" measureGroup="Table1" count="0" hidden="1">
      <extLst>
        <ext xmlns:x15="http://schemas.microsoft.com/office/spreadsheetml/2010/11/main" uri="{B97F6D7D-B522-45F9-BDA1-12C45D357490}">
          <x15:cacheHierarchy aggregatedColumn="32"/>
        </ext>
      </extLst>
    </cacheHierarchy>
    <cacheHierarchy uniqueName="[Measures].[Sum of Jul-23]" caption="Sum of Jul-23" measure="1" displayFolder="" measureGroup="Table1" count="0" hidden="1">
      <extLst>
        <ext xmlns:x15="http://schemas.microsoft.com/office/spreadsheetml/2010/11/main" uri="{B97F6D7D-B522-45F9-BDA1-12C45D357490}">
          <x15:cacheHierarchy aggregatedColumn="33"/>
        </ext>
      </extLst>
    </cacheHierarchy>
    <cacheHierarchy uniqueName="[Measures].[Sum of Aug-23]" caption="Sum of Aug-23" measure="1" displayFolder="" measureGroup="Table1" count="0" hidden="1">
      <extLst>
        <ext xmlns:x15="http://schemas.microsoft.com/office/spreadsheetml/2010/11/main" uri="{B97F6D7D-B522-45F9-BDA1-12C45D357490}">
          <x15:cacheHierarchy aggregatedColumn="34"/>
        </ext>
      </extLst>
    </cacheHierarchy>
    <cacheHierarchy uniqueName="[Measures].[Sum of Sep-23]" caption="Sum of Sep-23" measure="1" displayFolder="" measureGroup="Table1" count="0" hidden="1">
      <extLst>
        <ext xmlns:x15="http://schemas.microsoft.com/office/spreadsheetml/2010/11/main" uri="{B97F6D7D-B522-45F9-BDA1-12C45D357490}">
          <x15:cacheHierarchy aggregatedColumn="35"/>
        </ext>
      </extLst>
    </cacheHierarchy>
    <cacheHierarchy uniqueName="[Measures].[Sum of Oct-23]" caption="Sum of Oct-23" measure="1" displayFolder="" measureGroup="Table1" count="0" hidden="1">
      <extLst>
        <ext xmlns:x15="http://schemas.microsoft.com/office/spreadsheetml/2010/11/main" uri="{B97F6D7D-B522-45F9-BDA1-12C45D357490}">
          <x15:cacheHierarchy aggregatedColumn="36"/>
        </ext>
      </extLst>
    </cacheHierarchy>
    <cacheHierarchy uniqueName="[Measures].[Sum of Nov-23]" caption="Sum of Nov-23" measure="1" displayFolder="" measureGroup="Table1" count="0" hidden="1">
      <extLst>
        <ext xmlns:x15="http://schemas.microsoft.com/office/spreadsheetml/2010/11/main" uri="{B97F6D7D-B522-45F9-BDA1-12C45D357490}">
          <x15:cacheHierarchy aggregatedColumn="37"/>
        </ext>
      </extLst>
    </cacheHierarchy>
    <cacheHierarchy uniqueName="[Measures].[Sum of Dec-23]" caption="Sum of Dec-23" measure="1" displayFolder="" measureGroup="Table1" count="0" hidden="1">
      <extLst>
        <ext xmlns:x15="http://schemas.microsoft.com/office/spreadsheetml/2010/11/main" uri="{B97F6D7D-B522-45F9-BDA1-12C45D357490}">
          <x15:cacheHierarchy aggregatedColumn="38"/>
        </ext>
      </extLst>
    </cacheHierarchy>
    <cacheHierarchy uniqueName="[Measures].[Average of Feb-23]" caption="Average of Feb-23" measure="1" displayFolder="" measureGroup="Table1" count="0" hidden="1">
      <extLst>
        <ext xmlns:x15="http://schemas.microsoft.com/office/spreadsheetml/2010/11/main" uri="{B97F6D7D-B522-45F9-BDA1-12C45D357490}">
          <x15:cacheHierarchy aggregatedColumn="28"/>
        </ext>
      </extLst>
    </cacheHierarchy>
    <cacheHierarchy uniqueName="[Measures].[Average of Mar-23]" caption="Average of Mar-23" measure="1" displayFolder="" measureGroup="Table1" count="0" hidden="1">
      <extLst>
        <ext xmlns:x15="http://schemas.microsoft.com/office/spreadsheetml/2010/11/main" uri="{B97F6D7D-B522-45F9-BDA1-12C45D357490}">
          <x15:cacheHierarchy aggregatedColumn="29"/>
        </ext>
      </extLst>
    </cacheHierarchy>
    <cacheHierarchy uniqueName="[Measures].[Average of Apr-23]" caption="Average of Apr-23" measure="1" displayFolder="" measureGroup="Table1" count="0" hidden="1">
      <extLst>
        <ext xmlns:x15="http://schemas.microsoft.com/office/spreadsheetml/2010/11/main" uri="{B97F6D7D-B522-45F9-BDA1-12C45D357490}">
          <x15:cacheHierarchy aggregatedColumn="30"/>
        </ext>
      </extLst>
    </cacheHierarchy>
    <cacheHierarchy uniqueName="[Measures].[Average of May-23]" caption="Average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un-23]" caption="Average of Jun-23" measure="1" displayFolder="" measureGroup="Table1" count="0" hidden="1">
      <extLst>
        <ext xmlns:x15="http://schemas.microsoft.com/office/spreadsheetml/2010/11/main" uri="{B97F6D7D-B522-45F9-BDA1-12C45D357490}">
          <x15:cacheHierarchy aggregatedColumn="32"/>
        </ext>
      </extLst>
    </cacheHierarchy>
    <cacheHierarchy uniqueName="[Measures].[Average of Jul-23]" caption="Average of Jul-23" measure="1" displayFolder="" measureGroup="Table1" count="0" hidden="1">
      <extLst>
        <ext xmlns:x15="http://schemas.microsoft.com/office/spreadsheetml/2010/11/main" uri="{B97F6D7D-B522-45F9-BDA1-12C45D357490}">
          <x15:cacheHierarchy aggregatedColumn="33"/>
        </ext>
      </extLst>
    </cacheHierarchy>
    <cacheHierarchy uniqueName="[Measures].[Average of Aug-23]" caption="Average of Aug-23" measure="1" displayFolder="" measureGroup="Table1" count="0" hidden="1">
      <extLst>
        <ext xmlns:x15="http://schemas.microsoft.com/office/spreadsheetml/2010/11/main" uri="{B97F6D7D-B522-45F9-BDA1-12C45D357490}">
          <x15:cacheHierarchy aggregatedColumn="34"/>
        </ext>
      </extLst>
    </cacheHierarchy>
    <cacheHierarchy uniqueName="[Measures].[Average of Sep-23]" caption="Average of Sep-23" measure="1" displayFolder="" measureGroup="Table1" count="0" hidden="1">
      <extLst>
        <ext xmlns:x15="http://schemas.microsoft.com/office/spreadsheetml/2010/11/main" uri="{B97F6D7D-B522-45F9-BDA1-12C45D357490}">
          <x15:cacheHierarchy aggregatedColumn="35"/>
        </ext>
      </extLst>
    </cacheHierarchy>
    <cacheHierarchy uniqueName="[Measures].[Average of Oct-23]" caption="Average of Oct-23" measure="1" displayFolder="" measureGroup="Table1" count="0" hidden="1">
      <extLst>
        <ext xmlns:x15="http://schemas.microsoft.com/office/spreadsheetml/2010/11/main" uri="{B97F6D7D-B522-45F9-BDA1-12C45D357490}">
          <x15:cacheHierarchy aggregatedColumn="36"/>
        </ext>
      </extLst>
    </cacheHierarchy>
    <cacheHierarchy uniqueName="[Measures].[Average of Nov-23]" caption="Average of Nov-23" measure="1" displayFolder="" measureGroup="Table1" count="0" hidden="1">
      <extLst>
        <ext xmlns:x15="http://schemas.microsoft.com/office/spreadsheetml/2010/11/main" uri="{B97F6D7D-B522-45F9-BDA1-12C45D357490}">
          <x15:cacheHierarchy aggregatedColumn="37"/>
        </ext>
      </extLst>
    </cacheHierarchy>
    <cacheHierarchy uniqueName="[Measures].[Average of Dec-23]" caption="Average of Dec-23" measure="1" displayFolder="" measureGroup="Table1" count="0" hidden="1">
      <extLst>
        <ext xmlns:x15="http://schemas.microsoft.com/office/spreadsheetml/2010/11/main" uri="{B97F6D7D-B522-45F9-BDA1-12C45D357490}">
          <x15:cacheHierarchy aggregatedColumn="38"/>
        </ext>
      </extLst>
    </cacheHierarchy>
    <cacheHierarchy uniqueName="[Measures].[Sum of Jan-23 2]" caption="Sum of Jan-23 2"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23 2]" caption="Sum of Feb-23 2"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23 2]" caption="Sum of Mar-23 2"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23 2]" caption="Sum of Apr-23 2"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23 2]" caption="Sum of May-23 2" measure="1" displayFolder="" measureGroup="Range"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23 2]" caption="Sum of Jun-23 2" measure="1" displayFolder="" measureGroup="Range"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23 2]" caption="Sum of Jul-23 2" measure="1" displayFolder="" measureGroup="Range"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23 2]" caption="Sum of Aug-23 2" measure="1" displayFolder="" measureGroup="Range"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23 2]" caption="Sum of Sep-23 2" measure="1" displayFolder="" measureGroup="Range"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23 2]" caption="Sum of Oct-23 2" measure="1" displayFolder="" measureGroup="Range"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23 2]" caption="Sum of Nov-23 2" measure="1" displayFolder="" measureGroup="Range"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23 2]" caption="Sum of Dec-23 2" measure="1" displayFolder="" measureGroup="Range" count="0" oneField="1" hidden="1">
      <fieldsUsage count="1">
        <fieldUsage x="12"/>
      </fieldsUsage>
      <extLst>
        <ext xmlns:x15="http://schemas.microsoft.com/office/spreadsheetml/2010/11/main" uri="{B97F6D7D-B522-45F9-BDA1-12C45D357490}">
          <x15:cacheHierarchy aggregatedColumn="12"/>
        </ext>
      </extLst>
    </cacheHierarchy>
    <cacheHierarchy uniqueName="[Measures].[Average of Jan-23 2]" caption="Average of Jan-23 2" measure="1" displayFolder="" measureGroup="Range" count="0" hidden="1">
      <extLst>
        <ext xmlns:x15="http://schemas.microsoft.com/office/spreadsheetml/2010/11/main" uri="{B97F6D7D-B522-45F9-BDA1-12C45D357490}">
          <x15:cacheHierarchy aggregatedColumn="1"/>
        </ext>
      </extLst>
    </cacheHierarchy>
    <cacheHierarchy uniqueName="[Measures].[Sum of Jan-23 3]" caption="Sum of Jan-23 3" measure="1" displayFolder="" measureGroup="TableP0to5" count="0" hidden="1">
      <extLst>
        <ext xmlns:x15="http://schemas.microsoft.com/office/spreadsheetml/2010/11/main" uri="{B97F6D7D-B522-45F9-BDA1-12C45D357490}">
          <x15:cacheHierarchy aggregatedColumn="40"/>
        </ext>
      </extLst>
    </cacheHierarchy>
    <cacheHierarchy uniqueName="[Measures].[Sum of Feb-23 3]" caption="Sum of Feb-23 3" measure="1" displayFolder="" measureGroup="TableP0to5" count="0" hidden="1">
      <extLst>
        <ext xmlns:x15="http://schemas.microsoft.com/office/spreadsheetml/2010/11/main" uri="{B97F6D7D-B522-45F9-BDA1-12C45D357490}">
          <x15:cacheHierarchy aggregatedColumn="41"/>
        </ext>
      </extLst>
    </cacheHierarchy>
    <cacheHierarchy uniqueName="[Measures].[Sum of Mar-23 3]" caption="Sum of Mar-23 3" measure="1" displayFolder="" measureGroup="TableP0to5" count="0" hidden="1">
      <extLst>
        <ext xmlns:x15="http://schemas.microsoft.com/office/spreadsheetml/2010/11/main" uri="{B97F6D7D-B522-45F9-BDA1-12C45D357490}">
          <x15:cacheHierarchy aggregatedColumn="42"/>
        </ext>
      </extLst>
    </cacheHierarchy>
    <cacheHierarchy uniqueName="[Measures].[Sum of Apr-23 3]" caption="Sum of Apr-23 3" measure="1" displayFolder="" measureGroup="TableP0to5" count="0" hidden="1">
      <extLst>
        <ext xmlns:x15="http://schemas.microsoft.com/office/spreadsheetml/2010/11/main" uri="{B97F6D7D-B522-45F9-BDA1-12C45D357490}">
          <x15:cacheHierarchy aggregatedColumn="43"/>
        </ext>
      </extLst>
    </cacheHierarchy>
    <cacheHierarchy uniqueName="[Measures].[Sum of May-23 3]" caption="Sum of May-23 3" measure="1" displayFolder="" measureGroup="TableP0to5" count="0" hidden="1">
      <extLst>
        <ext xmlns:x15="http://schemas.microsoft.com/office/spreadsheetml/2010/11/main" uri="{B97F6D7D-B522-45F9-BDA1-12C45D357490}">
          <x15:cacheHierarchy aggregatedColumn="44"/>
        </ext>
      </extLst>
    </cacheHierarchy>
    <cacheHierarchy uniqueName="[Measures].[Sum of Jun-23 3]" caption="Sum of Jun-23 3" measure="1" displayFolder="" measureGroup="TableP0to5" count="0" hidden="1">
      <extLst>
        <ext xmlns:x15="http://schemas.microsoft.com/office/spreadsheetml/2010/11/main" uri="{B97F6D7D-B522-45F9-BDA1-12C45D357490}">
          <x15:cacheHierarchy aggregatedColumn="45"/>
        </ext>
      </extLst>
    </cacheHierarchy>
    <cacheHierarchy uniqueName="[Measures].[Sum of Jul-23 3]" caption="Sum of Jul-23 3" measure="1" displayFolder="" measureGroup="TableP0to5" count="0" hidden="1">
      <extLst>
        <ext xmlns:x15="http://schemas.microsoft.com/office/spreadsheetml/2010/11/main" uri="{B97F6D7D-B522-45F9-BDA1-12C45D357490}">
          <x15:cacheHierarchy aggregatedColumn="46"/>
        </ext>
      </extLst>
    </cacheHierarchy>
    <cacheHierarchy uniqueName="[Measures].[Sum of Aug-23 3]" caption="Sum of Aug-23 3" measure="1" displayFolder="" measureGroup="TableP0to5" count="0" hidden="1">
      <extLst>
        <ext xmlns:x15="http://schemas.microsoft.com/office/spreadsheetml/2010/11/main" uri="{B97F6D7D-B522-45F9-BDA1-12C45D357490}">
          <x15:cacheHierarchy aggregatedColumn="47"/>
        </ext>
      </extLst>
    </cacheHierarchy>
    <cacheHierarchy uniqueName="[Measures].[Sum of Sep-23 3]" caption="Sum of Sep-23 3" measure="1" displayFolder="" measureGroup="TableP0to5" count="0" hidden="1">
      <extLst>
        <ext xmlns:x15="http://schemas.microsoft.com/office/spreadsheetml/2010/11/main" uri="{B97F6D7D-B522-45F9-BDA1-12C45D357490}">
          <x15:cacheHierarchy aggregatedColumn="48"/>
        </ext>
      </extLst>
    </cacheHierarchy>
    <cacheHierarchy uniqueName="[Measures].[Sum of Oct-23 3]" caption="Sum of Oct-23 3" measure="1" displayFolder="" measureGroup="TableP0to5" count="0" hidden="1">
      <extLst>
        <ext xmlns:x15="http://schemas.microsoft.com/office/spreadsheetml/2010/11/main" uri="{B97F6D7D-B522-45F9-BDA1-12C45D357490}">
          <x15:cacheHierarchy aggregatedColumn="49"/>
        </ext>
      </extLst>
    </cacheHierarchy>
    <cacheHierarchy uniqueName="[Measures].[Sum of Nov-23 3]" caption="Sum of Nov-23 3" measure="1" displayFolder="" measureGroup="TableP0to5" count="0" hidden="1">
      <extLst>
        <ext xmlns:x15="http://schemas.microsoft.com/office/spreadsheetml/2010/11/main" uri="{B97F6D7D-B522-45F9-BDA1-12C45D357490}">
          <x15:cacheHierarchy aggregatedColumn="50"/>
        </ext>
      </extLst>
    </cacheHierarchy>
    <cacheHierarchy uniqueName="[Measures].[Sum of Dec-23 3]" caption="Sum of Dec-23 3" measure="1" displayFolder="" measureGroup="TableP0to5" count="0" hidden="1">
      <extLst>
        <ext xmlns:x15="http://schemas.microsoft.com/office/spreadsheetml/2010/11/main" uri="{B97F6D7D-B522-45F9-BDA1-12C45D357490}">
          <x15:cacheHierarchy aggregatedColumn="51"/>
        </ext>
      </extLst>
    </cacheHierarchy>
    <cacheHierarchy uniqueName="[Measures].[Average of Jan-23 3]" caption="Average of Jan-23 3" measure="1" displayFolder="" measureGroup="TableP0to5" count="0" hidden="1">
      <extLst>
        <ext xmlns:x15="http://schemas.microsoft.com/office/spreadsheetml/2010/11/main" uri="{B97F6D7D-B522-45F9-BDA1-12C45D357490}">
          <x15:cacheHierarchy aggregatedColumn="40"/>
        </ext>
      </extLst>
    </cacheHierarchy>
    <cacheHierarchy uniqueName="[Measures].[Average of Feb-23 2]" caption="Average of Feb-23 2" measure="1" displayFolder="" measureGroup="TableP0to5" count="0" hidden="1">
      <extLst>
        <ext xmlns:x15="http://schemas.microsoft.com/office/spreadsheetml/2010/11/main" uri="{B97F6D7D-B522-45F9-BDA1-12C45D357490}">
          <x15:cacheHierarchy aggregatedColumn="41"/>
        </ext>
      </extLst>
    </cacheHierarchy>
    <cacheHierarchy uniqueName="[Measures].[Average of Mar-23 2]" caption="Average of Mar-23 2" measure="1" displayFolder="" measureGroup="TableP0to5" count="0" hidden="1">
      <extLst>
        <ext xmlns:x15="http://schemas.microsoft.com/office/spreadsheetml/2010/11/main" uri="{B97F6D7D-B522-45F9-BDA1-12C45D357490}">
          <x15:cacheHierarchy aggregatedColumn="42"/>
        </ext>
      </extLst>
    </cacheHierarchy>
    <cacheHierarchy uniqueName="[Measures].[Average of Apr-23 2]" caption="Average of Apr-23 2" measure="1" displayFolder="" measureGroup="TableP0to5" count="0" hidden="1">
      <extLst>
        <ext xmlns:x15="http://schemas.microsoft.com/office/spreadsheetml/2010/11/main" uri="{B97F6D7D-B522-45F9-BDA1-12C45D357490}">
          <x15:cacheHierarchy aggregatedColumn="43"/>
        </ext>
      </extLst>
    </cacheHierarchy>
    <cacheHierarchy uniqueName="[Measures].[Average of May-23 2]" caption="Average of May-23 2" measure="1" displayFolder="" measureGroup="TableP0to5" count="0" hidden="1">
      <extLst>
        <ext xmlns:x15="http://schemas.microsoft.com/office/spreadsheetml/2010/11/main" uri="{B97F6D7D-B522-45F9-BDA1-12C45D357490}">
          <x15:cacheHierarchy aggregatedColumn="44"/>
        </ext>
      </extLst>
    </cacheHierarchy>
    <cacheHierarchy uniqueName="[Measures].[Average of Jun-23 2]" caption="Average of Jun-23 2" measure="1" displayFolder="" measureGroup="TableP0to5" count="0" hidden="1">
      <extLst>
        <ext xmlns:x15="http://schemas.microsoft.com/office/spreadsheetml/2010/11/main" uri="{B97F6D7D-B522-45F9-BDA1-12C45D357490}">
          <x15:cacheHierarchy aggregatedColumn="45"/>
        </ext>
      </extLst>
    </cacheHierarchy>
    <cacheHierarchy uniqueName="[Measures].[Average of Jul-23 2]" caption="Average of Jul-23 2" measure="1" displayFolder="" measureGroup="TableP0to5" count="0" hidden="1">
      <extLst>
        <ext xmlns:x15="http://schemas.microsoft.com/office/spreadsheetml/2010/11/main" uri="{B97F6D7D-B522-45F9-BDA1-12C45D357490}">
          <x15:cacheHierarchy aggregatedColumn="46"/>
        </ext>
      </extLst>
    </cacheHierarchy>
    <cacheHierarchy uniqueName="[Measures].[Average of Aug-23 2]" caption="Average of Aug-23 2" measure="1" displayFolder="" measureGroup="TableP0to5" count="0" hidden="1">
      <extLst>
        <ext xmlns:x15="http://schemas.microsoft.com/office/spreadsheetml/2010/11/main" uri="{B97F6D7D-B522-45F9-BDA1-12C45D357490}">
          <x15:cacheHierarchy aggregatedColumn="47"/>
        </ext>
      </extLst>
    </cacheHierarchy>
    <cacheHierarchy uniqueName="[Measures].[Average of Sep-23 2]" caption="Average of Sep-23 2" measure="1" displayFolder="" measureGroup="TableP0to5" count="0" hidden="1">
      <extLst>
        <ext xmlns:x15="http://schemas.microsoft.com/office/spreadsheetml/2010/11/main" uri="{B97F6D7D-B522-45F9-BDA1-12C45D357490}">
          <x15:cacheHierarchy aggregatedColumn="48"/>
        </ext>
      </extLst>
    </cacheHierarchy>
    <cacheHierarchy uniqueName="[Measures].[Average of Oct-23 2]" caption="Average of Oct-23 2" measure="1" displayFolder="" measureGroup="TableP0to5" count="0" hidden="1">
      <extLst>
        <ext xmlns:x15="http://schemas.microsoft.com/office/spreadsheetml/2010/11/main" uri="{B97F6D7D-B522-45F9-BDA1-12C45D357490}">
          <x15:cacheHierarchy aggregatedColumn="49"/>
        </ext>
      </extLst>
    </cacheHierarchy>
    <cacheHierarchy uniqueName="[Measures].[Average of Nov-23 2]" caption="Average of Nov-23 2" measure="1" displayFolder="" measureGroup="TableP0to5" count="0" hidden="1">
      <extLst>
        <ext xmlns:x15="http://schemas.microsoft.com/office/spreadsheetml/2010/11/main" uri="{B97F6D7D-B522-45F9-BDA1-12C45D357490}">
          <x15:cacheHierarchy aggregatedColumn="50"/>
        </ext>
      </extLst>
    </cacheHierarchy>
    <cacheHierarchy uniqueName="[Measures].[Max of Dec-23]" caption="Max of Dec-23" measure="1" displayFolder="" measureGroup="TableP0to5" count="0" hidden="1">
      <extLst>
        <ext xmlns:x15="http://schemas.microsoft.com/office/spreadsheetml/2010/11/main" uri="{B97F6D7D-B522-45F9-BDA1-12C45D357490}">
          <x15:cacheHierarchy aggregatedColumn="51"/>
        </ext>
      </extLst>
    </cacheHierarchy>
    <cacheHierarchy uniqueName="[Measures].[Average of Dec-23 2]" caption="Average of Dec-23 2" measure="1" displayFolder="" measureGroup="TableP0to5" count="0" hidden="1">
      <extLst>
        <ext xmlns:x15="http://schemas.microsoft.com/office/spreadsheetml/2010/11/main" uri="{B97F6D7D-B522-45F9-BDA1-12C45D357490}">
          <x15:cacheHierarchy aggregatedColumn="51"/>
        </ext>
      </extLst>
    </cacheHierarchy>
    <cacheHierarchy uniqueName="[Measures].[Sum of Jan-23 4]" caption="Sum of Jan-23 4" measure="1" displayFolder="" measureGroup="Range 1" count="0" hidden="1">
      <extLst>
        <ext xmlns:x15="http://schemas.microsoft.com/office/spreadsheetml/2010/11/main" uri="{B97F6D7D-B522-45F9-BDA1-12C45D357490}">
          <x15:cacheHierarchy aggregatedColumn="14"/>
        </ext>
      </extLst>
    </cacheHierarchy>
    <cacheHierarchy uniqueName="[Measures].[Sum of Feb-23 4]" caption="Sum of Feb-23 4" measure="1" displayFolder="" measureGroup="Range 1" count="0" hidden="1">
      <extLst>
        <ext xmlns:x15="http://schemas.microsoft.com/office/spreadsheetml/2010/11/main" uri="{B97F6D7D-B522-45F9-BDA1-12C45D357490}">
          <x15:cacheHierarchy aggregatedColumn="15"/>
        </ext>
      </extLst>
    </cacheHierarchy>
    <cacheHierarchy uniqueName="[Measures].[Sum of Mar-23 4]" caption="Sum of Mar-23 4" measure="1" displayFolder="" measureGroup="Range 1" count="0" hidden="1">
      <extLst>
        <ext xmlns:x15="http://schemas.microsoft.com/office/spreadsheetml/2010/11/main" uri="{B97F6D7D-B522-45F9-BDA1-12C45D357490}">
          <x15:cacheHierarchy aggregatedColumn="16"/>
        </ext>
      </extLst>
    </cacheHierarchy>
    <cacheHierarchy uniqueName="[Measures].[Sum of Apr-23 4]" caption="Sum of Apr-23 4" measure="1" displayFolder="" measureGroup="Range 1" count="0" hidden="1">
      <extLst>
        <ext xmlns:x15="http://schemas.microsoft.com/office/spreadsheetml/2010/11/main" uri="{B97F6D7D-B522-45F9-BDA1-12C45D357490}">
          <x15:cacheHierarchy aggregatedColumn="17"/>
        </ext>
      </extLst>
    </cacheHierarchy>
    <cacheHierarchy uniqueName="[Measures].[Sum of May-23 4]" caption="Sum of May-23 4" measure="1" displayFolder="" measureGroup="Range 1" count="0" hidden="1">
      <extLst>
        <ext xmlns:x15="http://schemas.microsoft.com/office/spreadsheetml/2010/11/main" uri="{B97F6D7D-B522-45F9-BDA1-12C45D357490}">
          <x15:cacheHierarchy aggregatedColumn="18"/>
        </ext>
      </extLst>
    </cacheHierarchy>
    <cacheHierarchy uniqueName="[Measures].[Sum of Jun-23 4]" caption="Sum of Jun-23 4" measure="1" displayFolder="" measureGroup="Range 1" count="0" hidden="1">
      <extLst>
        <ext xmlns:x15="http://schemas.microsoft.com/office/spreadsheetml/2010/11/main" uri="{B97F6D7D-B522-45F9-BDA1-12C45D357490}">
          <x15:cacheHierarchy aggregatedColumn="19"/>
        </ext>
      </extLst>
    </cacheHierarchy>
    <cacheHierarchy uniqueName="[Measures].[Sum of Jul-23 4]" caption="Sum of Jul-23 4" measure="1" displayFolder="" measureGroup="Range 1" count="0" hidden="1">
      <extLst>
        <ext xmlns:x15="http://schemas.microsoft.com/office/spreadsheetml/2010/11/main" uri="{B97F6D7D-B522-45F9-BDA1-12C45D357490}">
          <x15:cacheHierarchy aggregatedColumn="20"/>
        </ext>
      </extLst>
    </cacheHierarchy>
    <cacheHierarchy uniqueName="[Measures].[Sum of Aug-23 4]" caption="Sum of Aug-23 4" measure="1" displayFolder="" measureGroup="Range 1" count="0" hidden="1">
      <extLst>
        <ext xmlns:x15="http://schemas.microsoft.com/office/spreadsheetml/2010/11/main" uri="{B97F6D7D-B522-45F9-BDA1-12C45D357490}">
          <x15:cacheHierarchy aggregatedColumn="21"/>
        </ext>
      </extLst>
    </cacheHierarchy>
    <cacheHierarchy uniqueName="[Measures].[Sum of Sep-23 4]" caption="Sum of Sep-23 4" measure="1" displayFolder="" measureGroup="Range 1" count="0" hidden="1">
      <extLst>
        <ext xmlns:x15="http://schemas.microsoft.com/office/spreadsheetml/2010/11/main" uri="{B97F6D7D-B522-45F9-BDA1-12C45D357490}">
          <x15:cacheHierarchy aggregatedColumn="22"/>
        </ext>
      </extLst>
    </cacheHierarchy>
    <cacheHierarchy uniqueName="[Measures].[Sum of Oct-23 4]" caption="Sum of Oct-23 4" measure="1" displayFolder="" measureGroup="Range 1" count="0" hidden="1">
      <extLst>
        <ext xmlns:x15="http://schemas.microsoft.com/office/spreadsheetml/2010/11/main" uri="{B97F6D7D-B522-45F9-BDA1-12C45D357490}">
          <x15:cacheHierarchy aggregatedColumn="23"/>
        </ext>
      </extLst>
    </cacheHierarchy>
    <cacheHierarchy uniqueName="[Measures].[Sum of Nov-23 4]" caption="Sum of Nov-23 4" measure="1" displayFolder="" measureGroup="Range 1" count="0" hidden="1">
      <extLst>
        <ext xmlns:x15="http://schemas.microsoft.com/office/spreadsheetml/2010/11/main" uri="{B97F6D7D-B522-45F9-BDA1-12C45D357490}">
          <x15:cacheHierarchy aggregatedColumn="24"/>
        </ext>
      </extLst>
    </cacheHierarchy>
    <cacheHierarchy uniqueName="[Measures].[Sum of Dec-23 4]" caption="Sum of Dec-23 4"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Table1" uniqueName="[Table1]" caption="Table1"/>
    <dimension name="TableP0to5" uniqueName="[TableP0to5]" caption="TableP0to5"/>
  </dimensions>
  <measureGroups count="4">
    <measureGroup name="Range" caption="Range"/>
    <measureGroup name="Range 1" caption="Range 1"/>
    <measureGroup name="Table1" caption="Table1"/>
    <measureGroup name="TableP0to5" caption="TableP0to5"/>
  </measureGroups>
  <maps count="8">
    <map measureGroup="0" dimension="1"/>
    <map measureGroup="1" dimension="1"/>
    <map measureGroup="1" dimension="2"/>
    <map measureGroup="2"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432.53577800926" backgroundQuery="1" createdVersion="8" refreshedVersion="8" minRefreshableVersion="3" recordCount="0" supportSubquery="1" supportAdvancedDrill="1" xr:uid="{7A42B84C-326F-47BD-AB2A-97D02A755D7F}">
  <cacheSource type="external" connectionId="2"/>
  <cacheFields count="14">
    <cacheField name="[Table1].[Admin 1].[Admin 1]" caption="Admin 1" numFmtId="0" hierarchy="26" level="1">
      <sharedItems count="34">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sharedItems>
    </cacheField>
    <cacheField name="[Measures].[Average of Jan-23]" caption="Average of Jan-23" numFmtId="0" hierarchy="62" level="32767"/>
    <cacheField name="[Measures].[Average of Feb-23]" caption="Average of Feb-23" numFmtId="0" hierarchy="70" level="32767"/>
    <cacheField name="[Measures].[Average of Mar-23]" caption="Average of Mar-23" numFmtId="0" hierarchy="71" level="32767"/>
    <cacheField name="[Measures].[Average of Apr-23]" caption="Average of Apr-23" numFmtId="0" hierarchy="72" level="32767"/>
    <cacheField name="[Measures].[Average of May-23]" caption="Average of May-23" numFmtId="0" hierarchy="73" level="32767"/>
    <cacheField name="[Measures].[Average of Jun-23]" caption="Average of Jun-23" numFmtId="0" hierarchy="74" level="32767"/>
    <cacheField name="[Measures].[Average of Jul-23]" caption="Average of Jul-23" numFmtId="0" hierarchy="75" level="32767"/>
    <cacheField name="[Measures].[Average of Aug-23]" caption="Average of Aug-23" numFmtId="0" hierarchy="76" level="32767"/>
    <cacheField name="[Measures].[Average of Sep-23]" caption="Average of Sep-23" numFmtId="0" hierarchy="77" level="32767"/>
    <cacheField name="[Measures].[Average of Oct-23]" caption="Average of Oct-23" numFmtId="0" hierarchy="78" level="32767"/>
    <cacheField name="[Measures].[Average of Nov-23]" caption="Average of Nov-23" numFmtId="0" hierarchy="79" level="32767"/>
    <cacheField name="[Measures].[Average of Dec-23]" caption="Average of Dec-23" numFmtId="0" hierarchy="80" level="32767"/>
    <cacheField name="[Range].[Admin 1].[Admin 1]" caption="Admin 1" numFmtId="0" level="1">
      <sharedItems containsSemiMixedTypes="0" containsNonDate="0" containsString="0"/>
    </cacheField>
  </cacheFields>
  <cacheHierarchies count="131">
    <cacheHierarchy uniqueName="[Range].[Admin 1]" caption="Admin 1" attribute="1" defaultMemberUniqueName="[Range].[Admin 1].[All]" allUniqueName="[Range].[Admin 1].[All]" dimensionUniqueName="[Range]" displayFolder="" count="2" memberValueDatatype="130" unbalanced="0">
      <fieldsUsage count="2">
        <fieldUsage x="-1"/>
        <fieldUsage x="13"/>
      </fieldsUsage>
    </cacheHierarchy>
    <cacheHierarchy uniqueName="[Range].[Jan-23]" caption="Jan-23" attribute="1" defaultMemberUniqueName="[Range].[Jan-23].[All]" allUniqueName="[Range].[Jan-23].[All]" dimensionUniqueName="[Range]" displayFolder="" count="0" memberValueDatatype="5" unbalanced="0"/>
    <cacheHierarchy uniqueName="[Range].[Feb-23]" caption="Feb-23" attribute="1" defaultMemberUniqueName="[Range].[Feb-23].[All]" allUniqueName="[Range].[Feb-23].[All]" dimensionUniqueName="[Range]" displayFolder="" count="0" memberValueDatatype="5" unbalanced="0"/>
    <cacheHierarchy uniqueName="[Range].[Mar-23]" caption="Mar-23" attribute="1" defaultMemberUniqueName="[Range].[Mar-23].[All]" allUniqueName="[Range].[Mar-23].[All]" dimensionUniqueName="[Range]" displayFolder="" count="0" memberValueDatatype="5" unbalanced="0"/>
    <cacheHierarchy uniqueName="[Range].[Apr-23]" caption="Apr-23" attribute="1" defaultMemberUniqueName="[Range].[Apr-23].[All]" allUniqueName="[Range].[Apr-23].[All]" dimensionUniqueName="[Range]" displayFolder="" count="0" memberValueDatatype="5" unbalanced="0"/>
    <cacheHierarchy uniqueName="[Range].[May-23]" caption="May-23" attribute="1" defaultMemberUniqueName="[Range].[May-23].[All]" allUniqueName="[Range].[May-23].[All]" dimensionUniqueName="[Range]" displayFolder="" count="0" memberValueDatatype="5" unbalanced="0"/>
    <cacheHierarchy uniqueName="[Range].[Jun-23]" caption="Jun-23" attribute="1" defaultMemberUniqueName="[Range].[Jun-23].[All]" allUniqueName="[Range].[Jun-23].[All]" dimensionUniqueName="[Range]" displayFolder="" count="0" memberValueDatatype="5" unbalanced="0"/>
    <cacheHierarchy uniqueName="[Range].[Jul-23]" caption="Jul-23" attribute="1" defaultMemberUniqueName="[Range].[Jul-23].[All]" allUniqueName="[Range].[Jul-23].[All]" dimensionUniqueName="[Range]" displayFolder="" count="0" memberValueDatatype="5" unbalanced="0"/>
    <cacheHierarchy uniqueName="[Range].[Aug-23]" caption="Aug-23" attribute="1" defaultMemberUniqueName="[Range].[Aug-23].[All]" allUniqueName="[Range].[Aug-23].[All]" dimensionUniqueName="[Range]" displayFolder="" count="0" memberValueDatatype="5" unbalanced="0"/>
    <cacheHierarchy uniqueName="[Range].[Sep-23]" caption="Sep-23" attribute="1" defaultMemberUniqueName="[Range].[Sep-23].[All]" allUniqueName="[Range].[Sep-23].[All]" dimensionUniqueName="[Range]" displayFolder="" count="0" memberValueDatatype="5" unbalanced="0"/>
    <cacheHierarchy uniqueName="[Range].[Oct-23]" caption="Oct-23" attribute="1" defaultMemberUniqueName="[Range].[Oct-23].[All]" allUniqueName="[Range].[Oct-23].[All]" dimensionUniqueName="[Range]" displayFolder="" count="0" memberValueDatatype="5" unbalanced="0"/>
    <cacheHierarchy uniqueName="[Range].[Nov-23]" caption="Nov-23" attribute="1" defaultMemberUniqueName="[Range].[Nov-23].[All]" allUniqueName="[Range].[Nov-23].[All]" dimensionUniqueName="[Range]" displayFolder="" count="0" memberValueDatatype="5" unbalanced="0"/>
    <cacheHierarchy uniqueName="[Range].[Dec-23]" caption="Dec-23" attribute="1" defaultMemberUniqueName="[Range].[Dec-23].[All]" allUniqueName="[Range].[Dec-23].[All]" dimensionUniqueName="[Range]" displayFolder="" count="0" memberValueDatatype="5" unbalanced="0"/>
    <cacheHierarchy uniqueName="[Range 1].[Admin 1]" caption="Admin 1" attribute="1" defaultMemberUniqueName="[Range 1].[Admin 1].[All]" allUniqueName="[Range 1].[Admin 1].[All]" dimensionUniqueName="[Range 1]" displayFolder="" count="0" memberValueDatatype="130" unbalanced="0"/>
    <cacheHierarchy uniqueName="[Range 1].[Jan-23]" caption="Jan-23" attribute="1" defaultMemberUniqueName="[Range 1].[Jan-23].[All]" allUniqueName="[Range 1].[Jan-23].[All]" dimensionUniqueName="[Range 1]" displayFolder="" count="0" memberValueDatatype="5" unbalanced="0"/>
    <cacheHierarchy uniqueName="[Range 1].[Feb-23]" caption="Feb-23" attribute="1" defaultMemberUniqueName="[Range 1].[Feb-23].[All]" allUniqueName="[Range 1].[Feb-23].[All]" dimensionUniqueName="[Range 1]" displayFolder="" count="0" memberValueDatatype="5" unbalanced="0"/>
    <cacheHierarchy uniqueName="[Range 1].[Mar-23]" caption="Mar-23" attribute="1" defaultMemberUniqueName="[Range 1].[Mar-23].[All]" allUniqueName="[Range 1].[Mar-23].[All]" dimensionUniqueName="[Range 1]" displayFolder="" count="0" memberValueDatatype="5" unbalanced="0"/>
    <cacheHierarchy uniqueName="[Range 1].[Apr-23]" caption="Apr-23" attribute="1" defaultMemberUniqueName="[Range 1].[Apr-23].[All]" allUniqueName="[Range 1].[Apr-23].[All]" dimensionUniqueName="[Range 1]" displayFolder="" count="0" memberValueDatatype="5" unbalanced="0"/>
    <cacheHierarchy uniqueName="[Range 1].[May-23]" caption="May-23" attribute="1" defaultMemberUniqueName="[Range 1].[May-23].[All]" allUniqueName="[Range 1].[May-23].[All]" dimensionUniqueName="[Range 1]" displayFolder="" count="0" memberValueDatatype="5" unbalanced="0"/>
    <cacheHierarchy uniqueName="[Range 1].[Jun-23]" caption="Jun-23" attribute="1" defaultMemberUniqueName="[Range 1].[Jun-23].[All]" allUniqueName="[Range 1].[Jun-23].[All]" dimensionUniqueName="[Range 1]" displayFolder="" count="0" memberValueDatatype="5" unbalanced="0"/>
    <cacheHierarchy uniqueName="[Range 1].[Jul-23]" caption="Jul-23" attribute="1" defaultMemberUniqueName="[Range 1].[Jul-23].[All]" allUniqueName="[Range 1].[Jul-23].[All]" dimensionUniqueName="[Range 1]" displayFolder="" count="0" memberValueDatatype="5" unbalanced="0"/>
    <cacheHierarchy uniqueName="[Range 1].[Aug-23]" caption="Aug-23" attribute="1" defaultMemberUniqueName="[Range 1].[Aug-23].[All]" allUniqueName="[Range 1].[Aug-23].[All]" dimensionUniqueName="[Range 1]" displayFolder="" count="0" memberValueDatatype="5" unbalanced="0"/>
    <cacheHierarchy uniqueName="[Range 1].[Sep-23]" caption="Sep-23" attribute="1" defaultMemberUniqueName="[Range 1].[Sep-23].[All]" allUniqueName="[Range 1].[Sep-23].[All]" dimensionUniqueName="[Range 1]" displayFolder="" count="0" memberValueDatatype="5" unbalanced="0"/>
    <cacheHierarchy uniqueName="[Range 1].[Oct-23]" caption="Oct-23" attribute="1" defaultMemberUniqueName="[Range 1].[Oct-23].[All]" allUniqueName="[Range 1].[Oct-23].[All]" dimensionUniqueName="[Range 1]" displayFolder="" count="0" memberValueDatatype="5" unbalanced="0"/>
    <cacheHierarchy uniqueName="[Range 1].[Nov-23]" caption="Nov-23" attribute="1" defaultMemberUniqueName="[Range 1].[Nov-23].[All]" allUniqueName="[Range 1].[Nov-23].[All]" dimensionUniqueName="[Range 1]" displayFolder="" count="0" memberValueDatatype="5" unbalanced="0"/>
    <cacheHierarchy uniqueName="[Range 1].[Dec-23]" caption="Dec-23" attribute="1" defaultMemberUniqueName="[Range 1].[Dec-23].[All]" allUniqueName="[Range 1].[Dec-23].[All]" dimensionUniqueName="[Range 1]" displayFolder="" count="0" memberValueDatatype="5" unbalanced="0"/>
    <cacheHierarchy uniqueName="[Table1].[Admin 1]" caption="Admin 1" attribute="1" defaultMemberUniqueName="[Table1].[Admin 1].[All]" allUniqueName="[Table1].[Admin 1].[All]" dimensionUniqueName="[Table1]" displayFolder="" count="2" memberValueDatatype="130" unbalanced="0">
      <fieldsUsage count="2">
        <fieldUsage x="-1"/>
        <fieldUsage x="0"/>
      </fieldsUsage>
    </cacheHierarchy>
    <cacheHierarchy uniqueName="[Table1].[Jan-23]" caption="Jan-23" attribute="1" defaultMemberUniqueName="[Table1].[Jan-23].[All]" allUniqueName="[Table1].[Jan-23].[All]" dimensionUniqueName="[Table1]" displayFolder="" count="0" memberValueDatatype="5" unbalanced="0"/>
    <cacheHierarchy uniqueName="[Table1].[Feb-23]" caption="Feb-23" attribute="1" defaultMemberUniqueName="[Table1].[Feb-23].[All]" allUniqueName="[Table1].[Feb-23].[All]" dimensionUniqueName="[Table1]" displayFolder="" count="0" memberValueDatatype="5" unbalanced="0"/>
    <cacheHierarchy uniqueName="[Table1].[Mar-23]" caption="Mar-23" attribute="1" defaultMemberUniqueName="[Table1].[Mar-23].[All]" allUniqueName="[Table1].[Mar-23].[All]" dimensionUniqueName="[Table1]" displayFolder="" count="0" memberValueDatatype="5" unbalanced="0"/>
    <cacheHierarchy uniqueName="[Table1].[Apr-23]" caption="Apr-23" attribute="1" defaultMemberUniqueName="[Table1].[Apr-23].[All]" allUniqueName="[Table1].[Apr-23].[All]" dimensionUniqueName="[Table1]" displayFolder="" count="0" memberValueDatatype="5" unbalanced="0"/>
    <cacheHierarchy uniqueName="[Table1].[May-23]" caption="May-23" attribute="1" defaultMemberUniqueName="[Table1].[May-23].[All]" allUniqueName="[Table1].[May-23].[All]" dimensionUniqueName="[Table1]" displayFolder="" count="0" memberValueDatatype="5" unbalanced="0"/>
    <cacheHierarchy uniqueName="[Table1].[Jun-23]" caption="Jun-23" attribute="1" defaultMemberUniqueName="[Table1].[Jun-23].[All]" allUniqueName="[Table1].[Jun-23].[All]" dimensionUniqueName="[Table1]" displayFolder="" count="0" memberValueDatatype="5" unbalanced="0"/>
    <cacheHierarchy uniqueName="[Table1].[Jul-23]" caption="Jul-23" attribute="1" defaultMemberUniqueName="[Table1].[Jul-23].[All]" allUniqueName="[Table1].[Jul-23].[All]" dimensionUniqueName="[Table1]" displayFolder="" count="0" memberValueDatatype="5" unbalanced="0"/>
    <cacheHierarchy uniqueName="[Table1].[Aug-23]" caption="Aug-23" attribute="1" defaultMemberUniqueName="[Table1].[Aug-23].[All]" allUniqueName="[Table1].[Aug-23].[All]" dimensionUniqueName="[Table1]" displayFolder="" count="0" memberValueDatatype="5" unbalanced="0"/>
    <cacheHierarchy uniqueName="[Table1].[Sep-23]" caption="Sep-23" attribute="1" defaultMemberUniqueName="[Table1].[Sep-23].[All]" allUniqueName="[Table1].[Sep-23].[All]" dimensionUniqueName="[Table1]" displayFolder="" count="0" memberValueDatatype="5" unbalanced="0"/>
    <cacheHierarchy uniqueName="[Table1].[Oct-23]" caption="Oct-23" attribute="1" defaultMemberUniqueName="[Table1].[Oct-23].[All]" allUniqueName="[Table1].[Oct-23].[All]" dimensionUniqueName="[Table1]" displayFolder="" count="0" memberValueDatatype="5" unbalanced="0"/>
    <cacheHierarchy uniqueName="[Table1].[Nov-23]" caption="Nov-23" attribute="1" defaultMemberUniqueName="[Table1].[Nov-23].[All]" allUniqueName="[Table1].[Nov-23].[All]" dimensionUniqueName="[Table1]" displayFolder="" count="0" memberValueDatatype="5" unbalanced="0"/>
    <cacheHierarchy uniqueName="[Table1].[Dec-23]" caption="Dec-23" attribute="1" defaultMemberUniqueName="[Table1].[Dec-23].[All]" allUniqueName="[Table1].[Dec-23].[All]" dimensionUniqueName="[Table1]" displayFolder="" count="0" memberValueDatatype="5" unbalanced="0"/>
    <cacheHierarchy uniqueName="[TableP0to5].[Admin 1]" caption="Admin 1" attribute="1" defaultMemberUniqueName="[TableP0to5].[Admin 1].[All]" allUniqueName="[TableP0to5].[Admin 1].[All]" dimensionUniqueName="[TableP0to5]" displayFolder="" count="0" memberValueDatatype="130" unbalanced="0"/>
    <cacheHierarchy uniqueName="[TableP0to5].[Jan-23]" caption="Jan-23" attribute="1" defaultMemberUniqueName="[TableP0to5].[Jan-23].[All]" allUniqueName="[TableP0to5].[Jan-23].[All]" dimensionUniqueName="[TableP0to5]" displayFolder="" count="0" memberValueDatatype="5" unbalanced="0"/>
    <cacheHierarchy uniqueName="[TableP0to5].[Feb-23]" caption="Feb-23" attribute="1" defaultMemberUniqueName="[TableP0to5].[Feb-23].[All]" allUniqueName="[TableP0to5].[Feb-23].[All]" dimensionUniqueName="[TableP0to5]" displayFolder="" count="0" memberValueDatatype="5" unbalanced="0"/>
    <cacheHierarchy uniqueName="[TableP0to5].[Mar-23]" caption="Mar-23" attribute="1" defaultMemberUniqueName="[TableP0to5].[Mar-23].[All]" allUniqueName="[TableP0to5].[Mar-23].[All]" dimensionUniqueName="[TableP0to5]" displayFolder="" count="0" memberValueDatatype="5" unbalanced="0"/>
    <cacheHierarchy uniqueName="[TableP0to5].[Apr-23]" caption="Apr-23" attribute="1" defaultMemberUniqueName="[TableP0to5].[Apr-23].[All]" allUniqueName="[TableP0to5].[Apr-23].[All]" dimensionUniqueName="[TableP0to5]" displayFolder="" count="0" memberValueDatatype="5" unbalanced="0"/>
    <cacheHierarchy uniqueName="[TableP0to5].[May-23]" caption="May-23" attribute="1" defaultMemberUniqueName="[TableP0to5].[May-23].[All]" allUniqueName="[TableP0to5].[May-23].[All]" dimensionUniqueName="[TableP0to5]" displayFolder="" count="0" memberValueDatatype="5" unbalanced="0"/>
    <cacheHierarchy uniqueName="[TableP0to5].[Jun-23]" caption="Jun-23" attribute="1" defaultMemberUniqueName="[TableP0to5].[Jun-23].[All]" allUniqueName="[TableP0to5].[Jun-23].[All]" dimensionUniqueName="[TableP0to5]" displayFolder="" count="0" memberValueDatatype="5" unbalanced="0"/>
    <cacheHierarchy uniqueName="[TableP0to5].[Jul-23]" caption="Jul-23" attribute="1" defaultMemberUniqueName="[TableP0to5].[Jul-23].[All]" allUniqueName="[TableP0to5].[Jul-23].[All]" dimensionUniqueName="[TableP0to5]" displayFolder="" count="0" memberValueDatatype="5" unbalanced="0"/>
    <cacheHierarchy uniqueName="[TableP0to5].[Aug-23]" caption="Aug-23" attribute="1" defaultMemberUniqueName="[TableP0to5].[Aug-23].[All]" allUniqueName="[TableP0to5].[Aug-23].[All]" dimensionUniqueName="[TableP0to5]" displayFolder="" count="0" memberValueDatatype="5" unbalanced="0"/>
    <cacheHierarchy uniqueName="[TableP0to5].[Sep-23]" caption="Sep-23" attribute="1" defaultMemberUniqueName="[TableP0to5].[Sep-23].[All]" allUniqueName="[TableP0to5].[Sep-23].[All]" dimensionUniqueName="[TableP0to5]" displayFolder="" count="0" memberValueDatatype="5" unbalanced="0"/>
    <cacheHierarchy uniqueName="[TableP0to5].[Oct-23]" caption="Oct-23" attribute="1" defaultMemberUniqueName="[TableP0to5].[Oct-23].[All]" allUniqueName="[TableP0to5].[Oct-23].[All]" dimensionUniqueName="[TableP0to5]" displayFolder="" count="0" memberValueDatatype="5" unbalanced="0"/>
    <cacheHierarchy uniqueName="[TableP0to5].[Nov-23]" caption="Nov-23" attribute="1" defaultMemberUniqueName="[TableP0to5].[Nov-23].[All]" allUniqueName="[TableP0to5].[Nov-23].[All]" dimensionUniqueName="[TableP0to5]" displayFolder="" count="0" memberValueDatatype="5" unbalanced="0"/>
    <cacheHierarchy uniqueName="[TableP0to5].[Dec-23]" caption="Dec-23" attribute="1" defaultMemberUniqueName="[TableP0to5].[Dec-23].[All]" allUniqueName="[TableP0to5].[Dec-23].[All]" dimensionUniqueName="[TableP0to5]"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TableP0to5]" caption="__XL_Count TableP0to5" measure="1" displayFolder="" measureGroup="TableP0to5"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Jan-23]" caption="Sum of Jan-23" measure="1" displayFolder="" measureGroup="Table1" count="0" hidden="1">
      <extLst>
        <ext xmlns:x15="http://schemas.microsoft.com/office/spreadsheetml/2010/11/main" uri="{B97F6D7D-B522-45F9-BDA1-12C45D357490}">
          <x15:cacheHierarchy aggregatedColumn="27"/>
        </ext>
      </extLst>
    </cacheHierarchy>
    <cacheHierarchy uniqueName="[Measures].[Sum of Feb-23]" caption="Sum of Feb-23" measure="1" displayFolder="" measureGroup="Table1" count="0" hidden="1">
      <extLst>
        <ext xmlns:x15="http://schemas.microsoft.com/office/spreadsheetml/2010/11/main" uri="{B97F6D7D-B522-45F9-BDA1-12C45D357490}">
          <x15:cacheHierarchy aggregatedColumn="28"/>
        </ext>
      </extLst>
    </cacheHierarchy>
    <cacheHierarchy uniqueName="[Measures].[Sum of Mar-23]" caption="Sum of Mar-23" measure="1" displayFolder="" measureGroup="Table1" count="0" hidden="1">
      <extLst>
        <ext xmlns:x15="http://schemas.microsoft.com/office/spreadsheetml/2010/11/main" uri="{B97F6D7D-B522-45F9-BDA1-12C45D357490}">
          <x15:cacheHierarchy aggregatedColumn="29"/>
        </ext>
      </extLst>
    </cacheHierarchy>
    <cacheHierarchy uniqueName="[Measures].[Sum of Apr-23]" caption="Sum of Apr-23" measure="1" displayFolder="" measureGroup="Table1" count="0" hidden="1">
      <extLst>
        <ext xmlns:x15="http://schemas.microsoft.com/office/spreadsheetml/2010/11/main" uri="{B97F6D7D-B522-45F9-BDA1-12C45D357490}">
          <x15:cacheHierarchy aggregatedColumn="30"/>
        </ext>
      </extLst>
    </cacheHierarchy>
    <cacheHierarchy uniqueName="[Measures].[Sum of May-23]" caption="Sum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an-23]" caption="Average of Jan-23" measure="1" displayFolder="" measureGroup="Table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Jun-23]" caption="Sum of Jun-23" measure="1" displayFolder="" measureGroup="Table1" count="0" hidden="1">
      <extLst>
        <ext xmlns:x15="http://schemas.microsoft.com/office/spreadsheetml/2010/11/main" uri="{B97F6D7D-B522-45F9-BDA1-12C45D357490}">
          <x15:cacheHierarchy aggregatedColumn="32"/>
        </ext>
      </extLst>
    </cacheHierarchy>
    <cacheHierarchy uniqueName="[Measures].[Sum of Jul-23]" caption="Sum of Jul-23" measure="1" displayFolder="" measureGroup="Table1" count="0" hidden="1">
      <extLst>
        <ext xmlns:x15="http://schemas.microsoft.com/office/spreadsheetml/2010/11/main" uri="{B97F6D7D-B522-45F9-BDA1-12C45D357490}">
          <x15:cacheHierarchy aggregatedColumn="33"/>
        </ext>
      </extLst>
    </cacheHierarchy>
    <cacheHierarchy uniqueName="[Measures].[Sum of Aug-23]" caption="Sum of Aug-23" measure="1" displayFolder="" measureGroup="Table1" count="0" hidden="1">
      <extLst>
        <ext xmlns:x15="http://schemas.microsoft.com/office/spreadsheetml/2010/11/main" uri="{B97F6D7D-B522-45F9-BDA1-12C45D357490}">
          <x15:cacheHierarchy aggregatedColumn="34"/>
        </ext>
      </extLst>
    </cacheHierarchy>
    <cacheHierarchy uniqueName="[Measures].[Sum of Sep-23]" caption="Sum of Sep-23" measure="1" displayFolder="" measureGroup="Table1" count="0" hidden="1">
      <extLst>
        <ext xmlns:x15="http://schemas.microsoft.com/office/spreadsheetml/2010/11/main" uri="{B97F6D7D-B522-45F9-BDA1-12C45D357490}">
          <x15:cacheHierarchy aggregatedColumn="35"/>
        </ext>
      </extLst>
    </cacheHierarchy>
    <cacheHierarchy uniqueName="[Measures].[Sum of Oct-23]" caption="Sum of Oct-23" measure="1" displayFolder="" measureGroup="Table1" count="0" hidden="1">
      <extLst>
        <ext xmlns:x15="http://schemas.microsoft.com/office/spreadsheetml/2010/11/main" uri="{B97F6D7D-B522-45F9-BDA1-12C45D357490}">
          <x15:cacheHierarchy aggregatedColumn="36"/>
        </ext>
      </extLst>
    </cacheHierarchy>
    <cacheHierarchy uniqueName="[Measures].[Sum of Nov-23]" caption="Sum of Nov-23" measure="1" displayFolder="" measureGroup="Table1" count="0" hidden="1">
      <extLst>
        <ext xmlns:x15="http://schemas.microsoft.com/office/spreadsheetml/2010/11/main" uri="{B97F6D7D-B522-45F9-BDA1-12C45D357490}">
          <x15:cacheHierarchy aggregatedColumn="37"/>
        </ext>
      </extLst>
    </cacheHierarchy>
    <cacheHierarchy uniqueName="[Measures].[Sum of Dec-23]" caption="Sum of Dec-23" measure="1" displayFolder="" measureGroup="Table1" count="0" hidden="1">
      <extLst>
        <ext xmlns:x15="http://schemas.microsoft.com/office/spreadsheetml/2010/11/main" uri="{B97F6D7D-B522-45F9-BDA1-12C45D357490}">
          <x15:cacheHierarchy aggregatedColumn="38"/>
        </ext>
      </extLst>
    </cacheHierarchy>
    <cacheHierarchy uniqueName="[Measures].[Average of Feb-23]" caption="Average of Feb-23" measure="1" displayFolder="" measureGroup="Table1"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Mar-23]" caption="Average of Mar-23" measure="1" displayFolder="" measureGroup="Table1" count="0" oneField="1" hidden="1">
      <fieldsUsage count="1">
        <fieldUsage x="3"/>
      </fieldsUsage>
      <extLst>
        <ext xmlns:x15="http://schemas.microsoft.com/office/spreadsheetml/2010/11/main" uri="{B97F6D7D-B522-45F9-BDA1-12C45D357490}">
          <x15:cacheHierarchy aggregatedColumn="29"/>
        </ext>
      </extLst>
    </cacheHierarchy>
    <cacheHierarchy uniqueName="[Measures].[Average of Apr-23]" caption="Average of Apr-23" measure="1" displayFolder="" measureGroup="Table1" count="0" oneField="1" hidden="1">
      <fieldsUsage count="1">
        <fieldUsage x="4"/>
      </fieldsUsage>
      <extLst>
        <ext xmlns:x15="http://schemas.microsoft.com/office/spreadsheetml/2010/11/main" uri="{B97F6D7D-B522-45F9-BDA1-12C45D357490}">
          <x15:cacheHierarchy aggregatedColumn="30"/>
        </ext>
      </extLst>
    </cacheHierarchy>
    <cacheHierarchy uniqueName="[Measures].[Average of May-23]" caption="Average of May-23" measure="1" displayFolder="" measureGroup="Table1" count="0" oneField="1" hidden="1">
      <fieldsUsage count="1">
        <fieldUsage x="5"/>
      </fieldsUsage>
      <extLst>
        <ext xmlns:x15="http://schemas.microsoft.com/office/spreadsheetml/2010/11/main" uri="{B97F6D7D-B522-45F9-BDA1-12C45D357490}">
          <x15:cacheHierarchy aggregatedColumn="31"/>
        </ext>
      </extLst>
    </cacheHierarchy>
    <cacheHierarchy uniqueName="[Measures].[Average of Jun-23]" caption="Average of Jun-23" measure="1" displayFolder="" measureGroup="Table1" count="0" oneField="1" hidden="1">
      <fieldsUsage count="1">
        <fieldUsage x="6"/>
      </fieldsUsage>
      <extLst>
        <ext xmlns:x15="http://schemas.microsoft.com/office/spreadsheetml/2010/11/main" uri="{B97F6D7D-B522-45F9-BDA1-12C45D357490}">
          <x15:cacheHierarchy aggregatedColumn="32"/>
        </ext>
      </extLst>
    </cacheHierarchy>
    <cacheHierarchy uniqueName="[Measures].[Average of Jul-23]" caption="Average of Jul-23" measure="1" displayFolder="" measureGroup="Table1" count="0" oneField="1" hidden="1">
      <fieldsUsage count="1">
        <fieldUsage x="7"/>
      </fieldsUsage>
      <extLst>
        <ext xmlns:x15="http://schemas.microsoft.com/office/spreadsheetml/2010/11/main" uri="{B97F6D7D-B522-45F9-BDA1-12C45D357490}">
          <x15:cacheHierarchy aggregatedColumn="33"/>
        </ext>
      </extLst>
    </cacheHierarchy>
    <cacheHierarchy uniqueName="[Measures].[Average of Aug-23]" caption="Average of Aug-23" measure="1" displayFolder="" measureGroup="Table1" count="0" oneField="1" hidden="1">
      <fieldsUsage count="1">
        <fieldUsage x="8"/>
      </fieldsUsage>
      <extLst>
        <ext xmlns:x15="http://schemas.microsoft.com/office/spreadsheetml/2010/11/main" uri="{B97F6D7D-B522-45F9-BDA1-12C45D357490}">
          <x15:cacheHierarchy aggregatedColumn="34"/>
        </ext>
      </extLst>
    </cacheHierarchy>
    <cacheHierarchy uniqueName="[Measures].[Average of Sep-23]" caption="Average of Sep-23" measure="1" displayFolder="" measureGroup="Table1" count="0" oneField="1" hidden="1">
      <fieldsUsage count="1">
        <fieldUsage x="9"/>
      </fieldsUsage>
      <extLst>
        <ext xmlns:x15="http://schemas.microsoft.com/office/spreadsheetml/2010/11/main" uri="{B97F6D7D-B522-45F9-BDA1-12C45D357490}">
          <x15:cacheHierarchy aggregatedColumn="35"/>
        </ext>
      </extLst>
    </cacheHierarchy>
    <cacheHierarchy uniqueName="[Measures].[Average of Oct-23]" caption="Average of Oct-23" measure="1" displayFolder="" measureGroup="Table1" count="0" oneField="1" hidden="1">
      <fieldsUsage count="1">
        <fieldUsage x="10"/>
      </fieldsUsage>
      <extLst>
        <ext xmlns:x15="http://schemas.microsoft.com/office/spreadsheetml/2010/11/main" uri="{B97F6D7D-B522-45F9-BDA1-12C45D357490}">
          <x15:cacheHierarchy aggregatedColumn="36"/>
        </ext>
      </extLst>
    </cacheHierarchy>
    <cacheHierarchy uniqueName="[Measures].[Average of Nov-23]" caption="Average of Nov-23" measure="1" displayFolder="" measureGroup="Table1" count="0" oneField="1" hidden="1">
      <fieldsUsage count="1">
        <fieldUsage x="11"/>
      </fieldsUsage>
      <extLst>
        <ext xmlns:x15="http://schemas.microsoft.com/office/spreadsheetml/2010/11/main" uri="{B97F6D7D-B522-45F9-BDA1-12C45D357490}">
          <x15:cacheHierarchy aggregatedColumn="37"/>
        </ext>
      </extLst>
    </cacheHierarchy>
    <cacheHierarchy uniqueName="[Measures].[Average of Dec-23]" caption="Average of Dec-23" measure="1" displayFolder="" measureGroup="Table1"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Jan-23 2]" caption="Sum of Jan-23 2" measure="1" displayFolder="" measureGroup="Range" count="0" hidden="1">
      <extLst>
        <ext xmlns:x15="http://schemas.microsoft.com/office/spreadsheetml/2010/11/main" uri="{B97F6D7D-B522-45F9-BDA1-12C45D357490}">
          <x15:cacheHierarchy aggregatedColumn="1"/>
        </ext>
      </extLst>
    </cacheHierarchy>
    <cacheHierarchy uniqueName="[Measures].[Sum of Feb-23 2]" caption="Sum of Feb-23 2" measure="1" displayFolder="" measureGroup="Range" count="0" hidden="1">
      <extLst>
        <ext xmlns:x15="http://schemas.microsoft.com/office/spreadsheetml/2010/11/main" uri="{B97F6D7D-B522-45F9-BDA1-12C45D357490}">
          <x15:cacheHierarchy aggregatedColumn="2"/>
        </ext>
      </extLst>
    </cacheHierarchy>
    <cacheHierarchy uniqueName="[Measures].[Sum of Mar-23 2]" caption="Sum of Mar-23 2" measure="1" displayFolder="" measureGroup="Range" count="0" hidden="1">
      <extLst>
        <ext xmlns:x15="http://schemas.microsoft.com/office/spreadsheetml/2010/11/main" uri="{B97F6D7D-B522-45F9-BDA1-12C45D357490}">
          <x15:cacheHierarchy aggregatedColumn="3"/>
        </ext>
      </extLst>
    </cacheHierarchy>
    <cacheHierarchy uniqueName="[Measures].[Sum of Apr-23 2]" caption="Sum of Apr-23 2" measure="1" displayFolder="" measureGroup="Range" count="0" hidden="1">
      <extLst>
        <ext xmlns:x15="http://schemas.microsoft.com/office/spreadsheetml/2010/11/main" uri="{B97F6D7D-B522-45F9-BDA1-12C45D357490}">
          <x15:cacheHierarchy aggregatedColumn="4"/>
        </ext>
      </extLst>
    </cacheHierarchy>
    <cacheHierarchy uniqueName="[Measures].[Sum of May-23 2]" caption="Sum of May-23 2" measure="1" displayFolder="" measureGroup="Range" count="0" hidden="1">
      <extLst>
        <ext xmlns:x15="http://schemas.microsoft.com/office/spreadsheetml/2010/11/main" uri="{B97F6D7D-B522-45F9-BDA1-12C45D357490}">
          <x15:cacheHierarchy aggregatedColumn="5"/>
        </ext>
      </extLst>
    </cacheHierarchy>
    <cacheHierarchy uniqueName="[Measures].[Sum of Jun-23 2]" caption="Sum of Jun-23 2" measure="1" displayFolder="" measureGroup="Range" count="0" hidden="1">
      <extLst>
        <ext xmlns:x15="http://schemas.microsoft.com/office/spreadsheetml/2010/11/main" uri="{B97F6D7D-B522-45F9-BDA1-12C45D357490}">
          <x15:cacheHierarchy aggregatedColumn="6"/>
        </ext>
      </extLst>
    </cacheHierarchy>
    <cacheHierarchy uniqueName="[Measures].[Sum of Jul-23 2]" caption="Sum of Jul-23 2" measure="1" displayFolder="" measureGroup="Range" count="0" hidden="1">
      <extLst>
        <ext xmlns:x15="http://schemas.microsoft.com/office/spreadsheetml/2010/11/main" uri="{B97F6D7D-B522-45F9-BDA1-12C45D357490}">
          <x15:cacheHierarchy aggregatedColumn="7"/>
        </ext>
      </extLst>
    </cacheHierarchy>
    <cacheHierarchy uniqueName="[Measures].[Sum of Aug-23 2]" caption="Sum of Aug-23 2" measure="1" displayFolder="" measureGroup="Range" count="0" hidden="1">
      <extLst>
        <ext xmlns:x15="http://schemas.microsoft.com/office/spreadsheetml/2010/11/main" uri="{B97F6D7D-B522-45F9-BDA1-12C45D357490}">
          <x15:cacheHierarchy aggregatedColumn="8"/>
        </ext>
      </extLst>
    </cacheHierarchy>
    <cacheHierarchy uniqueName="[Measures].[Sum of Sep-23 2]" caption="Sum of Sep-23 2" measure="1" displayFolder="" measureGroup="Range" count="0" hidden="1">
      <extLst>
        <ext xmlns:x15="http://schemas.microsoft.com/office/spreadsheetml/2010/11/main" uri="{B97F6D7D-B522-45F9-BDA1-12C45D357490}">
          <x15:cacheHierarchy aggregatedColumn="9"/>
        </ext>
      </extLst>
    </cacheHierarchy>
    <cacheHierarchy uniqueName="[Measures].[Sum of Oct-23 2]" caption="Sum of Oct-23 2" measure="1" displayFolder="" measureGroup="Range" count="0" hidden="1">
      <extLst>
        <ext xmlns:x15="http://schemas.microsoft.com/office/spreadsheetml/2010/11/main" uri="{B97F6D7D-B522-45F9-BDA1-12C45D357490}">
          <x15:cacheHierarchy aggregatedColumn="10"/>
        </ext>
      </extLst>
    </cacheHierarchy>
    <cacheHierarchy uniqueName="[Measures].[Sum of Nov-23 2]" caption="Sum of Nov-23 2" measure="1" displayFolder="" measureGroup="Range" count="0" hidden="1">
      <extLst>
        <ext xmlns:x15="http://schemas.microsoft.com/office/spreadsheetml/2010/11/main" uri="{B97F6D7D-B522-45F9-BDA1-12C45D357490}">
          <x15:cacheHierarchy aggregatedColumn="11"/>
        </ext>
      </extLst>
    </cacheHierarchy>
    <cacheHierarchy uniqueName="[Measures].[Sum of Dec-23 2]" caption="Sum of Dec-23 2" measure="1" displayFolder="" measureGroup="Range" count="0" hidden="1">
      <extLst>
        <ext xmlns:x15="http://schemas.microsoft.com/office/spreadsheetml/2010/11/main" uri="{B97F6D7D-B522-45F9-BDA1-12C45D357490}">
          <x15:cacheHierarchy aggregatedColumn="12"/>
        </ext>
      </extLst>
    </cacheHierarchy>
    <cacheHierarchy uniqueName="[Measures].[Average of Jan-23 2]" caption="Average of Jan-23 2" measure="1" displayFolder="" measureGroup="Range" count="0" hidden="1">
      <extLst>
        <ext xmlns:x15="http://schemas.microsoft.com/office/spreadsheetml/2010/11/main" uri="{B97F6D7D-B522-45F9-BDA1-12C45D357490}">
          <x15:cacheHierarchy aggregatedColumn="1"/>
        </ext>
      </extLst>
    </cacheHierarchy>
    <cacheHierarchy uniqueName="[Measures].[Sum of Jan-23 3]" caption="Sum of Jan-23 3" measure="1" displayFolder="" measureGroup="TableP0to5" count="0" hidden="1">
      <extLst>
        <ext xmlns:x15="http://schemas.microsoft.com/office/spreadsheetml/2010/11/main" uri="{B97F6D7D-B522-45F9-BDA1-12C45D357490}">
          <x15:cacheHierarchy aggregatedColumn="40"/>
        </ext>
      </extLst>
    </cacheHierarchy>
    <cacheHierarchy uniqueName="[Measures].[Sum of Feb-23 3]" caption="Sum of Feb-23 3" measure="1" displayFolder="" measureGroup="TableP0to5" count="0" hidden="1">
      <extLst>
        <ext xmlns:x15="http://schemas.microsoft.com/office/spreadsheetml/2010/11/main" uri="{B97F6D7D-B522-45F9-BDA1-12C45D357490}">
          <x15:cacheHierarchy aggregatedColumn="41"/>
        </ext>
      </extLst>
    </cacheHierarchy>
    <cacheHierarchy uniqueName="[Measures].[Sum of Mar-23 3]" caption="Sum of Mar-23 3" measure="1" displayFolder="" measureGroup="TableP0to5" count="0" hidden="1">
      <extLst>
        <ext xmlns:x15="http://schemas.microsoft.com/office/spreadsheetml/2010/11/main" uri="{B97F6D7D-B522-45F9-BDA1-12C45D357490}">
          <x15:cacheHierarchy aggregatedColumn="42"/>
        </ext>
      </extLst>
    </cacheHierarchy>
    <cacheHierarchy uniqueName="[Measures].[Sum of Apr-23 3]" caption="Sum of Apr-23 3" measure="1" displayFolder="" measureGroup="TableP0to5" count="0" hidden="1">
      <extLst>
        <ext xmlns:x15="http://schemas.microsoft.com/office/spreadsheetml/2010/11/main" uri="{B97F6D7D-B522-45F9-BDA1-12C45D357490}">
          <x15:cacheHierarchy aggregatedColumn="43"/>
        </ext>
      </extLst>
    </cacheHierarchy>
    <cacheHierarchy uniqueName="[Measures].[Sum of May-23 3]" caption="Sum of May-23 3" measure="1" displayFolder="" measureGroup="TableP0to5" count="0" hidden="1">
      <extLst>
        <ext xmlns:x15="http://schemas.microsoft.com/office/spreadsheetml/2010/11/main" uri="{B97F6D7D-B522-45F9-BDA1-12C45D357490}">
          <x15:cacheHierarchy aggregatedColumn="44"/>
        </ext>
      </extLst>
    </cacheHierarchy>
    <cacheHierarchy uniqueName="[Measures].[Sum of Jun-23 3]" caption="Sum of Jun-23 3" measure="1" displayFolder="" measureGroup="TableP0to5" count="0" hidden="1">
      <extLst>
        <ext xmlns:x15="http://schemas.microsoft.com/office/spreadsheetml/2010/11/main" uri="{B97F6D7D-B522-45F9-BDA1-12C45D357490}">
          <x15:cacheHierarchy aggregatedColumn="45"/>
        </ext>
      </extLst>
    </cacheHierarchy>
    <cacheHierarchy uniqueName="[Measures].[Sum of Jul-23 3]" caption="Sum of Jul-23 3" measure="1" displayFolder="" measureGroup="TableP0to5" count="0" hidden="1">
      <extLst>
        <ext xmlns:x15="http://schemas.microsoft.com/office/spreadsheetml/2010/11/main" uri="{B97F6D7D-B522-45F9-BDA1-12C45D357490}">
          <x15:cacheHierarchy aggregatedColumn="46"/>
        </ext>
      </extLst>
    </cacheHierarchy>
    <cacheHierarchy uniqueName="[Measures].[Sum of Aug-23 3]" caption="Sum of Aug-23 3" measure="1" displayFolder="" measureGroup="TableP0to5" count="0" hidden="1">
      <extLst>
        <ext xmlns:x15="http://schemas.microsoft.com/office/spreadsheetml/2010/11/main" uri="{B97F6D7D-B522-45F9-BDA1-12C45D357490}">
          <x15:cacheHierarchy aggregatedColumn="47"/>
        </ext>
      </extLst>
    </cacheHierarchy>
    <cacheHierarchy uniqueName="[Measures].[Sum of Sep-23 3]" caption="Sum of Sep-23 3" measure="1" displayFolder="" measureGroup="TableP0to5" count="0" hidden="1">
      <extLst>
        <ext xmlns:x15="http://schemas.microsoft.com/office/spreadsheetml/2010/11/main" uri="{B97F6D7D-B522-45F9-BDA1-12C45D357490}">
          <x15:cacheHierarchy aggregatedColumn="48"/>
        </ext>
      </extLst>
    </cacheHierarchy>
    <cacheHierarchy uniqueName="[Measures].[Sum of Oct-23 3]" caption="Sum of Oct-23 3" measure="1" displayFolder="" measureGroup="TableP0to5" count="0" hidden="1">
      <extLst>
        <ext xmlns:x15="http://schemas.microsoft.com/office/spreadsheetml/2010/11/main" uri="{B97F6D7D-B522-45F9-BDA1-12C45D357490}">
          <x15:cacheHierarchy aggregatedColumn="49"/>
        </ext>
      </extLst>
    </cacheHierarchy>
    <cacheHierarchy uniqueName="[Measures].[Sum of Nov-23 3]" caption="Sum of Nov-23 3" measure="1" displayFolder="" measureGroup="TableP0to5" count="0" hidden="1">
      <extLst>
        <ext xmlns:x15="http://schemas.microsoft.com/office/spreadsheetml/2010/11/main" uri="{B97F6D7D-B522-45F9-BDA1-12C45D357490}">
          <x15:cacheHierarchy aggregatedColumn="50"/>
        </ext>
      </extLst>
    </cacheHierarchy>
    <cacheHierarchy uniqueName="[Measures].[Sum of Dec-23 3]" caption="Sum of Dec-23 3" measure="1" displayFolder="" measureGroup="TableP0to5" count="0" hidden="1">
      <extLst>
        <ext xmlns:x15="http://schemas.microsoft.com/office/spreadsheetml/2010/11/main" uri="{B97F6D7D-B522-45F9-BDA1-12C45D357490}">
          <x15:cacheHierarchy aggregatedColumn="51"/>
        </ext>
      </extLst>
    </cacheHierarchy>
    <cacheHierarchy uniqueName="[Measures].[Average of Jan-23 3]" caption="Average of Jan-23 3" measure="1" displayFolder="" measureGroup="TableP0to5" count="0" hidden="1">
      <extLst>
        <ext xmlns:x15="http://schemas.microsoft.com/office/spreadsheetml/2010/11/main" uri="{B97F6D7D-B522-45F9-BDA1-12C45D357490}">
          <x15:cacheHierarchy aggregatedColumn="40"/>
        </ext>
      </extLst>
    </cacheHierarchy>
    <cacheHierarchy uniqueName="[Measures].[Average of Feb-23 2]" caption="Average of Feb-23 2" measure="1" displayFolder="" measureGroup="TableP0to5" count="0" hidden="1">
      <extLst>
        <ext xmlns:x15="http://schemas.microsoft.com/office/spreadsheetml/2010/11/main" uri="{B97F6D7D-B522-45F9-BDA1-12C45D357490}">
          <x15:cacheHierarchy aggregatedColumn="41"/>
        </ext>
      </extLst>
    </cacheHierarchy>
    <cacheHierarchy uniqueName="[Measures].[Average of Mar-23 2]" caption="Average of Mar-23 2" measure="1" displayFolder="" measureGroup="TableP0to5" count="0" hidden="1">
      <extLst>
        <ext xmlns:x15="http://schemas.microsoft.com/office/spreadsheetml/2010/11/main" uri="{B97F6D7D-B522-45F9-BDA1-12C45D357490}">
          <x15:cacheHierarchy aggregatedColumn="42"/>
        </ext>
      </extLst>
    </cacheHierarchy>
    <cacheHierarchy uniqueName="[Measures].[Average of Apr-23 2]" caption="Average of Apr-23 2" measure="1" displayFolder="" measureGroup="TableP0to5" count="0" hidden="1">
      <extLst>
        <ext xmlns:x15="http://schemas.microsoft.com/office/spreadsheetml/2010/11/main" uri="{B97F6D7D-B522-45F9-BDA1-12C45D357490}">
          <x15:cacheHierarchy aggregatedColumn="43"/>
        </ext>
      </extLst>
    </cacheHierarchy>
    <cacheHierarchy uniqueName="[Measures].[Average of May-23 2]" caption="Average of May-23 2" measure="1" displayFolder="" measureGroup="TableP0to5" count="0" hidden="1">
      <extLst>
        <ext xmlns:x15="http://schemas.microsoft.com/office/spreadsheetml/2010/11/main" uri="{B97F6D7D-B522-45F9-BDA1-12C45D357490}">
          <x15:cacheHierarchy aggregatedColumn="44"/>
        </ext>
      </extLst>
    </cacheHierarchy>
    <cacheHierarchy uniqueName="[Measures].[Average of Jun-23 2]" caption="Average of Jun-23 2" measure="1" displayFolder="" measureGroup="TableP0to5" count="0" hidden="1">
      <extLst>
        <ext xmlns:x15="http://schemas.microsoft.com/office/spreadsheetml/2010/11/main" uri="{B97F6D7D-B522-45F9-BDA1-12C45D357490}">
          <x15:cacheHierarchy aggregatedColumn="45"/>
        </ext>
      </extLst>
    </cacheHierarchy>
    <cacheHierarchy uniqueName="[Measures].[Average of Jul-23 2]" caption="Average of Jul-23 2" measure="1" displayFolder="" measureGroup="TableP0to5" count="0" hidden="1">
      <extLst>
        <ext xmlns:x15="http://schemas.microsoft.com/office/spreadsheetml/2010/11/main" uri="{B97F6D7D-B522-45F9-BDA1-12C45D357490}">
          <x15:cacheHierarchy aggregatedColumn="46"/>
        </ext>
      </extLst>
    </cacheHierarchy>
    <cacheHierarchy uniqueName="[Measures].[Average of Aug-23 2]" caption="Average of Aug-23 2" measure="1" displayFolder="" measureGroup="TableP0to5" count="0" hidden="1">
      <extLst>
        <ext xmlns:x15="http://schemas.microsoft.com/office/spreadsheetml/2010/11/main" uri="{B97F6D7D-B522-45F9-BDA1-12C45D357490}">
          <x15:cacheHierarchy aggregatedColumn="47"/>
        </ext>
      </extLst>
    </cacheHierarchy>
    <cacheHierarchy uniqueName="[Measures].[Average of Sep-23 2]" caption="Average of Sep-23 2" measure="1" displayFolder="" measureGroup="TableP0to5" count="0" hidden="1">
      <extLst>
        <ext xmlns:x15="http://schemas.microsoft.com/office/spreadsheetml/2010/11/main" uri="{B97F6D7D-B522-45F9-BDA1-12C45D357490}">
          <x15:cacheHierarchy aggregatedColumn="48"/>
        </ext>
      </extLst>
    </cacheHierarchy>
    <cacheHierarchy uniqueName="[Measures].[Average of Oct-23 2]" caption="Average of Oct-23 2" measure="1" displayFolder="" measureGroup="TableP0to5" count="0" hidden="1">
      <extLst>
        <ext xmlns:x15="http://schemas.microsoft.com/office/spreadsheetml/2010/11/main" uri="{B97F6D7D-B522-45F9-BDA1-12C45D357490}">
          <x15:cacheHierarchy aggregatedColumn="49"/>
        </ext>
      </extLst>
    </cacheHierarchy>
    <cacheHierarchy uniqueName="[Measures].[Average of Nov-23 2]" caption="Average of Nov-23 2" measure="1" displayFolder="" measureGroup="TableP0to5" count="0" hidden="1">
      <extLst>
        <ext xmlns:x15="http://schemas.microsoft.com/office/spreadsheetml/2010/11/main" uri="{B97F6D7D-B522-45F9-BDA1-12C45D357490}">
          <x15:cacheHierarchy aggregatedColumn="50"/>
        </ext>
      </extLst>
    </cacheHierarchy>
    <cacheHierarchy uniqueName="[Measures].[Max of Dec-23]" caption="Max of Dec-23" measure="1" displayFolder="" measureGroup="TableP0to5" count="0" hidden="1">
      <extLst>
        <ext xmlns:x15="http://schemas.microsoft.com/office/spreadsheetml/2010/11/main" uri="{B97F6D7D-B522-45F9-BDA1-12C45D357490}">
          <x15:cacheHierarchy aggregatedColumn="51"/>
        </ext>
      </extLst>
    </cacheHierarchy>
    <cacheHierarchy uniqueName="[Measures].[Average of Dec-23 2]" caption="Average of Dec-23 2" measure="1" displayFolder="" measureGroup="TableP0to5" count="0" hidden="1">
      <extLst>
        <ext xmlns:x15="http://schemas.microsoft.com/office/spreadsheetml/2010/11/main" uri="{B97F6D7D-B522-45F9-BDA1-12C45D357490}">
          <x15:cacheHierarchy aggregatedColumn="51"/>
        </ext>
      </extLst>
    </cacheHierarchy>
    <cacheHierarchy uniqueName="[Measures].[Sum of Jan-23 4]" caption="Sum of Jan-23 4" measure="1" displayFolder="" measureGroup="Range 1" count="0" hidden="1">
      <extLst>
        <ext xmlns:x15="http://schemas.microsoft.com/office/spreadsheetml/2010/11/main" uri="{B97F6D7D-B522-45F9-BDA1-12C45D357490}">
          <x15:cacheHierarchy aggregatedColumn="14"/>
        </ext>
      </extLst>
    </cacheHierarchy>
    <cacheHierarchy uniqueName="[Measures].[Sum of Feb-23 4]" caption="Sum of Feb-23 4" measure="1" displayFolder="" measureGroup="Range 1" count="0" hidden="1">
      <extLst>
        <ext xmlns:x15="http://schemas.microsoft.com/office/spreadsheetml/2010/11/main" uri="{B97F6D7D-B522-45F9-BDA1-12C45D357490}">
          <x15:cacheHierarchy aggregatedColumn="15"/>
        </ext>
      </extLst>
    </cacheHierarchy>
    <cacheHierarchy uniqueName="[Measures].[Sum of Mar-23 4]" caption="Sum of Mar-23 4" measure="1" displayFolder="" measureGroup="Range 1" count="0" hidden="1">
      <extLst>
        <ext xmlns:x15="http://schemas.microsoft.com/office/spreadsheetml/2010/11/main" uri="{B97F6D7D-B522-45F9-BDA1-12C45D357490}">
          <x15:cacheHierarchy aggregatedColumn="16"/>
        </ext>
      </extLst>
    </cacheHierarchy>
    <cacheHierarchy uniqueName="[Measures].[Sum of Apr-23 4]" caption="Sum of Apr-23 4" measure="1" displayFolder="" measureGroup="Range 1" count="0" hidden="1">
      <extLst>
        <ext xmlns:x15="http://schemas.microsoft.com/office/spreadsheetml/2010/11/main" uri="{B97F6D7D-B522-45F9-BDA1-12C45D357490}">
          <x15:cacheHierarchy aggregatedColumn="17"/>
        </ext>
      </extLst>
    </cacheHierarchy>
    <cacheHierarchy uniqueName="[Measures].[Sum of May-23 4]" caption="Sum of May-23 4" measure="1" displayFolder="" measureGroup="Range 1" count="0" hidden="1">
      <extLst>
        <ext xmlns:x15="http://schemas.microsoft.com/office/spreadsheetml/2010/11/main" uri="{B97F6D7D-B522-45F9-BDA1-12C45D357490}">
          <x15:cacheHierarchy aggregatedColumn="18"/>
        </ext>
      </extLst>
    </cacheHierarchy>
    <cacheHierarchy uniqueName="[Measures].[Sum of Jun-23 4]" caption="Sum of Jun-23 4" measure="1" displayFolder="" measureGroup="Range 1" count="0" hidden="1">
      <extLst>
        <ext xmlns:x15="http://schemas.microsoft.com/office/spreadsheetml/2010/11/main" uri="{B97F6D7D-B522-45F9-BDA1-12C45D357490}">
          <x15:cacheHierarchy aggregatedColumn="19"/>
        </ext>
      </extLst>
    </cacheHierarchy>
    <cacheHierarchy uniqueName="[Measures].[Sum of Jul-23 4]" caption="Sum of Jul-23 4" measure="1" displayFolder="" measureGroup="Range 1" count="0" hidden="1">
      <extLst>
        <ext xmlns:x15="http://schemas.microsoft.com/office/spreadsheetml/2010/11/main" uri="{B97F6D7D-B522-45F9-BDA1-12C45D357490}">
          <x15:cacheHierarchy aggregatedColumn="20"/>
        </ext>
      </extLst>
    </cacheHierarchy>
    <cacheHierarchy uniqueName="[Measures].[Sum of Aug-23 4]" caption="Sum of Aug-23 4" measure="1" displayFolder="" measureGroup="Range 1" count="0" hidden="1">
      <extLst>
        <ext xmlns:x15="http://schemas.microsoft.com/office/spreadsheetml/2010/11/main" uri="{B97F6D7D-B522-45F9-BDA1-12C45D357490}">
          <x15:cacheHierarchy aggregatedColumn="21"/>
        </ext>
      </extLst>
    </cacheHierarchy>
    <cacheHierarchy uniqueName="[Measures].[Sum of Sep-23 4]" caption="Sum of Sep-23 4" measure="1" displayFolder="" measureGroup="Range 1" count="0" hidden="1">
      <extLst>
        <ext xmlns:x15="http://schemas.microsoft.com/office/spreadsheetml/2010/11/main" uri="{B97F6D7D-B522-45F9-BDA1-12C45D357490}">
          <x15:cacheHierarchy aggregatedColumn="22"/>
        </ext>
      </extLst>
    </cacheHierarchy>
    <cacheHierarchy uniqueName="[Measures].[Sum of Oct-23 4]" caption="Sum of Oct-23 4" measure="1" displayFolder="" measureGroup="Range 1" count="0" hidden="1">
      <extLst>
        <ext xmlns:x15="http://schemas.microsoft.com/office/spreadsheetml/2010/11/main" uri="{B97F6D7D-B522-45F9-BDA1-12C45D357490}">
          <x15:cacheHierarchy aggregatedColumn="23"/>
        </ext>
      </extLst>
    </cacheHierarchy>
    <cacheHierarchy uniqueName="[Measures].[Sum of Nov-23 4]" caption="Sum of Nov-23 4" measure="1" displayFolder="" measureGroup="Range 1" count="0" hidden="1">
      <extLst>
        <ext xmlns:x15="http://schemas.microsoft.com/office/spreadsheetml/2010/11/main" uri="{B97F6D7D-B522-45F9-BDA1-12C45D357490}">
          <x15:cacheHierarchy aggregatedColumn="24"/>
        </ext>
      </extLst>
    </cacheHierarchy>
    <cacheHierarchy uniqueName="[Measures].[Sum of Dec-23 4]" caption="Sum of Dec-23 4"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Table1" uniqueName="[Table1]" caption="Table1"/>
    <dimension name="TableP0to5" uniqueName="[TableP0to5]" caption="TableP0to5"/>
  </dimensions>
  <measureGroups count="4">
    <measureGroup name="Range" caption="Range"/>
    <measureGroup name="Range 1" caption="Range 1"/>
    <measureGroup name="Table1" caption="Table1"/>
    <measureGroup name="TableP0to5" caption="TableP0to5"/>
  </measureGroups>
  <maps count="8">
    <map measureGroup="0" dimension="1"/>
    <map measureGroup="1" dimension="1"/>
    <map measureGroup="1" dimension="2"/>
    <map measureGroup="2"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432.535778703706" backgroundQuery="1" createdVersion="8" refreshedVersion="8" minRefreshableVersion="3" recordCount="0" supportSubquery="1" supportAdvancedDrill="1" xr:uid="{E311F24E-2045-4B07-AD1B-30492279C597}">
  <cacheSource type="external" connectionId="2"/>
  <cacheFields count="14">
    <cacheField name="[Range 1].[Admin 1].[Admin 1]" caption="Admin 1" numFmtId="0" hierarchy="13" level="1">
      <sharedItems count="34">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sharedItems>
    </cacheField>
    <cacheField name="[Measures].[Sum of Jan-23 4]" caption="Sum of Jan-23 4" numFmtId="0" hierarchy="119" level="32767"/>
    <cacheField name="[Measures].[Sum of Feb-23 4]" caption="Sum of Feb-23 4" numFmtId="0" hierarchy="120" level="32767"/>
    <cacheField name="[Measures].[Sum of Mar-23 4]" caption="Sum of Mar-23 4" numFmtId="0" hierarchy="121" level="32767"/>
    <cacheField name="[Measures].[Sum of Apr-23 4]" caption="Sum of Apr-23 4" numFmtId="0" hierarchy="122" level="32767"/>
    <cacheField name="[Measures].[Sum of May-23 4]" caption="Sum of May-23 4" numFmtId="0" hierarchy="123" level="32767"/>
    <cacheField name="[Measures].[Sum of Jun-23 4]" caption="Sum of Jun-23 4" numFmtId="0" hierarchy="124" level="32767"/>
    <cacheField name="[Measures].[Sum of Jul-23 4]" caption="Sum of Jul-23 4" numFmtId="0" hierarchy="125" level="32767"/>
    <cacheField name="[Measures].[Sum of Aug-23 4]" caption="Sum of Aug-23 4" numFmtId="0" hierarchy="126" level="32767"/>
    <cacheField name="[Measures].[Sum of Sep-23 4]" caption="Sum of Sep-23 4" numFmtId="0" hierarchy="127" level="32767"/>
    <cacheField name="[Measures].[Sum of Oct-23 4]" caption="Sum of Oct-23 4" numFmtId="0" hierarchy="128" level="32767"/>
    <cacheField name="[Measures].[Sum of Nov-23 4]" caption="Sum of Nov-23 4" numFmtId="0" hierarchy="129" level="32767"/>
    <cacheField name="[Measures].[Sum of Dec-23 4]" caption="Sum of Dec-23 4" numFmtId="0" hierarchy="130" level="32767"/>
    <cacheField name="[Range].[Admin 1].[Admin 1]" caption="Admin 1" numFmtId="0" level="1">
      <sharedItems containsSemiMixedTypes="0" containsNonDate="0" containsString="0"/>
    </cacheField>
  </cacheFields>
  <cacheHierarchies count="131">
    <cacheHierarchy uniqueName="[Range].[Admin 1]" caption="Admin 1" attribute="1" defaultMemberUniqueName="[Range].[Admin 1].[All]" allUniqueName="[Range].[Admin 1].[All]" dimensionUniqueName="[Range]" displayFolder="" count="2" memberValueDatatype="130" unbalanced="0">
      <fieldsUsage count="2">
        <fieldUsage x="-1"/>
        <fieldUsage x="13"/>
      </fieldsUsage>
    </cacheHierarchy>
    <cacheHierarchy uniqueName="[Range].[Jan-23]" caption="Jan-23" attribute="1" defaultMemberUniqueName="[Range].[Jan-23].[All]" allUniqueName="[Range].[Jan-23].[All]" dimensionUniqueName="[Range]" displayFolder="" count="0" memberValueDatatype="5" unbalanced="0"/>
    <cacheHierarchy uniqueName="[Range].[Feb-23]" caption="Feb-23" attribute="1" defaultMemberUniqueName="[Range].[Feb-23].[All]" allUniqueName="[Range].[Feb-23].[All]" dimensionUniqueName="[Range]" displayFolder="" count="0" memberValueDatatype="5" unbalanced="0"/>
    <cacheHierarchy uniqueName="[Range].[Mar-23]" caption="Mar-23" attribute="1" defaultMemberUniqueName="[Range].[Mar-23].[All]" allUniqueName="[Range].[Mar-23].[All]" dimensionUniqueName="[Range]" displayFolder="" count="0" memberValueDatatype="5" unbalanced="0"/>
    <cacheHierarchy uniqueName="[Range].[Apr-23]" caption="Apr-23" attribute="1" defaultMemberUniqueName="[Range].[Apr-23].[All]" allUniqueName="[Range].[Apr-23].[All]" dimensionUniqueName="[Range]" displayFolder="" count="0" memberValueDatatype="5" unbalanced="0"/>
    <cacheHierarchy uniqueName="[Range].[May-23]" caption="May-23" attribute="1" defaultMemberUniqueName="[Range].[May-23].[All]" allUniqueName="[Range].[May-23].[All]" dimensionUniqueName="[Range]" displayFolder="" count="0" memberValueDatatype="5" unbalanced="0"/>
    <cacheHierarchy uniqueName="[Range].[Jun-23]" caption="Jun-23" attribute="1" defaultMemberUniqueName="[Range].[Jun-23].[All]" allUniqueName="[Range].[Jun-23].[All]" dimensionUniqueName="[Range]" displayFolder="" count="0" memberValueDatatype="5" unbalanced="0"/>
    <cacheHierarchy uniqueName="[Range].[Jul-23]" caption="Jul-23" attribute="1" defaultMemberUniqueName="[Range].[Jul-23].[All]" allUniqueName="[Range].[Jul-23].[All]" dimensionUniqueName="[Range]" displayFolder="" count="0" memberValueDatatype="5" unbalanced="0"/>
    <cacheHierarchy uniqueName="[Range].[Aug-23]" caption="Aug-23" attribute="1" defaultMemberUniqueName="[Range].[Aug-23].[All]" allUniqueName="[Range].[Aug-23].[All]" dimensionUniqueName="[Range]" displayFolder="" count="0" memberValueDatatype="5" unbalanced="0"/>
    <cacheHierarchy uniqueName="[Range].[Sep-23]" caption="Sep-23" attribute="1" defaultMemberUniqueName="[Range].[Sep-23].[All]" allUniqueName="[Range].[Sep-23].[All]" dimensionUniqueName="[Range]" displayFolder="" count="0" memberValueDatatype="5" unbalanced="0"/>
    <cacheHierarchy uniqueName="[Range].[Oct-23]" caption="Oct-23" attribute="1" defaultMemberUniqueName="[Range].[Oct-23].[All]" allUniqueName="[Range].[Oct-23].[All]" dimensionUniqueName="[Range]" displayFolder="" count="0" memberValueDatatype="5" unbalanced="0"/>
    <cacheHierarchy uniqueName="[Range].[Nov-23]" caption="Nov-23" attribute="1" defaultMemberUniqueName="[Range].[Nov-23].[All]" allUniqueName="[Range].[Nov-23].[All]" dimensionUniqueName="[Range]" displayFolder="" count="0" memberValueDatatype="5" unbalanced="0"/>
    <cacheHierarchy uniqueName="[Range].[Dec-23]" caption="Dec-23" attribute="1" defaultMemberUniqueName="[Range].[Dec-23].[All]" allUniqueName="[Range].[Dec-23].[All]" dimensionUniqueName="[Range]" displayFolder="" count="0" memberValueDatatype="5" unbalanced="0"/>
    <cacheHierarchy uniqueName="[Range 1].[Admin 1]" caption="Admin 1" attribute="1" defaultMemberUniqueName="[Range 1].[Admin 1].[All]" allUniqueName="[Range 1].[Admin 1].[All]" dimensionUniqueName="[Range 1]" displayFolder="" count="2" memberValueDatatype="130" unbalanced="0">
      <fieldsUsage count="2">
        <fieldUsage x="-1"/>
        <fieldUsage x="0"/>
      </fieldsUsage>
    </cacheHierarchy>
    <cacheHierarchy uniqueName="[Range 1].[Jan-23]" caption="Jan-23" attribute="1" defaultMemberUniqueName="[Range 1].[Jan-23].[All]" allUniqueName="[Range 1].[Jan-23].[All]" dimensionUniqueName="[Range 1]" displayFolder="" count="0" memberValueDatatype="5" unbalanced="0"/>
    <cacheHierarchy uniqueName="[Range 1].[Feb-23]" caption="Feb-23" attribute="1" defaultMemberUniqueName="[Range 1].[Feb-23].[All]" allUniqueName="[Range 1].[Feb-23].[All]" dimensionUniqueName="[Range 1]" displayFolder="" count="0" memberValueDatatype="5" unbalanced="0"/>
    <cacheHierarchy uniqueName="[Range 1].[Mar-23]" caption="Mar-23" attribute="1" defaultMemberUniqueName="[Range 1].[Mar-23].[All]" allUniqueName="[Range 1].[Mar-23].[All]" dimensionUniqueName="[Range 1]" displayFolder="" count="0" memberValueDatatype="5" unbalanced="0"/>
    <cacheHierarchy uniqueName="[Range 1].[Apr-23]" caption="Apr-23" attribute="1" defaultMemberUniqueName="[Range 1].[Apr-23].[All]" allUniqueName="[Range 1].[Apr-23].[All]" dimensionUniqueName="[Range 1]" displayFolder="" count="0" memberValueDatatype="5" unbalanced="0"/>
    <cacheHierarchy uniqueName="[Range 1].[May-23]" caption="May-23" attribute="1" defaultMemberUniqueName="[Range 1].[May-23].[All]" allUniqueName="[Range 1].[May-23].[All]" dimensionUniqueName="[Range 1]" displayFolder="" count="0" memberValueDatatype="5" unbalanced="0"/>
    <cacheHierarchy uniqueName="[Range 1].[Jun-23]" caption="Jun-23" attribute="1" defaultMemberUniqueName="[Range 1].[Jun-23].[All]" allUniqueName="[Range 1].[Jun-23].[All]" dimensionUniqueName="[Range 1]" displayFolder="" count="0" memberValueDatatype="5" unbalanced="0"/>
    <cacheHierarchy uniqueName="[Range 1].[Jul-23]" caption="Jul-23" attribute="1" defaultMemberUniqueName="[Range 1].[Jul-23].[All]" allUniqueName="[Range 1].[Jul-23].[All]" dimensionUniqueName="[Range 1]" displayFolder="" count="0" memberValueDatatype="5" unbalanced="0"/>
    <cacheHierarchy uniqueName="[Range 1].[Aug-23]" caption="Aug-23" attribute="1" defaultMemberUniqueName="[Range 1].[Aug-23].[All]" allUniqueName="[Range 1].[Aug-23].[All]" dimensionUniqueName="[Range 1]" displayFolder="" count="0" memberValueDatatype="5" unbalanced="0"/>
    <cacheHierarchy uniqueName="[Range 1].[Sep-23]" caption="Sep-23" attribute="1" defaultMemberUniqueName="[Range 1].[Sep-23].[All]" allUniqueName="[Range 1].[Sep-23].[All]" dimensionUniqueName="[Range 1]" displayFolder="" count="0" memberValueDatatype="5" unbalanced="0"/>
    <cacheHierarchy uniqueName="[Range 1].[Oct-23]" caption="Oct-23" attribute="1" defaultMemberUniqueName="[Range 1].[Oct-23].[All]" allUniqueName="[Range 1].[Oct-23].[All]" dimensionUniqueName="[Range 1]" displayFolder="" count="0" memberValueDatatype="5" unbalanced="0"/>
    <cacheHierarchy uniqueName="[Range 1].[Nov-23]" caption="Nov-23" attribute="1" defaultMemberUniqueName="[Range 1].[Nov-23].[All]" allUniqueName="[Range 1].[Nov-23].[All]" dimensionUniqueName="[Range 1]" displayFolder="" count="0" memberValueDatatype="5" unbalanced="0"/>
    <cacheHierarchy uniqueName="[Range 1].[Dec-23]" caption="Dec-23" attribute="1" defaultMemberUniqueName="[Range 1].[Dec-23].[All]" allUniqueName="[Range 1].[Dec-23].[All]" dimensionUniqueName="[Range 1]" displayFolder="" count="0" memberValueDatatype="5" unbalanced="0"/>
    <cacheHierarchy uniqueName="[Table1].[Admin 1]" caption="Admin 1" attribute="1" defaultMemberUniqueName="[Table1].[Admin 1].[All]" allUniqueName="[Table1].[Admin 1].[All]" dimensionUniqueName="[Table1]" displayFolder="" count="0" memberValueDatatype="130" unbalanced="0"/>
    <cacheHierarchy uniqueName="[Table1].[Jan-23]" caption="Jan-23" attribute="1" defaultMemberUniqueName="[Table1].[Jan-23].[All]" allUniqueName="[Table1].[Jan-23].[All]" dimensionUniqueName="[Table1]" displayFolder="" count="0" memberValueDatatype="5" unbalanced="0"/>
    <cacheHierarchy uniqueName="[Table1].[Feb-23]" caption="Feb-23" attribute="1" defaultMemberUniqueName="[Table1].[Feb-23].[All]" allUniqueName="[Table1].[Feb-23].[All]" dimensionUniqueName="[Table1]" displayFolder="" count="0" memberValueDatatype="5" unbalanced="0"/>
    <cacheHierarchy uniqueName="[Table1].[Mar-23]" caption="Mar-23" attribute="1" defaultMemberUniqueName="[Table1].[Mar-23].[All]" allUniqueName="[Table1].[Mar-23].[All]" dimensionUniqueName="[Table1]" displayFolder="" count="0" memberValueDatatype="5" unbalanced="0"/>
    <cacheHierarchy uniqueName="[Table1].[Apr-23]" caption="Apr-23" attribute="1" defaultMemberUniqueName="[Table1].[Apr-23].[All]" allUniqueName="[Table1].[Apr-23].[All]" dimensionUniqueName="[Table1]" displayFolder="" count="0" memberValueDatatype="5" unbalanced="0"/>
    <cacheHierarchy uniqueName="[Table1].[May-23]" caption="May-23" attribute="1" defaultMemberUniqueName="[Table1].[May-23].[All]" allUniqueName="[Table1].[May-23].[All]" dimensionUniqueName="[Table1]" displayFolder="" count="0" memberValueDatatype="5" unbalanced="0"/>
    <cacheHierarchy uniqueName="[Table1].[Jun-23]" caption="Jun-23" attribute="1" defaultMemberUniqueName="[Table1].[Jun-23].[All]" allUniqueName="[Table1].[Jun-23].[All]" dimensionUniqueName="[Table1]" displayFolder="" count="0" memberValueDatatype="5" unbalanced="0"/>
    <cacheHierarchy uniqueName="[Table1].[Jul-23]" caption="Jul-23" attribute="1" defaultMemberUniqueName="[Table1].[Jul-23].[All]" allUniqueName="[Table1].[Jul-23].[All]" dimensionUniqueName="[Table1]" displayFolder="" count="0" memberValueDatatype="5" unbalanced="0"/>
    <cacheHierarchy uniqueName="[Table1].[Aug-23]" caption="Aug-23" attribute="1" defaultMemberUniqueName="[Table1].[Aug-23].[All]" allUniqueName="[Table1].[Aug-23].[All]" dimensionUniqueName="[Table1]" displayFolder="" count="0" memberValueDatatype="5" unbalanced="0"/>
    <cacheHierarchy uniqueName="[Table1].[Sep-23]" caption="Sep-23" attribute="1" defaultMemberUniqueName="[Table1].[Sep-23].[All]" allUniqueName="[Table1].[Sep-23].[All]" dimensionUniqueName="[Table1]" displayFolder="" count="0" memberValueDatatype="5" unbalanced="0"/>
    <cacheHierarchy uniqueName="[Table1].[Oct-23]" caption="Oct-23" attribute="1" defaultMemberUniqueName="[Table1].[Oct-23].[All]" allUniqueName="[Table1].[Oct-23].[All]" dimensionUniqueName="[Table1]" displayFolder="" count="0" memberValueDatatype="5" unbalanced="0"/>
    <cacheHierarchy uniqueName="[Table1].[Nov-23]" caption="Nov-23" attribute="1" defaultMemberUniqueName="[Table1].[Nov-23].[All]" allUniqueName="[Table1].[Nov-23].[All]" dimensionUniqueName="[Table1]" displayFolder="" count="0" memberValueDatatype="5" unbalanced="0"/>
    <cacheHierarchy uniqueName="[Table1].[Dec-23]" caption="Dec-23" attribute="1" defaultMemberUniqueName="[Table1].[Dec-23].[All]" allUniqueName="[Table1].[Dec-23].[All]" dimensionUniqueName="[Table1]" displayFolder="" count="0" memberValueDatatype="5" unbalanced="0"/>
    <cacheHierarchy uniqueName="[TableP0to5].[Admin 1]" caption="Admin 1" attribute="1" defaultMemberUniqueName="[TableP0to5].[Admin 1].[All]" allUniqueName="[TableP0to5].[Admin 1].[All]" dimensionUniqueName="[TableP0to5]" displayFolder="" count="0" memberValueDatatype="130" unbalanced="0"/>
    <cacheHierarchy uniqueName="[TableP0to5].[Jan-23]" caption="Jan-23" attribute="1" defaultMemberUniqueName="[TableP0to5].[Jan-23].[All]" allUniqueName="[TableP0to5].[Jan-23].[All]" dimensionUniqueName="[TableP0to5]" displayFolder="" count="0" memberValueDatatype="5" unbalanced="0"/>
    <cacheHierarchy uniqueName="[TableP0to5].[Feb-23]" caption="Feb-23" attribute="1" defaultMemberUniqueName="[TableP0to5].[Feb-23].[All]" allUniqueName="[TableP0to5].[Feb-23].[All]" dimensionUniqueName="[TableP0to5]" displayFolder="" count="0" memberValueDatatype="5" unbalanced="0"/>
    <cacheHierarchy uniqueName="[TableP0to5].[Mar-23]" caption="Mar-23" attribute="1" defaultMemberUniqueName="[TableP0to5].[Mar-23].[All]" allUniqueName="[TableP0to5].[Mar-23].[All]" dimensionUniqueName="[TableP0to5]" displayFolder="" count="0" memberValueDatatype="5" unbalanced="0"/>
    <cacheHierarchy uniqueName="[TableP0to5].[Apr-23]" caption="Apr-23" attribute="1" defaultMemberUniqueName="[TableP0to5].[Apr-23].[All]" allUniqueName="[TableP0to5].[Apr-23].[All]" dimensionUniqueName="[TableP0to5]" displayFolder="" count="0" memberValueDatatype="5" unbalanced="0"/>
    <cacheHierarchy uniqueName="[TableP0to5].[May-23]" caption="May-23" attribute="1" defaultMemberUniqueName="[TableP0to5].[May-23].[All]" allUniqueName="[TableP0to5].[May-23].[All]" dimensionUniqueName="[TableP0to5]" displayFolder="" count="0" memberValueDatatype="5" unbalanced="0"/>
    <cacheHierarchy uniqueName="[TableP0to5].[Jun-23]" caption="Jun-23" attribute="1" defaultMemberUniqueName="[TableP0to5].[Jun-23].[All]" allUniqueName="[TableP0to5].[Jun-23].[All]" dimensionUniqueName="[TableP0to5]" displayFolder="" count="0" memberValueDatatype="5" unbalanced="0"/>
    <cacheHierarchy uniqueName="[TableP0to5].[Jul-23]" caption="Jul-23" attribute="1" defaultMemberUniqueName="[TableP0to5].[Jul-23].[All]" allUniqueName="[TableP0to5].[Jul-23].[All]" dimensionUniqueName="[TableP0to5]" displayFolder="" count="0" memberValueDatatype="5" unbalanced="0"/>
    <cacheHierarchy uniqueName="[TableP0to5].[Aug-23]" caption="Aug-23" attribute="1" defaultMemberUniqueName="[TableP0to5].[Aug-23].[All]" allUniqueName="[TableP0to5].[Aug-23].[All]" dimensionUniqueName="[TableP0to5]" displayFolder="" count="0" memberValueDatatype="5" unbalanced="0"/>
    <cacheHierarchy uniqueName="[TableP0to5].[Sep-23]" caption="Sep-23" attribute="1" defaultMemberUniqueName="[TableP0to5].[Sep-23].[All]" allUniqueName="[TableP0to5].[Sep-23].[All]" dimensionUniqueName="[TableP0to5]" displayFolder="" count="0" memberValueDatatype="5" unbalanced="0"/>
    <cacheHierarchy uniqueName="[TableP0to5].[Oct-23]" caption="Oct-23" attribute="1" defaultMemberUniqueName="[TableP0to5].[Oct-23].[All]" allUniqueName="[TableP0to5].[Oct-23].[All]" dimensionUniqueName="[TableP0to5]" displayFolder="" count="0" memberValueDatatype="5" unbalanced="0"/>
    <cacheHierarchy uniqueName="[TableP0to5].[Nov-23]" caption="Nov-23" attribute="1" defaultMemberUniqueName="[TableP0to5].[Nov-23].[All]" allUniqueName="[TableP0to5].[Nov-23].[All]" dimensionUniqueName="[TableP0to5]" displayFolder="" count="0" memberValueDatatype="5" unbalanced="0"/>
    <cacheHierarchy uniqueName="[TableP0to5].[Dec-23]" caption="Dec-23" attribute="1" defaultMemberUniqueName="[TableP0to5].[Dec-23].[All]" allUniqueName="[TableP0to5].[Dec-23].[All]" dimensionUniqueName="[TableP0to5]"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TableP0to5]" caption="__XL_Count TableP0to5" measure="1" displayFolder="" measureGroup="TableP0to5"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Jan-23]" caption="Sum of Jan-23" measure="1" displayFolder="" measureGroup="Table1" count="0" hidden="1">
      <extLst>
        <ext xmlns:x15="http://schemas.microsoft.com/office/spreadsheetml/2010/11/main" uri="{B97F6D7D-B522-45F9-BDA1-12C45D357490}">
          <x15:cacheHierarchy aggregatedColumn="27"/>
        </ext>
      </extLst>
    </cacheHierarchy>
    <cacheHierarchy uniqueName="[Measures].[Sum of Feb-23]" caption="Sum of Feb-23" measure="1" displayFolder="" measureGroup="Table1" count="0" hidden="1">
      <extLst>
        <ext xmlns:x15="http://schemas.microsoft.com/office/spreadsheetml/2010/11/main" uri="{B97F6D7D-B522-45F9-BDA1-12C45D357490}">
          <x15:cacheHierarchy aggregatedColumn="28"/>
        </ext>
      </extLst>
    </cacheHierarchy>
    <cacheHierarchy uniqueName="[Measures].[Sum of Mar-23]" caption="Sum of Mar-23" measure="1" displayFolder="" measureGroup="Table1" count="0" hidden="1">
      <extLst>
        <ext xmlns:x15="http://schemas.microsoft.com/office/spreadsheetml/2010/11/main" uri="{B97F6D7D-B522-45F9-BDA1-12C45D357490}">
          <x15:cacheHierarchy aggregatedColumn="29"/>
        </ext>
      </extLst>
    </cacheHierarchy>
    <cacheHierarchy uniqueName="[Measures].[Sum of Apr-23]" caption="Sum of Apr-23" measure="1" displayFolder="" measureGroup="Table1" count="0" hidden="1">
      <extLst>
        <ext xmlns:x15="http://schemas.microsoft.com/office/spreadsheetml/2010/11/main" uri="{B97F6D7D-B522-45F9-BDA1-12C45D357490}">
          <x15:cacheHierarchy aggregatedColumn="30"/>
        </ext>
      </extLst>
    </cacheHierarchy>
    <cacheHierarchy uniqueName="[Measures].[Sum of May-23]" caption="Sum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an-23]" caption="Average of Jan-23" measure="1" displayFolder="" measureGroup="Table1" count="0" hidden="1">
      <extLst>
        <ext xmlns:x15="http://schemas.microsoft.com/office/spreadsheetml/2010/11/main" uri="{B97F6D7D-B522-45F9-BDA1-12C45D357490}">
          <x15:cacheHierarchy aggregatedColumn="27"/>
        </ext>
      </extLst>
    </cacheHierarchy>
    <cacheHierarchy uniqueName="[Measures].[Sum of Jun-23]" caption="Sum of Jun-23" measure="1" displayFolder="" measureGroup="Table1" count="0" hidden="1">
      <extLst>
        <ext xmlns:x15="http://schemas.microsoft.com/office/spreadsheetml/2010/11/main" uri="{B97F6D7D-B522-45F9-BDA1-12C45D357490}">
          <x15:cacheHierarchy aggregatedColumn="32"/>
        </ext>
      </extLst>
    </cacheHierarchy>
    <cacheHierarchy uniqueName="[Measures].[Sum of Jul-23]" caption="Sum of Jul-23" measure="1" displayFolder="" measureGroup="Table1" count="0" hidden="1">
      <extLst>
        <ext xmlns:x15="http://schemas.microsoft.com/office/spreadsheetml/2010/11/main" uri="{B97F6D7D-B522-45F9-BDA1-12C45D357490}">
          <x15:cacheHierarchy aggregatedColumn="33"/>
        </ext>
      </extLst>
    </cacheHierarchy>
    <cacheHierarchy uniqueName="[Measures].[Sum of Aug-23]" caption="Sum of Aug-23" measure="1" displayFolder="" measureGroup="Table1" count="0" hidden="1">
      <extLst>
        <ext xmlns:x15="http://schemas.microsoft.com/office/spreadsheetml/2010/11/main" uri="{B97F6D7D-B522-45F9-BDA1-12C45D357490}">
          <x15:cacheHierarchy aggregatedColumn="34"/>
        </ext>
      </extLst>
    </cacheHierarchy>
    <cacheHierarchy uniqueName="[Measures].[Sum of Sep-23]" caption="Sum of Sep-23" measure="1" displayFolder="" measureGroup="Table1" count="0" hidden="1">
      <extLst>
        <ext xmlns:x15="http://schemas.microsoft.com/office/spreadsheetml/2010/11/main" uri="{B97F6D7D-B522-45F9-BDA1-12C45D357490}">
          <x15:cacheHierarchy aggregatedColumn="35"/>
        </ext>
      </extLst>
    </cacheHierarchy>
    <cacheHierarchy uniqueName="[Measures].[Sum of Oct-23]" caption="Sum of Oct-23" measure="1" displayFolder="" measureGroup="Table1" count="0" hidden="1">
      <extLst>
        <ext xmlns:x15="http://schemas.microsoft.com/office/spreadsheetml/2010/11/main" uri="{B97F6D7D-B522-45F9-BDA1-12C45D357490}">
          <x15:cacheHierarchy aggregatedColumn="36"/>
        </ext>
      </extLst>
    </cacheHierarchy>
    <cacheHierarchy uniqueName="[Measures].[Sum of Nov-23]" caption="Sum of Nov-23" measure="1" displayFolder="" measureGroup="Table1" count="0" hidden="1">
      <extLst>
        <ext xmlns:x15="http://schemas.microsoft.com/office/spreadsheetml/2010/11/main" uri="{B97F6D7D-B522-45F9-BDA1-12C45D357490}">
          <x15:cacheHierarchy aggregatedColumn="37"/>
        </ext>
      </extLst>
    </cacheHierarchy>
    <cacheHierarchy uniqueName="[Measures].[Sum of Dec-23]" caption="Sum of Dec-23" measure="1" displayFolder="" measureGroup="Table1" count="0" hidden="1">
      <extLst>
        <ext xmlns:x15="http://schemas.microsoft.com/office/spreadsheetml/2010/11/main" uri="{B97F6D7D-B522-45F9-BDA1-12C45D357490}">
          <x15:cacheHierarchy aggregatedColumn="38"/>
        </ext>
      </extLst>
    </cacheHierarchy>
    <cacheHierarchy uniqueName="[Measures].[Average of Feb-23]" caption="Average of Feb-23" measure="1" displayFolder="" measureGroup="Table1" count="0" hidden="1">
      <extLst>
        <ext xmlns:x15="http://schemas.microsoft.com/office/spreadsheetml/2010/11/main" uri="{B97F6D7D-B522-45F9-BDA1-12C45D357490}">
          <x15:cacheHierarchy aggregatedColumn="28"/>
        </ext>
      </extLst>
    </cacheHierarchy>
    <cacheHierarchy uniqueName="[Measures].[Average of Mar-23]" caption="Average of Mar-23" measure="1" displayFolder="" measureGroup="Table1" count="0" hidden="1">
      <extLst>
        <ext xmlns:x15="http://schemas.microsoft.com/office/spreadsheetml/2010/11/main" uri="{B97F6D7D-B522-45F9-BDA1-12C45D357490}">
          <x15:cacheHierarchy aggregatedColumn="29"/>
        </ext>
      </extLst>
    </cacheHierarchy>
    <cacheHierarchy uniqueName="[Measures].[Average of Apr-23]" caption="Average of Apr-23" measure="1" displayFolder="" measureGroup="Table1" count="0" hidden="1">
      <extLst>
        <ext xmlns:x15="http://schemas.microsoft.com/office/spreadsheetml/2010/11/main" uri="{B97F6D7D-B522-45F9-BDA1-12C45D357490}">
          <x15:cacheHierarchy aggregatedColumn="30"/>
        </ext>
      </extLst>
    </cacheHierarchy>
    <cacheHierarchy uniqueName="[Measures].[Average of May-23]" caption="Average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un-23]" caption="Average of Jun-23" measure="1" displayFolder="" measureGroup="Table1" count="0" hidden="1">
      <extLst>
        <ext xmlns:x15="http://schemas.microsoft.com/office/spreadsheetml/2010/11/main" uri="{B97F6D7D-B522-45F9-BDA1-12C45D357490}">
          <x15:cacheHierarchy aggregatedColumn="32"/>
        </ext>
      </extLst>
    </cacheHierarchy>
    <cacheHierarchy uniqueName="[Measures].[Average of Jul-23]" caption="Average of Jul-23" measure="1" displayFolder="" measureGroup="Table1" count="0" hidden="1">
      <extLst>
        <ext xmlns:x15="http://schemas.microsoft.com/office/spreadsheetml/2010/11/main" uri="{B97F6D7D-B522-45F9-BDA1-12C45D357490}">
          <x15:cacheHierarchy aggregatedColumn="33"/>
        </ext>
      </extLst>
    </cacheHierarchy>
    <cacheHierarchy uniqueName="[Measures].[Average of Aug-23]" caption="Average of Aug-23" measure="1" displayFolder="" measureGroup="Table1" count="0" hidden="1">
      <extLst>
        <ext xmlns:x15="http://schemas.microsoft.com/office/spreadsheetml/2010/11/main" uri="{B97F6D7D-B522-45F9-BDA1-12C45D357490}">
          <x15:cacheHierarchy aggregatedColumn="34"/>
        </ext>
      </extLst>
    </cacheHierarchy>
    <cacheHierarchy uniqueName="[Measures].[Average of Sep-23]" caption="Average of Sep-23" measure="1" displayFolder="" measureGroup="Table1" count="0" hidden="1">
      <extLst>
        <ext xmlns:x15="http://schemas.microsoft.com/office/spreadsheetml/2010/11/main" uri="{B97F6D7D-B522-45F9-BDA1-12C45D357490}">
          <x15:cacheHierarchy aggregatedColumn="35"/>
        </ext>
      </extLst>
    </cacheHierarchy>
    <cacheHierarchy uniqueName="[Measures].[Average of Oct-23]" caption="Average of Oct-23" measure="1" displayFolder="" measureGroup="Table1" count="0" hidden="1">
      <extLst>
        <ext xmlns:x15="http://schemas.microsoft.com/office/spreadsheetml/2010/11/main" uri="{B97F6D7D-B522-45F9-BDA1-12C45D357490}">
          <x15:cacheHierarchy aggregatedColumn="36"/>
        </ext>
      </extLst>
    </cacheHierarchy>
    <cacheHierarchy uniqueName="[Measures].[Average of Nov-23]" caption="Average of Nov-23" measure="1" displayFolder="" measureGroup="Table1" count="0" hidden="1">
      <extLst>
        <ext xmlns:x15="http://schemas.microsoft.com/office/spreadsheetml/2010/11/main" uri="{B97F6D7D-B522-45F9-BDA1-12C45D357490}">
          <x15:cacheHierarchy aggregatedColumn="37"/>
        </ext>
      </extLst>
    </cacheHierarchy>
    <cacheHierarchy uniqueName="[Measures].[Average of Dec-23]" caption="Average of Dec-23" measure="1" displayFolder="" measureGroup="Table1" count="0" hidden="1">
      <extLst>
        <ext xmlns:x15="http://schemas.microsoft.com/office/spreadsheetml/2010/11/main" uri="{B97F6D7D-B522-45F9-BDA1-12C45D357490}">
          <x15:cacheHierarchy aggregatedColumn="38"/>
        </ext>
      </extLst>
    </cacheHierarchy>
    <cacheHierarchy uniqueName="[Measures].[Sum of Jan-23 2]" caption="Sum of Jan-23 2" measure="1" displayFolder="" measureGroup="Range" count="0" hidden="1">
      <extLst>
        <ext xmlns:x15="http://schemas.microsoft.com/office/spreadsheetml/2010/11/main" uri="{B97F6D7D-B522-45F9-BDA1-12C45D357490}">
          <x15:cacheHierarchy aggregatedColumn="1"/>
        </ext>
      </extLst>
    </cacheHierarchy>
    <cacheHierarchy uniqueName="[Measures].[Sum of Feb-23 2]" caption="Sum of Feb-23 2" measure="1" displayFolder="" measureGroup="Range" count="0" hidden="1">
      <extLst>
        <ext xmlns:x15="http://schemas.microsoft.com/office/spreadsheetml/2010/11/main" uri="{B97F6D7D-B522-45F9-BDA1-12C45D357490}">
          <x15:cacheHierarchy aggregatedColumn="2"/>
        </ext>
      </extLst>
    </cacheHierarchy>
    <cacheHierarchy uniqueName="[Measures].[Sum of Mar-23 2]" caption="Sum of Mar-23 2" measure="1" displayFolder="" measureGroup="Range" count="0" hidden="1">
      <extLst>
        <ext xmlns:x15="http://schemas.microsoft.com/office/spreadsheetml/2010/11/main" uri="{B97F6D7D-B522-45F9-BDA1-12C45D357490}">
          <x15:cacheHierarchy aggregatedColumn="3"/>
        </ext>
      </extLst>
    </cacheHierarchy>
    <cacheHierarchy uniqueName="[Measures].[Sum of Apr-23 2]" caption="Sum of Apr-23 2" measure="1" displayFolder="" measureGroup="Range" count="0" hidden="1">
      <extLst>
        <ext xmlns:x15="http://schemas.microsoft.com/office/spreadsheetml/2010/11/main" uri="{B97F6D7D-B522-45F9-BDA1-12C45D357490}">
          <x15:cacheHierarchy aggregatedColumn="4"/>
        </ext>
      </extLst>
    </cacheHierarchy>
    <cacheHierarchy uniqueName="[Measures].[Sum of May-23 2]" caption="Sum of May-23 2" measure="1" displayFolder="" measureGroup="Range" count="0" hidden="1">
      <extLst>
        <ext xmlns:x15="http://schemas.microsoft.com/office/spreadsheetml/2010/11/main" uri="{B97F6D7D-B522-45F9-BDA1-12C45D357490}">
          <x15:cacheHierarchy aggregatedColumn="5"/>
        </ext>
      </extLst>
    </cacheHierarchy>
    <cacheHierarchy uniqueName="[Measures].[Sum of Jun-23 2]" caption="Sum of Jun-23 2" measure="1" displayFolder="" measureGroup="Range" count="0" hidden="1">
      <extLst>
        <ext xmlns:x15="http://schemas.microsoft.com/office/spreadsheetml/2010/11/main" uri="{B97F6D7D-B522-45F9-BDA1-12C45D357490}">
          <x15:cacheHierarchy aggregatedColumn="6"/>
        </ext>
      </extLst>
    </cacheHierarchy>
    <cacheHierarchy uniqueName="[Measures].[Sum of Jul-23 2]" caption="Sum of Jul-23 2" measure="1" displayFolder="" measureGroup="Range" count="0" hidden="1">
      <extLst>
        <ext xmlns:x15="http://schemas.microsoft.com/office/spreadsheetml/2010/11/main" uri="{B97F6D7D-B522-45F9-BDA1-12C45D357490}">
          <x15:cacheHierarchy aggregatedColumn="7"/>
        </ext>
      </extLst>
    </cacheHierarchy>
    <cacheHierarchy uniqueName="[Measures].[Sum of Aug-23 2]" caption="Sum of Aug-23 2" measure="1" displayFolder="" measureGroup="Range" count="0" hidden="1">
      <extLst>
        <ext xmlns:x15="http://schemas.microsoft.com/office/spreadsheetml/2010/11/main" uri="{B97F6D7D-B522-45F9-BDA1-12C45D357490}">
          <x15:cacheHierarchy aggregatedColumn="8"/>
        </ext>
      </extLst>
    </cacheHierarchy>
    <cacheHierarchy uniqueName="[Measures].[Sum of Sep-23 2]" caption="Sum of Sep-23 2" measure="1" displayFolder="" measureGroup="Range" count="0" hidden="1">
      <extLst>
        <ext xmlns:x15="http://schemas.microsoft.com/office/spreadsheetml/2010/11/main" uri="{B97F6D7D-B522-45F9-BDA1-12C45D357490}">
          <x15:cacheHierarchy aggregatedColumn="9"/>
        </ext>
      </extLst>
    </cacheHierarchy>
    <cacheHierarchy uniqueName="[Measures].[Sum of Oct-23 2]" caption="Sum of Oct-23 2" measure="1" displayFolder="" measureGroup="Range" count="0" hidden="1">
      <extLst>
        <ext xmlns:x15="http://schemas.microsoft.com/office/spreadsheetml/2010/11/main" uri="{B97F6D7D-B522-45F9-BDA1-12C45D357490}">
          <x15:cacheHierarchy aggregatedColumn="10"/>
        </ext>
      </extLst>
    </cacheHierarchy>
    <cacheHierarchy uniqueName="[Measures].[Sum of Nov-23 2]" caption="Sum of Nov-23 2" measure="1" displayFolder="" measureGroup="Range" count="0" hidden="1">
      <extLst>
        <ext xmlns:x15="http://schemas.microsoft.com/office/spreadsheetml/2010/11/main" uri="{B97F6D7D-B522-45F9-BDA1-12C45D357490}">
          <x15:cacheHierarchy aggregatedColumn="11"/>
        </ext>
      </extLst>
    </cacheHierarchy>
    <cacheHierarchy uniqueName="[Measures].[Sum of Dec-23 2]" caption="Sum of Dec-23 2" measure="1" displayFolder="" measureGroup="Range" count="0" hidden="1">
      <extLst>
        <ext xmlns:x15="http://schemas.microsoft.com/office/spreadsheetml/2010/11/main" uri="{B97F6D7D-B522-45F9-BDA1-12C45D357490}">
          <x15:cacheHierarchy aggregatedColumn="12"/>
        </ext>
      </extLst>
    </cacheHierarchy>
    <cacheHierarchy uniqueName="[Measures].[Average of Jan-23 2]" caption="Average of Jan-23 2" measure="1" displayFolder="" measureGroup="Range" count="0" hidden="1">
      <extLst>
        <ext xmlns:x15="http://schemas.microsoft.com/office/spreadsheetml/2010/11/main" uri="{B97F6D7D-B522-45F9-BDA1-12C45D357490}">
          <x15:cacheHierarchy aggregatedColumn="1"/>
        </ext>
      </extLst>
    </cacheHierarchy>
    <cacheHierarchy uniqueName="[Measures].[Sum of Jan-23 3]" caption="Sum of Jan-23 3" measure="1" displayFolder="" measureGroup="TableP0to5" count="0" hidden="1">
      <extLst>
        <ext xmlns:x15="http://schemas.microsoft.com/office/spreadsheetml/2010/11/main" uri="{B97F6D7D-B522-45F9-BDA1-12C45D357490}">
          <x15:cacheHierarchy aggregatedColumn="40"/>
        </ext>
      </extLst>
    </cacheHierarchy>
    <cacheHierarchy uniqueName="[Measures].[Sum of Feb-23 3]" caption="Sum of Feb-23 3" measure="1" displayFolder="" measureGroup="TableP0to5" count="0" hidden="1">
      <extLst>
        <ext xmlns:x15="http://schemas.microsoft.com/office/spreadsheetml/2010/11/main" uri="{B97F6D7D-B522-45F9-BDA1-12C45D357490}">
          <x15:cacheHierarchy aggregatedColumn="41"/>
        </ext>
      </extLst>
    </cacheHierarchy>
    <cacheHierarchy uniqueName="[Measures].[Sum of Mar-23 3]" caption="Sum of Mar-23 3" measure="1" displayFolder="" measureGroup="TableP0to5" count="0" hidden="1">
      <extLst>
        <ext xmlns:x15="http://schemas.microsoft.com/office/spreadsheetml/2010/11/main" uri="{B97F6D7D-B522-45F9-BDA1-12C45D357490}">
          <x15:cacheHierarchy aggregatedColumn="42"/>
        </ext>
      </extLst>
    </cacheHierarchy>
    <cacheHierarchy uniqueName="[Measures].[Sum of Apr-23 3]" caption="Sum of Apr-23 3" measure="1" displayFolder="" measureGroup="TableP0to5" count="0" hidden="1">
      <extLst>
        <ext xmlns:x15="http://schemas.microsoft.com/office/spreadsheetml/2010/11/main" uri="{B97F6D7D-B522-45F9-BDA1-12C45D357490}">
          <x15:cacheHierarchy aggregatedColumn="43"/>
        </ext>
      </extLst>
    </cacheHierarchy>
    <cacheHierarchy uniqueName="[Measures].[Sum of May-23 3]" caption="Sum of May-23 3" measure="1" displayFolder="" measureGroup="TableP0to5" count="0" hidden="1">
      <extLst>
        <ext xmlns:x15="http://schemas.microsoft.com/office/spreadsheetml/2010/11/main" uri="{B97F6D7D-B522-45F9-BDA1-12C45D357490}">
          <x15:cacheHierarchy aggregatedColumn="44"/>
        </ext>
      </extLst>
    </cacheHierarchy>
    <cacheHierarchy uniqueName="[Measures].[Sum of Jun-23 3]" caption="Sum of Jun-23 3" measure="1" displayFolder="" measureGroup="TableP0to5" count="0" hidden="1">
      <extLst>
        <ext xmlns:x15="http://schemas.microsoft.com/office/spreadsheetml/2010/11/main" uri="{B97F6D7D-B522-45F9-BDA1-12C45D357490}">
          <x15:cacheHierarchy aggregatedColumn="45"/>
        </ext>
      </extLst>
    </cacheHierarchy>
    <cacheHierarchy uniqueName="[Measures].[Sum of Jul-23 3]" caption="Sum of Jul-23 3" measure="1" displayFolder="" measureGroup="TableP0to5" count="0" hidden="1">
      <extLst>
        <ext xmlns:x15="http://schemas.microsoft.com/office/spreadsheetml/2010/11/main" uri="{B97F6D7D-B522-45F9-BDA1-12C45D357490}">
          <x15:cacheHierarchy aggregatedColumn="46"/>
        </ext>
      </extLst>
    </cacheHierarchy>
    <cacheHierarchy uniqueName="[Measures].[Sum of Aug-23 3]" caption="Sum of Aug-23 3" measure="1" displayFolder="" measureGroup="TableP0to5" count="0" hidden="1">
      <extLst>
        <ext xmlns:x15="http://schemas.microsoft.com/office/spreadsheetml/2010/11/main" uri="{B97F6D7D-B522-45F9-BDA1-12C45D357490}">
          <x15:cacheHierarchy aggregatedColumn="47"/>
        </ext>
      </extLst>
    </cacheHierarchy>
    <cacheHierarchy uniqueName="[Measures].[Sum of Sep-23 3]" caption="Sum of Sep-23 3" measure="1" displayFolder="" measureGroup="TableP0to5" count="0" hidden="1">
      <extLst>
        <ext xmlns:x15="http://schemas.microsoft.com/office/spreadsheetml/2010/11/main" uri="{B97F6D7D-B522-45F9-BDA1-12C45D357490}">
          <x15:cacheHierarchy aggregatedColumn="48"/>
        </ext>
      </extLst>
    </cacheHierarchy>
    <cacheHierarchy uniqueName="[Measures].[Sum of Oct-23 3]" caption="Sum of Oct-23 3" measure="1" displayFolder="" measureGroup="TableP0to5" count="0" hidden="1">
      <extLst>
        <ext xmlns:x15="http://schemas.microsoft.com/office/spreadsheetml/2010/11/main" uri="{B97F6D7D-B522-45F9-BDA1-12C45D357490}">
          <x15:cacheHierarchy aggregatedColumn="49"/>
        </ext>
      </extLst>
    </cacheHierarchy>
    <cacheHierarchy uniqueName="[Measures].[Sum of Nov-23 3]" caption="Sum of Nov-23 3" measure="1" displayFolder="" measureGroup="TableP0to5" count="0" hidden="1">
      <extLst>
        <ext xmlns:x15="http://schemas.microsoft.com/office/spreadsheetml/2010/11/main" uri="{B97F6D7D-B522-45F9-BDA1-12C45D357490}">
          <x15:cacheHierarchy aggregatedColumn="50"/>
        </ext>
      </extLst>
    </cacheHierarchy>
    <cacheHierarchy uniqueName="[Measures].[Sum of Dec-23 3]" caption="Sum of Dec-23 3" measure="1" displayFolder="" measureGroup="TableP0to5" count="0" hidden="1">
      <extLst>
        <ext xmlns:x15="http://schemas.microsoft.com/office/spreadsheetml/2010/11/main" uri="{B97F6D7D-B522-45F9-BDA1-12C45D357490}">
          <x15:cacheHierarchy aggregatedColumn="51"/>
        </ext>
      </extLst>
    </cacheHierarchy>
    <cacheHierarchy uniqueName="[Measures].[Average of Jan-23 3]" caption="Average of Jan-23 3" measure="1" displayFolder="" measureGroup="TableP0to5" count="0" hidden="1">
      <extLst>
        <ext xmlns:x15="http://schemas.microsoft.com/office/spreadsheetml/2010/11/main" uri="{B97F6D7D-B522-45F9-BDA1-12C45D357490}">
          <x15:cacheHierarchy aggregatedColumn="40"/>
        </ext>
      </extLst>
    </cacheHierarchy>
    <cacheHierarchy uniqueName="[Measures].[Average of Feb-23 2]" caption="Average of Feb-23 2" measure="1" displayFolder="" measureGroup="TableP0to5" count="0" hidden="1">
      <extLst>
        <ext xmlns:x15="http://schemas.microsoft.com/office/spreadsheetml/2010/11/main" uri="{B97F6D7D-B522-45F9-BDA1-12C45D357490}">
          <x15:cacheHierarchy aggregatedColumn="41"/>
        </ext>
      </extLst>
    </cacheHierarchy>
    <cacheHierarchy uniqueName="[Measures].[Average of Mar-23 2]" caption="Average of Mar-23 2" measure="1" displayFolder="" measureGroup="TableP0to5" count="0" hidden="1">
      <extLst>
        <ext xmlns:x15="http://schemas.microsoft.com/office/spreadsheetml/2010/11/main" uri="{B97F6D7D-B522-45F9-BDA1-12C45D357490}">
          <x15:cacheHierarchy aggregatedColumn="42"/>
        </ext>
      </extLst>
    </cacheHierarchy>
    <cacheHierarchy uniqueName="[Measures].[Average of Apr-23 2]" caption="Average of Apr-23 2" measure="1" displayFolder="" measureGroup="TableP0to5" count="0" hidden="1">
      <extLst>
        <ext xmlns:x15="http://schemas.microsoft.com/office/spreadsheetml/2010/11/main" uri="{B97F6D7D-B522-45F9-BDA1-12C45D357490}">
          <x15:cacheHierarchy aggregatedColumn="43"/>
        </ext>
      </extLst>
    </cacheHierarchy>
    <cacheHierarchy uniqueName="[Measures].[Average of May-23 2]" caption="Average of May-23 2" measure="1" displayFolder="" measureGroup="TableP0to5" count="0" hidden="1">
      <extLst>
        <ext xmlns:x15="http://schemas.microsoft.com/office/spreadsheetml/2010/11/main" uri="{B97F6D7D-B522-45F9-BDA1-12C45D357490}">
          <x15:cacheHierarchy aggregatedColumn="44"/>
        </ext>
      </extLst>
    </cacheHierarchy>
    <cacheHierarchy uniqueName="[Measures].[Average of Jun-23 2]" caption="Average of Jun-23 2" measure="1" displayFolder="" measureGroup="TableP0to5" count="0" hidden="1">
      <extLst>
        <ext xmlns:x15="http://schemas.microsoft.com/office/spreadsheetml/2010/11/main" uri="{B97F6D7D-B522-45F9-BDA1-12C45D357490}">
          <x15:cacheHierarchy aggregatedColumn="45"/>
        </ext>
      </extLst>
    </cacheHierarchy>
    <cacheHierarchy uniqueName="[Measures].[Average of Jul-23 2]" caption="Average of Jul-23 2" measure="1" displayFolder="" measureGroup="TableP0to5" count="0" hidden="1">
      <extLst>
        <ext xmlns:x15="http://schemas.microsoft.com/office/spreadsheetml/2010/11/main" uri="{B97F6D7D-B522-45F9-BDA1-12C45D357490}">
          <x15:cacheHierarchy aggregatedColumn="46"/>
        </ext>
      </extLst>
    </cacheHierarchy>
    <cacheHierarchy uniqueName="[Measures].[Average of Aug-23 2]" caption="Average of Aug-23 2" measure="1" displayFolder="" measureGroup="TableP0to5" count="0" hidden="1">
      <extLst>
        <ext xmlns:x15="http://schemas.microsoft.com/office/spreadsheetml/2010/11/main" uri="{B97F6D7D-B522-45F9-BDA1-12C45D357490}">
          <x15:cacheHierarchy aggregatedColumn="47"/>
        </ext>
      </extLst>
    </cacheHierarchy>
    <cacheHierarchy uniqueName="[Measures].[Average of Sep-23 2]" caption="Average of Sep-23 2" measure="1" displayFolder="" measureGroup="TableP0to5" count="0" hidden="1">
      <extLst>
        <ext xmlns:x15="http://schemas.microsoft.com/office/spreadsheetml/2010/11/main" uri="{B97F6D7D-B522-45F9-BDA1-12C45D357490}">
          <x15:cacheHierarchy aggregatedColumn="48"/>
        </ext>
      </extLst>
    </cacheHierarchy>
    <cacheHierarchy uniqueName="[Measures].[Average of Oct-23 2]" caption="Average of Oct-23 2" measure="1" displayFolder="" measureGroup="TableP0to5" count="0" hidden="1">
      <extLst>
        <ext xmlns:x15="http://schemas.microsoft.com/office/spreadsheetml/2010/11/main" uri="{B97F6D7D-B522-45F9-BDA1-12C45D357490}">
          <x15:cacheHierarchy aggregatedColumn="49"/>
        </ext>
      </extLst>
    </cacheHierarchy>
    <cacheHierarchy uniqueName="[Measures].[Average of Nov-23 2]" caption="Average of Nov-23 2" measure="1" displayFolder="" measureGroup="TableP0to5" count="0" hidden="1">
      <extLst>
        <ext xmlns:x15="http://schemas.microsoft.com/office/spreadsheetml/2010/11/main" uri="{B97F6D7D-B522-45F9-BDA1-12C45D357490}">
          <x15:cacheHierarchy aggregatedColumn="50"/>
        </ext>
      </extLst>
    </cacheHierarchy>
    <cacheHierarchy uniqueName="[Measures].[Max of Dec-23]" caption="Max of Dec-23" measure="1" displayFolder="" measureGroup="TableP0to5" count="0" hidden="1">
      <extLst>
        <ext xmlns:x15="http://schemas.microsoft.com/office/spreadsheetml/2010/11/main" uri="{B97F6D7D-B522-45F9-BDA1-12C45D357490}">
          <x15:cacheHierarchy aggregatedColumn="51"/>
        </ext>
      </extLst>
    </cacheHierarchy>
    <cacheHierarchy uniqueName="[Measures].[Average of Dec-23 2]" caption="Average of Dec-23 2" measure="1" displayFolder="" measureGroup="TableP0to5" count="0" hidden="1">
      <extLst>
        <ext xmlns:x15="http://schemas.microsoft.com/office/spreadsheetml/2010/11/main" uri="{B97F6D7D-B522-45F9-BDA1-12C45D357490}">
          <x15:cacheHierarchy aggregatedColumn="51"/>
        </ext>
      </extLst>
    </cacheHierarchy>
    <cacheHierarchy uniqueName="[Measures].[Sum of Jan-23 4]" caption="Sum of Jan-23 4" measure="1" displayFolder="" measureGroup="Range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23 4]" caption="Sum of Feb-23 4" measure="1" displayFolder="" measureGroup="Range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23 4]" caption="Sum of Mar-23 4" measure="1" displayFolder="" measureGroup="Range 1"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23 4]" caption="Sum of Apr-23 4" measure="1" displayFolder="" measureGroup="Range 1"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23 4]" caption="Sum of May-23 4" measure="1" displayFolder="" measureGroup="Range 1"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23 4]" caption="Sum of Jun-23 4" measure="1" displayFolder="" measureGroup="Range 1"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23 4]" caption="Sum of Jul-23 4" measure="1" displayFolder="" measureGroup="Range 1"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23 4]" caption="Sum of Aug-23 4" measure="1" displayFolder="" measureGroup="Range 1"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23 4]" caption="Sum of Sep-23 4" measure="1" displayFolder="" measureGroup="Range 1"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23 4]" caption="Sum of Oct-23 4" measure="1" displayFolder="" measureGroup="Range 1"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23 4]" caption="Sum of Nov-23 4" measure="1" displayFolder="" measureGroup="Range 1"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23 4]" caption="Sum of Dec-23 4" measure="1" displayFolder="" measureGroup="Range 1" count="0" oneField="1" hidden="1">
      <fieldsUsage count="1">
        <fieldUsage x="12"/>
      </fieldsUsage>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Table1" uniqueName="[Table1]" caption="Table1"/>
    <dimension name="TableP0to5" uniqueName="[TableP0to5]" caption="TableP0to5"/>
  </dimensions>
  <measureGroups count="4">
    <measureGroup name="Range" caption="Range"/>
    <measureGroup name="Range 1" caption="Range 1"/>
    <measureGroup name="Table1" caption="Table1"/>
    <measureGroup name="TableP0to5" caption="TableP0to5"/>
  </measureGroups>
  <maps count="8">
    <map measureGroup="0" dimension="1"/>
    <map measureGroup="1" dimension="1"/>
    <map measureGroup="1" dimension="2"/>
    <map measureGroup="2"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432.535779398146" backgroundQuery="1" createdVersion="8" refreshedVersion="8" minRefreshableVersion="3" recordCount="0" supportSubquery="1" supportAdvancedDrill="1" xr:uid="{9F29AE95-6011-4425-AC73-4EBB7EF3AF3D}">
  <cacheSource type="external" connectionId="2"/>
  <cacheFields count="14">
    <cacheField name="[TableP0to5].[Admin 1].[Admin 1]" caption="Admin 1" numFmtId="0" hierarchy="39" level="1">
      <sharedItems count="34">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Takhar"/>
        <s v="Urozgan"/>
        <s v="Wardak"/>
        <s v="Zabul"/>
      </sharedItems>
    </cacheField>
    <cacheField name="[Measures].[Average of Jan-23 3]" caption="Average of Jan-23 3" numFmtId="0" hierarchy="106" level="32767"/>
    <cacheField name="[Measures].[Average of Feb-23 2]" caption="Average of Feb-23 2" numFmtId="0" hierarchy="107" level="32767"/>
    <cacheField name="[Measures].[Average of Mar-23 2]" caption="Average of Mar-23 2" numFmtId="0" hierarchy="108" level="32767"/>
    <cacheField name="[Measures].[Average of Apr-23 2]" caption="Average of Apr-23 2" numFmtId="0" hierarchy="109" level="32767"/>
    <cacheField name="[Measures].[Average of May-23 2]" caption="Average of May-23 2" numFmtId="0" hierarchy="110" level="32767"/>
    <cacheField name="[Measures].[Average of Jun-23 2]" caption="Average of Jun-23 2" numFmtId="0" hierarchy="111" level="32767"/>
    <cacheField name="[Measures].[Average of Jul-23 2]" caption="Average of Jul-23 2" numFmtId="0" hierarchy="112" level="32767"/>
    <cacheField name="[Measures].[Average of Aug-23 2]" caption="Average of Aug-23 2" numFmtId="0" hierarchy="113" level="32767"/>
    <cacheField name="[Measures].[Average of Sep-23 2]" caption="Average of Sep-23 2" numFmtId="0" hierarchy="114" level="32767"/>
    <cacheField name="[Measures].[Average of Oct-23 2]" caption="Average of Oct-23 2" numFmtId="0" hierarchy="115" level="32767"/>
    <cacheField name="[Measures].[Average of Nov-23 2]" caption="Average of Nov-23 2" numFmtId="0" hierarchy="116" level="32767"/>
    <cacheField name="[Measures].[Average of Dec-23 2]" caption="Average of Dec-23 2" numFmtId="0" hierarchy="118" level="32767"/>
    <cacheField name="[Range].[Admin 1].[Admin 1]" caption="Admin 1" numFmtId="0" level="1">
      <sharedItems containsSemiMixedTypes="0" containsNonDate="0" containsString="0"/>
    </cacheField>
  </cacheFields>
  <cacheHierarchies count="131">
    <cacheHierarchy uniqueName="[Range].[Admin 1]" caption="Admin 1" attribute="1" defaultMemberUniqueName="[Range].[Admin 1].[All]" allUniqueName="[Range].[Admin 1].[All]" dimensionUniqueName="[Range]" displayFolder="" count="2" memberValueDatatype="130" unbalanced="0">
      <fieldsUsage count="2">
        <fieldUsage x="-1"/>
        <fieldUsage x="13"/>
      </fieldsUsage>
    </cacheHierarchy>
    <cacheHierarchy uniqueName="[Range].[Jan-23]" caption="Jan-23" attribute="1" defaultMemberUniqueName="[Range].[Jan-23].[All]" allUniqueName="[Range].[Jan-23].[All]" dimensionUniqueName="[Range]" displayFolder="" count="0" memberValueDatatype="5" unbalanced="0"/>
    <cacheHierarchy uniqueName="[Range].[Feb-23]" caption="Feb-23" attribute="1" defaultMemberUniqueName="[Range].[Feb-23].[All]" allUniqueName="[Range].[Feb-23].[All]" dimensionUniqueName="[Range]" displayFolder="" count="0" memberValueDatatype="5" unbalanced="0"/>
    <cacheHierarchy uniqueName="[Range].[Mar-23]" caption="Mar-23" attribute="1" defaultMemberUniqueName="[Range].[Mar-23].[All]" allUniqueName="[Range].[Mar-23].[All]" dimensionUniqueName="[Range]" displayFolder="" count="0" memberValueDatatype="5" unbalanced="0"/>
    <cacheHierarchy uniqueName="[Range].[Apr-23]" caption="Apr-23" attribute="1" defaultMemberUniqueName="[Range].[Apr-23].[All]" allUniqueName="[Range].[Apr-23].[All]" dimensionUniqueName="[Range]" displayFolder="" count="0" memberValueDatatype="5" unbalanced="0"/>
    <cacheHierarchy uniqueName="[Range].[May-23]" caption="May-23" attribute="1" defaultMemberUniqueName="[Range].[May-23].[All]" allUniqueName="[Range].[May-23].[All]" dimensionUniqueName="[Range]" displayFolder="" count="0" memberValueDatatype="5" unbalanced="0"/>
    <cacheHierarchy uniqueName="[Range].[Jun-23]" caption="Jun-23" attribute="1" defaultMemberUniqueName="[Range].[Jun-23].[All]" allUniqueName="[Range].[Jun-23].[All]" dimensionUniqueName="[Range]" displayFolder="" count="0" memberValueDatatype="5" unbalanced="0"/>
    <cacheHierarchy uniqueName="[Range].[Jul-23]" caption="Jul-23" attribute="1" defaultMemberUniqueName="[Range].[Jul-23].[All]" allUniqueName="[Range].[Jul-23].[All]" dimensionUniqueName="[Range]" displayFolder="" count="0" memberValueDatatype="5" unbalanced="0"/>
    <cacheHierarchy uniqueName="[Range].[Aug-23]" caption="Aug-23" attribute="1" defaultMemberUniqueName="[Range].[Aug-23].[All]" allUniqueName="[Range].[Aug-23].[All]" dimensionUniqueName="[Range]" displayFolder="" count="0" memberValueDatatype="5" unbalanced="0"/>
    <cacheHierarchy uniqueName="[Range].[Sep-23]" caption="Sep-23" attribute="1" defaultMemberUniqueName="[Range].[Sep-23].[All]" allUniqueName="[Range].[Sep-23].[All]" dimensionUniqueName="[Range]" displayFolder="" count="0" memberValueDatatype="5" unbalanced="0"/>
    <cacheHierarchy uniqueName="[Range].[Oct-23]" caption="Oct-23" attribute="1" defaultMemberUniqueName="[Range].[Oct-23].[All]" allUniqueName="[Range].[Oct-23].[All]" dimensionUniqueName="[Range]" displayFolder="" count="0" memberValueDatatype="5" unbalanced="0"/>
    <cacheHierarchy uniqueName="[Range].[Nov-23]" caption="Nov-23" attribute="1" defaultMemberUniqueName="[Range].[Nov-23].[All]" allUniqueName="[Range].[Nov-23].[All]" dimensionUniqueName="[Range]" displayFolder="" count="0" memberValueDatatype="5" unbalanced="0"/>
    <cacheHierarchy uniqueName="[Range].[Dec-23]" caption="Dec-23" attribute="1" defaultMemberUniqueName="[Range].[Dec-23].[All]" allUniqueName="[Range].[Dec-23].[All]" dimensionUniqueName="[Range]" displayFolder="" count="0" memberValueDatatype="5" unbalanced="0"/>
    <cacheHierarchy uniqueName="[Range 1].[Admin 1]" caption="Admin 1" attribute="1" defaultMemberUniqueName="[Range 1].[Admin 1].[All]" allUniqueName="[Range 1].[Admin 1].[All]" dimensionUniqueName="[Range 1]" displayFolder="" count="0" memberValueDatatype="130" unbalanced="0"/>
    <cacheHierarchy uniqueName="[Range 1].[Jan-23]" caption="Jan-23" attribute="1" defaultMemberUniqueName="[Range 1].[Jan-23].[All]" allUniqueName="[Range 1].[Jan-23].[All]" dimensionUniqueName="[Range 1]" displayFolder="" count="0" memberValueDatatype="5" unbalanced="0"/>
    <cacheHierarchy uniqueName="[Range 1].[Feb-23]" caption="Feb-23" attribute="1" defaultMemberUniqueName="[Range 1].[Feb-23].[All]" allUniqueName="[Range 1].[Feb-23].[All]" dimensionUniqueName="[Range 1]" displayFolder="" count="0" memberValueDatatype="5" unbalanced="0"/>
    <cacheHierarchy uniqueName="[Range 1].[Mar-23]" caption="Mar-23" attribute="1" defaultMemberUniqueName="[Range 1].[Mar-23].[All]" allUniqueName="[Range 1].[Mar-23].[All]" dimensionUniqueName="[Range 1]" displayFolder="" count="0" memberValueDatatype="5" unbalanced="0"/>
    <cacheHierarchy uniqueName="[Range 1].[Apr-23]" caption="Apr-23" attribute="1" defaultMemberUniqueName="[Range 1].[Apr-23].[All]" allUniqueName="[Range 1].[Apr-23].[All]" dimensionUniqueName="[Range 1]" displayFolder="" count="0" memberValueDatatype="5" unbalanced="0"/>
    <cacheHierarchy uniqueName="[Range 1].[May-23]" caption="May-23" attribute="1" defaultMemberUniqueName="[Range 1].[May-23].[All]" allUniqueName="[Range 1].[May-23].[All]" dimensionUniqueName="[Range 1]" displayFolder="" count="0" memberValueDatatype="5" unbalanced="0"/>
    <cacheHierarchy uniqueName="[Range 1].[Jun-23]" caption="Jun-23" attribute="1" defaultMemberUniqueName="[Range 1].[Jun-23].[All]" allUniqueName="[Range 1].[Jun-23].[All]" dimensionUniqueName="[Range 1]" displayFolder="" count="0" memberValueDatatype="5" unbalanced="0"/>
    <cacheHierarchy uniqueName="[Range 1].[Jul-23]" caption="Jul-23" attribute="1" defaultMemberUniqueName="[Range 1].[Jul-23].[All]" allUniqueName="[Range 1].[Jul-23].[All]" dimensionUniqueName="[Range 1]" displayFolder="" count="0" memberValueDatatype="5" unbalanced="0"/>
    <cacheHierarchy uniqueName="[Range 1].[Aug-23]" caption="Aug-23" attribute="1" defaultMemberUniqueName="[Range 1].[Aug-23].[All]" allUniqueName="[Range 1].[Aug-23].[All]" dimensionUniqueName="[Range 1]" displayFolder="" count="0" memberValueDatatype="5" unbalanced="0"/>
    <cacheHierarchy uniqueName="[Range 1].[Sep-23]" caption="Sep-23" attribute="1" defaultMemberUniqueName="[Range 1].[Sep-23].[All]" allUniqueName="[Range 1].[Sep-23].[All]" dimensionUniqueName="[Range 1]" displayFolder="" count="0" memberValueDatatype="5" unbalanced="0"/>
    <cacheHierarchy uniqueName="[Range 1].[Oct-23]" caption="Oct-23" attribute="1" defaultMemberUniqueName="[Range 1].[Oct-23].[All]" allUniqueName="[Range 1].[Oct-23].[All]" dimensionUniqueName="[Range 1]" displayFolder="" count="0" memberValueDatatype="5" unbalanced="0"/>
    <cacheHierarchy uniqueName="[Range 1].[Nov-23]" caption="Nov-23" attribute="1" defaultMemberUniqueName="[Range 1].[Nov-23].[All]" allUniqueName="[Range 1].[Nov-23].[All]" dimensionUniqueName="[Range 1]" displayFolder="" count="0" memberValueDatatype="5" unbalanced="0"/>
    <cacheHierarchy uniqueName="[Range 1].[Dec-23]" caption="Dec-23" attribute="1" defaultMemberUniqueName="[Range 1].[Dec-23].[All]" allUniqueName="[Range 1].[Dec-23].[All]" dimensionUniqueName="[Range 1]" displayFolder="" count="0" memberValueDatatype="5" unbalanced="0"/>
    <cacheHierarchy uniqueName="[Table1].[Admin 1]" caption="Admin 1" attribute="1" defaultMemberUniqueName="[Table1].[Admin 1].[All]" allUniqueName="[Table1].[Admin 1].[All]" dimensionUniqueName="[Table1]" displayFolder="" count="0" memberValueDatatype="130" unbalanced="0"/>
    <cacheHierarchy uniqueName="[Table1].[Jan-23]" caption="Jan-23" attribute="1" defaultMemberUniqueName="[Table1].[Jan-23].[All]" allUniqueName="[Table1].[Jan-23].[All]" dimensionUniqueName="[Table1]" displayFolder="" count="0" memberValueDatatype="5" unbalanced="0"/>
    <cacheHierarchy uniqueName="[Table1].[Feb-23]" caption="Feb-23" attribute="1" defaultMemberUniqueName="[Table1].[Feb-23].[All]" allUniqueName="[Table1].[Feb-23].[All]" dimensionUniqueName="[Table1]" displayFolder="" count="0" memberValueDatatype="5" unbalanced="0"/>
    <cacheHierarchy uniqueName="[Table1].[Mar-23]" caption="Mar-23" attribute="1" defaultMemberUniqueName="[Table1].[Mar-23].[All]" allUniqueName="[Table1].[Mar-23].[All]" dimensionUniqueName="[Table1]" displayFolder="" count="0" memberValueDatatype="5" unbalanced="0"/>
    <cacheHierarchy uniqueName="[Table1].[Apr-23]" caption="Apr-23" attribute="1" defaultMemberUniqueName="[Table1].[Apr-23].[All]" allUniqueName="[Table1].[Apr-23].[All]" dimensionUniqueName="[Table1]" displayFolder="" count="0" memberValueDatatype="5" unbalanced="0"/>
    <cacheHierarchy uniqueName="[Table1].[May-23]" caption="May-23" attribute="1" defaultMemberUniqueName="[Table1].[May-23].[All]" allUniqueName="[Table1].[May-23].[All]" dimensionUniqueName="[Table1]" displayFolder="" count="0" memberValueDatatype="5" unbalanced="0"/>
    <cacheHierarchy uniqueName="[Table1].[Jun-23]" caption="Jun-23" attribute="1" defaultMemberUniqueName="[Table1].[Jun-23].[All]" allUniqueName="[Table1].[Jun-23].[All]" dimensionUniqueName="[Table1]" displayFolder="" count="0" memberValueDatatype="5" unbalanced="0"/>
    <cacheHierarchy uniqueName="[Table1].[Jul-23]" caption="Jul-23" attribute="1" defaultMemberUniqueName="[Table1].[Jul-23].[All]" allUniqueName="[Table1].[Jul-23].[All]" dimensionUniqueName="[Table1]" displayFolder="" count="0" memberValueDatatype="5" unbalanced="0"/>
    <cacheHierarchy uniqueName="[Table1].[Aug-23]" caption="Aug-23" attribute="1" defaultMemberUniqueName="[Table1].[Aug-23].[All]" allUniqueName="[Table1].[Aug-23].[All]" dimensionUniqueName="[Table1]" displayFolder="" count="0" memberValueDatatype="5" unbalanced="0"/>
    <cacheHierarchy uniqueName="[Table1].[Sep-23]" caption="Sep-23" attribute="1" defaultMemberUniqueName="[Table1].[Sep-23].[All]" allUniqueName="[Table1].[Sep-23].[All]" dimensionUniqueName="[Table1]" displayFolder="" count="0" memberValueDatatype="5" unbalanced="0"/>
    <cacheHierarchy uniqueName="[Table1].[Oct-23]" caption="Oct-23" attribute="1" defaultMemberUniqueName="[Table1].[Oct-23].[All]" allUniqueName="[Table1].[Oct-23].[All]" dimensionUniqueName="[Table1]" displayFolder="" count="0" memberValueDatatype="5" unbalanced="0"/>
    <cacheHierarchy uniqueName="[Table1].[Nov-23]" caption="Nov-23" attribute="1" defaultMemberUniqueName="[Table1].[Nov-23].[All]" allUniqueName="[Table1].[Nov-23].[All]" dimensionUniqueName="[Table1]" displayFolder="" count="0" memberValueDatatype="5" unbalanced="0"/>
    <cacheHierarchy uniqueName="[Table1].[Dec-23]" caption="Dec-23" attribute="1" defaultMemberUniqueName="[Table1].[Dec-23].[All]" allUniqueName="[Table1].[Dec-23].[All]" dimensionUniqueName="[Table1]" displayFolder="" count="0" memberValueDatatype="5" unbalanced="0"/>
    <cacheHierarchy uniqueName="[TableP0to5].[Admin 1]" caption="Admin 1" attribute="1" defaultMemberUniqueName="[TableP0to5].[Admin 1].[All]" allUniqueName="[TableP0to5].[Admin 1].[All]" dimensionUniqueName="[TableP0to5]" displayFolder="" count="2" memberValueDatatype="130" unbalanced="0">
      <fieldsUsage count="2">
        <fieldUsage x="-1"/>
        <fieldUsage x="0"/>
      </fieldsUsage>
    </cacheHierarchy>
    <cacheHierarchy uniqueName="[TableP0to5].[Jan-23]" caption="Jan-23" attribute="1" defaultMemberUniqueName="[TableP0to5].[Jan-23].[All]" allUniqueName="[TableP0to5].[Jan-23].[All]" dimensionUniqueName="[TableP0to5]" displayFolder="" count="0" memberValueDatatype="5" unbalanced="0"/>
    <cacheHierarchy uniqueName="[TableP0to5].[Feb-23]" caption="Feb-23" attribute="1" defaultMemberUniqueName="[TableP0to5].[Feb-23].[All]" allUniqueName="[TableP0to5].[Feb-23].[All]" dimensionUniqueName="[TableP0to5]" displayFolder="" count="0" memberValueDatatype="5" unbalanced="0"/>
    <cacheHierarchy uniqueName="[TableP0to5].[Mar-23]" caption="Mar-23" attribute="1" defaultMemberUniqueName="[TableP0to5].[Mar-23].[All]" allUniqueName="[TableP0to5].[Mar-23].[All]" dimensionUniqueName="[TableP0to5]" displayFolder="" count="0" memberValueDatatype="5" unbalanced="0"/>
    <cacheHierarchy uniqueName="[TableP0to5].[Apr-23]" caption="Apr-23" attribute="1" defaultMemberUniqueName="[TableP0to5].[Apr-23].[All]" allUniqueName="[TableP0to5].[Apr-23].[All]" dimensionUniqueName="[TableP0to5]" displayFolder="" count="0" memberValueDatatype="5" unbalanced="0"/>
    <cacheHierarchy uniqueName="[TableP0to5].[May-23]" caption="May-23" attribute="1" defaultMemberUniqueName="[TableP0to5].[May-23].[All]" allUniqueName="[TableP0to5].[May-23].[All]" dimensionUniqueName="[TableP0to5]" displayFolder="" count="0" memberValueDatatype="5" unbalanced="0"/>
    <cacheHierarchy uniqueName="[TableP0to5].[Jun-23]" caption="Jun-23" attribute="1" defaultMemberUniqueName="[TableP0to5].[Jun-23].[All]" allUniqueName="[TableP0to5].[Jun-23].[All]" dimensionUniqueName="[TableP0to5]" displayFolder="" count="0" memberValueDatatype="5" unbalanced="0"/>
    <cacheHierarchy uniqueName="[TableP0to5].[Jul-23]" caption="Jul-23" attribute="1" defaultMemberUniqueName="[TableP0to5].[Jul-23].[All]" allUniqueName="[TableP0to5].[Jul-23].[All]" dimensionUniqueName="[TableP0to5]" displayFolder="" count="0" memberValueDatatype="5" unbalanced="0"/>
    <cacheHierarchy uniqueName="[TableP0to5].[Aug-23]" caption="Aug-23" attribute="1" defaultMemberUniqueName="[TableP0to5].[Aug-23].[All]" allUniqueName="[TableP0to5].[Aug-23].[All]" dimensionUniqueName="[TableP0to5]" displayFolder="" count="0" memberValueDatatype="5" unbalanced="0"/>
    <cacheHierarchy uniqueName="[TableP0to5].[Sep-23]" caption="Sep-23" attribute="1" defaultMemberUniqueName="[TableP0to5].[Sep-23].[All]" allUniqueName="[TableP0to5].[Sep-23].[All]" dimensionUniqueName="[TableP0to5]" displayFolder="" count="0" memberValueDatatype="5" unbalanced="0"/>
    <cacheHierarchy uniqueName="[TableP0to5].[Oct-23]" caption="Oct-23" attribute="1" defaultMemberUniqueName="[TableP0to5].[Oct-23].[All]" allUniqueName="[TableP0to5].[Oct-23].[All]" dimensionUniqueName="[TableP0to5]" displayFolder="" count="0" memberValueDatatype="5" unbalanced="0"/>
    <cacheHierarchy uniqueName="[TableP0to5].[Nov-23]" caption="Nov-23" attribute="1" defaultMemberUniqueName="[TableP0to5].[Nov-23].[All]" allUniqueName="[TableP0to5].[Nov-23].[All]" dimensionUniqueName="[TableP0to5]" displayFolder="" count="0" memberValueDatatype="5" unbalanced="0"/>
    <cacheHierarchy uniqueName="[TableP0to5].[Dec-23]" caption="Dec-23" attribute="1" defaultMemberUniqueName="[TableP0to5].[Dec-23].[All]" allUniqueName="[TableP0to5].[Dec-23].[All]" dimensionUniqueName="[TableP0to5]"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TableP0to5]" caption="__XL_Count TableP0to5" measure="1" displayFolder="" measureGroup="TableP0to5"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Jan-23]" caption="Sum of Jan-23" measure="1" displayFolder="" measureGroup="Table1" count="0" hidden="1">
      <extLst>
        <ext xmlns:x15="http://schemas.microsoft.com/office/spreadsheetml/2010/11/main" uri="{B97F6D7D-B522-45F9-BDA1-12C45D357490}">
          <x15:cacheHierarchy aggregatedColumn="27"/>
        </ext>
      </extLst>
    </cacheHierarchy>
    <cacheHierarchy uniqueName="[Measures].[Sum of Feb-23]" caption="Sum of Feb-23" measure="1" displayFolder="" measureGroup="Table1" count="0" hidden="1">
      <extLst>
        <ext xmlns:x15="http://schemas.microsoft.com/office/spreadsheetml/2010/11/main" uri="{B97F6D7D-B522-45F9-BDA1-12C45D357490}">
          <x15:cacheHierarchy aggregatedColumn="28"/>
        </ext>
      </extLst>
    </cacheHierarchy>
    <cacheHierarchy uniqueName="[Measures].[Sum of Mar-23]" caption="Sum of Mar-23" measure="1" displayFolder="" measureGroup="Table1" count="0" hidden="1">
      <extLst>
        <ext xmlns:x15="http://schemas.microsoft.com/office/spreadsheetml/2010/11/main" uri="{B97F6D7D-B522-45F9-BDA1-12C45D357490}">
          <x15:cacheHierarchy aggregatedColumn="29"/>
        </ext>
      </extLst>
    </cacheHierarchy>
    <cacheHierarchy uniqueName="[Measures].[Sum of Apr-23]" caption="Sum of Apr-23" measure="1" displayFolder="" measureGroup="Table1" count="0" hidden="1">
      <extLst>
        <ext xmlns:x15="http://schemas.microsoft.com/office/spreadsheetml/2010/11/main" uri="{B97F6D7D-B522-45F9-BDA1-12C45D357490}">
          <x15:cacheHierarchy aggregatedColumn="30"/>
        </ext>
      </extLst>
    </cacheHierarchy>
    <cacheHierarchy uniqueName="[Measures].[Sum of May-23]" caption="Sum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an-23]" caption="Average of Jan-23" measure="1" displayFolder="" measureGroup="Table1" count="0" hidden="1">
      <extLst>
        <ext xmlns:x15="http://schemas.microsoft.com/office/spreadsheetml/2010/11/main" uri="{B97F6D7D-B522-45F9-BDA1-12C45D357490}">
          <x15:cacheHierarchy aggregatedColumn="27"/>
        </ext>
      </extLst>
    </cacheHierarchy>
    <cacheHierarchy uniqueName="[Measures].[Sum of Jun-23]" caption="Sum of Jun-23" measure="1" displayFolder="" measureGroup="Table1" count="0" hidden="1">
      <extLst>
        <ext xmlns:x15="http://schemas.microsoft.com/office/spreadsheetml/2010/11/main" uri="{B97F6D7D-B522-45F9-BDA1-12C45D357490}">
          <x15:cacheHierarchy aggregatedColumn="32"/>
        </ext>
      </extLst>
    </cacheHierarchy>
    <cacheHierarchy uniqueName="[Measures].[Sum of Jul-23]" caption="Sum of Jul-23" measure="1" displayFolder="" measureGroup="Table1" count="0" hidden="1">
      <extLst>
        <ext xmlns:x15="http://schemas.microsoft.com/office/spreadsheetml/2010/11/main" uri="{B97F6D7D-B522-45F9-BDA1-12C45D357490}">
          <x15:cacheHierarchy aggregatedColumn="33"/>
        </ext>
      </extLst>
    </cacheHierarchy>
    <cacheHierarchy uniqueName="[Measures].[Sum of Aug-23]" caption="Sum of Aug-23" measure="1" displayFolder="" measureGroup="Table1" count="0" hidden="1">
      <extLst>
        <ext xmlns:x15="http://schemas.microsoft.com/office/spreadsheetml/2010/11/main" uri="{B97F6D7D-B522-45F9-BDA1-12C45D357490}">
          <x15:cacheHierarchy aggregatedColumn="34"/>
        </ext>
      </extLst>
    </cacheHierarchy>
    <cacheHierarchy uniqueName="[Measures].[Sum of Sep-23]" caption="Sum of Sep-23" measure="1" displayFolder="" measureGroup="Table1" count="0" hidden="1">
      <extLst>
        <ext xmlns:x15="http://schemas.microsoft.com/office/spreadsheetml/2010/11/main" uri="{B97F6D7D-B522-45F9-BDA1-12C45D357490}">
          <x15:cacheHierarchy aggregatedColumn="35"/>
        </ext>
      </extLst>
    </cacheHierarchy>
    <cacheHierarchy uniqueName="[Measures].[Sum of Oct-23]" caption="Sum of Oct-23" measure="1" displayFolder="" measureGroup="Table1" count="0" hidden="1">
      <extLst>
        <ext xmlns:x15="http://schemas.microsoft.com/office/spreadsheetml/2010/11/main" uri="{B97F6D7D-B522-45F9-BDA1-12C45D357490}">
          <x15:cacheHierarchy aggregatedColumn="36"/>
        </ext>
      </extLst>
    </cacheHierarchy>
    <cacheHierarchy uniqueName="[Measures].[Sum of Nov-23]" caption="Sum of Nov-23" measure="1" displayFolder="" measureGroup="Table1" count="0" hidden="1">
      <extLst>
        <ext xmlns:x15="http://schemas.microsoft.com/office/spreadsheetml/2010/11/main" uri="{B97F6D7D-B522-45F9-BDA1-12C45D357490}">
          <x15:cacheHierarchy aggregatedColumn="37"/>
        </ext>
      </extLst>
    </cacheHierarchy>
    <cacheHierarchy uniqueName="[Measures].[Sum of Dec-23]" caption="Sum of Dec-23" measure="1" displayFolder="" measureGroup="Table1" count="0" hidden="1">
      <extLst>
        <ext xmlns:x15="http://schemas.microsoft.com/office/spreadsheetml/2010/11/main" uri="{B97F6D7D-B522-45F9-BDA1-12C45D357490}">
          <x15:cacheHierarchy aggregatedColumn="38"/>
        </ext>
      </extLst>
    </cacheHierarchy>
    <cacheHierarchy uniqueName="[Measures].[Average of Feb-23]" caption="Average of Feb-23" measure="1" displayFolder="" measureGroup="Table1" count="0" hidden="1">
      <extLst>
        <ext xmlns:x15="http://schemas.microsoft.com/office/spreadsheetml/2010/11/main" uri="{B97F6D7D-B522-45F9-BDA1-12C45D357490}">
          <x15:cacheHierarchy aggregatedColumn="28"/>
        </ext>
      </extLst>
    </cacheHierarchy>
    <cacheHierarchy uniqueName="[Measures].[Average of Mar-23]" caption="Average of Mar-23" measure="1" displayFolder="" measureGroup="Table1" count="0" hidden="1">
      <extLst>
        <ext xmlns:x15="http://schemas.microsoft.com/office/spreadsheetml/2010/11/main" uri="{B97F6D7D-B522-45F9-BDA1-12C45D357490}">
          <x15:cacheHierarchy aggregatedColumn="29"/>
        </ext>
      </extLst>
    </cacheHierarchy>
    <cacheHierarchy uniqueName="[Measures].[Average of Apr-23]" caption="Average of Apr-23" measure="1" displayFolder="" measureGroup="Table1" count="0" hidden="1">
      <extLst>
        <ext xmlns:x15="http://schemas.microsoft.com/office/spreadsheetml/2010/11/main" uri="{B97F6D7D-B522-45F9-BDA1-12C45D357490}">
          <x15:cacheHierarchy aggregatedColumn="30"/>
        </ext>
      </extLst>
    </cacheHierarchy>
    <cacheHierarchy uniqueName="[Measures].[Average of May-23]" caption="Average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un-23]" caption="Average of Jun-23" measure="1" displayFolder="" measureGroup="Table1" count="0" hidden="1">
      <extLst>
        <ext xmlns:x15="http://schemas.microsoft.com/office/spreadsheetml/2010/11/main" uri="{B97F6D7D-B522-45F9-BDA1-12C45D357490}">
          <x15:cacheHierarchy aggregatedColumn="32"/>
        </ext>
      </extLst>
    </cacheHierarchy>
    <cacheHierarchy uniqueName="[Measures].[Average of Jul-23]" caption="Average of Jul-23" measure="1" displayFolder="" measureGroup="Table1" count="0" hidden="1">
      <extLst>
        <ext xmlns:x15="http://schemas.microsoft.com/office/spreadsheetml/2010/11/main" uri="{B97F6D7D-B522-45F9-BDA1-12C45D357490}">
          <x15:cacheHierarchy aggregatedColumn="33"/>
        </ext>
      </extLst>
    </cacheHierarchy>
    <cacheHierarchy uniqueName="[Measures].[Average of Aug-23]" caption="Average of Aug-23" measure="1" displayFolder="" measureGroup="Table1" count="0" hidden="1">
      <extLst>
        <ext xmlns:x15="http://schemas.microsoft.com/office/spreadsheetml/2010/11/main" uri="{B97F6D7D-B522-45F9-BDA1-12C45D357490}">
          <x15:cacheHierarchy aggregatedColumn="34"/>
        </ext>
      </extLst>
    </cacheHierarchy>
    <cacheHierarchy uniqueName="[Measures].[Average of Sep-23]" caption="Average of Sep-23" measure="1" displayFolder="" measureGroup="Table1" count="0" hidden="1">
      <extLst>
        <ext xmlns:x15="http://schemas.microsoft.com/office/spreadsheetml/2010/11/main" uri="{B97F6D7D-B522-45F9-BDA1-12C45D357490}">
          <x15:cacheHierarchy aggregatedColumn="35"/>
        </ext>
      </extLst>
    </cacheHierarchy>
    <cacheHierarchy uniqueName="[Measures].[Average of Oct-23]" caption="Average of Oct-23" measure="1" displayFolder="" measureGroup="Table1" count="0" hidden="1">
      <extLst>
        <ext xmlns:x15="http://schemas.microsoft.com/office/spreadsheetml/2010/11/main" uri="{B97F6D7D-B522-45F9-BDA1-12C45D357490}">
          <x15:cacheHierarchy aggregatedColumn="36"/>
        </ext>
      </extLst>
    </cacheHierarchy>
    <cacheHierarchy uniqueName="[Measures].[Average of Nov-23]" caption="Average of Nov-23" measure="1" displayFolder="" measureGroup="Table1" count="0" hidden="1">
      <extLst>
        <ext xmlns:x15="http://schemas.microsoft.com/office/spreadsheetml/2010/11/main" uri="{B97F6D7D-B522-45F9-BDA1-12C45D357490}">
          <x15:cacheHierarchy aggregatedColumn="37"/>
        </ext>
      </extLst>
    </cacheHierarchy>
    <cacheHierarchy uniqueName="[Measures].[Average of Dec-23]" caption="Average of Dec-23" measure="1" displayFolder="" measureGroup="Table1" count="0" hidden="1">
      <extLst>
        <ext xmlns:x15="http://schemas.microsoft.com/office/spreadsheetml/2010/11/main" uri="{B97F6D7D-B522-45F9-BDA1-12C45D357490}">
          <x15:cacheHierarchy aggregatedColumn="38"/>
        </ext>
      </extLst>
    </cacheHierarchy>
    <cacheHierarchy uniqueName="[Measures].[Sum of Jan-23 2]" caption="Sum of Jan-23 2" measure="1" displayFolder="" measureGroup="Range" count="0" hidden="1">
      <extLst>
        <ext xmlns:x15="http://schemas.microsoft.com/office/spreadsheetml/2010/11/main" uri="{B97F6D7D-B522-45F9-BDA1-12C45D357490}">
          <x15:cacheHierarchy aggregatedColumn="1"/>
        </ext>
      </extLst>
    </cacheHierarchy>
    <cacheHierarchy uniqueName="[Measures].[Sum of Feb-23 2]" caption="Sum of Feb-23 2" measure="1" displayFolder="" measureGroup="Range" count="0" hidden="1">
      <extLst>
        <ext xmlns:x15="http://schemas.microsoft.com/office/spreadsheetml/2010/11/main" uri="{B97F6D7D-B522-45F9-BDA1-12C45D357490}">
          <x15:cacheHierarchy aggregatedColumn="2"/>
        </ext>
      </extLst>
    </cacheHierarchy>
    <cacheHierarchy uniqueName="[Measures].[Sum of Mar-23 2]" caption="Sum of Mar-23 2" measure="1" displayFolder="" measureGroup="Range" count="0" hidden="1">
      <extLst>
        <ext xmlns:x15="http://schemas.microsoft.com/office/spreadsheetml/2010/11/main" uri="{B97F6D7D-B522-45F9-BDA1-12C45D357490}">
          <x15:cacheHierarchy aggregatedColumn="3"/>
        </ext>
      </extLst>
    </cacheHierarchy>
    <cacheHierarchy uniqueName="[Measures].[Sum of Apr-23 2]" caption="Sum of Apr-23 2" measure="1" displayFolder="" measureGroup="Range" count="0" hidden="1">
      <extLst>
        <ext xmlns:x15="http://schemas.microsoft.com/office/spreadsheetml/2010/11/main" uri="{B97F6D7D-B522-45F9-BDA1-12C45D357490}">
          <x15:cacheHierarchy aggregatedColumn="4"/>
        </ext>
      </extLst>
    </cacheHierarchy>
    <cacheHierarchy uniqueName="[Measures].[Sum of May-23 2]" caption="Sum of May-23 2" measure="1" displayFolder="" measureGroup="Range" count="0" hidden="1">
      <extLst>
        <ext xmlns:x15="http://schemas.microsoft.com/office/spreadsheetml/2010/11/main" uri="{B97F6D7D-B522-45F9-BDA1-12C45D357490}">
          <x15:cacheHierarchy aggregatedColumn="5"/>
        </ext>
      </extLst>
    </cacheHierarchy>
    <cacheHierarchy uniqueName="[Measures].[Sum of Jun-23 2]" caption="Sum of Jun-23 2" measure="1" displayFolder="" measureGroup="Range" count="0" hidden="1">
      <extLst>
        <ext xmlns:x15="http://schemas.microsoft.com/office/spreadsheetml/2010/11/main" uri="{B97F6D7D-B522-45F9-BDA1-12C45D357490}">
          <x15:cacheHierarchy aggregatedColumn="6"/>
        </ext>
      </extLst>
    </cacheHierarchy>
    <cacheHierarchy uniqueName="[Measures].[Sum of Jul-23 2]" caption="Sum of Jul-23 2" measure="1" displayFolder="" measureGroup="Range" count="0" hidden="1">
      <extLst>
        <ext xmlns:x15="http://schemas.microsoft.com/office/spreadsheetml/2010/11/main" uri="{B97F6D7D-B522-45F9-BDA1-12C45D357490}">
          <x15:cacheHierarchy aggregatedColumn="7"/>
        </ext>
      </extLst>
    </cacheHierarchy>
    <cacheHierarchy uniqueName="[Measures].[Sum of Aug-23 2]" caption="Sum of Aug-23 2" measure="1" displayFolder="" measureGroup="Range" count="0" hidden="1">
      <extLst>
        <ext xmlns:x15="http://schemas.microsoft.com/office/spreadsheetml/2010/11/main" uri="{B97F6D7D-B522-45F9-BDA1-12C45D357490}">
          <x15:cacheHierarchy aggregatedColumn="8"/>
        </ext>
      </extLst>
    </cacheHierarchy>
    <cacheHierarchy uniqueName="[Measures].[Sum of Sep-23 2]" caption="Sum of Sep-23 2" measure="1" displayFolder="" measureGroup="Range" count="0" hidden="1">
      <extLst>
        <ext xmlns:x15="http://schemas.microsoft.com/office/spreadsheetml/2010/11/main" uri="{B97F6D7D-B522-45F9-BDA1-12C45D357490}">
          <x15:cacheHierarchy aggregatedColumn="9"/>
        </ext>
      </extLst>
    </cacheHierarchy>
    <cacheHierarchy uniqueName="[Measures].[Sum of Oct-23 2]" caption="Sum of Oct-23 2" measure="1" displayFolder="" measureGroup="Range" count="0" hidden="1">
      <extLst>
        <ext xmlns:x15="http://schemas.microsoft.com/office/spreadsheetml/2010/11/main" uri="{B97F6D7D-B522-45F9-BDA1-12C45D357490}">
          <x15:cacheHierarchy aggregatedColumn="10"/>
        </ext>
      </extLst>
    </cacheHierarchy>
    <cacheHierarchy uniqueName="[Measures].[Sum of Nov-23 2]" caption="Sum of Nov-23 2" measure="1" displayFolder="" measureGroup="Range" count="0" hidden="1">
      <extLst>
        <ext xmlns:x15="http://schemas.microsoft.com/office/spreadsheetml/2010/11/main" uri="{B97F6D7D-B522-45F9-BDA1-12C45D357490}">
          <x15:cacheHierarchy aggregatedColumn="11"/>
        </ext>
      </extLst>
    </cacheHierarchy>
    <cacheHierarchy uniqueName="[Measures].[Sum of Dec-23 2]" caption="Sum of Dec-23 2" measure="1" displayFolder="" measureGroup="Range" count="0" hidden="1">
      <extLst>
        <ext xmlns:x15="http://schemas.microsoft.com/office/spreadsheetml/2010/11/main" uri="{B97F6D7D-B522-45F9-BDA1-12C45D357490}">
          <x15:cacheHierarchy aggregatedColumn="12"/>
        </ext>
      </extLst>
    </cacheHierarchy>
    <cacheHierarchy uniqueName="[Measures].[Average of Jan-23 2]" caption="Average of Jan-23 2" measure="1" displayFolder="" measureGroup="Range" count="0" hidden="1">
      <extLst>
        <ext xmlns:x15="http://schemas.microsoft.com/office/spreadsheetml/2010/11/main" uri="{B97F6D7D-B522-45F9-BDA1-12C45D357490}">
          <x15:cacheHierarchy aggregatedColumn="1"/>
        </ext>
      </extLst>
    </cacheHierarchy>
    <cacheHierarchy uniqueName="[Measures].[Sum of Jan-23 3]" caption="Sum of Jan-23 3" measure="1" displayFolder="" measureGroup="TableP0to5" count="0" hidden="1">
      <extLst>
        <ext xmlns:x15="http://schemas.microsoft.com/office/spreadsheetml/2010/11/main" uri="{B97F6D7D-B522-45F9-BDA1-12C45D357490}">
          <x15:cacheHierarchy aggregatedColumn="40"/>
        </ext>
      </extLst>
    </cacheHierarchy>
    <cacheHierarchy uniqueName="[Measures].[Sum of Feb-23 3]" caption="Sum of Feb-23 3" measure="1" displayFolder="" measureGroup="TableP0to5" count="0" hidden="1">
      <extLst>
        <ext xmlns:x15="http://schemas.microsoft.com/office/spreadsheetml/2010/11/main" uri="{B97F6D7D-B522-45F9-BDA1-12C45D357490}">
          <x15:cacheHierarchy aggregatedColumn="41"/>
        </ext>
      </extLst>
    </cacheHierarchy>
    <cacheHierarchy uniqueName="[Measures].[Sum of Mar-23 3]" caption="Sum of Mar-23 3" measure="1" displayFolder="" measureGroup="TableP0to5" count="0" hidden="1">
      <extLst>
        <ext xmlns:x15="http://schemas.microsoft.com/office/spreadsheetml/2010/11/main" uri="{B97F6D7D-B522-45F9-BDA1-12C45D357490}">
          <x15:cacheHierarchy aggregatedColumn="42"/>
        </ext>
      </extLst>
    </cacheHierarchy>
    <cacheHierarchy uniqueName="[Measures].[Sum of Apr-23 3]" caption="Sum of Apr-23 3" measure="1" displayFolder="" measureGroup="TableP0to5" count="0" hidden="1">
      <extLst>
        <ext xmlns:x15="http://schemas.microsoft.com/office/spreadsheetml/2010/11/main" uri="{B97F6D7D-B522-45F9-BDA1-12C45D357490}">
          <x15:cacheHierarchy aggregatedColumn="43"/>
        </ext>
      </extLst>
    </cacheHierarchy>
    <cacheHierarchy uniqueName="[Measures].[Sum of May-23 3]" caption="Sum of May-23 3" measure="1" displayFolder="" measureGroup="TableP0to5" count="0" hidden="1">
      <extLst>
        <ext xmlns:x15="http://schemas.microsoft.com/office/spreadsheetml/2010/11/main" uri="{B97F6D7D-B522-45F9-BDA1-12C45D357490}">
          <x15:cacheHierarchy aggregatedColumn="44"/>
        </ext>
      </extLst>
    </cacheHierarchy>
    <cacheHierarchy uniqueName="[Measures].[Sum of Jun-23 3]" caption="Sum of Jun-23 3" measure="1" displayFolder="" measureGroup="TableP0to5" count="0" hidden="1">
      <extLst>
        <ext xmlns:x15="http://schemas.microsoft.com/office/spreadsheetml/2010/11/main" uri="{B97F6D7D-B522-45F9-BDA1-12C45D357490}">
          <x15:cacheHierarchy aggregatedColumn="45"/>
        </ext>
      </extLst>
    </cacheHierarchy>
    <cacheHierarchy uniqueName="[Measures].[Sum of Jul-23 3]" caption="Sum of Jul-23 3" measure="1" displayFolder="" measureGroup="TableP0to5" count="0" hidden="1">
      <extLst>
        <ext xmlns:x15="http://schemas.microsoft.com/office/spreadsheetml/2010/11/main" uri="{B97F6D7D-B522-45F9-BDA1-12C45D357490}">
          <x15:cacheHierarchy aggregatedColumn="46"/>
        </ext>
      </extLst>
    </cacheHierarchy>
    <cacheHierarchy uniqueName="[Measures].[Sum of Aug-23 3]" caption="Sum of Aug-23 3" measure="1" displayFolder="" measureGroup="TableP0to5" count="0" hidden="1">
      <extLst>
        <ext xmlns:x15="http://schemas.microsoft.com/office/spreadsheetml/2010/11/main" uri="{B97F6D7D-B522-45F9-BDA1-12C45D357490}">
          <x15:cacheHierarchy aggregatedColumn="47"/>
        </ext>
      </extLst>
    </cacheHierarchy>
    <cacheHierarchy uniqueName="[Measures].[Sum of Sep-23 3]" caption="Sum of Sep-23 3" measure="1" displayFolder="" measureGroup="TableP0to5" count="0" hidden="1">
      <extLst>
        <ext xmlns:x15="http://schemas.microsoft.com/office/spreadsheetml/2010/11/main" uri="{B97F6D7D-B522-45F9-BDA1-12C45D357490}">
          <x15:cacheHierarchy aggregatedColumn="48"/>
        </ext>
      </extLst>
    </cacheHierarchy>
    <cacheHierarchy uniqueName="[Measures].[Sum of Oct-23 3]" caption="Sum of Oct-23 3" measure="1" displayFolder="" measureGroup="TableP0to5" count="0" hidden="1">
      <extLst>
        <ext xmlns:x15="http://schemas.microsoft.com/office/spreadsheetml/2010/11/main" uri="{B97F6D7D-B522-45F9-BDA1-12C45D357490}">
          <x15:cacheHierarchy aggregatedColumn="49"/>
        </ext>
      </extLst>
    </cacheHierarchy>
    <cacheHierarchy uniqueName="[Measures].[Sum of Nov-23 3]" caption="Sum of Nov-23 3" measure="1" displayFolder="" measureGroup="TableP0to5" count="0" hidden="1">
      <extLst>
        <ext xmlns:x15="http://schemas.microsoft.com/office/spreadsheetml/2010/11/main" uri="{B97F6D7D-B522-45F9-BDA1-12C45D357490}">
          <x15:cacheHierarchy aggregatedColumn="50"/>
        </ext>
      </extLst>
    </cacheHierarchy>
    <cacheHierarchy uniqueName="[Measures].[Sum of Dec-23 3]" caption="Sum of Dec-23 3" measure="1" displayFolder="" measureGroup="TableP0to5" count="0" hidden="1">
      <extLst>
        <ext xmlns:x15="http://schemas.microsoft.com/office/spreadsheetml/2010/11/main" uri="{B97F6D7D-B522-45F9-BDA1-12C45D357490}">
          <x15:cacheHierarchy aggregatedColumn="51"/>
        </ext>
      </extLst>
    </cacheHierarchy>
    <cacheHierarchy uniqueName="[Measures].[Average of Jan-23 3]" caption="Average of Jan-23 3" measure="1" displayFolder="" measureGroup="TableP0to5" count="0" oneField="1" hidden="1">
      <fieldsUsage count="1">
        <fieldUsage x="1"/>
      </fieldsUsage>
      <extLst>
        <ext xmlns:x15="http://schemas.microsoft.com/office/spreadsheetml/2010/11/main" uri="{B97F6D7D-B522-45F9-BDA1-12C45D357490}">
          <x15:cacheHierarchy aggregatedColumn="40"/>
        </ext>
      </extLst>
    </cacheHierarchy>
    <cacheHierarchy uniqueName="[Measures].[Average of Feb-23 2]" caption="Average of Feb-23 2" measure="1" displayFolder="" measureGroup="TableP0to5" count="0" oneField="1" hidden="1">
      <fieldsUsage count="1">
        <fieldUsage x="2"/>
      </fieldsUsage>
      <extLst>
        <ext xmlns:x15="http://schemas.microsoft.com/office/spreadsheetml/2010/11/main" uri="{B97F6D7D-B522-45F9-BDA1-12C45D357490}">
          <x15:cacheHierarchy aggregatedColumn="41"/>
        </ext>
      </extLst>
    </cacheHierarchy>
    <cacheHierarchy uniqueName="[Measures].[Average of Mar-23 2]" caption="Average of Mar-23 2" measure="1" displayFolder="" measureGroup="TableP0to5" count="0" oneField="1" hidden="1">
      <fieldsUsage count="1">
        <fieldUsage x="3"/>
      </fieldsUsage>
      <extLst>
        <ext xmlns:x15="http://schemas.microsoft.com/office/spreadsheetml/2010/11/main" uri="{B97F6D7D-B522-45F9-BDA1-12C45D357490}">
          <x15:cacheHierarchy aggregatedColumn="42"/>
        </ext>
      </extLst>
    </cacheHierarchy>
    <cacheHierarchy uniqueName="[Measures].[Average of Apr-23 2]" caption="Average of Apr-23 2" measure="1" displayFolder="" measureGroup="TableP0to5" count="0" oneField="1" hidden="1">
      <fieldsUsage count="1">
        <fieldUsage x="4"/>
      </fieldsUsage>
      <extLst>
        <ext xmlns:x15="http://schemas.microsoft.com/office/spreadsheetml/2010/11/main" uri="{B97F6D7D-B522-45F9-BDA1-12C45D357490}">
          <x15:cacheHierarchy aggregatedColumn="43"/>
        </ext>
      </extLst>
    </cacheHierarchy>
    <cacheHierarchy uniqueName="[Measures].[Average of May-23 2]" caption="Average of May-23 2" measure="1" displayFolder="" measureGroup="TableP0to5" count="0" oneField="1" hidden="1">
      <fieldsUsage count="1">
        <fieldUsage x="5"/>
      </fieldsUsage>
      <extLst>
        <ext xmlns:x15="http://schemas.microsoft.com/office/spreadsheetml/2010/11/main" uri="{B97F6D7D-B522-45F9-BDA1-12C45D357490}">
          <x15:cacheHierarchy aggregatedColumn="44"/>
        </ext>
      </extLst>
    </cacheHierarchy>
    <cacheHierarchy uniqueName="[Measures].[Average of Jun-23 2]" caption="Average of Jun-23 2" measure="1" displayFolder="" measureGroup="TableP0to5" count="0" oneField="1" hidden="1">
      <fieldsUsage count="1">
        <fieldUsage x="6"/>
      </fieldsUsage>
      <extLst>
        <ext xmlns:x15="http://schemas.microsoft.com/office/spreadsheetml/2010/11/main" uri="{B97F6D7D-B522-45F9-BDA1-12C45D357490}">
          <x15:cacheHierarchy aggregatedColumn="45"/>
        </ext>
      </extLst>
    </cacheHierarchy>
    <cacheHierarchy uniqueName="[Measures].[Average of Jul-23 2]" caption="Average of Jul-23 2" measure="1" displayFolder="" measureGroup="TableP0to5" count="0" oneField="1" hidden="1">
      <fieldsUsage count="1">
        <fieldUsage x="7"/>
      </fieldsUsage>
      <extLst>
        <ext xmlns:x15="http://schemas.microsoft.com/office/spreadsheetml/2010/11/main" uri="{B97F6D7D-B522-45F9-BDA1-12C45D357490}">
          <x15:cacheHierarchy aggregatedColumn="46"/>
        </ext>
      </extLst>
    </cacheHierarchy>
    <cacheHierarchy uniqueName="[Measures].[Average of Aug-23 2]" caption="Average of Aug-23 2" measure="1" displayFolder="" measureGroup="TableP0to5" count="0" oneField="1" hidden="1">
      <fieldsUsage count="1">
        <fieldUsage x="8"/>
      </fieldsUsage>
      <extLst>
        <ext xmlns:x15="http://schemas.microsoft.com/office/spreadsheetml/2010/11/main" uri="{B97F6D7D-B522-45F9-BDA1-12C45D357490}">
          <x15:cacheHierarchy aggregatedColumn="47"/>
        </ext>
      </extLst>
    </cacheHierarchy>
    <cacheHierarchy uniqueName="[Measures].[Average of Sep-23 2]" caption="Average of Sep-23 2" measure="1" displayFolder="" measureGroup="TableP0to5" count="0" oneField="1" hidden="1">
      <fieldsUsage count="1">
        <fieldUsage x="9"/>
      </fieldsUsage>
      <extLst>
        <ext xmlns:x15="http://schemas.microsoft.com/office/spreadsheetml/2010/11/main" uri="{B97F6D7D-B522-45F9-BDA1-12C45D357490}">
          <x15:cacheHierarchy aggregatedColumn="48"/>
        </ext>
      </extLst>
    </cacheHierarchy>
    <cacheHierarchy uniqueName="[Measures].[Average of Oct-23 2]" caption="Average of Oct-23 2" measure="1" displayFolder="" measureGroup="TableP0to5" count="0" oneField="1" hidden="1">
      <fieldsUsage count="1">
        <fieldUsage x="10"/>
      </fieldsUsage>
      <extLst>
        <ext xmlns:x15="http://schemas.microsoft.com/office/spreadsheetml/2010/11/main" uri="{B97F6D7D-B522-45F9-BDA1-12C45D357490}">
          <x15:cacheHierarchy aggregatedColumn="49"/>
        </ext>
      </extLst>
    </cacheHierarchy>
    <cacheHierarchy uniqueName="[Measures].[Average of Nov-23 2]" caption="Average of Nov-23 2" measure="1" displayFolder="" measureGroup="TableP0to5" count="0" oneField="1" hidden="1">
      <fieldsUsage count="1">
        <fieldUsage x="11"/>
      </fieldsUsage>
      <extLst>
        <ext xmlns:x15="http://schemas.microsoft.com/office/spreadsheetml/2010/11/main" uri="{B97F6D7D-B522-45F9-BDA1-12C45D357490}">
          <x15:cacheHierarchy aggregatedColumn="50"/>
        </ext>
      </extLst>
    </cacheHierarchy>
    <cacheHierarchy uniqueName="[Measures].[Max of Dec-23]" caption="Max of Dec-23" measure="1" displayFolder="" measureGroup="TableP0to5" count="0" hidden="1">
      <extLst>
        <ext xmlns:x15="http://schemas.microsoft.com/office/spreadsheetml/2010/11/main" uri="{B97F6D7D-B522-45F9-BDA1-12C45D357490}">
          <x15:cacheHierarchy aggregatedColumn="51"/>
        </ext>
      </extLst>
    </cacheHierarchy>
    <cacheHierarchy uniqueName="[Measures].[Average of Dec-23 2]" caption="Average of Dec-23 2" measure="1" displayFolder="" measureGroup="TableP0to5" count="0" oneField="1" hidden="1">
      <fieldsUsage count="1">
        <fieldUsage x="12"/>
      </fieldsUsage>
      <extLst>
        <ext xmlns:x15="http://schemas.microsoft.com/office/spreadsheetml/2010/11/main" uri="{B97F6D7D-B522-45F9-BDA1-12C45D357490}">
          <x15:cacheHierarchy aggregatedColumn="51"/>
        </ext>
      </extLst>
    </cacheHierarchy>
    <cacheHierarchy uniqueName="[Measures].[Sum of Jan-23 4]" caption="Sum of Jan-23 4" measure="1" displayFolder="" measureGroup="Range 1" count="0" hidden="1">
      <extLst>
        <ext xmlns:x15="http://schemas.microsoft.com/office/spreadsheetml/2010/11/main" uri="{B97F6D7D-B522-45F9-BDA1-12C45D357490}">
          <x15:cacheHierarchy aggregatedColumn="14"/>
        </ext>
      </extLst>
    </cacheHierarchy>
    <cacheHierarchy uniqueName="[Measures].[Sum of Feb-23 4]" caption="Sum of Feb-23 4" measure="1" displayFolder="" measureGroup="Range 1" count="0" hidden="1">
      <extLst>
        <ext xmlns:x15="http://schemas.microsoft.com/office/spreadsheetml/2010/11/main" uri="{B97F6D7D-B522-45F9-BDA1-12C45D357490}">
          <x15:cacheHierarchy aggregatedColumn="15"/>
        </ext>
      </extLst>
    </cacheHierarchy>
    <cacheHierarchy uniqueName="[Measures].[Sum of Mar-23 4]" caption="Sum of Mar-23 4" measure="1" displayFolder="" measureGroup="Range 1" count="0" hidden="1">
      <extLst>
        <ext xmlns:x15="http://schemas.microsoft.com/office/spreadsheetml/2010/11/main" uri="{B97F6D7D-B522-45F9-BDA1-12C45D357490}">
          <x15:cacheHierarchy aggregatedColumn="16"/>
        </ext>
      </extLst>
    </cacheHierarchy>
    <cacheHierarchy uniqueName="[Measures].[Sum of Apr-23 4]" caption="Sum of Apr-23 4" measure="1" displayFolder="" measureGroup="Range 1" count="0" hidden="1">
      <extLst>
        <ext xmlns:x15="http://schemas.microsoft.com/office/spreadsheetml/2010/11/main" uri="{B97F6D7D-B522-45F9-BDA1-12C45D357490}">
          <x15:cacheHierarchy aggregatedColumn="17"/>
        </ext>
      </extLst>
    </cacheHierarchy>
    <cacheHierarchy uniqueName="[Measures].[Sum of May-23 4]" caption="Sum of May-23 4" measure="1" displayFolder="" measureGroup="Range 1" count="0" hidden="1">
      <extLst>
        <ext xmlns:x15="http://schemas.microsoft.com/office/spreadsheetml/2010/11/main" uri="{B97F6D7D-B522-45F9-BDA1-12C45D357490}">
          <x15:cacheHierarchy aggregatedColumn="18"/>
        </ext>
      </extLst>
    </cacheHierarchy>
    <cacheHierarchy uniqueName="[Measures].[Sum of Jun-23 4]" caption="Sum of Jun-23 4" measure="1" displayFolder="" measureGroup="Range 1" count="0" hidden="1">
      <extLst>
        <ext xmlns:x15="http://schemas.microsoft.com/office/spreadsheetml/2010/11/main" uri="{B97F6D7D-B522-45F9-BDA1-12C45D357490}">
          <x15:cacheHierarchy aggregatedColumn="19"/>
        </ext>
      </extLst>
    </cacheHierarchy>
    <cacheHierarchy uniqueName="[Measures].[Sum of Jul-23 4]" caption="Sum of Jul-23 4" measure="1" displayFolder="" measureGroup="Range 1" count="0" hidden="1">
      <extLst>
        <ext xmlns:x15="http://schemas.microsoft.com/office/spreadsheetml/2010/11/main" uri="{B97F6D7D-B522-45F9-BDA1-12C45D357490}">
          <x15:cacheHierarchy aggregatedColumn="20"/>
        </ext>
      </extLst>
    </cacheHierarchy>
    <cacheHierarchy uniqueName="[Measures].[Sum of Aug-23 4]" caption="Sum of Aug-23 4" measure="1" displayFolder="" measureGroup="Range 1" count="0" hidden="1">
      <extLst>
        <ext xmlns:x15="http://schemas.microsoft.com/office/spreadsheetml/2010/11/main" uri="{B97F6D7D-B522-45F9-BDA1-12C45D357490}">
          <x15:cacheHierarchy aggregatedColumn="21"/>
        </ext>
      </extLst>
    </cacheHierarchy>
    <cacheHierarchy uniqueName="[Measures].[Sum of Sep-23 4]" caption="Sum of Sep-23 4" measure="1" displayFolder="" measureGroup="Range 1" count="0" hidden="1">
      <extLst>
        <ext xmlns:x15="http://schemas.microsoft.com/office/spreadsheetml/2010/11/main" uri="{B97F6D7D-B522-45F9-BDA1-12C45D357490}">
          <x15:cacheHierarchy aggregatedColumn="22"/>
        </ext>
      </extLst>
    </cacheHierarchy>
    <cacheHierarchy uniqueName="[Measures].[Sum of Oct-23 4]" caption="Sum of Oct-23 4" measure="1" displayFolder="" measureGroup="Range 1" count="0" hidden="1">
      <extLst>
        <ext xmlns:x15="http://schemas.microsoft.com/office/spreadsheetml/2010/11/main" uri="{B97F6D7D-B522-45F9-BDA1-12C45D357490}">
          <x15:cacheHierarchy aggregatedColumn="23"/>
        </ext>
      </extLst>
    </cacheHierarchy>
    <cacheHierarchy uniqueName="[Measures].[Sum of Nov-23 4]" caption="Sum of Nov-23 4" measure="1" displayFolder="" measureGroup="Range 1" count="0" hidden="1">
      <extLst>
        <ext xmlns:x15="http://schemas.microsoft.com/office/spreadsheetml/2010/11/main" uri="{B97F6D7D-B522-45F9-BDA1-12C45D357490}">
          <x15:cacheHierarchy aggregatedColumn="24"/>
        </ext>
      </extLst>
    </cacheHierarchy>
    <cacheHierarchy uniqueName="[Measures].[Sum of Dec-23 4]" caption="Sum of Dec-23 4"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Table1" uniqueName="[Table1]" caption="Table1"/>
    <dimension name="TableP0to5" uniqueName="[TableP0to5]" caption="TableP0to5"/>
  </dimensions>
  <measureGroups count="4">
    <measureGroup name="Range" caption="Range"/>
    <measureGroup name="Range 1" caption="Range 1"/>
    <measureGroup name="Table1" caption="Table1"/>
    <measureGroup name="TableP0to5" caption="TableP0to5"/>
  </measureGroups>
  <maps count="8">
    <map measureGroup="0" dimension="1"/>
    <map measureGroup="1" dimension="1"/>
    <map measureGroup="1" dimension="2"/>
    <map measureGroup="2"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3.942029282407" backgroundQuery="1" createdVersion="3" refreshedVersion="8" minRefreshableVersion="3" recordCount="0" supportSubquery="1" supportAdvancedDrill="1" xr:uid="{91C3C0E6-3999-42F9-98F8-8A336543D962}">
  <cacheSource type="external" connectionId="2">
    <extLst>
      <ext xmlns:x14="http://schemas.microsoft.com/office/spreadsheetml/2009/9/main" uri="{F057638F-6D5F-4e77-A914-E7F072B9BCA8}">
        <x14:sourceConnection name="ThisWorkbookDataModel"/>
      </ext>
    </extLst>
  </cacheSource>
  <cacheFields count="0"/>
  <cacheHierarchies count="131">
    <cacheHierarchy uniqueName="[Range].[Admin 1]" caption="Admin 1" attribute="1" defaultMemberUniqueName="[Range].[Admin 1].[All]" allUniqueName="[Range].[Admin 1].[All]" dimensionUniqueName="[Range]" displayFolder="" count="2" memberValueDatatype="130" unbalanced="0"/>
    <cacheHierarchy uniqueName="[Range].[Jan-23]" caption="Jan-23" attribute="1" defaultMemberUniqueName="[Range].[Jan-23].[All]" allUniqueName="[Range].[Jan-23].[All]" dimensionUniqueName="[Range]" displayFolder="" count="0" memberValueDatatype="5" unbalanced="0"/>
    <cacheHierarchy uniqueName="[Range].[Feb-23]" caption="Feb-23" attribute="1" defaultMemberUniqueName="[Range].[Feb-23].[All]" allUniqueName="[Range].[Feb-23].[All]" dimensionUniqueName="[Range]" displayFolder="" count="0" memberValueDatatype="5" unbalanced="0"/>
    <cacheHierarchy uniqueName="[Range].[Mar-23]" caption="Mar-23" attribute="1" defaultMemberUniqueName="[Range].[Mar-23].[All]" allUniqueName="[Range].[Mar-23].[All]" dimensionUniqueName="[Range]" displayFolder="" count="0" memberValueDatatype="5" unbalanced="0"/>
    <cacheHierarchy uniqueName="[Range].[Apr-23]" caption="Apr-23" attribute="1" defaultMemberUniqueName="[Range].[Apr-23].[All]" allUniqueName="[Range].[Apr-23].[All]" dimensionUniqueName="[Range]" displayFolder="" count="0" memberValueDatatype="5" unbalanced="0"/>
    <cacheHierarchy uniqueName="[Range].[May-23]" caption="May-23" attribute="1" defaultMemberUniqueName="[Range].[May-23].[All]" allUniqueName="[Range].[May-23].[All]" dimensionUniqueName="[Range]" displayFolder="" count="0" memberValueDatatype="5" unbalanced="0"/>
    <cacheHierarchy uniqueName="[Range].[Jun-23]" caption="Jun-23" attribute="1" defaultMemberUniqueName="[Range].[Jun-23].[All]" allUniqueName="[Range].[Jun-23].[All]" dimensionUniqueName="[Range]" displayFolder="" count="0" memberValueDatatype="5" unbalanced="0"/>
    <cacheHierarchy uniqueName="[Range].[Jul-23]" caption="Jul-23" attribute="1" defaultMemberUniqueName="[Range].[Jul-23].[All]" allUniqueName="[Range].[Jul-23].[All]" dimensionUniqueName="[Range]" displayFolder="" count="0" memberValueDatatype="5" unbalanced="0"/>
    <cacheHierarchy uniqueName="[Range].[Aug-23]" caption="Aug-23" attribute="1" defaultMemberUniqueName="[Range].[Aug-23].[All]" allUniqueName="[Range].[Aug-23].[All]" dimensionUniqueName="[Range]" displayFolder="" count="0" memberValueDatatype="5" unbalanced="0"/>
    <cacheHierarchy uniqueName="[Range].[Sep-23]" caption="Sep-23" attribute="1" defaultMemberUniqueName="[Range].[Sep-23].[All]" allUniqueName="[Range].[Sep-23].[All]" dimensionUniqueName="[Range]" displayFolder="" count="0" memberValueDatatype="5" unbalanced="0"/>
    <cacheHierarchy uniqueName="[Range].[Oct-23]" caption="Oct-23" attribute="1" defaultMemberUniqueName="[Range].[Oct-23].[All]" allUniqueName="[Range].[Oct-23].[All]" dimensionUniqueName="[Range]" displayFolder="" count="0" memberValueDatatype="5" unbalanced="0"/>
    <cacheHierarchy uniqueName="[Range].[Nov-23]" caption="Nov-23" attribute="1" defaultMemberUniqueName="[Range].[Nov-23].[All]" allUniqueName="[Range].[Nov-23].[All]" dimensionUniqueName="[Range]" displayFolder="" count="0" memberValueDatatype="5" unbalanced="0"/>
    <cacheHierarchy uniqueName="[Range].[Dec-23]" caption="Dec-23" attribute="1" defaultMemberUniqueName="[Range].[Dec-23].[All]" allUniqueName="[Range].[Dec-23].[All]" dimensionUniqueName="[Range]" displayFolder="" count="0" memberValueDatatype="5" unbalanced="0"/>
    <cacheHierarchy uniqueName="[Range 1].[Admin 1]" caption="Admin 1" attribute="1" defaultMemberUniqueName="[Range 1].[Admin 1].[All]" allUniqueName="[Range 1].[Admin 1].[All]" dimensionUniqueName="[Range 1]" displayFolder="" count="0" memberValueDatatype="130" unbalanced="0"/>
    <cacheHierarchy uniqueName="[Range 1].[Jan-23]" caption="Jan-23" attribute="1" defaultMemberUniqueName="[Range 1].[Jan-23].[All]" allUniqueName="[Range 1].[Jan-23].[All]" dimensionUniqueName="[Range 1]" displayFolder="" count="0" memberValueDatatype="5" unbalanced="0"/>
    <cacheHierarchy uniqueName="[Range 1].[Feb-23]" caption="Feb-23" attribute="1" defaultMemberUniqueName="[Range 1].[Feb-23].[All]" allUniqueName="[Range 1].[Feb-23].[All]" dimensionUniqueName="[Range 1]" displayFolder="" count="0" memberValueDatatype="5" unbalanced="0"/>
    <cacheHierarchy uniqueName="[Range 1].[Mar-23]" caption="Mar-23" attribute="1" defaultMemberUniqueName="[Range 1].[Mar-23].[All]" allUniqueName="[Range 1].[Mar-23].[All]" dimensionUniqueName="[Range 1]" displayFolder="" count="0" memberValueDatatype="5" unbalanced="0"/>
    <cacheHierarchy uniqueName="[Range 1].[Apr-23]" caption="Apr-23" attribute="1" defaultMemberUniqueName="[Range 1].[Apr-23].[All]" allUniqueName="[Range 1].[Apr-23].[All]" dimensionUniqueName="[Range 1]" displayFolder="" count="0" memberValueDatatype="5" unbalanced="0"/>
    <cacheHierarchy uniqueName="[Range 1].[May-23]" caption="May-23" attribute="1" defaultMemberUniqueName="[Range 1].[May-23].[All]" allUniqueName="[Range 1].[May-23].[All]" dimensionUniqueName="[Range 1]" displayFolder="" count="0" memberValueDatatype="5" unbalanced="0"/>
    <cacheHierarchy uniqueName="[Range 1].[Jun-23]" caption="Jun-23" attribute="1" defaultMemberUniqueName="[Range 1].[Jun-23].[All]" allUniqueName="[Range 1].[Jun-23].[All]" dimensionUniqueName="[Range 1]" displayFolder="" count="0" memberValueDatatype="5" unbalanced="0"/>
    <cacheHierarchy uniqueName="[Range 1].[Jul-23]" caption="Jul-23" attribute="1" defaultMemberUniqueName="[Range 1].[Jul-23].[All]" allUniqueName="[Range 1].[Jul-23].[All]" dimensionUniqueName="[Range 1]" displayFolder="" count="0" memberValueDatatype="5" unbalanced="0"/>
    <cacheHierarchy uniqueName="[Range 1].[Aug-23]" caption="Aug-23" attribute="1" defaultMemberUniqueName="[Range 1].[Aug-23].[All]" allUniqueName="[Range 1].[Aug-23].[All]" dimensionUniqueName="[Range 1]" displayFolder="" count="0" memberValueDatatype="5" unbalanced="0"/>
    <cacheHierarchy uniqueName="[Range 1].[Sep-23]" caption="Sep-23" attribute="1" defaultMemberUniqueName="[Range 1].[Sep-23].[All]" allUniqueName="[Range 1].[Sep-23].[All]" dimensionUniqueName="[Range 1]" displayFolder="" count="0" memberValueDatatype="5" unbalanced="0"/>
    <cacheHierarchy uniqueName="[Range 1].[Oct-23]" caption="Oct-23" attribute="1" defaultMemberUniqueName="[Range 1].[Oct-23].[All]" allUniqueName="[Range 1].[Oct-23].[All]" dimensionUniqueName="[Range 1]" displayFolder="" count="0" memberValueDatatype="5" unbalanced="0"/>
    <cacheHierarchy uniqueName="[Range 1].[Nov-23]" caption="Nov-23" attribute="1" defaultMemberUniqueName="[Range 1].[Nov-23].[All]" allUniqueName="[Range 1].[Nov-23].[All]" dimensionUniqueName="[Range 1]" displayFolder="" count="0" memberValueDatatype="5" unbalanced="0"/>
    <cacheHierarchy uniqueName="[Range 1].[Dec-23]" caption="Dec-23" attribute="1" defaultMemberUniqueName="[Range 1].[Dec-23].[All]" allUniqueName="[Range 1].[Dec-23].[All]" dimensionUniqueName="[Range 1]" displayFolder="" count="0" memberValueDatatype="5" unbalanced="0"/>
    <cacheHierarchy uniqueName="[Table1].[Admin 1]" caption="Admin 1" attribute="1" defaultMemberUniqueName="[Table1].[Admin 1].[All]" allUniqueName="[Table1].[Admin 1].[All]" dimensionUniqueName="[Table1]" displayFolder="" count="0" memberValueDatatype="130" unbalanced="0"/>
    <cacheHierarchy uniqueName="[Table1].[Jan-23]" caption="Jan-23" attribute="1" defaultMemberUniqueName="[Table1].[Jan-23].[All]" allUniqueName="[Table1].[Jan-23].[All]" dimensionUniqueName="[Table1]" displayFolder="" count="0" memberValueDatatype="5" unbalanced="0"/>
    <cacheHierarchy uniqueName="[Table1].[Feb-23]" caption="Feb-23" attribute="1" defaultMemberUniqueName="[Table1].[Feb-23].[All]" allUniqueName="[Table1].[Feb-23].[All]" dimensionUniqueName="[Table1]" displayFolder="" count="0" memberValueDatatype="5" unbalanced="0"/>
    <cacheHierarchy uniqueName="[Table1].[Mar-23]" caption="Mar-23" attribute="1" defaultMemberUniqueName="[Table1].[Mar-23].[All]" allUniqueName="[Table1].[Mar-23].[All]" dimensionUniqueName="[Table1]" displayFolder="" count="0" memberValueDatatype="5" unbalanced="0"/>
    <cacheHierarchy uniqueName="[Table1].[Apr-23]" caption="Apr-23" attribute="1" defaultMemberUniqueName="[Table1].[Apr-23].[All]" allUniqueName="[Table1].[Apr-23].[All]" dimensionUniqueName="[Table1]" displayFolder="" count="0" memberValueDatatype="5" unbalanced="0"/>
    <cacheHierarchy uniqueName="[Table1].[May-23]" caption="May-23" attribute="1" defaultMemberUniqueName="[Table1].[May-23].[All]" allUniqueName="[Table1].[May-23].[All]" dimensionUniqueName="[Table1]" displayFolder="" count="0" memberValueDatatype="5" unbalanced="0"/>
    <cacheHierarchy uniqueName="[Table1].[Jun-23]" caption="Jun-23" attribute="1" defaultMemberUniqueName="[Table1].[Jun-23].[All]" allUniqueName="[Table1].[Jun-23].[All]" dimensionUniqueName="[Table1]" displayFolder="" count="0" memberValueDatatype="5" unbalanced="0"/>
    <cacheHierarchy uniqueName="[Table1].[Jul-23]" caption="Jul-23" attribute="1" defaultMemberUniqueName="[Table1].[Jul-23].[All]" allUniqueName="[Table1].[Jul-23].[All]" dimensionUniqueName="[Table1]" displayFolder="" count="0" memberValueDatatype="5" unbalanced="0"/>
    <cacheHierarchy uniqueName="[Table1].[Aug-23]" caption="Aug-23" attribute="1" defaultMemberUniqueName="[Table1].[Aug-23].[All]" allUniqueName="[Table1].[Aug-23].[All]" dimensionUniqueName="[Table1]" displayFolder="" count="0" memberValueDatatype="5" unbalanced="0"/>
    <cacheHierarchy uniqueName="[Table1].[Sep-23]" caption="Sep-23" attribute="1" defaultMemberUniqueName="[Table1].[Sep-23].[All]" allUniqueName="[Table1].[Sep-23].[All]" dimensionUniqueName="[Table1]" displayFolder="" count="0" memberValueDatatype="5" unbalanced="0"/>
    <cacheHierarchy uniqueName="[Table1].[Oct-23]" caption="Oct-23" attribute="1" defaultMemberUniqueName="[Table1].[Oct-23].[All]" allUniqueName="[Table1].[Oct-23].[All]" dimensionUniqueName="[Table1]" displayFolder="" count="0" memberValueDatatype="5" unbalanced="0"/>
    <cacheHierarchy uniqueName="[Table1].[Nov-23]" caption="Nov-23" attribute="1" defaultMemberUniqueName="[Table1].[Nov-23].[All]" allUniqueName="[Table1].[Nov-23].[All]" dimensionUniqueName="[Table1]" displayFolder="" count="0" memberValueDatatype="5" unbalanced="0"/>
    <cacheHierarchy uniqueName="[Table1].[Dec-23]" caption="Dec-23" attribute="1" defaultMemberUniqueName="[Table1].[Dec-23].[All]" allUniqueName="[Table1].[Dec-23].[All]" dimensionUniqueName="[Table1]" displayFolder="" count="0" memberValueDatatype="5" unbalanced="0"/>
    <cacheHierarchy uniqueName="[TableP0to5].[Admin 1]" caption="Admin 1" attribute="1" defaultMemberUniqueName="[TableP0to5].[Admin 1].[All]" allUniqueName="[TableP0to5].[Admin 1].[All]" dimensionUniqueName="[TableP0to5]" displayFolder="" count="0" memberValueDatatype="130" unbalanced="0"/>
    <cacheHierarchy uniqueName="[TableP0to5].[Jan-23]" caption="Jan-23" attribute="1" defaultMemberUniqueName="[TableP0to5].[Jan-23].[All]" allUniqueName="[TableP0to5].[Jan-23].[All]" dimensionUniqueName="[TableP0to5]" displayFolder="" count="0" memberValueDatatype="5" unbalanced="0"/>
    <cacheHierarchy uniqueName="[TableP0to5].[Feb-23]" caption="Feb-23" attribute="1" defaultMemberUniqueName="[TableP0to5].[Feb-23].[All]" allUniqueName="[TableP0to5].[Feb-23].[All]" dimensionUniqueName="[TableP0to5]" displayFolder="" count="0" memberValueDatatype="5" unbalanced="0"/>
    <cacheHierarchy uniqueName="[TableP0to5].[Mar-23]" caption="Mar-23" attribute="1" defaultMemberUniqueName="[TableP0to5].[Mar-23].[All]" allUniqueName="[TableP0to5].[Mar-23].[All]" dimensionUniqueName="[TableP0to5]" displayFolder="" count="0" memberValueDatatype="5" unbalanced="0"/>
    <cacheHierarchy uniqueName="[TableP0to5].[Apr-23]" caption="Apr-23" attribute="1" defaultMemberUniqueName="[TableP0to5].[Apr-23].[All]" allUniqueName="[TableP0to5].[Apr-23].[All]" dimensionUniqueName="[TableP0to5]" displayFolder="" count="0" memberValueDatatype="5" unbalanced="0"/>
    <cacheHierarchy uniqueName="[TableP0to5].[May-23]" caption="May-23" attribute="1" defaultMemberUniqueName="[TableP0to5].[May-23].[All]" allUniqueName="[TableP0to5].[May-23].[All]" dimensionUniqueName="[TableP0to5]" displayFolder="" count="0" memberValueDatatype="5" unbalanced="0"/>
    <cacheHierarchy uniqueName="[TableP0to5].[Jun-23]" caption="Jun-23" attribute="1" defaultMemberUniqueName="[TableP0to5].[Jun-23].[All]" allUniqueName="[TableP0to5].[Jun-23].[All]" dimensionUniqueName="[TableP0to5]" displayFolder="" count="0" memberValueDatatype="5" unbalanced="0"/>
    <cacheHierarchy uniqueName="[TableP0to5].[Jul-23]" caption="Jul-23" attribute="1" defaultMemberUniqueName="[TableP0to5].[Jul-23].[All]" allUniqueName="[TableP0to5].[Jul-23].[All]" dimensionUniqueName="[TableP0to5]" displayFolder="" count="0" memberValueDatatype="5" unbalanced="0"/>
    <cacheHierarchy uniqueName="[TableP0to5].[Aug-23]" caption="Aug-23" attribute="1" defaultMemberUniqueName="[TableP0to5].[Aug-23].[All]" allUniqueName="[TableP0to5].[Aug-23].[All]" dimensionUniqueName="[TableP0to5]" displayFolder="" count="0" memberValueDatatype="5" unbalanced="0"/>
    <cacheHierarchy uniqueName="[TableP0to5].[Sep-23]" caption="Sep-23" attribute="1" defaultMemberUniqueName="[TableP0to5].[Sep-23].[All]" allUniqueName="[TableP0to5].[Sep-23].[All]" dimensionUniqueName="[TableP0to5]" displayFolder="" count="0" memberValueDatatype="5" unbalanced="0"/>
    <cacheHierarchy uniqueName="[TableP0to5].[Oct-23]" caption="Oct-23" attribute="1" defaultMemberUniqueName="[TableP0to5].[Oct-23].[All]" allUniqueName="[TableP0to5].[Oct-23].[All]" dimensionUniqueName="[TableP0to5]" displayFolder="" count="0" memberValueDatatype="5" unbalanced="0"/>
    <cacheHierarchy uniqueName="[TableP0to5].[Nov-23]" caption="Nov-23" attribute="1" defaultMemberUniqueName="[TableP0to5].[Nov-23].[All]" allUniqueName="[TableP0to5].[Nov-23].[All]" dimensionUniqueName="[TableP0to5]" displayFolder="" count="0" memberValueDatatype="5" unbalanced="0"/>
    <cacheHierarchy uniqueName="[TableP0to5].[Dec-23]" caption="Dec-23" attribute="1" defaultMemberUniqueName="[TableP0to5].[Dec-23].[All]" allUniqueName="[TableP0to5].[Dec-23].[All]" dimensionUniqueName="[TableP0to5]" displayFolder="" count="0" memberValueDatatype="5"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TableP0to5]" caption="__XL_Count TableP0to5" measure="1" displayFolder="" measureGroup="TableP0to5"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Jan-23]" caption="Sum of Jan-23" measure="1" displayFolder="" measureGroup="Table1" count="0" hidden="1">
      <extLst>
        <ext xmlns:x15="http://schemas.microsoft.com/office/spreadsheetml/2010/11/main" uri="{B97F6D7D-B522-45F9-BDA1-12C45D357490}">
          <x15:cacheHierarchy aggregatedColumn="27"/>
        </ext>
      </extLst>
    </cacheHierarchy>
    <cacheHierarchy uniqueName="[Measures].[Sum of Feb-23]" caption="Sum of Feb-23" measure="1" displayFolder="" measureGroup="Table1" count="0" hidden="1">
      <extLst>
        <ext xmlns:x15="http://schemas.microsoft.com/office/spreadsheetml/2010/11/main" uri="{B97F6D7D-B522-45F9-BDA1-12C45D357490}">
          <x15:cacheHierarchy aggregatedColumn="28"/>
        </ext>
      </extLst>
    </cacheHierarchy>
    <cacheHierarchy uniqueName="[Measures].[Sum of Mar-23]" caption="Sum of Mar-23" measure="1" displayFolder="" measureGroup="Table1" count="0" hidden="1">
      <extLst>
        <ext xmlns:x15="http://schemas.microsoft.com/office/spreadsheetml/2010/11/main" uri="{B97F6D7D-B522-45F9-BDA1-12C45D357490}">
          <x15:cacheHierarchy aggregatedColumn="29"/>
        </ext>
      </extLst>
    </cacheHierarchy>
    <cacheHierarchy uniqueName="[Measures].[Sum of Apr-23]" caption="Sum of Apr-23" measure="1" displayFolder="" measureGroup="Table1" count="0" hidden="1">
      <extLst>
        <ext xmlns:x15="http://schemas.microsoft.com/office/spreadsheetml/2010/11/main" uri="{B97F6D7D-B522-45F9-BDA1-12C45D357490}">
          <x15:cacheHierarchy aggregatedColumn="30"/>
        </ext>
      </extLst>
    </cacheHierarchy>
    <cacheHierarchy uniqueName="[Measures].[Sum of May-23]" caption="Sum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an-23]" caption="Average of Jan-23" measure="1" displayFolder="" measureGroup="Table1" count="0" hidden="1">
      <extLst>
        <ext xmlns:x15="http://schemas.microsoft.com/office/spreadsheetml/2010/11/main" uri="{B97F6D7D-B522-45F9-BDA1-12C45D357490}">
          <x15:cacheHierarchy aggregatedColumn="27"/>
        </ext>
      </extLst>
    </cacheHierarchy>
    <cacheHierarchy uniqueName="[Measures].[Sum of Jun-23]" caption="Sum of Jun-23" measure="1" displayFolder="" measureGroup="Table1" count="0" hidden="1">
      <extLst>
        <ext xmlns:x15="http://schemas.microsoft.com/office/spreadsheetml/2010/11/main" uri="{B97F6D7D-B522-45F9-BDA1-12C45D357490}">
          <x15:cacheHierarchy aggregatedColumn="32"/>
        </ext>
      </extLst>
    </cacheHierarchy>
    <cacheHierarchy uniqueName="[Measures].[Sum of Jul-23]" caption="Sum of Jul-23" measure="1" displayFolder="" measureGroup="Table1" count="0" hidden="1">
      <extLst>
        <ext xmlns:x15="http://schemas.microsoft.com/office/spreadsheetml/2010/11/main" uri="{B97F6D7D-B522-45F9-BDA1-12C45D357490}">
          <x15:cacheHierarchy aggregatedColumn="33"/>
        </ext>
      </extLst>
    </cacheHierarchy>
    <cacheHierarchy uniqueName="[Measures].[Sum of Aug-23]" caption="Sum of Aug-23" measure="1" displayFolder="" measureGroup="Table1" count="0" hidden="1">
      <extLst>
        <ext xmlns:x15="http://schemas.microsoft.com/office/spreadsheetml/2010/11/main" uri="{B97F6D7D-B522-45F9-BDA1-12C45D357490}">
          <x15:cacheHierarchy aggregatedColumn="34"/>
        </ext>
      </extLst>
    </cacheHierarchy>
    <cacheHierarchy uniqueName="[Measures].[Sum of Sep-23]" caption="Sum of Sep-23" measure="1" displayFolder="" measureGroup="Table1" count="0" hidden="1">
      <extLst>
        <ext xmlns:x15="http://schemas.microsoft.com/office/spreadsheetml/2010/11/main" uri="{B97F6D7D-B522-45F9-BDA1-12C45D357490}">
          <x15:cacheHierarchy aggregatedColumn="35"/>
        </ext>
      </extLst>
    </cacheHierarchy>
    <cacheHierarchy uniqueName="[Measures].[Sum of Oct-23]" caption="Sum of Oct-23" measure="1" displayFolder="" measureGroup="Table1" count="0" hidden="1">
      <extLst>
        <ext xmlns:x15="http://schemas.microsoft.com/office/spreadsheetml/2010/11/main" uri="{B97F6D7D-B522-45F9-BDA1-12C45D357490}">
          <x15:cacheHierarchy aggregatedColumn="36"/>
        </ext>
      </extLst>
    </cacheHierarchy>
    <cacheHierarchy uniqueName="[Measures].[Sum of Nov-23]" caption="Sum of Nov-23" measure="1" displayFolder="" measureGroup="Table1" count="0" hidden="1">
      <extLst>
        <ext xmlns:x15="http://schemas.microsoft.com/office/spreadsheetml/2010/11/main" uri="{B97F6D7D-B522-45F9-BDA1-12C45D357490}">
          <x15:cacheHierarchy aggregatedColumn="37"/>
        </ext>
      </extLst>
    </cacheHierarchy>
    <cacheHierarchy uniqueName="[Measures].[Sum of Dec-23]" caption="Sum of Dec-23" measure="1" displayFolder="" measureGroup="Table1" count="0" hidden="1">
      <extLst>
        <ext xmlns:x15="http://schemas.microsoft.com/office/spreadsheetml/2010/11/main" uri="{B97F6D7D-B522-45F9-BDA1-12C45D357490}">
          <x15:cacheHierarchy aggregatedColumn="38"/>
        </ext>
      </extLst>
    </cacheHierarchy>
    <cacheHierarchy uniqueName="[Measures].[Average of Feb-23]" caption="Average of Feb-23" measure="1" displayFolder="" measureGroup="Table1" count="0" hidden="1">
      <extLst>
        <ext xmlns:x15="http://schemas.microsoft.com/office/spreadsheetml/2010/11/main" uri="{B97F6D7D-B522-45F9-BDA1-12C45D357490}">
          <x15:cacheHierarchy aggregatedColumn="28"/>
        </ext>
      </extLst>
    </cacheHierarchy>
    <cacheHierarchy uniqueName="[Measures].[Average of Mar-23]" caption="Average of Mar-23" measure="1" displayFolder="" measureGroup="Table1" count="0" hidden="1">
      <extLst>
        <ext xmlns:x15="http://schemas.microsoft.com/office/spreadsheetml/2010/11/main" uri="{B97F6D7D-B522-45F9-BDA1-12C45D357490}">
          <x15:cacheHierarchy aggregatedColumn="29"/>
        </ext>
      </extLst>
    </cacheHierarchy>
    <cacheHierarchy uniqueName="[Measures].[Average of Apr-23]" caption="Average of Apr-23" measure="1" displayFolder="" measureGroup="Table1" count="0" hidden="1">
      <extLst>
        <ext xmlns:x15="http://schemas.microsoft.com/office/spreadsheetml/2010/11/main" uri="{B97F6D7D-B522-45F9-BDA1-12C45D357490}">
          <x15:cacheHierarchy aggregatedColumn="30"/>
        </ext>
      </extLst>
    </cacheHierarchy>
    <cacheHierarchy uniqueName="[Measures].[Average of May-23]" caption="Average of May-23" measure="1" displayFolder="" measureGroup="Table1" count="0" hidden="1">
      <extLst>
        <ext xmlns:x15="http://schemas.microsoft.com/office/spreadsheetml/2010/11/main" uri="{B97F6D7D-B522-45F9-BDA1-12C45D357490}">
          <x15:cacheHierarchy aggregatedColumn="31"/>
        </ext>
      </extLst>
    </cacheHierarchy>
    <cacheHierarchy uniqueName="[Measures].[Average of Jun-23]" caption="Average of Jun-23" measure="1" displayFolder="" measureGroup="Table1" count="0" hidden="1">
      <extLst>
        <ext xmlns:x15="http://schemas.microsoft.com/office/spreadsheetml/2010/11/main" uri="{B97F6D7D-B522-45F9-BDA1-12C45D357490}">
          <x15:cacheHierarchy aggregatedColumn="32"/>
        </ext>
      </extLst>
    </cacheHierarchy>
    <cacheHierarchy uniqueName="[Measures].[Average of Jul-23]" caption="Average of Jul-23" measure="1" displayFolder="" measureGroup="Table1" count="0" hidden="1">
      <extLst>
        <ext xmlns:x15="http://schemas.microsoft.com/office/spreadsheetml/2010/11/main" uri="{B97F6D7D-B522-45F9-BDA1-12C45D357490}">
          <x15:cacheHierarchy aggregatedColumn="33"/>
        </ext>
      </extLst>
    </cacheHierarchy>
    <cacheHierarchy uniqueName="[Measures].[Average of Aug-23]" caption="Average of Aug-23" measure="1" displayFolder="" measureGroup="Table1" count="0" hidden="1">
      <extLst>
        <ext xmlns:x15="http://schemas.microsoft.com/office/spreadsheetml/2010/11/main" uri="{B97F6D7D-B522-45F9-BDA1-12C45D357490}">
          <x15:cacheHierarchy aggregatedColumn="34"/>
        </ext>
      </extLst>
    </cacheHierarchy>
    <cacheHierarchy uniqueName="[Measures].[Average of Sep-23]" caption="Average of Sep-23" measure="1" displayFolder="" measureGroup="Table1" count="0" hidden="1">
      <extLst>
        <ext xmlns:x15="http://schemas.microsoft.com/office/spreadsheetml/2010/11/main" uri="{B97F6D7D-B522-45F9-BDA1-12C45D357490}">
          <x15:cacheHierarchy aggregatedColumn="35"/>
        </ext>
      </extLst>
    </cacheHierarchy>
    <cacheHierarchy uniqueName="[Measures].[Average of Oct-23]" caption="Average of Oct-23" measure="1" displayFolder="" measureGroup="Table1" count="0" hidden="1">
      <extLst>
        <ext xmlns:x15="http://schemas.microsoft.com/office/spreadsheetml/2010/11/main" uri="{B97F6D7D-B522-45F9-BDA1-12C45D357490}">
          <x15:cacheHierarchy aggregatedColumn="36"/>
        </ext>
      </extLst>
    </cacheHierarchy>
    <cacheHierarchy uniqueName="[Measures].[Average of Nov-23]" caption="Average of Nov-23" measure="1" displayFolder="" measureGroup="Table1" count="0" hidden="1">
      <extLst>
        <ext xmlns:x15="http://schemas.microsoft.com/office/spreadsheetml/2010/11/main" uri="{B97F6D7D-B522-45F9-BDA1-12C45D357490}">
          <x15:cacheHierarchy aggregatedColumn="37"/>
        </ext>
      </extLst>
    </cacheHierarchy>
    <cacheHierarchy uniqueName="[Measures].[Average of Dec-23]" caption="Average of Dec-23" measure="1" displayFolder="" measureGroup="Table1" count="0" hidden="1">
      <extLst>
        <ext xmlns:x15="http://schemas.microsoft.com/office/spreadsheetml/2010/11/main" uri="{B97F6D7D-B522-45F9-BDA1-12C45D357490}">
          <x15:cacheHierarchy aggregatedColumn="38"/>
        </ext>
      </extLst>
    </cacheHierarchy>
    <cacheHierarchy uniqueName="[Measures].[Sum of Jan-23 2]" caption="Sum of Jan-23 2" measure="1" displayFolder="" measureGroup="Range" count="0" hidden="1">
      <extLst>
        <ext xmlns:x15="http://schemas.microsoft.com/office/spreadsheetml/2010/11/main" uri="{B97F6D7D-B522-45F9-BDA1-12C45D357490}">
          <x15:cacheHierarchy aggregatedColumn="1"/>
        </ext>
      </extLst>
    </cacheHierarchy>
    <cacheHierarchy uniqueName="[Measures].[Sum of Feb-23 2]" caption="Sum of Feb-23 2" measure="1" displayFolder="" measureGroup="Range" count="0" hidden="1">
      <extLst>
        <ext xmlns:x15="http://schemas.microsoft.com/office/spreadsheetml/2010/11/main" uri="{B97F6D7D-B522-45F9-BDA1-12C45D357490}">
          <x15:cacheHierarchy aggregatedColumn="2"/>
        </ext>
      </extLst>
    </cacheHierarchy>
    <cacheHierarchy uniqueName="[Measures].[Sum of Mar-23 2]" caption="Sum of Mar-23 2" measure="1" displayFolder="" measureGroup="Range" count="0" hidden="1">
      <extLst>
        <ext xmlns:x15="http://schemas.microsoft.com/office/spreadsheetml/2010/11/main" uri="{B97F6D7D-B522-45F9-BDA1-12C45D357490}">
          <x15:cacheHierarchy aggregatedColumn="3"/>
        </ext>
      </extLst>
    </cacheHierarchy>
    <cacheHierarchy uniqueName="[Measures].[Sum of Apr-23 2]" caption="Sum of Apr-23 2" measure="1" displayFolder="" measureGroup="Range" count="0" hidden="1">
      <extLst>
        <ext xmlns:x15="http://schemas.microsoft.com/office/spreadsheetml/2010/11/main" uri="{B97F6D7D-B522-45F9-BDA1-12C45D357490}">
          <x15:cacheHierarchy aggregatedColumn="4"/>
        </ext>
      </extLst>
    </cacheHierarchy>
    <cacheHierarchy uniqueName="[Measures].[Sum of May-23 2]" caption="Sum of May-23 2" measure="1" displayFolder="" measureGroup="Range" count="0" hidden="1">
      <extLst>
        <ext xmlns:x15="http://schemas.microsoft.com/office/spreadsheetml/2010/11/main" uri="{B97F6D7D-B522-45F9-BDA1-12C45D357490}">
          <x15:cacheHierarchy aggregatedColumn="5"/>
        </ext>
      </extLst>
    </cacheHierarchy>
    <cacheHierarchy uniqueName="[Measures].[Sum of Jun-23 2]" caption="Sum of Jun-23 2" measure="1" displayFolder="" measureGroup="Range" count="0" hidden="1">
      <extLst>
        <ext xmlns:x15="http://schemas.microsoft.com/office/spreadsheetml/2010/11/main" uri="{B97F6D7D-B522-45F9-BDA1-12C45D357490}">
          <x15:cacheHierarchy aggregatedColumn="6"/>
        </ext>
      </extLst>
    </cacheHierarchy>
    <cacheHierarchy uniqueName="[Measures].[Sum of Jul-23 2]" caption="Sum of Jul-23 2" measure="1" displayFolder="" measureGroup="Range" count="0" hidden="1">
      <extLst>
        <ext xmlns:x15="http://schemas.microsoft.com/office/spreadsheetml/2010/11/main" uri="{B97F6D7D-B522-45F9-BDA1-12C45D357490}">
          <x15:cacheHierarchy aggregatedColumn="7"/>
        </ext>
      </extLst>
    </cacheHierarchy>
    <cacheHierarchy uniqueName="[Measures].[Sum of Aug-23 2]" caption="Sum of Aug-23 2" measure="1" displayFolder="" measureGroup="Range" count="0" hidden="1">
      <extLst>
        <ext xmlns:x15="http://schemas.microsoft.com/office/spreadsheetml/2010/11/main" uri="{B97F6D7D-B522-45F9-BDA1-12C45D357490}">
          <x15:cacheHierarchy aggregatedColumn="8"/>
        </ext>
      </extLst>
    </cacheHierarchy>
    <cacheHierarchy uniqueName="[Measures].[Sum of Sep-23 2]" caption="Sum of Sep-23 2" measure="1" displayFolder="" measureGroup="Range" count="0" hidden="1">
      <extLst>
        <ext xmlns:x15="http://schemas.microsoft.com/office/spreadsheetml/2010/11/main" uri="{B97F6D7D-B522-45F9-BDA1-12C45D357490}">
          <x15:cacheHierarchy aggregatedColumn="9"/>
        </ext>
      </extLst>
    </cacheHierarchy>
    <cacheHierarchy uniqueName="[Measures].[Sum of Oct-23 2]" caption="Sum of Oct-23 2" measure="1" displayFolder="" measureGroup="Range" count="0" hidden="1">
      <extLst>
        <ext xmlns:x15="http://schemas.microsoft.com/office/spreadsheetml/2010/11/main" uri="{B97F6D7D-B522-45F9-BDA1-12C45D357490}">
          <x15:cacheHierarchy aggregatedColumn="10"/>
        </ext>
      </extLst>
    </cacheHierarchy>
    <cacheHierarchy uniqueName="[Measures].[Sum of Nov-23 2]" caption="Sum of Nov-23 2" measure="1" displayFolder="" measureGroup="Range" count="0" hidden="1">
      <extLst>
        <ext xmlns:x15="http://schemas.microsoft.com/office/spreadsheetml/2010/11/main" uri="{B97F6D7D-B522-45F9-BDA1-12C45D357490}">
          <x15:cacheHierarchy aggregatedColumn="11"/>
        </ext>
      </extLst>
    </cacheHierarchy>
    <cacheHierarchy uniqueName="[Measures].[Sum of Dec-23 2]" caption="Sum of Dec-23 2" measure="1" displayFolder="" measureGroup="Range" count="0" hidden="1">
      <extLst>
        <ext xmlns:x15="http://schemas.microsoft.com/office/spreadsheetml/2010/11/main" uri="{B97F6D7D-B522-45F9-BDA1-12C45D357490}">
          <x15:cacheHierarchy aggregatedColumn="12"/>
        </ext>
      </extLst>
    </cacheHierarchy>
    <cacheHierarchy uniqueName="[Measures].[Average of Jan-23 2]" caption="Average of Jan-23 2" measure="1" displayFolder="" measureGroup="Range" count="0" hidden="1">
      <extLst>
        <ext xmlns:x15="http://schemas.microsoft.com/office/spreadsheetml/2010/11/main" uri="{B97F6D7D-B522-45F9-BDA1-12C45D357490}">
          <x15:cacheHierarchy aggregatedColumn="1"/>
        </ext>
      </extLst>
    </cacheHierarchy>
    <cacheHierarchy uniqueName="[Measures].[Sum of Jan-23 3]" caption="Sum of Jan-23 3" measure="1" displayFolder="" measureGroup="TableP0to5" count="0" hidden="1">
      <extLst>
        <ext xmlns:x15="http://schemas.microsoft.com/office/spreadsheetml/2010/11/main" uri="{B97F6D7D-B522-45F9-BDA1-12C45D357490}">
          <x15:cacheHierarchy aggregatedColumn="40"/>
        </ext>
      </extLst>
    </cacheHierarchy>
    <cacheHierarchy uniqueName="[Measures].[Sum of Feb-23 3]" caption="Sum of Feb-23 3" measure="1" displayFolder="" measureGroup="TableP0to5" count="0" hidden="1">
      <extLst>
        <ext xmlns:x15="http://schemas.microsoft.com/office/spreadsheetml/2010/11/main" uri="{B97F6D7D-B522-45F9-BDA1-12C45D357490}">
          <x15:cacheHierarchy aggregatedColumn="41"/>
        </ext>
      </extLst>
    </cacheHierarchy>
    <cacheHierarchy uniqueName="[Measures].[Sum of Mar-23 3]" caption="Sum of Mar-23 3" measure="1" displayFolder="" measureGroup="TableP0to5" count="0" hidden="1">
      <extLst>
        <ext xmlns:x15="http://schemas.microsoft.com/office/spreadsheetml/2010/11/main" uri="{B97F6D7D-B522-45F9-BDA1-12C45D357490}">
          <x15:cacheHierarchy aggregatedColumn="42"/>
        </ext>
      </extLst>
    </cacheHierarchy>
    <cacheHierarchy uniqueName="[Measures].[Sum of Apr-23 3]" caption="Sum of Apr-23 3" measure="1" displayFolder="" measureGroup="TableP0to5" count="0" hidden="1">
      <extLst>
        <ext xmlns:x15="http://schemas.microsoft.com/office/spreadsheetml/2010/11/main" uri="{B97F6D7D-B522-45F9-BDA1-12C45D357490}">
          <x15:cacheHierarchy aggregatedColumn="43"/>
        </ext>
      </extLst>
    </cacheHierarchy>
    <cacheHierarchy uniqueName="[Measures].[Sum of May-23 3]" caption="Sum of May-23 3" measure="1" displayFolder="" measureGroup="TableP0to5" count="0" hidden="1">
      <extLst>
        <ext xmlns:x15="http://schemas.microsoft.com/office/spreadsheetml/2010/11/main" uri="{B97F6D7D-B522-45F9-BDA1-12C45D357490}">
          <x15:cacheHierarchy aggregatedColumn="44"/>
        </ext>
      </extLst>
    </cacheHierarchy>
    <cacheHierarchy uniqueName="[Measures].[Sum of Jun-23 3]" caption="Sum of Jun-23 3" measure="1" displayFolder="" measureGroup="TableP0to5" count="0" hidden="1">
      <extLst>
        <ext xmlns:x15="http://schemas.microsoft.com/office/spreadsheetml/2010/11/main" uri="{B97F6D7D-B522-45F9-BDA1-12C45D357490}">
          <x15:cacheHierarchy aggregatedColumn="45"/>
        </ext>
      </extLst>
    </cacheHierarchy>
    <cacheHierarchy uniqueName="[Measures].[Sum of Jul-23 3]" caption="Sum of Jul-23 3" measure="1" displayFolder="" measureGroup="TableP0to5" count="0" hidden="1">
      <extLst>
        <ext xmlns:x15="http://schemas.microsoft.com/office/spreadsheetml/2010/11/main" uri="{B97F6D7D-B522-45F9-BDA1-12C45D357490}">
          <x15:cacheHierarchy aggregatedColumn="46"/>
        </ext>
      </extLst>
    </cacheHierarchy>
    <cacheHierarchy uniqueName="[Measures].[Sum of Aug-23 3]" caption="Sum of Aug-23 3" measure="1" displayFolder="" measureGroup="TableP0to5" count="0" hidden="1">
      <extLst>
        <ext xmlns:x15="http://schemas.microsoft.com/office/spreadsheetml/2010/11/main" uri="{B97F6D7D-B522-45F9-BDA1-12C45D357490}">
          <x15:cacheHierarchy aggregatedColumn="47"/>
        </ext>
      </extLst>
    </cacheHierarchy>
    <cacheHierarchy uniqueName="[Measures].[Sum of Sep-23 3]" caption="Sum of Sep-23 3" measure="1" displayFolder="" measureGroup="TableP0to5" count="0" hidden="1">
      <extLst>
        <ext xmlns:x15="http://schemas.microsoft.com/office/spreadsheetml/2010/11/main" uri="{B97F6D7D-B522-45F9-BDA1-12C45D357490}">
          <x15:cacheHierarchy aggregatedColumn="48"/>
        </ext>
      </extLst>
    </cacheHierarchy>
    <cacheHierarchy uniqueName="[Measures].[Sum of Oct-23 3]" caption="Sum of Oct-23 3" measure="1" displayFolder="" measureGroup="TableP0to5" count="0" hidden="1">
      <extLst>
        <ext xmlns:x15="http://schemas.microsoft.com/office/spreadsheetml/2010/11/main" uri="{B97F6D7D-B522-45F9-BDA1-12C45D357490}">
          <x15:cacheHierarchy aggregatedColumn="49"/>
        </ext>
      </extLst>
    </cacheHierarchy>
    <cacheHierarchy uniqueName="[Measures].[Sum of Nov-23 3]" caption="Sum of Nov-23 3" measure="1" displayFolder="" measureGroup="TableP0to5" count="0" hidden="1">
      <extLst>
        <ext xmlns:x15="http://schemas.microsoft.com/office/spreadsheetml/2010/11/main" uri="{B97F6D7D-B522-45F9-BDA1-12C45D357490}">
          <x15:cacheHierarchy aggregatedColumn="50"/>
        </ext>
      </extLst>
    </cacheHierarchy>
    <cacheHierarchy uniqueName="[Measures].[Sum of Dec-23 3]" caption="Sum of Dec-23 3" measure="1" displayFolder="" measureGroup="TableP0to5" count="0" hidden="1">
      <extLst>
        <ext xmlns:x15="http://schemas.microsoft.com/office/spreadsheetml/2010/11/main" uri="{B97F6D7D-B522-45F9-BDA1-12C45D357490}">
          <x15:cacheHierarchy aggregatedColumn="51"/>
        </ext>
      </extLst>
    </cacheHierarchy>
    <cacheHierarchy uniqueName="[Measures].[Average of Jan-23 3]" caption="Average of Jan-23 3" measure="1" displayFolder="" measureGroup="TableP0to5" count="0" hidden="1">
      <extLst>
        <ext xmlns:x15="http://schemas.microsoft.com/office/spreadsheetml/2010/11/main" uri="{B97F6D7D-B522-45F9-BDA1-12C45D357490}">
          <x15:cacheHierarchy aggregatedColumn="40"/>
        </ext>
      </extLst>
    </cacheHierarchy>
    <cacheHierarchy uniqueName="[Measures].[Average of Feb-23 2]" caption="Average of Feb-23 2" measure="1" displayFolder="" measureGroup="TableP0to5" count="0" hidden="1">
      <extLst>
        <ext xmlns:x15="http://schemas.microsoft.com/office/spreadsheetml/2010/11/main" uri="{B97F6D7D-B522-45F9-BDA1-12C45D357490}">
          <x15:cacheHierarchy aggregatedColumn="41"/>
        </ext>
      </extLst>
    </cacheHierarchy>
    <cacheHierarchy uniqueName="[Measures].[Average of Mar-23 2]" caption="Average of Mar-23 2" measure="1" displayFolder="" measureGroup="TableP0to5" count="0" hidden="1">
      <extLst>
        <ext xmlns:x15="http://schemas.microsoft.com/office/spreadsheetml/2010/11/main" uri="{B97F6D7D-B522-45F9-BDA1-12C45D357490}">
          <x15:cacheHierarchy aggregatedColumn="42"/>
        </ext>
      </extLst>
    </cacheHierarchy>
    <cacheHierarchy uniqueName="[Measures].[Average of Apr-23 2]" caption="Average of Apr-23 2" measure="1" displayFolder="" measureGroup="TableP0to5" count="0" hidden="1">
      <extLst>
        <ext xmlns:x15="http://schemas.microsoft.com/office/spreadsheetml/2010/11/main" uri="{B97F6D7D-B522-45F9-BDA1-12C45D357490}">
          <x15:cacheHierarchy aggregatedColumn="43"/>
        </ext>
      </extLst>
    </cacheHierarchy>
    <cacheHierarchy uniqueName="[Measures].[Average of May-23 2]" caption="Average of May-23 2" measure="1" displayFolder="" measureGroup="TableP0to5" count="0" hidden="1">
      <extLst>
        <ext xmlns:x15="http://schemas.microsoft.com/office/spreadsheetml/2010/11/main" uri="{B97F6D7D-B522-45F9-BDA1-12C45D357490}">
          <x15:cacheHierarchy aggregatedColumn="44"/>
        </ext>
      </extLst>
    </cacheHierarchy>
    <cacheHierarchy uniqueName="[Measures].[Average of Jun-23 2]" caption="Average of Jun-23 2" measure="1" displayFolder="" measureGroup="TableP0to5" count="0" hidden="1">
      <extLst>
        <ext xmlns:x15="http://schemas.microsoft.com/office/spreadsheetml/2010/11/main" uri="{B97F6D7D-B522-45F9-BDA1-12C45D357490}">
          <x15:cacheHierarchy aggregatedColumn="45"/>
        </ext>
      </extLst>
    </cacheHierarchy>
    <cacheHierarchy uniqueName="[Measures].[Average of Jul-23 2]" caption="Average of Jul-23 2" measure="1" displayFolder="" measureGroup="TableP0to5" count="0" hidden="1">
      <extLst>
        <ext xmlns:x15="http://schemas.microsoft.com/office/spreadsheetml/2010/11/main" uri="{B97F6D7D-B522-45F9-BDA1-12C45D357490}">
          <x15:cacheHierarchy aggregatedColumn="46"/>
        </ext>
      </extLst>
    </cacheHierarchy>
    <cacheHierarchy uniqueName="[Measures].[Average of Aug-23 2]" caption="Average of Aug-23 2" measure="1" displayFolder="" measureGroup="TableP0to5" count="0" hidden="1">
      <extLst>
        <ext xmlns:x15="http://schemas.microsoft.com/office/spreadsheetml/2010/11/main" uri="{B97F6D7D-B522-45F9-BDA1-12C45D357490}">
          <x15:cacheHierarchy aggregatedColumn="47"/>
        </ext>
      </extLst>
    </cacheHierarchy>
    <cacheHierarchy uniqueName="[Measures].[Average of Sep-23 2]" caption="Average of Sep-23 2" measure="1" displayFolder="" measureGroup="TableP0to5" count="0" hidden="1">
      <extLst>
        <ext xmlns:x15="http://schemas.microsoft.com/office/spreadsheetml/2010/11/main" uri="{B97F6D7D-B522-45F9-BDA1-12C45D357490}">
          <x15:cacheHierarchy aggregatedColumn="48"/>
        </ext>
      </extLst>
    </cacheHierarchy>
    <cacheHierarchy uniqueName="[Measures].[Average of Oct-23 2]" caption="Average of Oct-23 2" measure="1" displayFolder="" measureGroup="TableP0to5" count="0" hidden="1">
      <extLst>
        <ext xmlns:x15="http://schemas.microsoft.com/office/spreadsheetml/2010/11/main" uri="{B97F6D7D-B522-45F9-BDA1-12C45D357490}">
          <x15:cacheHierarchy aggregatedColumn="49"/>
        </ext>
      </extLst>
    </cacheHierarchy>
    <cacheHierarchy uniqueName="[Measures].[Average of Nov-23 2]" caption="Average of Nov-23 2" measure="1" displayFolder="" measureGroup="TableP0to5" count="0" hidden="1">
      <extLst>
        <ext xmlns:x15="http://schemas.microsoft.com/office/spreadsheetml/2010/11/main" uri="{B97F6D7D-B522-45F9-BDA1-12C45D357490}">
          <x15:cacheHierarchy aggregatedColumn="50"/>
        </ext>
      </extLst>
    </cacheHierarchy>
    <cacheHierarchy uniqueName="[Measures].[Max of Dec-23]" caption="Max of Dec-23" measure="1" displayFolder="" measureGroup="TableP0to5" count="0" hidden="1">
      <extLst>
        <ext xmlns:x15="http://schemas.microsoft.com/office/spreadsheetml/2010/11/main" uri="{B97F6D7D-B522-45F9-BDA1-12C45D357490}">
          <x15:cacheHierarchy aggregatedColumn="51"/>
        </ext>
      </extLst>
    </cacheHierarchy>
    <cacheHierarchy uniqueName="[Measures].[Average of Dec-23 2]" caption="Average of Dec-23 2" measure="1" displayFolder="" measureGroup="TableP0to5" count="0" hidden="1">
      <extLst>
        <ext xmlns:x15="http://schemas.microsoft.com/office/spreadsheetml/2010/11/main" uri="{B97F6D7D-B522-45F9-BDA1-12C45D357490}">
          <x15:cacheHierarchy aggregatedColumn="51"/>
        </ext>
      </extLst>
    </cacheHierarchy>
    <cacheHierarchy uniqueName="[Measures].[Sum of Jan-23 4]" caption="Sum of Jan-23 4" measure="1" displayFolder="" measureGroup="Range 1" count="0" hidden="1">
      <extLst>
        <ext xmlns:x15="http://schemas.microsoft.com/office/spreadsheetml/2010/11/main" uri="{B97F6D7D-B522-45F9-BDA1-12C45D357490}">
          <x15:cacheHierarchy aggregatedColumn="14"/>
        </ext>
      </extLst>
    </cacheHierarchy>
    <cacheHierarchy uniqueName="[Measures].[Sum of Feb-23 4]" caption="Sum of Feb-23 4" measure="1" displayFolder="" measureGroup="Range 1" count="0" hidden="1">
      <extLst>
        <ext xmlns:x15="http://schemas.microsoft.com/office/spreadsheetml/2010/11/main" uri="{B97F6D7D-B522-45F9-BDA1-12C45D357490}">
          <x15:cacheHierarchy aggregatedColumn="15"/>
        </ext>
      </extLst>
    </cacheHierarchy>
    <cacheHierarchy uniqueName="[Measures].[Sum of Mar-23 4]" caption="Sum of Mar-23 4" measure="1" displayFolder="" measureGroup="Range 1" count="0" hidden="1">
      <extLst>
        <ext xmlns:x15="http://schemas.microsoft.com/office/spreadsheetml/2010/11/main" uri="{B97F6D7D-B522-45F9-BDA1-12C45D357490}">
          <x15:cacheHierarchy aggregatedColumn="16"/>
        </ext>
      </extLst>
    </cacheHierarchy>
    <cacheHierarchy uniqueName="[Measures].[Sum of Apr-23 4]" caption="Sum of Apr-23 4" measure="1" displayFolder="" measureGroup="Range 1" count="0" hidden="1">
      <extLst>
        <ext xmlns:x15="http://schemas.microsoft.com/office/spreadsheetml/2010/11/main" uri="{B97F6D7D-B522-45F9-BDA1-12C45D357490}">
          <x15:cacheHierarchy aggregatedColumn="17"/>
        </ext>
      </extLst>
    </cacheHierarchy>
    <cacheHierarchy uniqueName="[Measures].[Sum of May-23 4]" caption="Sum of May-23 4" measure="1" displayFolder="" measureGroup="Range 1" count="0" hidden="1">
      <extLst>
        <ext xmlns:x15="http://schemas.microsoft.com/office/spreadsheetml/2010/11/main" uri="{B97F6D7D-B522-45F9-BDA1-12C45D357490}">
          <x15:cacheHierarchy aggregatedColumn="18"/>
        </ext>
      </extLst>
    </cacheHierarchy>
    <cacheHierarchy uniqueName="[Measures].[Sum of Jun-23 4]" caption="Sum of Jun-23 4" measure="1" displayFolder="" measureGroup="Range 1" count="0" hidden="1">
      <extLst>
        <ext xmlns:x15="http://schemas.microsoft.com/office/spreadsheetml/2010/11/main" uri="{B97F6D7D-B522-45F9-BDA1-12C45D357490}">
          <x15:cacheHierarchy aggregatedColumn="19"/>
        </ext>
      </extLst>
    </cacheHierarchy>
    <cacheHierarchy uniqueName="[Measures].[Sum of Jul-23 4]" caption="Sum of Jul-23 4" measure="1" displayFolder="" measureGroup="Range 1" count="0" hidden="1">
      <extLst>
        <ext xmlns:x15="http://schemas.microsoft.com/office/spreadsheetml/2010/11/main" uri="{B97F6D7D-B522-45F9-BDA1-12C45D357490}">
          <x15:cacheHierarchy aggregatedColumn="20"/>
        </ext>
      </extLst>
    </cacheHierarchy>
    <cacheHierarchy uniqueName="[Measures].[Sum of Aug-23 4]" caption="Sum of Aug-23 4" measure="1" displayFolder="" measureGroup="Range 1" count="0" hidden="1">
      <extLst>
        <ext xmlns:x15="http://schemas.microsoft.com/office/spreadsheetml/2010/11/main" uri="{B97F6D7D-B522-45F9-BDA1-12C45D357490}">
          <x15:cacheHierarchy aggregatedColumn="21"/>
        </ext>
      </extLst>
    </cacheHierarchy>
    <cacheHierarchy uniqueName="[Measures].[Sum of Sep-23 4]" caption="Sum of Sep-23 4" measure="1" displayFolder="" measureGroup="Range 1" count="0" hidden="1">
      <extLst>
        <ext xmlns:x15="http://schemas.microsoft.com/office/spreadsheetml/2010/11/main" uri="{B97F6D7D-B522-45F9-BDA1-12C45D357490}">
          <x15:cacheHierarchy aggregatedColumn="22"/>
        </ext>
      </extLst>
    </cacheHierarchy>
    <cacheHierarchy uniqueName="[Measures].[Sum of Oct-23 4]" caption="Sum of Oct-23 4" measure="1" displayFolder="" measureGroup="Range 1" count="0" hidden="1">
      <extLst>
        <ext xmlns:x15="http://schemas.microsoft.com/office/spreadsheetml/2010/11/main" uri="{B97F6D7D-B522-45F9-BDA1-12C45D357490}">
          <x15:cacheHierarchy aggregatedColumn="23"/>
        </ext>
      </extLst>
    </cacheHierarchy>
    <cacheHierarchy uniqueName="[Measures].[Sum of Nov-23 4]" caption="Sum of Nov-23 4" measure="1" displayFolder="" measureGroup="Range 1" count="0" hidden="1">
      <extLst>
        <ext xmlns:x15="http://schemas.microsoft.com/office/spreadsheetml/2010/11/main" uri="{B97F6D7D-B522-45F9-BDA1-12C45D357490}">
          <x15:cacheHierarchy aggregatedColumn="24"/>
        </ext>
      </extLst>
    </cacheHierarchy>
    <cacheHierarchy uniqueName="[Measures].[Sum of Dec-23 4]" caption="Sum of Dec-23 4" measure="1" displayFolder="" measureGroup="Range 1"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5985804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3">
  <r>
    <x v="0"/>
    <m/>
    <n v="966789"/>
    <n v="9.3475173302648484E-2"/>
    <n v="3.20554484549571E-2"/>
    <n v="12892.19566182892"/>
    <n v="9669.1467463716908"/>
    <n v="37594.2400379912"/>
    <n v="28195.6800284934"/>
    <n v="0.218"/>
    <n v="16860.800159999999"/>
    <n v="12645.600119999999"/>
  </r>
  <r>
    <x v="1"/>
    <m/>
    <n v="504185"/>
    <n v="0.13100000000000001"/>
    <n v="3.2000000000000001E-2"/>
    <n v="6711.71072"/>
    <n v="5033.7830400000003"/>
    <n v="27476.065760000009"/>
    <n v="20607.049320000006"/>
    <n v="0.16600000000000001"/>
    <n v="6695.5767999999998"/>
    <n v="5021.6826000000001"/>
  </r>
  <r>
    <x v="2"/>
    <m/>
    <n v="926969"/>
    <n v="9.8414436446626882E-2"/>
    <n v="2.7474442410666051E-2"/>
    <n v="10594.669865300644"/>
    <n v="7946.0023989754827"/>
    <n v="37950.486803213207"/>
    <n v="28462.865102409905"/>
    <n v="0.10099999999999999"/>
    <n v="7489.9095200000002"/>
    <n v="5617.4321399999999"/>
  </r>
  <r>
    <x v="3"/>
    <m/>
    <n v="1353626"/>
    <n v="5.651194319090929E-2"/>
    <n v="1.3977086325459676E-2"/>
    <n v="7870.614941024859"/>
    <n v="5902.9612057686445"/>
    <n v="31822.35081531492"/>
    <n v="23866.763111486191"/>
    <n v="0.16200000000000001"/>
    <n v="17542.99296"/>
    <n v="13157.244719999999"/>
  </r>
  <r>
    <x v="4"/>
    <m/>
    <n v="454633"/>
    <n v="4.9807175082149227E-2"/>
    <n v="1.3647856341832014E-2"/>
    <n v="2581.1826028585438"/>
    <n v="1935.8869521439078"/>
    <n v="9419.8979385150651"/>
    <n v="7064.9234538862984"/>
    <n v="0.11199999999999999"/>
    <n v="4073.5116799999996"/>
    <n v="3055.1337599999997"/>
  </r>
  <r>
    <x v="5"/>
    <m/>
    <n v="468178"/>
    <n v="5.2810694544647187E-2"/>
    <n v="1.2346067048592493E-2"/>
    <n v="2404.5453031291895"/>
    <n v="1803.4089773468922"/>
    <n v="10285.519025817914"/>
    <n v="7714.1392693634352"/>
    <n v="9.5000000000000001E-2"/>
    <n v="3558.1527999999998"/>
    <n v="2668.6145999999999"/>
  </r>
  <r>
    <x v="6"/>
    <m/>
    <n v="515973"/>
    <n v="3.9427477059562489E-2"/>
    <n v="1.5517533384502607E-2"/>
    <n v="3330.7573532488173"/>
    <n v="2498.0680149366131"/>
    <n v="8462.9016662751146"/>
    <n v="6347.1762497063355"/>
    <n v="7.5999999999999998E-2"/>
    <n v="3137.1158400000004"/>
    <n v="2352.8368800000003"/>
  </r>
  <r>
    <x v="7"/>
    <m/>
    <n v="1015335"/>
    <n v="3.7345187182510869E-2"/>
    <n v="1.5372892023830067E-2"/>
    <n v="6493.1922943744494"/>
    <n v="4869.8942207808368"/>
    <n v="15773.836261229146"/>
    <n v="11830.377195921859"/>
    <n v="0.16399999999999998"/>
    <n v="13321.195199999996"/>
    <n v="9990.8963999999978"/>
  </r>
  <r>
    <x v="8"/>
    <m/>
    <n v="1249376"/>
    <n v="0.19600000000000001"/>
    <n v="7.400000000000001E-2"/>
    <n v="38460.790784000004"/>
    <n v="28845.593088000001"/>
    <n v="101869.12153600001"/>
    <n v="76401.841152000008"/>
    <n v="3.1E-2"/>
    <n v="3098.4524799999999"/>
    <n v="2323.8393599999999"/>
  </r>
  <r>
    <x v="9"/>
    <m/>
    <n v="701653"/>
    <n v="0.20699999999999999"/>
    <n v="8.4000000000000005E-2"/>
    <n v="24518.562431999995"/>
    <n v="18388.921823999997"/>
    <n v="60420.743135999997"/>
    <n v="45315.557351999996"/>
    <n v="7.5999999999999998E-2"/>
    <n v="4266.0502399999996"/>
    <n v="3199.5376799999995"/>
  </r>
  <r>
    <x v="10"/>
    <m/>
    <n v="940237"/>
    <n v="0.127"/>
    <n v="3.2000000000000001E-2"/>
    <n v="12516.434944000002"/>
    <n v="9387.3262080000022"/>
    <n v="49674.601184000006"/>
    <n v="37255.950888000007"/>
    <n v="3.7000000000000005E-2"/>
    <n v="2783.1015200000006"/>
    <n v="2087.3261400000006"/>
  </r>
  <r>
    <x v="11"/>
    <m/>
    <n v="1928327"/>
    <n v="0.109"/>
    <n v="3.6000000000000004E-2"/>
    <n v="28878.625152000004"/>
    <n v="21658.968864000002"/>
    <n v="87438.059487999999"/>
    <n v="65578.544615999999"/>
    <n v="0.10800000000000001"/>
    <n v="16660.745280000003"/>
    <n v="12495.558960000002"/>
  </r>
  <r>
    <x v="12"/>
    <m/>
    <n v="549900"/>
    <n v="6.2658629150474848E-2"/>
    <n v="2.0547803969158354E-2"/>
    <n v="4700.4827594983144"/>
    <n v="3525.3620696237358"/>
    <n v="14333.687750655985"/>
    <n v="10750.265812991989"/>
    <n v="0.20199999999999999"/>
    <n v="8886.384"/>
    <n v="6664.7880000000005"/>
  </r>
  <r>
    <x v="13"/>
    <m/>
    <n v="4523718"/>
    <n v="6.5359566821275444E-2"/>
    <n v="2.007145854198232E-2"/>
    <n v="37771.809209729581"/>
    <n v="28328.856907297188"/>
    <n v="122997.99154306832"/>
    <n v="92248.493657301238"/>
    <n v="4.0999999999999995E-2"/>
    <n v="14837.795039999999"/>
    <n v="11128.34628"/>
  </r>
  <r>
    <x v="14"/>
    <m/>
    <n v="1252786"/>
    <n v="0.183"/>
    <n v="6.2E-2"/>
    <n v="32311.856512000002"/>
    <n v="24233.892384000002"/>
    <n v="95372.092607999992"/>
    <n v="71529.069455999997"/>
    <n v="3.7000000000000005E-2"/>
    <n v="3708.246560000001"/>
    <n v="2781.1849200000006"/>
  </r>
  <r>
    <x v="15"/>
    <m/>
    <n v="448245"/>
    <n v="7.4334919140947586E-2"/>
    <n v="2.1860931511157575E-2"/>
    <n v="4076.4061500110324"/>
    <n v="3057.3046125082742"/>
    <n v="13861.226425418967"/>
    <n v="10395.919819064226"/>
    <n v="0.158"/>
    <n v="5665.8167999999996"/>
    <n v="4249.3625999999995"/>
  </r>
  <r>
    <x v="16"/>
    <m/>
    <n v="584075"/>
    <n v="0.14000000000000001"/>
    <n v="3.2000000000000001E-2"/>
    <n v="7775.2064"/>
    <n v="5831.4048000000003"/>
    <n v="34016.528000000006"/>
    <n v="25512.396000000004"/>
    <n v="0.08"/>
    <n v="3738.08"/>
    <n v="2803.56"/>
  </r>
  <r>
    <x v="17"/>
    <m/>
    <n v="458130"/>
    <n v="0.159"/>
    <n v="4.0999999999999995E-2"/>
    <n v="7813.8652800000009"/>
    <n v="5860.3989600000004"/>
    <n v="30302.550720000003"/>
    <n v="22726.913040000003"/>
    <n v="5.0999999999999997E-2"/>
    <n v="1869.1704"/>
    <n v="1401.8778"/>
  </r>
  <r>
    <x v="18"/>
    <m/>
    <n v="1029473"/>
    <n v="7.5266845671774496E-2"/>
    <n v="2.7212007343563376E-2"/>
    <n v="11653.835163776088"/>
    <n v="8740.3763728320664"/>
    <n v="32233.837132331621"/>
    <n v="24175.377849248714"/>
    <n v="0.127"/>
    <n v="10459.445679999999"/>
    <n v="7844.5842599999996"/>
  </r>
  <r>
    <x v="19"/>
    <m/>
    <n v="452922"/>
    <n v="0.16800000000000001"/>
    <n v="5.7000000000000002E-2"/>
    <n v="10739.686464000002"/>
    <n v="8054.7648480000016"/>
    <n v="31653.812736000007"/>
    <n v="23740.359552000005"/>
    <n v="8.3000000000000004E-2"/>
    <n v="3007.4020800000003"/>
    <n v="2255.5515600000003"/>
  </r>
  <r>
    <x v="20"/>
    <m/>
    <n v="398535"/>
    <n v="6.750103599861669E-2"/>
    <n v="1.2315058446783987E-2"/>
    <n v="2041.7204363250473"/>
    <n v="1531.2903272437854"/>
    <n v="11191.034558790818"/>
    <n v="8393.2759190931138"/>
    <n v="4.0999999999999995E-2"/>
    <n v="1307.1947999999998"/>
    <n v="980.39609999999982"/>
  </r>
  <r>
    <x v="21"/>
    <m/>
    <n v="1545448"/>
    <n v="8.8000000000000009E-2"/>
    <n v="0.01"/>
    <n v="6429.0636800000002"/>
    <n v="4821.7977600000004"/>
    <n v="56575.760384000001"/>
    <n v="42431.820288000003"/>
    <n v="7.8E-2"/>
    <n v="9643.5955199999989"/>
    <n v="7232.6966399999992"/>
  </r>
  <r>
    <x v="22"/>
    <m/>
    <n v="167863"/>
    <n v="9.4444844103495351E-2"/>
    <n v="3.7323946969319094E-2"/>
    <n v="2606.3688394060973"/>
    <n v="1954.776629554573"/>
    <n v="6595.1786641499375"/>
    <n v="4946.3839981124529"/>
    <n v="0.23199999999999998"/>
    <n v="3115.53728"/>
    <n v="2336.6529599999999"/>
  </r>
  <r>
    <x v="23"/>
    <m/>
    <n v="150391"/>
    <n v="0.33299999999999996"/>
    <n v="8.6999999999999994E-2"/>
    <n v="5442.9510719999998"/>
    <n v="4082.2133039999999"/>
    <n v="20833.364448"/>
    <n v="15625.023336"/>
    <n v="3.1E-2"/>
    <n v="372.96967999999998"/>
    <n v="279.72726"/>
  </r>
  <r>
    <x v="24"/>
    <m/>
    <n v="441883"/>
    <n v="0.126"/>
    <n v="3.3000000000000002E-2"/>
    <n v="6066.1698240000005"/>
    <n v="4549.6273680000004"/>
    <n v="23161.739328"/>
    <n v="17371.304496000001"/>
    <n v="0"/>
    <n v="0"/>
    <n v="0"/>
  </r>
  <r>
    <x v="25"/>
    <m/>
    <n v="561200"/>
    <n v="0.105"/>
    <n v="2.4E-2"/>
    <n v="5603.0208000000011"/>
    <n v="4202.2656000000006"/>
    <n v="24513.216"/>
    <n v="18384.912"/>
    <n v="5.0999999999999997E-2"/>
    <n v="2289.6959999999999"/>
    <n v="1717.2719999999999"/>
  </r>
  <r>
    <x v="26"/>
    <m/>
    <n v="156001"/>
    <n v="0.17699999999999999"/>
    <n v="5.5E-2"/>
    <n v="3569.3028800000006"/>
    <n v="2676.9771600000004"/>
    <n v="11486.665631999998"/>
    <n v="8614.9992239999992"/>
    <n v="8.5000000000000006E-2"/>
    <n v="1060.8068000000001"/>
    <n v="795.60509999999999"/>
  </r>
  <r>
    <x v="27"/>
    <m/>
    <n v="675795"/>
    <n v="6.933804782394698E-2"/>
    <n v="2.3568320150697337E-2"/>
    <n v="6625.7788131560519"/>
    <n v="4969.3341098670389"/>
    <n v="19493.055308140651"/>
    <n v="14619.791481105487"/>
    <n v="9.6999999999999989E-2"/>
    <n v="5244.1691999999994"/>
    <n v="3933.1268999999993"/>
  </r>
  <r>
    <x v="28"/>
    <m/>
    <n v="394487"/>
    <n v="7.7899148048748743E-2"/>
    <n v="4.3510526804079831E-2"/>
    <n v="7140.3642699421935"/>
    <n v="5355.2732024566449"/>
    <n v="12783.763705983607"/>
    <n v="9587.8227794877057"/>
    <n v="9.6000000000000002E-2"/>
    <n v="3029.6601599999999"/>
    <n v="2272.24512"/>
  </r>
  <r>
    <x v="29"/>
    <m/>
    <n v="569043"/>
    <n v="6.1585365984931792E-2"/>
    <n v="1.7564502649731799E-2"/>
    <n v="4157.9022290255143"/>
    <n v="3118.4266717691357"/>
    <n v="14578.604109124033"/>
    <n v="10933.953081843025"/>
    <n v="0.125"/>
    <n v="5690.43"/>
    <n v="4267.8225000000002"/>
  </r>
  <r>
    <x v="30"/>
    <m/>
    <n v="1000336"/>
    <n v="7.9449935682329456E-2"/>
    <n v="2.6117768380976111E-2"/>
    <n v="10868.642283679283"/>
    <n v="8151.4817127594615"/>
    <n v="33062.278438058987"/>
    <n v="24796.708828544241"/>
    <n v="0.124"/>
    <n v="9923.3331200000011"/>
    <n v="7442.4998400000004"/>
  </r>
  <r>
    <x v="31"/>
    <m/>
    <n v="356364"/>
    <n v="0.21582391302424031"/>
    <n v="0.11213089027322097"/>
    <n v="16623.115633831665"/>
    <n v="12467.336725373749"/>
    <n v="31995.339143443674"/>
    <n v="23996.504357582755"/>
    <n v="4.2000000000000003E-2"/>
    <n v="1197.3830399999999"/>
    <n v="898.03728000000001"/>
  </r>
  <r>
    <x v="32"/>
    <m/>
    <n v="606077"/>
    <n v="0.16570963780761727"/>
    <n v="8.7745170487585802E-2"/>
    <n v="22123.017152539494"/>
    <n v="16592.26286440462"/>
    <n v="41780.044863867341"/>
    <n v="31335.033647900505"/>
    <n v="0.04"/>
    <n v="1939.4464"/>
    <n v="1454.5848000000001"/>
  </r>
  <r>
    <x v="33"/>
    <m/>
    <n v="309192"/>
    <n v="9.3743009127370894E-2"/>
    <n v="4.5726967027561863E-2"/>
    <n v="5881.5795539013379"/>
    <n v="4411.1846654260034"/>
    <n v="12057.588806893786"/>
    <n v="9043.1916051703392"/>
    <n v="3.3000000000000002E-2"/>
    <n v="816.26688000000001"/>
    <n v="612.20015999999998"/>
  </r>
  <r>
    <x v="34"/>
    <m/>
    <m/>
    <m/>
    <m/>
    <n v="0"/>
    <n v="0"/>
    <n v="0"/>
    <n v="0"/>
    <m/>
    <n v="0"/>
    <n v="0"/>
  </r>
  <r>
    <x v="34"/>
    <m/>
    <m/>
    <m/>
    <m/>
    <n v="0"/>
    <n v="0"/>
    <n v="0"/>
    <n v="0"/>
    <m/>
    <n v="0"/>
    <n v="0"/>
  </r>
  <r>
    <x v="34"/>
    <m/>
    <m/>
    <m/>
    <m/>
    <n v="0"/>
    <n v="0"/>
    <n v="0"/>
    <n v="0"/>
    <m/>
    <n v="0"/>
    <n v="0"/>
  </r>
  <r>
    <x v="34"/>
    <m/>
    <m/>
    <m/>
    <m/>
    <n v="0"/>
    <n v="0"/>
    <n v="0"/>
    <n v="0"/>
    <m/>
    <n v="0"/>
    <n v="0"/>
  </r>
  <r>
    <x v="34"/>
    <m/>
    <m/>
    <m/>
    <m/>
    <n v="0"/>
    <n v="0"/>
    <n v="0"/>
    <n v="0"/>
    <m/>
    <n v="0"/>
    <n v="0"/>
  </r>
  <r>
    <x v="34"/>
    <m/>
    <m/>
    <m/>
    <m/>
    <n v="0"/>
    <n v="0"/>
    <n v="0"/>
    <n v="0"/>
    <m/>
    <n v="0"/>
    <n v="0"/>
  </r>
  <r>
    <x v="34"/>
    <m/>
    <m/>
    <m/>
    <m/>
    <n v="0"/>
    <n v="0"/>
    <n v="0"/>
    <n v="0"/>
    <m/>
    <n v="0"/>
    <n v="0"/>
  </r>
  <r>
    <x v="34"/>
    <m/>
    <m/>
    <m/>
    <m/>
    <n v="0"/>
    <n v="0"/>
    <n v="0"/>
    <n v="0"/>
    <m/>
    <n v="0"/>
    <n v="0"/>
  </r>
  <r>
    <x v="34"/>
    <m/>
    <m/>
    <m/>
    <m/>
    <n v="0"/>
    <n v="0"/>
    <n v="0"/>
    <n v="0"/>
    <m/>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m/>
    <n v="966789"/>
    <n v="58007.34"/>
    <n v="0"/>
    <n v="96678.900000000009"/>
    <n v="0"/>
    <n v="154686.24"/>
    <n v="0"/>
  </r>
  <r>
    <x v="1"/>
    <m/>
    <n v="504185"/>
    <n v="30251.099999999995"/>
    <n v="0"/>
    <n v="50418.5"/>
    <n v="0"/>
    <n v="80669.600000000006"/>
    <n v="0"/>
  </r>
  <r>
    <x v="2"/>
    <m/>
    <n v="926969"/>
    <n v="55618.139999999992"/>
    <n v="0"/>
    <n v="92696.900000000009"/>
    <n v="0"/>
    <n v="148315.04"/>
    <n v="0"/>
  </r>
  <r>
    <x v="3"/>
    <m/>
    <n v="1353626"/>
    <n v="81217.56"/>
    <n v="0"/>
    <n v="135362.6"/>
    <n v="0"/>
    <n v="216580.16"/>
    <n v="0"/>
  </r>
  <r>
    <x v="4"/>
    <m/>
    <n v="454633"/>
    <n v="27277.98"/>
    <n v="0"/>
    <n v="45463.30000000001"/>
    <n v="0"/>
    <n v="72741.279999999999"/>
    <n v="0"/>
  </r>
  <r>
    <x v="5"/>
    <m/>
    <n v="468178"/>
    <n v="28090.680000000004"/>
    <n v="0"/>
    <n v="46817.80000000001"/>
    <n v="0"/>
    <n v="74908.479999999996"/>
    <n v="0"/>
  </r>
  <r>
    <x v="6"/>
    <m/>
    <n v="515973"/>
    <n v="30958.379999999994"/>
    <n v="0"/>
    <n v="51597.30000000001"/>
    <n v="0"/>
    <n v="82555.680000000008"/>
    <n v="0"/>
  </r>
  <r>
    <x v="7"/>
    <m/>
    <n v="1015335"/>
    <n v="60920.1"/>
    <n v="0"/>
    <n v="101533.5"/>
    <n v="0"/>
    <n v="162453.6"/>
    <n v="0"/>
  </r>
  <r>
    <x v="8"/>
    <m/>
    <n v="1249376"/>
    <n v="74962.559999999998"/>
    <n v="0"/>
    <n v="124937.60000000002"/>
    <n v="0"/>
    <n v="199900.16"/>
    <n v="0"/>
  </r>
  <r>
    <x v="9"/>
    <m/>
    <n v="701653"/>
    <n v="42099.18"/>
    <n v="0"/>
    <n v="70165.3"/>
    <n v="0"/>
    <n v="112264.48"/>
    <n v="0"/>
  </r>
  <r>
    <x v="10"/>
    <m/>
    <n v="940237"/>
    <n v="56414.22"/>
    <n v="0"/>
    <n v="94023.700000000012"/>
    <n v="0"/>
    <n v="150437.92000000001"/>
    <n v="0"/>
  </r>
  <r>
    <x v="11"/>
    <m/>
    <n v="1928327"/>
    <n v="115699.62"/>
    <n v="0"/>
    <n v="192832.70000000004"/>
    <n v="0"/>
    <n v="308532.32"/>
    <n v="0"/>
  </r>
  <r>
    <x v="12"/>
    <m/>
    <n v="549900"/>
    <n v="32994"/>
    <n v="0"/>
    <n v="54990"/>
    <n v="0"/>
    <n v="87984"/>
    <n v="0"/>
  </r>
  <r>
    <x v="13"/>
    <m/>
    <n v="4523718"/>
    <n v="271423.08"/>
    <n v="0"/>
    <n v="452371.80000000005"/>
    <n v="0"/>
    <n v="723794.88"/>
    <n v="0"/>
  </r>
  <r>
    <x v="14"/>
    <m/>
    <n v="1252786"/>
    <n v="75167.16"/>
    <n v="0"/>
    <n v="125278.60000000002"/>
    <n v="0"/>
    <n v="200445.76"/>
    <n v="0"/>
  </r>
  <r>
    <x v="15"/>
    <m/>
    <n v="448245"/>
    <n v="26894.7"/>
    <n v="0"/>
    <n v="44824.5"/>
    <n v="0"/>
    <n v="71719.199999999997"/>
    <n v="0"/>
  </r>
  <r>
    <x v="16"/>
    <m/>
    <n v="584075"/>
    <n v="35044.5"/>
    <n v="0"/>
    <n v="58407.5"/>
    <n v="0"/>
    <n v="93452"/>
    <n v="0"/>
  </r>
  <r>
    <x v="17"/>
    <m/>
    <n v="458130"/>
    <n v="27487.8"/>
    <n v="0"/>
    <n v="45813"/>
    <n v="0"/>
    <n v="73300.800000000003"/>
    <n v="0"/>
  </r>
  <r>
    <x v="18"/>
    <m/>
    <n v="1029473"/>
    <n v="61768.38"/>
    <n v="0"/>
    <n v="102947.3"/>
    <n v="0"/>
    <n v="164715.68"/>
    <n v="0"/>
  </r>
  <r>
    <x v="19"/>
    <m/>
    <n v="452922"/>
    <n v="27175.319999999996"/>
    <n v="0"/>
    <n v="45292.200000000004"/>
    <n v="0"/>
    <n v="72467.520000000004"/>
    <n v="0"/>
  </r>
  <r>
    <x v="20"/>
    <m/>
    <n v="398535"/>
    <n v="23912.099999999995"/>
    <n v="0"/>
    <n v="39853.5"/>
    <n v="0"/>
    <n v="63765.599999999999"/>
    <n v="0"/>
  </r>
  <r>
    <x v="21"/>
    <m/>
    <n v="1545448"/>
    <n v="92726.87999999999"/>
    <n v="0"/>
    <n v="154544.80000000002"/>
    <n v="0"/>
    <n v="247271.68000000002"/>
    <n v="0"/>
  </r>
  <r>
    <x v="22"/>
    <m/>
    <n v="167863"/>
    <n v="10071.779999999999"/>
    <n v="0"/>
    <n v="16786.3"/>
    <n v="0"/>
    <n v="26858.080000000002"/>
    <n v="0"/>
  </r>
  <r>
    <x v="23"/>
    <m/>
    <n v="150391"/>
    <n v="9023.4599999999991"/>
    <n v="0"/>
    <n v="15039.1"/>
    <n v="0"/>
    <n v="24062.560000000001"/>
    <n v="0"/>
  </r>
  <r>
    <x v="24"/>
    <m/>
    <n v="441883"/>
    <n v="26512.98"/>
    <n v="0"/>
    <n v="44188.30000000001"/>
    <n v="0"/>
    <n v="70701.279999999999"/>
    <n v="0"/>
  </r>
  <r>
    <x v="25"/>
    <m/>
    <n v="561200"/>
    <n v="33672"/>
    <n v="0"/>
    <n v="56120"/>
    <n v="0"/>
    <n v="89792"/>
    <n v="0"/>
  </r>
  <r>
    <x v="26"/>
    <m/>
    <n v="156001"/>
    <n v="9360.06"/>
    <n v="0"/>
    <n v="15600.1"/>
    <n v="0"/>
    <n v="24960.16"/>
    <n v="0"/>
  </r>
  <r>
    <x v="27"/>
    <m/>
    <n v="675795"/>
    <n v="40547.699999999997"/>
    <n v="0"/>
    <n v="67579.5"/>
    <n v="0"/>
    <n v="108127.2"/>
    <n v="0"/>
  </r>
  <r>
    <x v="28"/>
    <m/>
    <n v="394487"/>
    <n v="23669.219999999998"/>
    <n v="0"/>
    <n v="39448.700000000004"/>
    <n v="0"/>
    <n v="63117.920000000006"/>
    <n v="0"/>
  </r>
  <r>
    <x v="29"/>
    <m/>
    <n v="569043"/>
    <n v="34142.58"/>
    <n v="0"/>
    <n v="56904.30000000001"/>
    <n v="0"/>
    <n v="91046.88"/>
    <n v="0"/>
  </r>
  <r>
    <x v="30"/>
    <m/>
    <n v="1000336"/>
    <n v="60020.159999999996"/>
    <n v="0"/>
    <n v="100033.60000000002"/>
    <n v="0"/>
    <n v="160053.76000000001"/>
    <n v="0"/>
  </r>
  <r>
    <x v="31"/>
    <m/>
    <n v="356364"/>
    <n v="21381.84"/>
    <n v="0"/>
    <n v="35636.400000000001"/>
    <n v="0"/>
    <n v="57018.239999999998"/>
    <n v="0"/>
  </r>
  <r>
    <x v="32"/>
    <m/>
    <n v="606077"/>
    <n v="36364.619999999995"/>
    <n v="0"/>
    <n v="60607.700000000004"/>
    <n v="0"/>
    <n v="96972.32"/>
    <n v="0"/>
  </r>
  <r>
    <x v="33"/>
    <m/>
    <n v="309192"/>
    <n v="18551.52"/>
    <n v="0"/>
    <n v="30919.200000000001"/>
    <n v="0"/>
    <n v="49470.720000000001"/>
    <n v="0"/>
  </r>
  <r>
    <x v="34"/>
    <m/>
    <m/>
    <n v="0"/>
    <n v="0"/>
    <n v="0"/>
    <n v="0"/>
    <n v="0"/>
    <n v="0"/>
  </r>
  <r>
    <x v="34"/>
    <m/>
    <m/>
    <n v="0"/>
    <n v="0"/>
    <n v="0"/>
    <n v="0"/>
    <n v="0"/>
    <n v="0"/>
  </r>
  <r>
    <x v="34"/>
    <m/>
    <m/>
    <n v="0"/>
    <n v="0"/>
    <n v="0"/>
    <n v="0"/>
    <n v="0"/>
    <n v="0"/>
  </r>
  <r>
    <x v="34"/>
    <m/>
    <m/>
    <n v="0"/>
    <n v="0"/>
    <n v="0"/>
    <n v="0"/>
    <n v="0"/>
    <n v="0"/>
  </r>
  <r>
    <x v="34"/>
    <m/>
    <m/>
    <n v="0"/>
    <n v="0"/>
    <n v="0"/>
    <n v="0"/>
    <n v="0"/>
    <n v="0"/>
  </r>
  <r>
    <x v="34"/>
    <m/>
    <m/>
    <n v="0"/>
    <n v="0"/>
    <n v="0"/>
    <n v="0"/>
    <n v="0"/>
    <n v="0"/>
  </r>
  <r>
    <x v="34"/>
    <m/>
    <m/>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5C273-3FA5-425E-AB92-872F1C3033BB}" name="Caseloads0to5" cacheId="5"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B91:BK104" firstHeaderRow="1" firstDataRow="2" firstDataCol="1"/>
  <pivotFields count="14">
    <pivotField axis="axisCol"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2">
    <dataField name="Sum of Jan-23" fld="1" baseField="0" baseItem="0"/>
    <dataField name="Sum of Feb-23" fld="2" baseField="0" baseItem="0"/>
    <dataField name="Sum of Mar-23" fld="3" baseField="0" baseItem="0"/>
    <dataField name="Sum of Apr-23" fld="4" baseField="0" baseItem="0"/>
    <dataField name="Sum of May-23" fld="5" baseField="0" baseItem="0"/>
    <dataField name="Sum of Jun-23" fld="6" baseField="0" baseItem="0"/>
    <dataField name="Sum of Jul-23" fld="7" baseField="0" baseItem="0"/>
    <dataField name="Sum of Aug-23" fld="8" baseField="0" baseItem="0"/>
    <dataField name="Sum of Sep-23" fld="9" baseField="0" baseItem="0"/>
    <dataField name="Sum of Oct-23" fld="10" baseField="0" baseItem="0"/>
    <dataField name="Sum of Nov-23" fld="11" baseField="0" baseItem="0"/>
    <dataField name="Sum of Dec-23" fld="12" baseField="0" baseItem="0"/>
  </dataFields>
  <formats count="1">
    <format dxfId="67">
      <pivotArea outline="0" collapsedLevelsAreSubtotals="1" fieldPosition="0"/>
    </format>
  </formats>
  <pivotHierarchies count="1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an-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B0894-6C57-44DE-AE00-27C0CDEC1670}" name="Caseloads6to59" cacheId="3" dataOnRows="1" applyNumberFormats="0" applyBorderFormats="0" applyFontFormats="0" applyPatternFormats="0" applyAlignmentFormats="0" applyWidthHeightFormats="1" dataCaption="Values" tag="060d998c-b1eb-4614-a43d-ca88eaf7e4da" updatedVersion="8" minRefreshableVersion="3" useAutoFormatting="1" subtotalHiddenItems="1" itemPrintTitles="1" createdVersion="8" indent="0" outline="1" outlineData="1" multipleFieldFilters="0" chartFormat="2">
  <location ref="AB66:BK79" firstHeaderRow="1" firstDataRow="2" firstDataCol="1"/>
  <pivotFields count="13">
    <pivotField axis="axisCol"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2">
    <dataField name="Sum of Jan-23" fld="1" baseField="0" baseItem="0"/>
    <dataField name="Sum of Feb-23" fld="2" baseField="0" baseItem="0"/>
    <dataField name="Sum of Mar-23" fld="3" baseField="0" baseItem="0"/>
    <dataField name="Sum of Apr-23" fld="4" baseField="0" baseItem="0"/>
    <dataField name="Sum of May-23" fld="5" baseField="0" baseItem="0"/>
    <dataField name="Sum of Jun-23" fld="6" baseField="0" baseItem="0"/>
    <dataField name="Sum of Jul-23" fld="7" baseField="0" baseItem="0"/>
    <dataField name="Sum of Aug-23" fld="8" baseField="0" baseItem="0"/>
    <dataField name="Sum of Sep-23" fld="9" baseField="0" baseItem="0"/>
    <dataField name="Sum of Oct-23" fld="10" baseField="0" baseItem="0"/>
    <dataField name="Sum of Nov-23" fld="11" baseField="0" baseItem="0"/>
    <dataField name="Sum of Dec-23" fld="12" baseField="0" baseItem="0"/>
  </dataFields>
  <formats count="6">
    <format dxfId="73">
      <pivotArea outline="0" collapsedLevelsAreSubtotals="1" fieldPosition="0"/>
    </format>
    <format dxfId="72">
      <pivotArea collapsedLevelsAreSubtotals="1" fieldPosition="0">
        <references count="1">
          <reference field="4294967294" count="3">
            <x v="0"/>
            <x v="1"/>
            <x v="2"/>
          </reference>
        </references>
      </pivotArea>
    </format>
    <format dxfId="71">
      <pivotArea field="-2" type="button" dataOnly="0" labelOnly="1" outline="0" axis="axisRow" fieldPosition="0"/>
    </format>
    <format dxfId="70">
      <pivotArea dataOnly="0" labelOnly="1" outline="0" fieldPosition="0">
        <references count="1">
          <reference field="4294967294" count="3">
            <x v="0"/>
            <x v="1"/>
            <x v="2"/>
          </reference>
        </references>
      </pivotArea>
    </format>
    <format dxfId="69">
      <pivotArea dataOnly="0" labelOnly="1" fieldPosition="0">
        <references count="1">
          <reference field="0" count="0"/>
        </references>
      </pivotArea>
    </format>
    <format dxfId="68">
      <pivotArea dataOnly="0" labelOnly="1" grandCol="1" outline="0" fieldPosition="0"/>
    </format>
  </formats>
  <pivotHierarchies count="1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8CFE56-D44D-444D-B725-AA40F0234E5E}" name="Prevalence6to59" cacheId="4" dataOnRows="1" applyNumberFormats="0" applyBorderFormats="0" applyFontFormats="0" applyPatternFormats="0" applyAlignmentFormats="0" applyWidthHeightFormats="1" dataCaption="Values" tag="04f8adaa-9906-4105-a8fb-bdae7b691715" updatedVersion="8" minRefreshableVersion="3" useAutoFormatting="1" subtotalHiddenItems="1" itemPrintTitles="1" createdVersion="8" indent="0" outline="1" outlineData="1" multipleFieldFilters="0" chartFormat="2">
  <location ref="AB26:BK39" firstHeaderRow="1" firstDataRow="2" firstDataCol="1"/>
  <pivotFields count="14">
    <pivotField axis="axisCol"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2">
    <dataField name="Average of Jan-23" fld="1" subtotal="average" baseField="0" baseItem="0"/>
    <dataField name="Average of Feb-23" fld="2" subtotal="average" baseField="0" baseItem="0"/>
    <dataField name="Average of Mar-23" fld="3" subtotal="average" baseField="0" baseItem="0"/>
    <dataField name="Average of Apr-23" fld="4" subtotal="average" baseField="0" baseItem="0"/>
    <dataField name="Average of May-23" fld="5" subtotal="average" baseField="0" baseItem="0"/>
    <dataField name="Average of Jun-23" fld="6" subtotal="average" baseField="0" baseItem="0"/>
    <dataField name="Average of Jul-23" fld="7" subtotal="average" baseField="0" baseItem="0"/>
    <dataField name="Average of Aug-23" fld="8" subtotal="average" baseField="0" baseItem="0"/>
    <dataField name="Average of Sep-23" fld="9" subtotal="average" baseField="0" baseItem="0"/>
    <dataField name="Average of Oct-23" fld="10" subtotal="average" baseField="0" baseItem="0"/>
    <dataField name="Average of Nov-23" fld="11" subtotal="average" baseField="0" baseItem="0"/>
    <dataField name="Average of Dec-23" fld="12" subtotal="average" baseField="0" baseItem="0"/>
  </dataFields>
  <formats count="1">
    <format dxfId="74">
      <pivotArea outline="0" collapsedLevelsAreSubtotals="1" fieldPosition="0"/>
    </format>
  </formats>
  <pivotHierarchies count="1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Jan-23"/>
    <pivotHierarchy dragToData="1"/>
    <pivotHierarchy dragToData="1"/>
    <pivotHierarchy dragToData="1"/>
    <pivotHierarchy dragToData="1"/>
    <pivotHierarchy dragToData="1"/>
    <pivotHierarchy dragToData="1"/>
    <pivotHierarchy dragToData="1"/>
    <pivotHierarchy dragToData="1" caption="Average of Feb-23"/>
    <pivotHierarchy dragToData="1" caption="Average of Mar-23"/>
    <pivotHierarchy dragToData="1" caption="Average of Apr-23"/>
    <pivotHierarchy dragToData="1" caption="Average of May-23"/>
    <pivotHierarchy dragToData="1" caption="Average of Jun-23"/>
    <pivotHierarchy dragToData="1" caption="Average of Jul-23"/>
    <pivotHierarchy dragToData="1" caption="Average of Aug-23"/>
    <pivotHierarchy dragToData="1" caption="Average of Sep-23"/>
    <pivotHierarchy dragToData="1" caption="Average of Oct-23"/>
    <pivotHierarchy dragToData="1" caption="Average of Nov-23"/>
    <pivotHierarchy dragToData="1" caption="Average of Dec-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C90C7-869B-40C4-8996-DD6C1A4A2E2C}" name="Prevalence0to5" cacheId="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B44:BK57" firstHeaderRow="1" firstDataRow="2" firstDataCol="1"/>
  <pivotFields count="14">
    <pivotField axis="axisCol"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2">
    <dataField name="Average of Jan-23" fld="1" subtotal="average" baseField="0" baseItem="0"/>
    <dataField name="Average of Feb-23" fld="2" subtotal="average" baseField="0" baseItem="0"/>
    <dataField name="Average of Mar-23" fld="3" subtotal="average" baseField="0" baseItem="0"/>
    <dataField name="Average of Apr-23" fld="4" subtotal="average" baseField="0" baseItem="0"/>
    <dataField name="Average of May-23" fld="5" subtotal="average" baseField="0" baseItem="0"/>
    <dataField name="Average of Jun-23" fld="6" subtotal="average" baseField="0" baseItem="0"/>
    <dataField name="Average of Jul-23" fld="7" subtotal="average" baseField="0" baseItem="0"/>
    <dataField name="Average of Aug-23" fld="8" subtotal="average" baseField="0" baseItem="0"/>
    <dataField name="Average of Sep-23" fld="9" subtotal="average" baseField="0" baseItem="0"/>
    <dataField name="Average of Oct-23" fld="10" subtotal="average" baseField="0" baseItem="0"/>
    <dataField name="Average of Nov-23" fld="11" subtotal="average" baseField="0" baseItem="0"/>
    <dataField name="Average of Dec-23" fld="12" subtotal="average" baseField="0" baseItem="0"/>
  </dataFields>
  <formats count="1">
    <format dxfId="75">
      <pivotArea outline="0" collapsedLevelsAreSubtotals="1" fieldPosition="0"/>
    </format>
  </formats>
  <pivotHierarchies count="1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an-23"/>
    <pivotHierarchy dragToData="1" caption="Average of Feb-23"/>
    <pivotHierarchy dragToData="1" caption="Average of Mar-23"/>
    <pivotHierarchy dragToData="1" caption="Average of Apr-23"/>
    <pivotHierarchy dragToData="1" caption="Average of May-23"/>
    <pivotHierarchy dragToData="1" caption="Average of Jun-23"/>
    <pivotHierarchy dragToData="1" caption="Average of Jul-23"/>
    <pivotHierarchy dragToData="1" caption="Average of Aug-23"/>
    <pivotHierarchy dragToData="1" caption="Average of Sep-23"/>
    <pivotHierarchy dragToData="1" caption="Average of Oct-23"/>
    <pivotHierarchy dragToData="1" caption="Average of Nov-23"/>
    <pivotHierarchy dragToData="1" caption="Max of Dec-23"/>
    <pivotHierarchy dragToData="1" caption="Average of Dec-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P0to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38" firstHeaderRow="0" firstDataRow="1" firstDataCol="1"/>
  <pivotFields count="12">
    <pivotField axis="axisRow" showAll="0">
      <items count="38">
        <item h="1" m="1" x="36"/>
        <item h="1" m="1" x="35"/>
        <item h="1" x="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defaultSubtotal="0"/>
    <pivotField showAll="0" defaultSubtotal="0"/>
    <pivotField dataField="1" numFmtId="3" showAll="0"/>
    <pivotField dataField="1" numFmtId="3" showAll="0"/>
    <pivotField dataField="1" numFmtId="3" showAll="0"/>
    <pivotField dataField="1" numFmtId="3" showAll="0"/>
    <pivotField showAll="0"/>
    <pivotField dataField="1" numFmtId="3" showAll="0"/>
    <pivotField dataField="1" numFmtId="3" showAll="0"/>
  </pivotFields>
  <rowFields count="1">
    <field x="0"/>
  </rowFields>
  <rowItems count="35">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6">
    <i>
      <x/>
    </i>
    <i i="1">
      <x v="1"/>
    </i>
    <i i="2">
      <x v="2"/>
    </i>
    <i i="3">
      <x v="3"/>
    </i>
    <i i="4">
      <x v="4"/>
    </i>
    <i i="5">
      <x v="5"/>
    </i>
  </colItems>
  <dataFields count="6">
    <dataField name="Sum of Children 6-59 mo in need of SAM management" fld="5" baseField="0" baseItem="0"/>
    <dataField name="Sum of Cluster targeted caseload for SAM management" fld="6" baseField="0" baseItem="0"/>
    <dataField name="Sum of Children 6-59 mo in need of MAM management" fld="7" baseField="0" baseItem="0"/>
    <dataField name="Sum of Cluster targeted caseload for MAM management" fld="8" baseField="0" baseItem="0"/>
    <dataField name="Sum of PLW in need of AM management" fld="10" baseField="0" baseItem="0"/>
    <dataField name="Sum of Cluster targeted caseload for AM treatment in PLW" fld="11" baseField="0" baseItem="0"/>
  </dataFields>
  <formats count="22">
    <format dxfId="36">
      <pivotArea field="0" type="button" dataOnly="0" labelOnly="1" outline="0" axis="axisRow" fieldPosition="0"/>
    </format>
    <format dxfId="35">
      <pivotArea dataOnly="0" labelOnly="1" outline="0" fieldPosition="0">
        <references count="1">
          <reference field="4294967294" count="6">
            <x v="0"/>
            <x v="1"/>
            <x v="2"/>
            <x v="3"/>
            <x v="4"/>
            <x v="5"/>
          </reference>
        </references>
      </pivotArea>
    </format>
    <format dxfId="34">
      <pivotArea outline="0" collapsedLevelsAreSubtotals="1" fieldPosition="0"/>
    </format>
    <format dxfId="33">
      <pivotArea dataOnly="0" labelOnly="1" outline="0" fieldPosition="0">
        <references count="1">
          <reference field="4294967294" count="6">
            <x v="0"/>
            <x v="1"/>
            <x v="2"/>
            <x v="3"/>
            <x v="4"/>
            <x v="5"/>
          </reference>
        </references>
      </pivotArea>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fieldPosition="0">
        <references count="1">
          <reference field="4294967294" count="6">
            <x v="0"/>
            <x v="1"/>
            <x v="2"/>
            <x v="3"/>
            <x v="4"/>
            <x v="5"/>
          </reference>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6">
            <x v="0"/>
            <x v="1"/>
            <x v="2"/>
            <x v="3"/>
            <x v="4"/>
            <x v="5"/>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G39" firstHeaderRow="0" firstDataRow="1" firstDataCol="1"/>
  <pivotFields count="9">
    <pivotField axis="axisRow" showAll="0">
      <items count="36">
        <item x="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dataField="1" numFmtId="3" showAll="0" defaultSubtotal="0"/>
    <pivotField dataField="1" numFmtId="3" showAll="0" defaultSubtotal="0"/>
    <pivotField dataField="1" numFmtId="3" showAll="0" defaultSubtotal="0"/>
    <pivotField dataField="1" numFmtId="3" showAll="0" defaultSubtotal="0"/>
    <pivotField dataField="1" numFmtId="3" showAll="0" defaultSubtotal="0"/>
    <pivotField dataField="1" numFmtId="3"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6">
    <i>
      <x/>
    </i>
    <i i="1">
      <x v="1"/>
    </i>
    <i i="2">
      <x v="2"/>
    </i>
    <i i="3">
      <x v="3"/>
    </i>
    <i i="4">
      <x v="4"/>
    </i>
    <i i="5">
      <x v="5"/>
    </i>
  </colItems>
  <dataFields count="6">
    <dataField name="Sum of Children 6-23 months in need of BSFP" fld="3" baseField="0" baseItem="0"/>
    <dataField name="Sum of Cluster targeted caseload for BSFP" fld="4" baseField="0" baseItem="0"/>
    <dataField name="Sum of children 0-24 months and PW in need of IYCF counselling" fld="5" baseField="0" baseItem="0"/>
    <dataField name="Sum of Cluster targeted caseload for IYCF counselling" fld="6" baseField="0" baseItem="0"/>
    <dataField name="Sum of 6-59 months in need of Screening and referral" fld="7" baseField="0" baseItem="0"/>
    <dataField name="Sum of Cluster targeted caseload for Screening and referral" fld="8" baseField="0" baseItem="0"/>
  </dataFields>
  <formats count="15">
    <format dxfId="14">
      <pivotArea field="0" type="button" dataOnly="0" labelOnly="1" outline="0" axis="axisRow" fieldPosition="0"/>
    </format>
    <format dxfId="13">
      <pivotArea dataOnly="0" labelOnly="1" outline="0" fieldPosition="0">
        <references count="1">
          <reference field="4294967294" count="6">
            <x v="0"/>
            <x v="1"/>
            <x v="2"/>
            <x v="3"/>
            <x v="4"/>
            <x v="5"/>
          </reference>
        </references>
      </pivotArea>
    </format>
    <format dxfId="12">
      <pivotArea outline="0" collapsedLevelsAreSubtotals="1"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6">
            <x v="0"/>
            <x v="1"/>
            <x v="2"/>
            <x v="3"/>
            <x v="4"/>
            <x v="5"/>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_11" xr10:uid="{151C4011-A691-4CCA-BD7F-CF94E7E34C6E}" sourceName="[Range].[Admin 1]">
  <pivotTables>
    <pivotTable tabId="6" name="Caseloads6to59"/>
    <pivotTable tabId="6" name="Prevalence6to59"/>
    <pivotTable tabId="6" name="Caseloads0to5"/>
    <pivotTable tabId="6" name="Prevalence0to5"/>
  </pivotTables>
  <data>
    <olap pivotCacheId="598580471">
      <levels count="2">
        <level uniqueName="[Range].[Admin 1].[(All)]" sourceCaption="(All)" count="0"/>
        <level uniqueName="[Range].[Admin 1].[Admin 1]" sourceCaption="Admin 1" count="34">
          <ranges>
            <range startItem="0">
              <i n="[Range].[Admin 1].&amp;[Badakhshan]" c="Badakhshan"/>
              <i n="[Range].[Admin 1].&amp;[Badghis]" c="Badghis"/>
              <i n="[Range].[Admin 1].&amp;[Baghlan]" c="Baghlan"/>
              <i n="[Range].[Admin 1].&amp;[Balkh]" c="Balkh"/>
              <i n="[Range].[Admin 1].&amp;[Bamyan]" c="Bamyan"/>
              <i n="[Range].[Admin 1].&amp;[Dykundi]" c="Dykundi"/>
              <i n="[Range].[Admin 1].&amp;[Farah]" c="Farah"/>
              <i n="[Range].[Admin 1].&amp;[Faryab]" c="Faryab"/>
              <i n="[Range].[Admin 1].&amp;[Ghazni]" c="Ghazni"/>
              <i n="[Range].[Admin 1].&amp;[Ghor]" c="Ghor"/>
              <i n="[Range].[Admin 1].&amp;[Helmand]" c="Helmand"/>
              <i n="[Range].[Admin 1].&amp;[Hirat]" c="Hirat"/>
              <i n="[Range].[Admin 1].&amp;[Jawzjan]" c="Jawzjan"/>
              <i n="[Range].[Admin 1].&amp;[Kabul]" c="Kabul"/>
              <i n="[Range].[Admin 1].&amp;[Kandahar]" c="Kandahar"/>
              <i n="[Range].[Admin 1].&amp;[Kapisa]" c="Kapisa"/>
              <i n="[Range].[Admin 1].&amp;[Khost]" c="Khost"/>
              <i n="[Range].[Admin 1].&amp;[Kunar]" c="Kunar"/>
              <i n="[Range].[Admin 1].&amp;[Kunduz]" c="Kunduz"/>
              <i n="[Range].[Admin 1].&amp;[Laghman]" c="Laghman"/>
              <i n="[Range].[Admin 1].&amp;[Logar]" c="Logar"/>
              <i n="[Range].[Admin 1].&amp;[Nangarhar]" c="Nangarhar"/>
              <i n="[Range].[Admin 1].&amp;[Nimroz]" c="Nimroz"/>
              <i n="[Range].[Admin 1].&amp;[Nuristan]" c="Nuristan"/>
              <i n="[Range].[Admin 1].&amp;[Paktika]" c="Paktika"/>
              <i n="[Range].[Admin 1].&amp;[Paktya]" c="Paktya"/>
              <i n="[Range].[Admin 1].&amp;[Panjsher]" c="Panjsher"/>
              <i n="[Range].[Admin 1].&amp;[Parwan]" c="Parwan"/>
              <i n="[Range].[Admin 1].&amp;[Samangan]" c="Samangan"/>
              <i n="[Range].[Admin 1].&amp;[Sar-e-Pul]" c="Sar-e-Pul"/>
              <i n="[Range].[Admin 1].&amp;[Takhar]" c="Takhar"/>
              <i n="[Range].[Admin 1].&amp;[Urozgan]" c="Urozgan"/>
              <i n="[Range].[Admin 1].&amp;[Wardak]" c="Wardak"/>
              <i n="[Range].[Admin 1].&amp;[Zabul]" c="Zabul"/>
            </range>
          </ranges>
        </level>
      </levels>
      <selections count="1">
        <selection n="[Range].[Admin 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1" xr10:uid="{18708052-DC61-4DF0-A46A-DB300F19F8CF}" cache="Slicer_Admin_11" caption="Admin 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2" xr10:uid="{DE1EE44C-217E-4A2B-9E2C-97E312BE7ECC}" cache="Slicer_Admin_11" caption="Admin 1"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A76F0F-9F40-4118-81D0-6173B24DE70E}" name="TableP6to59" displayName="TableP6to59" ref="AC164:AO198" totalsRowShown="0" headerRowDxfId="66" dataDxfId="65">
  <tableColumns count="13">
    <tableColumn id="1" xr3:uid="{315A95FA-B53C-4451-99F1-99AC489A4DD8}" name="Admin 1" dataDxfId="64">
      <calculatedColumnFormula>IF(ISBLANK(C46), " ",C46)</calculatedColumnFormula>
    </tableColumn>
    <tableColumn id="2" xr3:uid="{3753EC5F-B1A0-4C7A-9194-863EBDE969DE}" name="Jan-23" dataDxfId="63">
      <calculatedColumnFormula>AD$163*($H46/$H$44)</calculatedColumnFormula>
    </tableColumn>
    <tableColumn id="3" xr3:uid="{12579CDA-4D83-45A9-9194-62FB86DD2E77}" name="Feb-23" dataDxfId="62">
      <calculatedColumnFormula>AE$163*($H46/$H$44)</calculatedColumnFormula>
    </tableColumn>
    <tableColumn id="4" xr3:uid="{9E2931B0-9282-42DD-ABD9-BB437C77E9B3}" name="Mar-23" dataDxfId="61">
      <calculatedColumnFormula>AF$163*($H46/$H$44)</calculatedColumnFormula>
    </tableColumn>
    <tableColumn id="5" xr3:uid="{6B1A6896-2C86-4CD3-9656-5057BB50703A}" name="Apr-23" dataDxfId="60">
      <calculatedColumnFormula>AG$163*($H46/$H$44)</calculatedColumnFormula>
    </tableColumn>
    <tableColumn id="6" xr3:uid="{430A0CE4-4176-43B5-910C-FDD411F5F78E}" name="May-23" dataDxfId="59">
      <calculatedColumnFormula>AH$163*($H46/$H$44)</calculatedColumnFormula>
    </tableColumn>
    <tableColumn id="7" xr3:uid="{330C9D2D-156B-46E7-90FD-0DDBE5C392DB}" name="Jun-23" dataDxfId="58">
      <calculatedColumnFormula>AI$163*($H46/$H$44)</calculatedColumnFormula>
    </tableColumn>
    <tableColumn id="8" xr3:uid="{4ABFBB67-95A7-4325-95B4-8C6C40834987}" name="Jul-23" dataDxfId="57">
      <calculatedColumnFormula>AJ$163*($H46/$H$44)</calculatedColumnFormula>
    </tableColumn>
    <tableColumn id="9" xr3:uid="{D4231710-F85E-48CE-9215-582BEE4136FB}" name="Aug-23" dataDxfId="56">
      <calculatedColumnFormula>AK$163*($H46/$H$44)</calculatedColumnFormula>
    </tableColumn>
    <tableColumn id="10" xr3:uid="{79C62D9F-E5DD-44C1-8C83-DD595B33DC7F}" name="Sep-23" dataDxfId="55">
      <calculatedColumnFormula>AL$163*($H46/$H$44)</calculatedColumnFormula>
    </tableColumn>
    <tableColumn id="11" xr3:uid="{5E9BB08A-48A3-40C9-8360-7CF5E6A06BCF}" name="Oct-23" dataDxfId="54">
      <calculatedColumnFormula>AM$163*($H46/$H$44)</calculatedColumnFormula>
    </tableColumn>
    <tableColumn id="12" xr3:uid="{DB1B4C14-F45A-4CB2-9B39-FD7A0515626B}" name="Nov-23" dataDxfId="53">
      <calculatedColumnFormula>AN$163*($H46/$H$44)</calculatedColumnFormula>
    </tableColumn>
    <tableColumn id="13" xr3:uid="{B02C71D8-C900-4CEA-A48B-CD2B55EFE38E}" name="Dec-23" dataDxfId="52">
      <calculatedColumnFormula>AO$163*($H46/$H$44)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4C5C5-081A-4050-A4E4-25BCB5B6464D}" name="TableP0to5" displayName="TableP0to5" ref="AC227:AO261" totalsRowShown="0" headerRowDxfId="51" dataDxfId="50">
  <tableColumns count="13">
    <tableColumn id="1" xr3:uid="{241C12D0-5E43-4D8B-9ACF-6530D9692B07}" name="Admin 1" dataDxfId="49">
      <calculatedColumnFormula>IF(ISBLANK(C46), " ",C46)</calculatedColumnFormula>
    </tableColumn>
    <tableColumn id="2" xr3:uid="{DAA4C718-7DC6-480D-92C9-F35F50A3B30E}" name="Jan-23" dataDxfId="48">
      <calculatedColumnFormula>AD$226*($I46/$I$44)</calculatedColumnFormula>
    </tableColumn>
    <tableColumn id="3" xr3:uid="{6B27F294-C09B-4FF6-A451-32BC7420F3BF}" name="Feb-23" dataDxfId="47">
      <calculatedColumnFormula>AE$226*($I46/$I$44)</calculatedColumnFormula>
    </tableColumn>
    <tableColumn id="4" xr3:uid="{9F6E061E-5F70-4302-844C-6D4E432D3E3F}" name="Mar-23" dataDxfId="46">
      <calculatedColumnFormula>AF$226*($I46/$I$44)</calculatedColumnFormula>
    </tableColumn>
    <tableColumn id="5" xr3:uid="{2CFF7829-0033-4309-B758-61A5934A238E}" name="Apr-23" dataDxfId="45">
      <calculatedColumnFormula>AG$226*($I46/$I$44)</calculatedColumnFormula>
    </tableColumn>
    <tableColumn id="6" xr3:uid="{00019A74-B6E4-42A2-98D4-5936B6EECCCF}" name="May-23" dataDxfId="44">
      <calculatedColumnFormula>AH$226*($I46/$I$44)</calculatedColumnFormula>
    </tableColumn>
    <tableColumn id="7" xr3:uid="{50C41734-B994-4C0B-B917-D993560AA775}" name="Jun-23" dataDxfId="43">
      <calculatedColumnFormula>AI$226*($I46/$I$44)</calculatedColumnFormula>
    </tableColumn>
    <tableColumn id="8" xr3:uid="{CF2FDCA7-2B2F-4BF4-8E2A-75825CEC813A}" name="Jul-23" dataDxfId="42">
      <calculatedColumnFormula>AJ$226*($I46/$I$44)</calculatedColumnFormula>
    </tableColumn>
    <tableColumn id="9" xr3:uid="{14AC9A5A-DAC0-4C1B-869E-CF6AD372755C}" name="Aug-23" dataDxfId="41">
      <calculatedColumnFormula>AK$226*($I46/$I$44)</calculatedColumnFormula>
    </tableColumn>
    <tableColumn id="10" xr3:uid="{7173B6EE-4701-452E-B921-71CDBAFC9620}" name="Sep-23" dataDxfId="40">
      <calculatedColumnFormula>AL$226*($I46/$I$44)</calculatedColumnFormula>
    </tableColumn>
    <tableColumn id="11" xr3:uid="{9099F872-C717-42A3-B3FF-130EA5DBA096}" name="Oct-23" dataDxfId="39">
      <calculatedColumnFormula>AM$226*($I46/$I$44)</calculatedColumnFormula>
    </tableColumn>
    <tableColumn id="12" xr3:uid="{39F7AFB3-6DAC-4BC1-ADE6-F36F79BDF6CE}" name="Nov-23" dataDxfId="38">
      <calculatedColumnFormula>AN$226*($I46/$I$44)</calculatedColumnFormula>
    </tableColumn>
    <tableColumn id="13" xr3:uid="{AD2E4C25-BFBD-4857-B2E9-6644F766AF88}" name="Dec-23" dataDxfId="37">
      <calculatedColumnFormula>AO$226*($I46/$I$44)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Q91"/>
  <sheetViews>
    <sheetView workbookViewId="0">
      <selection activeCell="O10" sqref="O10"/>
    </sheetView>
  </sheetViews>
  <sheetFormatPr defaultColWidth="9" defaultRowHeight="15.5" x14ac:dyDescent="0.35"/>
  <cols>
    <col min="1" max="16384" width="9" style="22"/>
  </cols>
  <sheetData>
    <row r="1" spans="3:69" s="78" customFormat="1" ht="13" x14ac:dyDescent="0.3">
      <c r="C1" s="78" t="s">
        <v>10</v>
      </c>
      <c r="D1" s="78" t="s">
        <v>10</v>
      </c>
      <c r="E1" s="78" t="s">
        <v>10</v>
      </c>
      <c r="F1" s="78" t="s">
        <v>10</v>
      </c>
      <c r="G1" s="78" t="s">
        <v>10</v>
      </c>
      <c r="H1" s="78" t="s">
        <v>10</v>
      </c>
      <c r="I1" s="78" t="s">
        <v>10</v>
      </c>
      <c r="J1" s="78" t="s">
        <v>10</v>
      </c>
      <c r="K1" s="78" t="s">
        <v>10</v>
      </c>
      <c r="L1" s="78" t="s">
        <v>10</v>
      </c>
      <c r="M1" s="78" t="s">
        <v>10</v>
      </c>
      <c r="N1" s="78" t="s">
        <v>10</v>
      </c>
      <c r="O1" s="78" t="s">
        <v>10</v>
      </c>
      <c r="P1" s="78" t="s">
        <v>10</v>
      </c>
      <c r="Q1" s="78" t="s">
        <v>10</v>
      </c>
      <c r="R1" s="78" t="s">
        <v>10</v>
      </c>
      <c r="S1" s="78" t="s">
        <v>10</v>
      </c>
      <c r="T1" s="78" t="s">
        <v>10</v>
      </c>
      <c r="U1" s="78" t="s">
        <v>10</v>
      </c>
      <c r="V1" s="78" t="s">
        <v>10</v>
      </c>
      <c r="W1" s="78" t="s">
        <v>10</v>
      </c>
      <c r="X1" s="78" t="s">
        <v>10</v>
      </c>
      <c r="Y1" s="78" t="s">
        <v>10</v>
      </c>
      <c r="Z1" s="78" t="s">
        <v>10</v>
      </c>
      <c r="AA1" s="78" t="s">
        <v>10</v>
      </c>
      <c r="AB1" s="78" t="s">
        <v>10</v>
      </c>
      <c r="AC1" s="78" t="s">
        <v>10</v>
      </c>
      <c r="AD1" s="78" t="s">
        <v>10</v>
      </c>
      <c r="AE1" s="78" t="s">
        <v>10</v>
      </c>
      <c r="AF1" s="78" t="s">
        <v>10</v>
      </c>
      <c r="AG1" s="78" t="s">
        <v>10</v>
      </c>
      <c r="AH1" s="78" t="s">
        <v>10</v>
      </c>
      <c r="AI1" s="78" t="s">
        <v>10</v>
      </c>
      <c r="AJ1" s="78" t="s">
        <v>10</v>
      </c>
      <c r="AK1" s="78" t="s">
        <v>10</v>
      </c>
      <c r="AL1" s="78" t="s">
        <v>10</v>
      </c>
      <c r="AM1" s="78" t="s">
        <v>10</v>
      </c>
      <c r="AN1" s="78" t="s">
        <v>10</v>
      </c>
      <c r="AO1" s="78" t="s">
        <v>10</v>
      </c>
      <c r="AP1" s="78" t="s">
        <v>10</v>
      </c>
      <c r="AQ1" s="78" t="s">
        <v>10</v>
      </c>
      <c r="AR1" s="78" t="s">
        <v>10</v>
      </c>
      <c r="AS1" s="78" t="s">
        <v>10</v>
      </c>
      <c r="AT1" s="78" t="s">
        <v>10</v>
      </c>
      <c r="AU1" s="78" t="s">
        <v>10</v>
      </c>
      <c r="AV1" s="78" t="s">
        <v>10</v>
      </c>
      <c r="AW1" s="78" t="s">
        <v>10</v>
      </c>
      <c r="AX1" s="78" t="s">
        <v>10</v>
      </c>
      <c r="AY1" s="78" t="s">
        <v>10</v>
      </c>
      <c r="AZ1" s="78" t="s">
        <v>10</v>
      </c>
      <c r="BA1" s="78" t="s">
        <v>10</v>
      </c>
      <c r="BB1" s="78" t="s">
        <v>10</v>
      </c>
      <c r="BC1" s="78" t="s">
        <v>10</v>
      </c>
      <c r="BD1" s="78" t="s">
        <v>10</v>
      </c>
      <c r="BE1" s="78" t="s">
        <v>10</v>
      </c>
      <c r="BF1" s="78" t="s">
        <v>10</v>
      </c>
      <c r="BG1" s="78" t="s">
        <v>10</v>
      </c>
      <c r="BH1" s="78" t="s">
        <v>10</v>
      </c>
      <c r="BI1" s="78" t="s">
        <v>10</v>
      </c>
      <c r="BJ1" s="78" t="s">
        <v>10</v>
      </c>
      <c r="BK1" s="78" t="s">
        <v>10</v>
      </c>
      <c r="BL1" s="78" t="s">
        <v>10</v>
      </c>
      <c r="BM1" s="78" t="s">
        <v>10</v>
      </c>
      <c r="BN1" s="78" t="s">
        <v>10</v>
      </c>
      <c r="BO1" s="78" t="s">
        <v>10</v>
      </c>
      <c r="BP1" s="78" t="s">
        <v>10</v>
      </c>
      <c r="BQ1" s="78" t="s">
        <v>10</v>
      </c>
    </row>
    <row r="27" spans="1:13" x14ac:dyDescent="0.35">
      <c r="A27" s="231"/>
      <c r="B27" s="231"/>
      <c r="C27" s="231"/>
      <c r="D27" s="231"/>
      <c r="E27" s="231"/>
      <c r="F27" s="231"/>
      <c r="G27" s="231"/>
      <c r="H27" s="231"/>
      <c r="I27" s="231"/>
      <c r="J27" s="231"/>
      <c r="K27" s="231"/>
      <c r="L27" s="231"/>
      <c r="M27" s="231"/>
    </row>
    <row r="28" spans="1:13" x14ac:dyDescent="0.35">
      <c r="A28" s="231"/>
      <c r="B28" s="231"/>
      <c r="C28" s="231"/>
      <c r="D28" s="231"/>
      <c r="E28" s="231"/>
      <c r="F28" s="231"/>
      <c r="G28" s="231"/>
      <c r="H28" s="231"/>
      <c r="I28" s="231"/>
      <c r="J28" s="231"/>
      <c r="K28" s="231"/>
      <c r="L28" s="231"/>
      <c r="M28" s="231"/>
    </row>
    <row r="29" spans="1:13" x14ac:dyDescent="0.35">
      <c r="A29" s="231"/>
      <c r="B29" s="231" t="s">
        <v>0</v>
      </c>
      <c r="C29" s="231"/>
      <c r="D29" s="231"/>
      <c r="E29" s="231"/>
      <c r="F29" s="231"/>
      <c r="G29" s="231"/>
      <c r="H29" s="231"/>
      <c r="I29" s="231"/>
      <c r="J29" s="231"/>
      <c r="K29" s="231"/>
      <c r="L29" s="231"/>
      <c r="M29" s="231"/>
    </row>
    <row r="30" spans="1:13" x14ac:dyDescent="0.35">
      <c r="A30" s="231"/>
      <c r="B30" s="231" t="s">
        <v>1</v>
      </c>
      <c r="C30" s="231"/>
      <c r="D30" s="231"/>
      <c r="E30" s="231"/>
      <c r="F30" s="231"/>
      <c r="G30" s="231"/>
      <c r="H30" s="231"/>
      <c r="I30" s="231"/>
      <c r="J30" s="231"/>
      <c r="K30" s="231"/>
      <c r="L30" s="231"/>
      <c r="M30" s="231"/>
    </row>
    <row r="31" spans="1:13" x14ac:dyDescent="0.35">
      <c r="A31" s="231"/>
      <c r="B31" s="231" t="s">
        <v>2</v>
      </c>
      <c r="C31" s="231"/>
      <c r="D31" s="231"/>
      <c r="E31" s="231"/>
      <c r="F31" s="231"/>
      <c r="G31" s="231"/>
      <c r="H31" s="231"/>
      <c r="I31" s="231"/>
      <c r="J31" s="231"/>
      <c r="K31" s="231"/>
      <c r="L31" s="231"/>
      <c r="M31" s="231"/>
    </row>
    <row r="32" spans="1:13" x14ac:dyDescent="0.35">
      <c r="A32" s="231"/>
      <c r="B32" s="231" t="s">
        <v>3</v>
      </c>
      <c r="C32" s="231"/>
      <c r="D32" s="231"/>
      <c r="E32" s="231"/>
      <c r="F32" s="231"/>
      <c r="G32" s="231"/>
      <c r="H32" s="231"/>
      <c r="I32" s="231"/>
      <c r="J32" s="231"/>
      <c r="K32" s="231"/>
      <c r="L32" s="231"/>
      <c r="M32" s="231"/>
    </row>
    <row r="33" spans="1:13" x14ac:dyDescent="0.35">
      <c r="A33" s="231"/>
      <c r="B33" s="231" t="s">
        <v>4</v>
      </c>
      <c r="C33" s="231"/>
      <c r="D33" s="231"/>
      <c r="E33" s="231"/>
      <c r="F33" s="231"/>
      <c r="G33" s="231"/>
      <c r="H33" s="231"/>
      <c r="I33" s="231"/>
      <c r="J33" s="231"/>
      <c r="K33" s="231"/>
      <c r="L33" s="231"/>
      <c r="M33" s="231"/>
    </row>
    <row r="34" spans="1:13" x14ac:dyDescent="0.35">
      <c r="A34" s="231"/>
      <c r="B34" s="231" t="s">
        <v>5</v>
      </c>
      <c r="C34" s="231"/>
      <c r="D34" s="231"/>
      <c r="E34" s="231"/>
      <c r="F34" s="231"/>
      <c r="G34" s="231"/>
      <c r="H34" s="231"/>
      <c r="I34" s="231"/>
      <c r="J34" s="231"/>
      <c r="K34" s="231"/>
      <c r="L34" s="231"/>
      <c r="M34" s="231"/>
    </row>
    <row r="35" spans="1:13" x14ac:dyDescent="0.35">
      <c r="A35" s="231"/>
      <c r="B35" s="274" t="s">
        <v>434</v>
      </c>
      <c r="D35" s="231"/>
      <c r="E35" s="231"/>
      <c r="F35" s="231"/>
      <c r="G35" s="231"/>
      <c r="H35" s="231"/>
      <c r="I35" s="231"/>
      <c r="J35" s="231"/>
      <c r="K35" s="231"/>
      <c r="L35" s="231"/>
      <c r="M35" s="231"/>
    </row>
    <row r="36" spans="1:13" x14ac:dyDescent="0.35">
      <c r="A36" s="231"/>
      <c r="B36" s="231" t="s">
        <v>6</v>
      </c>
      <c r="C36" s="231"/>
      <c r="D36" s="231"/>
      <c r="E36" s="231"/>
      <c r="F36" s="231"/>
      <c r="G36" s="231"/>
      <c r="H36" s="231"/>
      <c r="I36" s="231"/>
      <c r="J36" s="231"/>
      <c r="K36" s="231"/>
      <c r="L36" s="231"/>
      <c r="M36" s="231"/>
    </row>
    <row r="37" spans="1:13" x14ac:dyDescent="0.35">
      <c r="A37" s="231"/>
      <c r="B37" s="231"/>
      <c r="C37" s="274" t="s">
        <v>7</v>
      </c>
      <c r="D37" s="231"/>
      <c r="E37" s="231"/>
      <c r="F37" s="231"/>
      <c r="G37" s="231"/>
      <c r="H37" s="231"/>
      <c r="I37" s="231"/>
      <c r="J37" s="231"/>
      <c r="K37" s="231"/>
      <c r="L37" s="231"/>
      <c r="M37" s="231"/>
    </row>
    <row r="38" spans="1:13" x14ac:dyDescent="0.35">
      <c r="A38" s="231"/>
      <c r="B38" s="231" t="s">
        <v>8</v>
      </c>
      <c r="C38" s="231"/>
      <c r="D38" s="231"/>
      <c r="E38" s="231"/>
      <c r="F38" s="231"/>
      <c r="G38" s="231"/>
      <c r="H38" s="231"/>
      <c r="I38" s="231"/>
      <c r="J38" s="231"/>
      <c r="K38" s="231"/>
      <c r="L38" s="231"/>
      <c r="M38" s="231"/>
    </row>
    <row r="39" spans="1:13" x14ac:dyDescent="0.35">
      <c r="A39" s="231"/>
      <c r="B39" s="256" t="s">
        <v>425</v>
      </c>
      <c r="C39" s="231"/>
      <c r="D39" s="231"/>
      <c r="E39" s="231"/>
      <c r="F39" s="231"/>
      <c r="G39" s="231"/>
      <c r="H39" s="231"/>
      <c r="I39" s="231"/>
      <c r="J39" s="231"/>
      <c r="K39" s="231"/>
      <c r="L39" s="231"/>
      <c r="M39" s="231"/>
    </row>
    <row r="40" spans="1:13" x14ac:dyDescent="0.35">
      <c r="A40" s="231"/>
      <c r="B40" s="231"/>
      <c r="C40" s="231"/>
      <c r="D40" s="231"/>
      <c r="E40" s="231"/>
      <c r="F40" s="231"/>
      <c r="G40" s="231"/>
      <c r="H40" s="231"/>
      <c r="I40" s="231"/>
      <c r="J40" s="231"/>
      <c r="K40" s="231"/>
      <c r="L40" s="231"/>
      <c r="M40" s="231"/>
    </row>
    <row r="41" spans="1:13" x14ac:dyDescent="0.35">
      <c r="A41" s="231"/>
      <c r="B41" s="231"/>
      <c r="C41" s="231"/>
      <c r="D41" s="231"/>
      <c r="E41" s="231"/>
      <c r="F41" s="231"/>
      <c r="G41" s="231"/>
      <c r="H41" s="231"/>
      <c r="I41" s="231"/>
      <c r="J41" s="231"/>
      <c r="K41" s="231"/>
      <c r="L41" s="231"/>
      <c r="M41" s="231"/>
    </row>
    <row r="42" spans="1:13" x14ac:dyDescent="0.35">
      <c r="A42" s="231"/>
      <c r="B42" s="234"/>
      <c r="C42" s="231"/>
      <c r="D42" s="231"/>
      <c r="E42" s="231"/>
      <c r="F42" s="231"/>
      <c r="G42" s="231"/>
      <c r="H42" s="231"/>
      <c r="I42" s="231"/>
      <c r="J42" s="231"/>
      <c r="K42" s="231"/>
      <c r="L42" s="231"/>
      <c r="M42" s="231"/>
    </row>
    <row r="43" spans="1:13" x14ac:dyDescent="0.35">
      <c r="A43" s="231"/>
      <c r="B43" s="231"/>
      <c r="C43" s="231"/>
      <c r="D43" s="231"/>
      <c r="E43" s="231"/>
      <c r="F43" s="231"/>
      <c r="G43" s="231"/>
      <c r="H43" s="231"/>
      <c r="I43" s="231"/>
      <c r="J43" s="231"/>
      <c r="K43" s="231"/>
      <c r="L43" s="231"/>
      <c r="M43" s="231"/>
    </row>
    <row r="44" spans="1:13" x14ac:dyDescent="0.35">
      <c r="A44" s="231"/>
      <c r="B44" s="231"/>
      <c r="C44" s="231"/>
      <c r="D44" s="231"/>
      <c r="E44" s="231"/>
      <c r="F44" s="231"/>
      <c r="G44" s="231"/>
      <c r="H44" s="231"/>
      <c r="I44" s="231"/>
      <c r="J44" s="231"/>
      <c r="K44" s="231"/>
      <c r="L44" s="231"/>
      <c r="M44" s="231"/>
    </row>
    <row r="45" spans="1:13" x14ac:dyDescent="0.35">
      <c r="A45" s="231"/>
      <c r="B45" s="231"/>
      <c r="C45" s="231"/>
      <c r="D45" s="231"/>
      <c r="E45" s="231"/>
      <c r="F45" s="231"/>
      <c r="G45" s="231"/>
      <c r="H45" s="231"/>
      <c r="I45" s="231"/>
      <c r="J45" s="231"/>
      <c r="K45" s="231"/>
      <c r="L45" s="231"/>
      <c r="M45" s="231"/>
    </row>
    <row r="46" spans="1:13" x14ac:dyDescent="0.35">
      <c r="A46" s="231"/>
      <c r="B46" s="231"/>
      <c r="C46" s="231"/>
      <c r="D46" s="231"/>
      <c r="E46" s="231"/>
      <c r="F46" s="231"/>
      <c r="G46" s="231"/>
      <c r="H46" s="231"/>
      <c r="I46" s="231"/>
      <c r="J46" s="231"/>
      <c r="K46" s="231"/>
      <c r="L46" s="231"/>
      <c r="M46" s="231"/>
    </row>
    <row r="47" spans="1:13" x14ac:dyDescent="0.35">
      <c r="A47" s="231"/>
      <c r="B47" s="231"/>
      <c r="C47" s="231"/>
      <c r="D47" s="231"/>
      <c r="E47" s="231"/>
      <c r="F47" s="231"/>
      <c r="G47" s="231"/>
      <c r="H47" s="231"/>
      <c r="I47" s="231"/>
      <c r="J47" s="231"/>
      <c r="K47" s="231"/>
      <c r="L47" s="231"/>
      <c r="M47" s="231"/>
    </row>
    <row r="48" spans="1:13" x14ac:dyDescent="0.35">
      <c r="A48" s="231"/>
      <c r="B48" s="231"/>
      <c r="C48" s="231"/>
      <c r="D48" s="231"/>
      <c r="E48" s="231"/>
      <c r="F48" s="231"/>
      <c r="G48" s="231"/>
      <c r="H48" s="231"/>
      <c r="I48" s="231"/>
      <c r="J48" s="231"/>
      <c r="K48" s="231"/>
      <c r="L48" s="231"/>
      <c r="M48" s="231"/>
    </row>
    <row r="49" spans="1:13" x14ac:dyDescent="0.35">
      <c r="A49" s="231"/>
      <c r="B49" s="231"/>
      <c r="C49" s="231"/>
      <c r="D49" s="231"/>
      <c r="E49" s="231"/>
      <c r="F49" s="231"/>
      <c r="G49" s="231"/>
      <c r="H49" s="231"/>
      <c r="I49" s="231"/>
      <c r="J49" s="231"/>
      <c r="K49" s="231"/>
      <c r="L49" s="231"/>
      <c r="M49" s="231"/>
    </row>
    <row r="50" spans="1:13" x14ac:dyDescent="0.35">
      <c r="A50" s="231"/>
      <c r="B50" s="231"/>
      <c r="C50" s="231"/>
      <c r="D50" s="231"/>
      <c r="E50" s="231"/>
      <c r="F50" s="231"/>
      <c r="G50" s="231"/>
      <c r="H50" s="231"/>
      <c r="I50" s="231"/>
      <c r="J50" s="231"/>
      <c r="K50" s="231"/>
      <c r="L50" s="231"/>
      <c r="M50" s="231"/>
    </row>
    <row r="51" spans="1:13" x14ac:dyDescent="0.35">
      <c r="A51" s="231"/>
      <c r="B51" s="231"/>
      <c r="C51" s="231"/>
      <c r="D51" s="231"/>
      <c r="E51" s="231"/>
      <c r="F51" s="231"/>
      <c r="G51" s="231"/>
      <c r="H51" s="231"/>
      <c r="I51" s="231"/>
      <c r="J51" s="231"/>
      <c r="K51" s="231"/>
      <c r="L51" s="231"/>
      <c r="M51" s="231"/>
    </row>
    <row r="52" spans="1:13" x14ac:dyDescent="0.35">
      <c r="A52" s="231"/>
      <c r="B52" s="231"/>
      <c r="C52" s="231"/>
      <c r="D52" s="231"/>
      <c r="E52" s="231"/>
      <c r="F52" s="231"/>
      <c r="G52" s="231"/>
      <c r="H52" s="231"/>
      <c r="I52" s="231"/>
      <c r="J52" s="231"/>
      <c r="K52" s="231"/>
      <c r="L52" s="231"/>
      <c r="M52" s="231"/>
    </row>
    <row r="53" spans="1:13" x14ac:dyDescent="0.35">
      <c r="A53" s="231"/>
      <c r="B53" s="231"/>
      <c r="C53" s="231"/>
      <c r="D53" s="231"/>
      <c r="E53" s="231"/>
      <c r="F53" s="231"/>
      <c r="G53" s="231"/>
      <c r="H53" s="231"/>
      <c r="I53" s="231"/>
      <c r="J53" s="231"/>
      <c r="K53" s="231"/>
      <c r="L53" s="231"/>
      <c r="M53" s="231"/>
    </row>
    <row r="54" spans="1:13" x14ac:dyDescent="0.35">
      <c r="A54" s="231"/>
      <c r="B54" s="231"/>
      <c r="C54" s="231"/>
      <c r="D54" s="231"/>
      <c r="E54" s="231"/>
      <c r="F54" s="231"/>
      <c r="G54" s="231"/>
      <c r="H54" s="231"/>
      <c r="I54" s="231"/>
      <c r="J54" s="231"/>
      <c r="K54" s="231"/>
      <c r="L54" s="231"/>
      <c r="M54" s="231"/>
    </row>
    <row r="55" spans="1:13" x14ac:dyDescent="0.35">
      <c r="A55" s="231"/>
      <c r="B55" s="231"/>
      <c r="C55" s="231"/>
      <c r="D55" s="231"/>
      <c r="E55" s="231"/>
      <c r="F55" s="231"/>
      <c r="G55" s="231"/>
      <c r="H55" s="231"/>
      <c r="I55" s="231"/>
      <c r="J55" s="231"/>
      <c r="K55" s="231"/>
      <c r="L55" s="231"/>
      <c r="M55" s="231"/>
    </row>
    <row r="56" spans="1:13" x14ac:dyDescent="0.35">
      <c r="A56" s="231"/>
      <c r="B56" s="231"/>
      <c r="C56" s="231"/>
      <c r="D56" s="231"/>
      <c r="E56" s="231"/>
      <c r="F56" s="231"/>
      <c r="G56" s="231"/>
      <c r="H56" s="231"/>
      <c r="I56" s="231"/>
      <c r="J56" s="231"/>
      <c r="K56" s="231"/>
      <c r="L56" s="231"/>
      <c r="M56" s="231"/>
    </row>
    <row r="57" spans="1:13" x14ac:dyDescent="0.35">
      <c r="A57" s="231"/>
      <c r="B57" s="231"/>
      <c r="C57" s="231"/>
      <c r="D57" s="231"/>
      <c r="E57" s="231"/>
      <c r="F57" s="231"/>
      <c r="G57" s="231"/>
      <c r="H57" s="231"/>
      <c r="I57" s="231"/>
      <c r="J57" s="231"/>
      <c r="K57" s="231"/>
      <c r="L57" s="231"/>
      <c r="M57" s="231"/>
    </row>
    <row r="58" spans="1:13" x14ac:dyDescent="0.35">
      <c r="A58" s="231"/>
      <c r="B58" s="231"/>
      <c r="C58" s="231"/>
      <c r="D58" s="231"/>
      <c r="E58" s="231"/>
      <c r="F58" s="231"/>
      <c r="G58" s="231"/>
      <c r="H58" s="231"/>
      <c r="I58" s="231"/>
      <c r="J58" s="231"/>
      <c r="K58" s="231"/>
      <c r="L58" s="231"/>
      <c r="M58" s="231"/>
    </row>
    <row r="59" spans="1:13" x14ac:dyDescent="0.35">
      <c r="A59" s="231"/>
      <c r="B59" s="231"/>
      <c r="C59" s="231"/>
      <c r="D59" s="231"/>
      <c r="E59" s="231"/>
      <c r="F59" s="231"/>
      <c r="G59" s="231"/>
      <c r="H59" s="231"/>
      <c r="I59" s="231"/>
      <c r="J59" s="231"/>
      <c r="K59" s="231"/>
      <c r="L59" s="231"/>
      <c r="M59" s="231"/>
    </row>
    <row r="60" spans="1:13" x14ac:dyDescent="0.35">
      <c r="A60" s="231"/>
      <c r="B60" s="231"/>
      <c r="C60" s="231"/>
      <c r="D60" s="231"/>
      <c r="E60" s="231"/>
      <c r="F60" s="231"/>
      <c r="G60" s="231"/>
      <c r="H60" s="231"/>
      <c r="I60" s="231"/>
      <c r="J60" s="231"/>
      <c r="K60" s="231"/>
      <c r="L60" s="231"/>
      <c r="M60" s="231"/>
    </row>
    <row r="61" spans="1:13" x14ac:dyDescent="0.35">
      <c r="A61" s="231"/>
      <c r="B61" s="231"/>
      <c r="C61" s="231"/>
      <c r="D61" s="231"/>
      <c r="E61" s="231"/>
      <c r="F61" s="231"/>
      <c r="G61" s="231"/>
      <c r="H61" s="231"/>
      <c r="I61" s="231"/>
      <c r="J61" s="231"/>
      <c r="K61" s="231"/>
      <c r="L61" s="231"/>
      <c r="M61" s="231"/>
    </row>
    <row r="62" spans="1:13" x14ac:dyDescent="0.35">
      <c r="A62" s="231"/>
      <c r="B62" s="231"/>
      <c r="C62" s="231"/>
      <c r="D62" s="231"/>
      <c r="E62" s="231"/>
      <c r="F62" s="231"/>
      <c r="G62" s="231"/>
      <c r="H62" s="231"/>
      <c r="I62" s="231"/>
      <c r="J62" s="231"/>
      <c r="K62" s="231"/>
      <c r="L62" s="231"/>
      <c r="M62" s="231"/>
    </row>
    <row r="63" spans="1:13" x14ac:dyDescent="0.35">
      <c r="A63" s="231"/>
      <c r="B63" s="231"/>
      <c r="C63" s="231"/>
      <c r="D63" s="231"/>
      <c r="E63" s="231"/>
      <c r="F63" s="231"/>
      <c r="G63" s="231"/>
      <c r="H63" s="231"/>
      <c r="I63" s="231"/>
      <c r="J63" s="231"/>
      <c r="K63" s="231"/>
      <c r="L63" s="231"/>
      <c r="M63" s="231"/>
    </row>
    <row r="64" spans="1:13" x14ac:dyDescent="0.35">
      <c r="A64" s="231"/>
      <c r="B64" s="231"/>
      <c r="C64" s="231"/>
      <c r="D64" s="231"/>
      <c r="E64" s="231"/>
      <c r="F64" s="231"/>
      <c r="G64" s="231"/>
      <c r="H64" s="231"/>
      <c r="I64" s="231"/>
      <c r="J64" s="231"/>
      <c r="K64" s="231"/>
      <c r="L64" s="231"/>
      <c r="M64" s="231"/>
    </row>
    <row r="65" spans="1:13" x14ac:dyDescent="0.35">
      <c r="A65" s="231"/>
      <c r="B65" s="231"/>
      <c r="C65" s="231"/>
      <c r="D65" s="231"/>
      <c r="E65" s="231"/>
      <c r="F65" s="231"/>
      <c r="G65" s="231"/>
      <c r="H65" s="231"/>
      <c r="I65" s="231"/>
      <c r="J65" s="231"/>
      <c r="K65" s="231"/>
      <c r="L65" s="231"/>
      <c r="M65" s="231"/>
    </row>
    <row r="66" spans="1:13" x14ac:dyDescent="0.35">
      <c r="A66" s="231"/>
      <c r="B66" s="231"/>
      <c r="C66" s="231"/>
      <c r="D66" s="231"/>
      <c r="E66" s="231"/>
      <c r="F66" s="231"/>
      <c r="G66" s="231"/>
      <c r="H66" s="231"/>
      <c r="I66" s="231"/>
      <c r="J66" s="231"/>
      <c r="K66" s="231"/>
      <c r="L66" s="231"/>
      <c r="M66" s="231"/>
    </row>
    <row r="67" spans="1:13" x14ac:dyDescent="0.35">
      <c r="A67" s="231"/>
      <c r="B67" s="231"/>
      <c r="C67" s="231"/>
      <c r="D67" s="231"/>
      <c r="E67" s="231"/>
      <c r="F67" s="231"/>
      <c r="G67" s="231"/>
      <c r="H67" s="231"/>
      <c r="I67" s="231"/>
      <c r="J67" s="231"/>
      <c r="K67" s="231"/>
      <c r="L67" s="231"/>
      <c r="M67" s="231"/>
    </row>
    <row r="68" spans="1:13" x14ac:dyDescent="0.35">
      <c r="A68" s="231"/>
      <c r="B68" s="231"/>
      <c r="C68" s="231"/>
      <c r="D68" s="231"/>
      <c r="E68" s="231"/>
      <c r="F68" s="231"/>
      <c r="G68" s="231"/>
      <c r="H68" s="231"/>
      <c r="I68" s="231"/>
      <c r="J68" s="231"/>
      <c r="K68" s="231"/>
      <c r="L68" s="231"/>
      <c r="M68" s="231"/>
    </row>
    <row r="69" spans="1:13" x14ac:dyDescent="0.35">
      <c r="A69" s="231"/>
      <c r="B69" s="231"/>
      <c r="C69" s="231"/>
      <c r="D69" s="231"/>
      <c r="E69" s="231"/>
      <c r="F69" s="231"/>
      <c r="G69" s="231"/>
      <c r="H69" s="231"/>
      <c r="I69" s="231"/>
      <c r="J69" s="231"/>
      <c r="K69" s="231"/>
      <c r="L69" s="231"/>
      <c r="M69" s="231"/>
    </row>
    <row r="70" spans="1:13" x14ac:dyDescent="0.35">
      <c r="A70" s="231"/>
      <c r="B70" s="231"/>
      <c r="C70" s="231"/>
      <c r="D70" s="231"/>
      <c r="E70" s="231"/>
      <c r="F70" s="231"/>
      <c r="G70" s="231"/>
      <c r="H70" s="231"/>
      <c r="I70" s="231"/>
      <c r="J70" s="231"/>
      <c r="K70" s="231"/>
      <c r="L70" s="231"/>
      <c r="M70" s="231"/>
    </row>
    <row r="71" spans="1:13" x14ac:dyDescent="0.35">
      <c r="A71" s="231"/>
      <c r="B71" s="231"/>
      <c r="C71" s="231"/>
      <c r="D71" s="231"/>
      <c r="E71" s="231"/>
      <c r="F71" s="231"/>
      <c r="G71" s="231"/>
      <c r="H71" s="231"/>
      <c r="I71" s="231"/>
      <c r="J71" s="231"/>
      <c r="K71" s="231"/>
      <c r="L71" s="231"/>
      <c r="M71" s="231"/>
    </row>
    <row r="72" spans="1:13" x14ac:dyDescent="0.35">
      <c r="A72" s="231"/>
      <c r="B72" s="231"/>
      <c r="C72" s="231"/>
      <c r="D72" s="231"/>
      <c r="E72" s="231"/>
      <c r="F72" s="231"/>
      <c r="G72" s="231"/>
      <c r="H72" s="231"/>
      <c r="I72" s="231"/>
      <c r="J72" s="231"/>
      <c r="K72" s="231"/>
      <c r="L72" s="231"/>
      <c r="M72" s="231"/>
    </row>
    <row r="73" spans="1:13" x14ac:dyDescent="0.35">
      <c r="A73" s="231"/>
      <c r="B73" s="231"/>
      <c r="C73" s="231"/>
      <c r="D73" s="231"/>
      <c r="E73" s="231"/>
      <c r="F73" s="231"/>
      <c r="G73" s="231"/>
      <c r="H73" s="231"/>
      <c r="I73" s="231"/>
      <c r="J73" s="231"/>
      <c r="K73" s="231"/>
      <c r="L73" s="231"/>
      <c r="M73" s="231"/>
    </row>
    <row r="74" spans="1:13" x14ac:dyDescent="0.35">
      <c r="A74" s="231"/>
      <c r="B74" s="231"/>
      <c r="C74" s="231"/>
      <c r="D74" s="231"/>
      <c r="E74" s="231"/>
      <c r="F74" s="231"/>
      <c r="G74" s="231"/>
      <c r="H74" s="231"/>
      <c r="I74" s="231"/>
      <c r="J74" s="231"/>
      <c r="K74" s="231"/>
      <c r="L74" s="231"/>
      <c r="M74" s="231"/>
    </row>
    <row r="75" spans="1:13" x14ac:dyDescent="0.35">
      <c r="A75" s="231"/>
      <c r="B75" s="231"/>
      <c r="C75" s="231"/>
      <c r="D75" s="231"/>
      <c r="E75" s="231"/>
      <c r="F75" s="231"/>
      <c r="G75" s="231"/>
      <c r="H75" s="231"/>
      <c r="I75" s="231"/>
      <c r="J75" s="231"/>
      <c r="K75" s="231"/>
      <c r="L75" s="231"/>
      <c r="M75" s="231"/>
    </row>
    <row r="76" spans="1:13" x14ac:dyDescent="0.35">
      <c r="A76" s="231"/>
      <c r="B76" s="231"/>
      <c r="C76" s="231"/>
      <c r="D76" s="231"/>
      <c r="E76" s="231"/>
      <c r="F76" s="231"/>
      <c r="G76" s="231"/>
      <c r="H76" s="231"/>
      <c r="I76" s="231"/>
      <c r="J76" s="231"/>
      <c r="K76" s="231"/>
      <c r="L76" s="231"/>
      <c r="M76" s="231"/>
    </row>
    <row r="77" spans="1:13" x14ac:dyDescent="0.35">
      <c r="A77" s="231"/>
      <c r="B77" s="231"/>
      <c r="C77" s="231"/>
      <c r="D77" s="231"/>
      <c r="E77" s="231"/>
      <c r="F77" s="231"/>
      <c r="G77" s="231"/>
      <c r="H77" s="231"/>
      <c r="I77" s="231"/>
      <c r="J77" s="231"/>
      <c r="K77" s="231"/>
      <c r="L77" s="231"/>
      <c r="M77" s="231"/>
    </row>
    <row r="78" spans="1:13" x14ac:dyDescent="0.35">
      <c r="A78" s="231"/>
      <c r="B78" s="231"/>
      <c r="C78" s="231"/>
      <c r="D78" s="231"/>
      <c r="E78" s="231"/>
      <c r="F78" s="231"/>
      <c r="G78" s="231"/>
      <c r="H78" s="231"/>
      <c r="I78" s="231"/>
      <c r="J78" s="231"/>
      <c r="K78" s="231"/>
      <c r="L78" s="231"/>
      <c r="M78" s="231"/>
    </row>
    <row r="79" spans="1:13" x14ac:dyDescent="0.35">
      <c r="A79" s="231"/>
      <c r="B79" s="231"/>
      <c r="C79" s="231"/>
      <c r="D79" s="231"/>
      <c r="E79" s="231"/>
      <c r="F79" s="231"/>
      <c r="G79" s="231"/>
      <c r="H79" s="231"/>
      <c r="I79" s="231"/>
      <c r="J79" s="231"/>
      <c r="K79" s="231"/>
      <c r="L79" s="231"/>
      <c r="M79" s="231"/>
    </row>
    <row r="80" spans="1:13" x14ac:dyDescent="0.35">
      <c r="A80" s="231"/>
      <c r="B80" s="231"/>
      <c r="C80" s="231"/>
      <c r="D80" s="231"/>
      <c r="E80" s="231"/>
      <c r="F80" s="231"/>
      <c r="G80" s="231"/>
      <c r="H80" s="231"/>
      <c r="I80" s="231"/>
      <c r="J80" s="231"/>
      <c r="K80" s="231"/>
      <c r="L80" s="231"/>
      <c r="M80" s="231"/>
    </row>
    <row r="81" spans="1:13" x14ac:dyDescent="0.35">
      <c r="A81" s="231"/>
      <c r="B81" s="231"/>
      <c r="C81" s="231"/>
      <c r="D81" s="231"/>
      <c r="E81" s="231"/>
      <c r="F81" s="231"/>
      <c r="G81" s="231"/>
      <c r="H81" s="231"/>
      <c r="I81" s="231"/>
      <c r="J81" s="231"/>
      <c r="K81" s="231"/>
      <c r="L81" s="231"/>
      <c r="M81" s="231"/>
    </row>
    <row r="82" spans="1:13" x14ac:dyDescent="0.35">
      <c r="A82" s="231"/>
      <c r="B82" s="231"/>
      <c r="C82" s="231"/>
      <c r="D82" s="231"/>
      <c r="E82" s="231"/>
      <c r="F82" s="231"/>
      <c r="G82" s="231"/>
      <c r="H82" s="231"/>
      <c r="I82" s="231"/>
      <c r="J82" s="231"/>
      <c r="K82" s="231"/>
      <c r="L82" s="231"/>
      <c r="M82" s="231"/>
    </row>
    <row r="83" spans="1:13" x14ac:dyDescent="0.35">
      <c r="A83" s="231"/>
      <c r="B83" s="231"/>
      <c r="C83" s="231"/>
      <c r="D83" s="231"/>
      <c r="E83" s="231"/>
      <c r="F83" s="231"/>
      <c r="G83" s="231"/>
      <c r="H83" s="231"/>
      <c r="I83" s="231"/>
      <c r="J83" s="231"/>
      <c r="K83" s="231"/>
      <c r="L83" s="231"/>
      <c r="M83" s="231"/>
    </row>
    <row r="84" spans="1:13" x14ac:dyDescent="0.35">
      <c r="A84" s="231"/>
      <c r="B84" s="231"/>
      <c r="C84" s="231"/>
      <c r="D84" s="231"/>
      <c r="E84" s="231"/>
      <c r="F84" s="231"/>
      <c r="G84" s="231"/>
      <c r="H84" s="231"/>
      <c r="I84" s="231"/>
      <c r="J84" s="231"/>
      <c r="K84" s="231"/>
      <c r="L84" s="231"/>
      <c r="M84" s="231"/>
    </row>
    <row r="85" spans="1:13" x14ac:dyDescent="0.35">
      <c r="A85" s="231"/>
      <c r="B85" s="231"/>
      <c r="C85" s="231"/>
      <c r="D85" s="231"/>
      <c r="E85" s="231"/>
      <c r="F85" s="231"/>
      <c r="G85" s="231"/>
      <c r="H85" s="231"/>
      <c r="I85" s="231"/>
      <c r="J85" s="231"/>
      <c r="K85" s="231"/>
      <c r="L85" s="231"/>
      <c r="M85" s="231"/>
    </row>
    <row r="86" spans="1:13" x14ac:dyDescent="0.35">
      <c r="A86" s="231"/>
      <c r="B86" s="231"/>
      <c r="C86" s="231"/>
      <c r="D86" s="231"/>
      <c r="E86" s="231"/>
      <c r="F86" s="231"/>
      <c r="G86" s="231"/>
      <c r="H86" s="231"/>
      <c r="I86" s="231"/>
      <c r="J86" s="231"/>
      <c r="K86" s="231"/>
      <c r="L86" s="231"/>
      <c r="M86" s="231"/>
    </row>
    <row r="87" spans="1:13" x14ac:dyDescent="0.35">
      <c r="A87" s="231"/>
      <c r="B87" s="231"/>
      <c r="C87" s="231"/>
      <c r="D87" s="231"/>
      <c r="E87" s="231"/>
      <c r="F87" s="231"/>
      <c r="G87" s="231"/>
      <c r="H87" s="231"/>
      <c r="I87" s="231"/>
      <c r="J87" s="231"/>
      <c r="K87" s="231"/>
      <c r="L87" s="231"/>
      <c r="M87" s="231"/>
    </row>
    <row r="88" spans="1:13" x14ac:dyDescent="0.35">
      <c r="A88" s="231"/>
      <c r="B88" s="231"/>
      <c r="C88" s="231"/>
      <c r="D88" s="231"/>
      <c r="E88" s="231"/>
      <c r="F88" s="231"/>
      <c r="G88" s="231"/>
      <c r="H88" s="231"/>
      <c r="I88" s="231"/>
      <c r="J88" s="231"/>
      <c r="K88" s="231"/>
      <c r="L88" s="231"/>
      <c r="M88" s="231"/>
    </row>
    <row r="89" spans="1:13" x14ac:dyDescent="0.35">
      <c r="A89" s="231"/>
      <c r="B89" s="231"/>
      <c r="C89" s="231"/>
      <c r="D89" s="231"/>
      <c r="E89" s="231"/>
      <c r="F89" s="231"/>
      <c r="G89" s="231"/>
      <c r="H89" s="231"/>
      <c r="I89" s="231"/>
      <c r="J89" s="231"/>
      <c r="K89" s="231"/>
      <c r="L89" s="231"/>
      <c r="M89" s="231"/>
    </row>
    <row r="90" spans="1:13" x14ac:dyDescent="0.35">
      <c r="A90" s="231"/>
      <c r="B90" s="231"/>
      <c r="C90" s="231"/>
      <c r="D90" s="231"/>
      <c r="E90" s="231"/>
      <c r="F90" s="231"/>
      <c r="G90" s="231"/>
      <c r="H90" s="231"/>
      <c r="I90" s="231"/>
      <c r="J90" s="231"/>
      <c r="K90" s="231"/>
      <c r="L90" s="231"/>
      <c r="M90" s="231"/>
    </row>
    <row r="91" spans="1:13" x14ac:dyDescent="0.35">
      <c r="A91" s="231"/>
      <c r="B91" s="231"/>
      <c r="C91" s="231"/>
      <c r="D91" s="231"/>
      <c r="E91" s="231"/>
      <c r="F91" s="231"/>
      <c r="G91" s="231"/>
      <c r="H91" s="231"/>
      <c r="I91" s="231"/>
      <c r="J91" s="231"/>
      <c r="K91" s="231"/>
      <c r="L91" s="231"/>
      <c r="M91" s="23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U429"/>
  <sheetViews>
    <sheetView showGridLines="0" topLeftCell="A13" zoomScale="85" zoomScaleNormal="85" zoomScalePageLayoutView="80" workbookViewId="0">
      <selection activeCell="F37" sqref="F37"/>
    </sheetView>
  </sheetViews>
  <sheetFormatPr defaultColWidth="7.08203125" defaultRowHeight="13" x14ac:dyDescent="0.3"/>
  <cols>
    <col min="1" max="1" width="1.33203125" style="12" customWidth="1"/>
    <col min="2" max="2" width="18" style="12" customWidth="1"/>
    <col min="3" max="5" width="11.08203125" style="12" customWidth="1"/>
    <col min="6" max="6" width="11.08203125" style="13" customWidth="1"/>
    <col min="7" max="9" width="11.08203125" style="12" customWidth="1"/>
    <col min="10" max="10" width="14.25" style="12" customWidth="1"/>
    <col min="11" max="11" width="4.83203125" style="12" customWidth="1"/>
    <col min="12" max="12" width="11.08203125" style="12" customWidth="1"/>
    <col min="13" max="24" width="8.83203125" style="12" customWidth="1"/>
    <col min="25" max="25" width="8.25" style="12" customWidth="1"/>
    <col min="26" max="26" width="17.58203125" style="12" customWidth="1"/>
    <col min="27" max="27" width="14.08203125" style="12" customWidth="1"/>
    <col min="28" max="29" width="17.33203125" style="12" bestFit="1" customWidth="1"/>
    <col min="30" max="30" width="8.08203125" style="12" bestFit="1" customWidth="1"/>
    <col min="31" max="31" width="8.33203125" style="12" bestFit="1" customWidth="1"/>
    <col min="32" max="32" width="6.5" style="12" bestFit="1" customWidth="1"/>
    <col min="33" max="33" width="8.33203125" style="12" bestFit="1" customWidth="1"/>
    <col min="34" max="34" width="8.75" style="12" bestFit="1" customWidth="1"/>
    <col min="35" max="35" width="6.25" style="12" bestFit="1" customWidth="1"/>
    <col min="36" max="36" width="7.08203125" style="12" bestFit="1" customWidth="1"/>
    <col min="37" max="37" width="7.33203125" style="12" bestFit="1" customWidth="1"/>
    <col min="38" max="38" width="5.58203125" style="12" bestFit="1" customWidth="1"/>
    <col min="39" max="39" width="9.08203125" style="12" bestFit="1" customWidth="1"/>
    <col min="40" max="40" width="5.75" style="12" bestFit="1" customWidth="1"/>
    <col min="41" max="41" width="8.08203125" style="12" bestFit="1" customWidth="1"/>
    <col min="42" max="42" width="6.25" style="12" bestFit="1" customWidth="1"/>
    <col min="43" max="43" width="9.83203125" style="12" bestFit="1" customWidth="1"/>
    <col min="44" max="44" width="7" style="12" bestFit="1" customWidth="1"/>
    <col min="45" max="45" width="6.25" style="12" bestFit="1" customWidth="1"/>
    <col min="46" max="46" width="6.75" style="12" bestFit="1" customWidth="1"/>
    <col min="47" max="47" width="7.83203125" style="12" bestFit="1" customWidth="1"/>
    <col min="48" max="48" width="9.5" style="12" bestFit="1" customWidth="1"/>
    <col min="49" max="49" width="6.25" style="12" bestFit="1" customWidth="1"/>
    <col min="50" max="50" width="10.58203125" style="12" bestFit="1" customWidth="1"/>
    <col min="51" max="51" width="7.5" style="12" bestFit="1" customWidth="1"/>
    <col min="52" max="52" width="8.75" style="12" bestFit="1" customWidth="1"/>
    <col min="53" max="53" width="8.25" style="12" bestFit="1" customWidth="1"/>
    <col min="54" max="54" width="7.33203125" style="12" bestFit="1" customWidth="1"/>
    <col min="55" max="55" width="9" style="12" bestFit="1" customWidth="1"/>
    <col min="56" max="56" width="7.58203125" style="12" bestFit="1" customWidth="1"/>
    <col min="57" max="57" width="10.33203125" style="12" bestFit="1" customWidth="1"/>
    <col min="58" max="58" width="9.5" style="12" bestFit="1" customWidth="1"/>
    <col min="59" max="59" width="7.58203125" style="12" bestFit="1" customWidth="1"/>
    <col min="60" max="61" width="8.33203125" style="12" bestFit="1" customWidth="1"/>
    <col min="62" max="62" width="6" style="12" bestFit="1" customWidth="1"/>
    <col min="63" max="63" width="11.75" style="12" bestFit="1" customWidth="1"/>
    <col min="64" max="64" width="13" style="12" bestFit="1" customWidth="1"/>
    <col min="65" max="65" width="13" style="12" customWidth="1"/>
    <col min="66" max="76" width="13" style="12" bestFit="1" customWidth="1"/>
    <col min="77" max="77" width="19.5" style="12" bestFit="1" customWidth="1"/>
    <col min="78" max="78" width="24.08203125" style="12" bestFit="1" customWidth="1"/>
    <col min="79" max="81" width="15.08203125" style="12" bestFit="1" customWidth="1"/>
    <col min="82" max="82" width="24.25" style="12" bestFit="1" customWidth="1"/>
    <col min="83" max="83" width="51.75" style="12" bestFit="1" customWidth="1"/>
    <col min="84" max="96" width="21.75" style="12" bestFit="1" customWidth="1"/>
    <col min="97" max="97" width="23.33203125" style="12" bestFit="1" customWidth="1"/>
    <col min="98" max="103" width="21.75" style="12" bestFit="1" customWidth="1"/>
    <col min="104" max="104" width="25.08203125" style="12" bestFit="1" customWidth="1"/>
    <col min="105" max="110" width="21.75" style="12" bestFit="1" customWidth="1"/>
    <col min="111" max="111" width="25.08203125" style="12" bestFit="1" customWidth="1"/>
    <col min="112" max="116" width="21.75" style="12" bestFit="1" customWidth="1"/>
    <col min="117" max="117" width="26.75" style="12" bestFit="1" customWidth="1"/>
    <col min="118" max="118" width="23.08203125" style="12" bestFit="1" customWidth="1"/>
    <col min="119" max="119" width="15.75" style="12" bestFit="1" customWidth="1"/>
    <col min="120" max="122" width="14" style="12" bestFit="1" customWidth="1"/>
    <col min="123" max="123" width="15.75" style="12" bestFit="1" customWidth="1"/>
    <col min="124" max="125" width="8.33203125" style="12" bestFit="1" customWidth="1"/>
    <col min="126" max="126" width="3.5" style="12" bestFit="1" customWidth="1"/>
    <col min="127" max="128" width="8.33203125" style="12" bestFit="1" customWidth="1"/>
    <col min="129" max="129" width="3.5" style="12" bestFit="1" customWidth="1"/>
    <col min="130" max="131" width="8.33203125" style="12" bestFit="1" customWidth="1"/>
    <col min="132" max="132" width="3.5" style="12" bestFit="1" customWidth="1"/>
    <col min="133" max="134" width="8.33203125" style="12" bestFit="1" customWidth="1"/>
    <col min="135" max="135" width="3.5" style="12" bestFit="1" customWidth="1"/>
    <col min="136" max="137" width="8.33203125" style="12" bestFit="1" customWidth="1"/>
    <col min="138" max="138" width="11.33203125" style="12" bestFit="1" customWidth="1"/>
    <col min="139" max="16384" width="7.08203125" style="12"/>
  </cols>
  <sheetData>
    <row r="1" spans="2:69" s="78" customFormat="1" x14ac:dyDescent="0.3">
      <c r="C1" s="78" t="s">
        <v>10</v>
      </c>
      <c r="D1" s="78" t="s">
        <v>10</v>
      </c>
      <c r="E1" s="78" t="s">
        <v>10</v>
      </c>
      <c r="F1" s="78" t="s">
        <v>10</v>
      </c>
      <c r="G1" s="78" t="s">
        <v>10</v>
      </c>
      <c r="H1" s="78" t="s">
        <v>10</v>
      </c>
      <c r="I1" s="78" t="s">
        <v>10</v>
      </c>
      <c r="J1" s="78" t="s">
        <v>10</v>
      </c>
      <c r="K1" s="78" t="s">
        <v>10</v>
      </c>
      <c r="L1" s="78" t="s">
        <v>10</v>
      </c>
      <c r="M1" s="78" t="s">
        <v>10</v>
      </c>
      <c r="N1" s="78" t="s">
        <v>10</v>
      </c>
      <c r="O1" s="78" t="s">
        <v>10</v>
      </c>
      <c r="P1" s="78" t="s">
        <v>10</v>
      </c>
      <c r="Q1" s="78" t="s">
        <v>10</v>
      </c>
      <c r="R1" s="78" t="s">
        <v>10</v>
      </c>
      <c r="S1" s="78" t="s">
        <v>10</v>
      </c>
      <c r="T1" s="78" t="s">
        <v>10</v>
      </c>
      <c r="U1" s="78" t="s">
        <v>10</v>
      </c>
      <c r="V1" s="78" t="s">
        <v>10</v>
      </c>
      <c r="W1" s="78" t="s">
        <v>10</v>
      </c>
      <c r="X1" s="78" t="s">
        <v>10</v>
      </c>
      <c r="Y1" s="78" t="s">
        <v>10</v>
      </c>
      <c r="Z1" s="78" t="s">
        <v>10</v>
      </c>
      <c r="AA1" s="78" t="s">
        <v>10</v>
      </c>
      <c r="AB1" s="78" t="s">
        <v>10</v>
      </c>
      <c r="AC1" s="78" t="s">
        <v>10</v>
      </c>
      <c r="AD1" s="78" t="s">
        <v>10</v>
      </c>
      <c r="AE1" s="78" t="s">
        <v>10</v>
      </c>
      <c r="AF1" s="78" t="s">
        <v>10</v>
      </c>
      <c r="AG1" s="78" t="s">
        <v>10</v>
      </c>
      <c r="AH1" s="78" t="s">
        <v>10</v>
      </c>
      <c r="AI1" s="78" t="s">
        <v>10</v>
      </c>
      <c r="AJ1" s="78" t="s">
        <v>10</v>
      </c>
      <c r="AK1" s="78" t="s">
        <v>10</v>
      </c>
      <c r="AL1" s="78" t="s">
        <v>10</v>
      </c>
      <c r="AM1" s="78" t="s">
        <v>10</v>
      </c>
      <c r="AN1" s="78" t="s">
        <v>10</v>
      </c>
      <c r="AO1" s="78" t="s">
        <v>10</v>
      </c>
      <c r="AP1" s="78" t="s">
        <v>10</v>
      </c>
      <c r="AQ1" s="78" t="s">
        <v>10</v>
      </c>
      <c r="AR1" s="78" t="s">
        <v>10</v>
      </c>
      <c r="AS1" s="78" t="s">
        <v>10</v>
      </c>
      <c r="AT1" s="78" t="s">
        <v>10</v>
      </c>
      <c r="AU1" s="78" t="s">
        <v>10</v>
      </c>
      <c r="AV1" s="78" t="s">
        <v>10</v>
      </c>
      <c r="AW1" s="78" t="s">
        <v>10</v>
      </c>
      <c r="AX1" s="78" t="s">
        <v>10</v>
      </c>
      <c r="AY1" s="78" t="s">
        <v>10</v>
      </c>
      <c r="AZ1" s="78" t="s">
        <v>10</v>
      </c>
      <c r="BA1" s="78" t="s">
        <v>10</v>
      </c>
      <c r="BB1" s="78" t="s">
        <v>10</v>
      </c>
      <c r="BC1" s="78" t="s">
        <v>10</v>
      </c>
      <c r="BD1" s="78" t="s">
        <v>10</v>
      </c>
      <c r="BE1" s="78" t="s">
        <v>10</v>
      </c>
      <c r="BF1" s="78" t="s">
        <v>10</v>
      </c>
      <c r="BG1" s="78" t="s">
        <v>10</v>
      </c>
      <c r="BH1" s="78" t="s">
        <v>10</v>
      </c>
      <c r="BI1" s="78" t="s">
        <v>10</v>
      </c>
      <c r="BJ1" s="78" t="s">
        <v>10</v>
      </c>
      <c r="BK1" s="78" t="s">
        <v>10</v>
      </c>
      <c r="BL1" s="78" t="s">
        <v>10</v>
      </c>
      <c r="BM1" s="78" t="s">
        <v>10</v>
      </c>
      <c r="BN1" s="78" t="s">
        <v>10</v>
      </c>
      <c r="BO1" s="78" t="s">
        <v>10</v>
      </c>
      <c r="BP1" s="78" t="s">
        <v>10</v>
      </c>
      <c r="BQ1" s="78" t="s">
        <v>10</v>
      </c>
    </row>
    <row r="2" spans="2:69" x14ac:dyDescent="0.3">
      <c r="B2" s="12" t="s">
        <v>11</v>
      </c>
    </row>
    <row r="3" spans="2:69" x14ac:dyDescent="0.3">
      <c r="B3" s="12" t="s">
        <v>416</v>
      </c>
    </row>
    <row r="4" spans="2:69" x14ac:dyDescent="0.3">
      <c r="B4" s="12" t="s">
        <v>417</v>
      </c>
    </row>
    <row r="5" spans="2:69" x14ac:dyDescent="0.3">
      <c r="B5" s="12" t="s">
        <v>418</v>
      </c>
    </row>
    <row r="6" spans="2:69" x14ac:dyDescent="0.3">
      <c r="B6" s="12" t="s">
        <v>419</v>
      </c>
    </row>
    <row r="7" spans="2:69" x14ac:dyDescent="0.3">
      <c r="B7" s="12" t="s">
        <v>420</v>
      </c>
    </row>
    <row r="8" spans="2:69" x14ac:dyDescent="0.3">
      <c r="B8" s="12" t="s">
        <v>12</v>
      </c>
    </row>
    <row r="9" spans="2:69" x14ac:dyDescent="0.3">
      <c r="B9" s="12" t="s">
        <v>421</v>
      </c>
    </row>
    <row r="10" spans="2:69" x14ac:dyDescent="0.3">
      <c r="B10" s="12" t="s">
        <v>422</v>
      </c>
    </row>
    <row r="11" spans="2:69" x14ac:dyDescent="0.3">
      <c r="B11" s="12" t="s">
        <v>423</v>
      </c>
    </row>
    <row r="12" spans="2:69" x14ac:dyDescent="0.3">
      <c r="B12" s="12" t="s">
        <v>424</v>
      </c>
    </row>
    <row r="13" spans="2:69" x14ac:dyDescent="0.3">
      <c r="B13" s="12" t="s">
        <v>13</v>
      </c>
    </row>
    <row r="14" spans="2:69" x14ac:dyDescent="0.3">
      <c r="B14" s="12" t="s">
        <v>14</v>
      </c>
    </row>
    <row r="15" spans="2:69" x14ac:dyDescent="0.3">
      <c r="B15" s="12" t="s">
        <v>15</v>
      </c>
    </row>
    <row r="16" spans="2:69" x14ac:dyDescent="0.3">
      <c r="B16" s="12" t="s">
        <v>16</v>
      </c>
    </row>
    <row r="17" spans="2:72" x14ac:dyDescent="0.3">
      <c r="B17" s="12" t="s">
        <v>17</v>
      </c>
    </row>
    <row r="18" spans="2:72" ht="12" customHeight="1" x14ac:dyDescent="0.3">
      <c r="B18" s="12" t="s">
        <v>18</v>
      </c>
    </row>
    <row r="19" spans="2:72" ht="12" customHeight="1" x14ac:dyDescent="0.3">
      <c r="B19" s="12" t="s">
        <v>19</v>
      </c>
    </row>
    <row r="20" spans="2:72" ht="12" customHeight="1" x14ac:dyDescent="0.3">
      <c r="B20" s="12" t="s">
        <v>20</v>
      </c>
    </row>
    <row r="21" spans="2:72" ht="12" customHeight="1" x14ac:dyDescent="0.3">
      <c r="B21" s="12" t="s">
        <v>21</v>
      </c>
    </row>
    <row r="23" spans="2:72" ht="24.75" customHeight="1" x14ac:dyDescent="0.5">
      <c r="B23" s="21" t="s">
        <v>22</v>
      </c>
      <c r="E23" s="13"/>
      <c r="F23" s="12"/>
      <c r="AB23" s="12" t="s">
        <v>23</v>
      </c>
      <c r="AC23" s="71"/>
      <c r="AD23" s="71"/>
      <c r="AE23" s="71"/>
      <c r="AF23" s="71"/>
      <c r="AG23" s="71"/>
      <c r="AH23" s="76"/>
    </row>
    <row r="24" spans="2:72" ht="16" customHeight="1" x14ac:dyDescent="0.3">
      <c r="B24" s="12" t="s">
        <v>24</v>
      </c>
      <c r="BK24" s="12" t="s">
        <v>25</v>
      </c>
    </row>
    <row r="25" spans="2:72" ht="16" customHeight="1" x14ac:dyDescent="0.3">
      <c r="E25" s="13"/>
      <c r="F25" s="12"/>
      <c r="AB25" s="202" t="s">
        <v>431</v>
      </c>
      <c r="AC25" s="70"/>
      <c r="AD25" s="70"/>
      <c r="AE25" s="70"/>
      <c r="AF25" s="70"/>
      <c r="AG25" s="70"/>
      <c r="AH25" s="70"/>
    </row>
    <row r="26" spans="2:72" ht="16" customHeight="1" x14ac:dyDescent="0.35">
      <c r="B26" s="107" t="s">
        <v>26</v>
      </c>
      <c r="C26" s="105"/>
      <c r="D26" s="105"/>
      <c r="E26" s="105"/>
      <c r="F26" s="105"/>
      <c r="G26" s="105"/>
      <c r="H26" s="105"/>
      <c r="I26" s="105"/>
      <c r="J26" s="67" t="s">
        <v>27</v>
      </c>
      <c r="AB26"/>
      <c r="AC26" s="77" t="s">
        <v>28</v>
      </c>
      <c r="AD26"/>
      <c r="AE26"/>
      <c r="AF26"/>
      <c r="AG26"/>
      <c r="AH26"/>
      <c r="AI26"/>
      <c r="AJ26"/>
      <c r="AK26"/>
      <c r="AL26"/>
      <c r="AM26"/>
      <c r="AN26"/>
      <c r="AO26"/>
      <c r="AP26"/>
      <c r="AQ26"/>
      <c r="AR26"/>
      <c r="AS26"/>
      <c r="AT26"/>
      <c r="AU26"/>
      <c r="AV26"/>
      <c r="AW26"/>
      <c r="AX26"/>
      <c r="AY26"/>
      <c r="AZ26"/>
      <c r="BA26"/>
      <c r="BB26"/>
      <c r="BC26"/>
      <c r="BD26"/>
      <c r="BE26"/>
      <c r="BF26"/>
      <c r="BG26"/>
      <c r="BH26"/>
      <c r="BI26"/>
      <c r="BJ26"/>
      <c r="BK26"/>
      <c r="BM26" s="20" t="s">
        <v>29</v>
      </c>
      <c r="BN26" s="20"/>
      <c r="BO26" s="71"/>
      <c r="BP26" s="71"/>
      <c r="BQ26" s="71"/>
      <c r="BR26" s="71"/>
      <c r="BS26" s="71"/>
      <c r="BT26" s="71"/>
    </row>
    <row r="27" spans="2:72" ht="15.5" x14ac:dyDescent="0.35">
      <c r="B27" s="107" t="s">
        <v>30</v>
      </c>
      <c r="C27" s="105"/>
      <c r="D27" s="105"/>
      <c r="E27" s="105"/>
      <c r="F27" s="105"/>
      <c r="G27" s="105"/>
      <c r="H27" s="105"/>
      <c r="I27" s="105"/>
      <c r="J27" s="67">
        <v>2024</v>
      </c>
      <c r="AB27" s="77" t="s">
        <v>31</v>
      </c>
      <c r="AC27" t="s">
        <v>32</v>
      </c>
      <c r="AD27" t="s">
        <v>33</v>
      </c>
      <c r="AE27" t="s">
        <v>34</v>
      </c>
      <c r="AF27" t="s">
        <v>35</v>
      </c>
      <c r="AG27" t="s">
        <v>36</v>
      </c>
      <c r="AH27" t="s">
        <v>37</v>
      </c>
      <c r="AI27" t="s">
        <v>38</v>
      </c>
      <c r="AJ27" t="s">
        <v>39</v>
      </c>
      <c r="AK27" t="s">
        <v>40</v>
      </c>
      <c r="AL27" t="s">
        <v>41</v>
      </c>
      <c r="AM27" t="s">
        <v>42</v>
      </c>
      <c r="AN27" t="s">
        <v>43</v>
      </c>
      <c r="AO27" t="s">
        <v>44</v>
      </c>
      <c r="AP27" t="s">
        <v>45</v>
      </c>
      <c r="AQ27" t="s">
        <v>46</v>
      </c>
      <c r="AR27" t="s">
        <v>47</v>
      </c>
      <c r="AS27" t="s">
        <v>48</v>
      </c>
      <c r="AT27" t="s">
        <v>49</v>
      </c>
      <c r="AU27" t="s">
        <v>50</v>
      </c>
      <c r="AV27" t="s">
        <v>51</v>
      </c>
      <c r="AW27" t="s">
        <v>52</v>
      </c>
      <c r="AX27" t="s">
        <v>53</v>
      </c>
      <c r="AY27" t="s">
        <v>54</v>
      </c>
      <c r="AZ27" t="s">
        <v>55</v>
      </c>
      <c r="BA27" t="s">
        <v>56</v>
      </c>
      <c r="BB27" t="s">
        <v>57</v>
      </c>
      <c r="BC27" t="s">
        <v>58</v>
      </c>
      <c r="BD27" t="s">
        <v>59</v>
      </c>
      <c r="BE27" t="s">
        <v>60</v>
      </c>
      <c r="BF27" t="s">
        <v>61</v>
      </c>
      <c r="BG27" t="s">
        <v>62</v>
      </c>
      <c r="BH27" t="s">
        <v>63</v>
      </c>
      <c r="BI27" t="s">
        <v>64</v>
      </c>
      <c r="BJ27" t="s">
        <v>65</v>
      </c>
      <c r="BK27" t="s">
        <v>66</v>
      </c>
      <c r="BM27" s="20" t="s">
        <v>67</v>
      </c>
      <c r="BN27" s="20"/>
      <c r="BO27" s="71" t="s">
        <v>68</v>
      </c>
      <c r="BP27" s="71"/>
      <c r="BQ27" s="71"/>
      <c r="BR27" s="71"/>
      <c r="BS27" s="71"/>
      <c r="BT27" s="71"/>
    </row>
    <row r="28" spans="2:72" ht="15.5" x14ac:dyDescent="0.35">
      <c r="B28" s="107" t="s">
        <v>69</v>
      </c>
      <c r="C28" s="105" t="s">
        <v>70</v>
      </c>
      <c r="D28" s="105"/>
      <c r="E28" s="105"/>
      <c r="F28" s="105"/>
      <c r="G28" s="105"/>
      <c r="H28" s="105"/>
      <c r="I28" s="105"/>
      <c r="J28" s="67" t="s">
        <v>71</v>
      </c>
      <c r="AB28" s="10" t="s">
        <v>72</v>
      </c>
      <c r="AC28" s="69">
        <v>1.5512489525139144</v>
      </c>
      <c r="AD28" s="69">
        <v>1.5483870967741931</v>
      </c>
      <c r="AE28" s="69">
        <v>1.3148099308730863</v>
      </c>
      <c r="AF28" s="69">
        <v>0.61817219744307994</v>
      </c>
      <c r="AG28" s="69">
        <v>0.60117968215907158</v>
      </c>
      <c r="AH28" s="69">
        <v>0.53399055734670919</v>
      </c>
      <c r="AI28" s="69">
        <v>0.69767914242594087</v>
      </c>
      <c r="AJ28" s="69">
        <v>0.69021378187510007</v>
      </c>
      <c r="AK28" s="69">
        <v>3.7161290322580638</v>
      </c>
      <c r="AL28" s="69">
        <v>4.2322580645161283</v>
      </c>
      <c r="AM28" s="69">
        <v>1.5483870967741931</v>
      </c>
      <c r="AN28" s="69">
        <v>1.7548387096774192</v>
      </c>
      <c r="AO28" s="69">
        <v>0.9573060113113987</v>
      </c>
      <c r="AP28" s="69">
        <v>0.93272044087650663</v>
      </c>
      <c r="AQ28" s="69">
        <v>3.0967741935483861</v>
      </c>
      <c r="AR28" s="69">
        <v>1.0250803360597456</v>
      </c>
      <c r="AS28" s="69">
        <v>1.5483870967741931</v>
      </c>
      <c r="AT28" s="69">
        <v>2.012903225806451</v>
      </c>
      <c r="AU28" s="69">
        <v>1.3012648951516577</v>
      </c>
      <c r="AV28" s="69">
        <v>2.8387096774193541</v>
      </c>
      <c r="AW28" s="69">
        <v>0.53239011338239917</v>
      </c>
      <c r="AX28" s="69">
        <v>0.4129032258064515</v>
      </c>
      <c r="AY28" s="69">
        <v>1.8231714564809849</v>
      </c>
      <c r="AZ28" s="69">
        <v>4.3870967741935472</v>
      </c>
      <c r="BA28" s="69">
        <v>1.5999999999999996</v>
      </c>
      <c r="BB28" s="69">
        <v>1.1354838709677415</v>
      </c>
      <c r="BC28" s="69">
        <v>2.7354838709677414</v>
      </c>
      <c r="BD28" s="69">
        <v>1.1132036206811526</v>
      </c>
      <c r="BE28" s="69">
        <v>2.1424788027912167</v>
      </c>
      <c r="BF28" s="69">
        <v>0.80332916901841522</v>
      </c>
      <c r="BG28" s="69">
        <v>1.2447880454697344</v>
      </c>
      <c r="BH28" s="69">
        <v>5.684174981843662</v>
      </c>
      <c r="BI28" s="69">
        <v>4.4255571864560403</v>
      </c>
      <c r="BJ28" s="69">
        <v>2.2568757175515795</v>
      </c>
      <c r="BK28" s="69">
        <v>1.8475699105057426</v>
      </c>
      <c r="BM28" s="20" t="str">
        <f>IF(BM29="Grand Total", AC27, "National")</f>
        <v>National</v>
      </c>
      <c r="BN28" s="68">
        <v>44941</v>
      </c>
      <c r="BO28" s="71">
        <f>IF(BM$29="Grand Total",GETPIVOTDATA("[Measures].[Average of Jan-23]",$AB$26),AP141)</f>
        <v>1.5999999999999996</v>
      </c>
      <c r="BP28" s="71"/>
      <c r="BQ28" s="71"/>
      <c r="BR28" s="71"/>
      <c r="BS28" s="71"/>
      <c r="BT28" s="71"/>
    </row>
    <row r="29" spans="2:72" ht="15.5" x14ac:dyDescent="0.35">
      <c r="B29" s="107" t="s">
        <v>73</v>
      </c>
      <c r="C29" s="105" t="s">
        <v>74</v>
      </c>
      <c r="D29" s="105"/>
      <c r="E29" s="105"/>
      <c r="F29" s="105"/>
      <c r="G29" s="105"/>
      <c r="H29" s="105"/>
      <c r="I29" s="105"/>
      <c r="J29" s="67" t="s">
        <v>75</v>
      </c>
      <c r="AB29" s="10" t="s">
        <v>76</v>
      </c>
      <c r="AC29" s="69">
        <v>1.6811414225407044</v>
      </c>
      <c r="AD29" s="69">
        <v>1.6780399318215102</v>
      </c>
      <c r="AE29" s="69">
        <v>1.4249043868661686</v>
      </c>
      <c r="AF29" s="69">
        <v>0.66993430403315668</v>
      </c>
      <c r="AG29" s="69">
        <v>0.65151893539048467</v>
      </c>
      <c r="AH29" s="69">
        <v>0.57870378816136414</v>
      </c>
      <c r="AI29" s="69">
        <v>0.75609869329752488</v>
      </c>
      <c r="AJ29" s="69">
        <v>0.74800822733080763</v>
      </c>
      <c r="AK29" s="69">
        <v>4.0272958363716258</v>
      </c>
      <c r="AL29" s="69">
        <v>4.5866424803121291</v>
      </c>
      <c r="AM29" s="69">
        <v>1.6780399318215102</v>
      </c>
      <c r="AN29" s="69">
        <v>1.9017785893977122</v>
      </c>
      <c r="AO29" s="69">
        <v>1.0374651902615075</v>
      </c>
      <c r="AP29" s="69">
        <v>1.0108209686567755</v>
      </c>
      <c r="AQ29" s="69">
        <v>3.3560798636430205</v>
      </c>
      <c r="AR29" s="69">
        <v>1.110914538629818</v>
      </c>
      <c r="AS29" s="69">
        <v>1.6780399318215102</v>
      </c>
      <c r="AT29" s="69">
        <v>2.1814519113679633</v>
      </c>
      <c r="AU29" s="69">
        <v>1.4102251694625501</v>
      </c>
      <c r="AV29" s="69">
        <v>3.0764065416727693</v>
      </c>
      <c r="AW29" s="69">
        <v>0.57696933242587656</v>
      </c>
      <c r="AX29" s="69">
        <v>0.4474773151524028</v>
      </c>
      <c r="AY29" s="69">
        <v>1.9758331188020952</v>
      </c>
      <c r="AZ29" s="69">
        <v>4.7544464734942791</v>
      </c>
      <c r="BA29" s="69">
        <v>1.7339745962155608</v>
      </c>
      <c r="BB29" s="69">
        <v>1.2305626166691075</v>
      </c>
      <c r="BC29" s="69">
        <v>2.9645372128846685</v>
      </c>
      <c r="BD29" s="69">
        <v>1.2064167491726889</v>
      </c>
      <c r="BE29" s="69">
        <v>2.3218773856064368</v>
      </c>
      <c r="BF29" s="69">
        <v>0.87059523217305546</v>
      </c>
      <c r="BG29" s="69">
        <v>1.3490192803233378</v>
      </c>
      <c r="BH29" s="69">
        <v>6.1601343868505989</v>
      </c>
      <c r="BI29" s="69">
        <v>4.7961273346337423</v>
      </c>
      <c r="BJ29" s="69">
        <v>2.4458532256563781</v>
      </c>
      <c r="BK29" s="69">
        <v>2.0022745559682598</v>
      </c>
      <c r="BM29" s="20" t="str">
        <f>AD27</f>
        <v>Badghis</v>
      </c>
      <c r="BN29" s="68">
        <v>44972</v>
      </c>
      <c r="BO29" s="71">
        <f>IF(BM$29="Grand Total",GETPIVOTDATA("[Measures].[Average of Feb-23]",$AB$26),AQ141)</f>
        <v>1.7339745962155608</v>
      </c>
      <c r="BP29" s="71"/>
      <c r="BQ29" s="71"/>
      <c r="BR29" s="71"/>
      <c r="BS29" s="71"/>
      <c r="BT29" s="71"/>
    </row>
    <row r="30" spans="2:72" ht="15.5" x14ac:dyDescent="0.35">
      <c r="B30" s="107" t="s">
        <v>77</v>
      </c>
      <c r="C30" s="105"/>
      <c r="D30" s="105"/>
      <c r="E30" s="105"/>
      <c r="F30" s="105"/>
      <c r="G30" s="105"/>
      <c r="H30" s="105"/>
      <c r="I30" s="105"/>
      <c r="AB30" s="10" t="s">
        <v>78</v>
      </c>
      <c r="AC30" s="69">
        <v>2.0360142501745129</v>
      </c>
      <c r="AD30" s="69">
        <v>2.0322580645161286</v>
      </c>
      <c r="AE30" s="69">
        <v>1.7256880342709258</v>
      </c>
      <c r="AF30" s="69">
        <v>0.81135100914404246</v>
      </c>
      <c r="AG30" s="69">
        <v>0.7890483328337814</v>
      </c>
      <c r="AH30" s="69">
        <v>0.70086260651755583</v>
      </c>
      <c r="AI30" s="69">
        <v>0.91570387443404744</v>
      </c>
      <c r="AJ30" s="69">
        <v>0.90590558871106897</v>
      </c>
      <c r="AK30" s="69">
        <v>4.8774193548387093</v>
      </c>
      <c r="AL30" s="69">
        <v>5.5548387096774192</v>
      </c>
      <c r="AM30" s="69">
        <v>2.0322580645161286</v>
      </c>
      <c r="AN30" s="69">
        <v>2.3032258064516129</v>
      </c>
      <c r="AO30" s="69">
        <v>1.2564641398462109</v>
      </c>
      <c r="AP30" s="69">
        <v>1.2241955786504151</v>
      </c>
      <c r="AQ30" s="69">
        <v>4.0645161290322571</v>
      </c>
      <c r="AR30" s="69">
        <v>1.3454179410784159</v>
      </c>
      <c r="AS30" s="69">
        <v>2.0322580645161286</v>
      </c>
      <c r="AT30" s="69">
        <v>2.641935483870967</v>
      </c>
      <c r="AU30" s="69">
        <v>1.7079101748865508</v>
      </c>
      <c r="AV30" s="69">
        <v>3.7258064516129026</v>
      </c>
      <c r="AW30" s="69">
        <v>0.698762023814399</v>
      </c>
      <c r="AX30" s="69">
        <v>0.54193548387096768</v>
      </c>
      <c r="AY30" s="69">
        <v>2.3929125366312927</v>
      </c>
      <c r="AZ30" s="69">
        <v>5.7580645161290311</v>
      </c>
      <c r="BA30" s="69">
        <v>2.0999999999999996</v>
      </c>
      <c r="BB30" s="69">
        <v>1.490322580645161</v>
      </c>
      <c r="BC30" s="69">
        <v>3.5903225806451609</v>
      </c>
      <c r="BD30" s="69">
        <v>1.4610797521440129</v>
      </c>
      <c r="BE30" s="69">
        <v>2.8120034286634721</v>
      </c>
      <c r="BF30" s="69">
        <v>1.0543695343366699</v>
      </c>
      <c r="BG30" s="69">
        <v>1.6337843096790265</v>
      </c>
      <c r="BH30" s="69">
        <v>7.4604796636698065</v>
      </c>
      <c r="BI30" s="69">
        <v>5.808543807223554</v>
      </c>
      <c r="BJ30" s="69">
        <v>2.9621493792864482</v>
      </c>
      <c r="BK30" s="69">
        <v>2.4249355075387875</v>
      </c>
      <c r="BM30" s="20"/>
      <c r="BN30" s="68">
        <v>45000</v>
      </c>
      <c r="BO30" s="71">
        <f>IF(BM$29="Grand Total",GETPIVOTDATA("[Measures].[Average of Mar-23]",$AB$26),AR141)</f>
        <v>2.0999999999999996</v>
      </c>
      <c r="BP30" s="71"/>
      <c r="BQ30" s="71"/>
      <c r="BR30" s="71"/>
      <c r="BS30" s="71"/>
      <c r="BT30" s="71"/>
    </row>
    <row r="31" spans="2:72" ht="15.5" x14ac:dyDescent="0.35">
      <c r="B31" s="107" t="s">
        <v>79</v>
      </c>
      <c r="C31" s="105" t="s">
        <v>80</v>
      </c>
      <c r="D31" s="105"/>
      <c r="E31" s="105"/>
      <c r="F31" s="105"/>
      <c r="G31" s="105"/>
      <c r="H31" s="105"/>
      <c r="I31" s="105"/>
      <c r="J31" s="67">
        <v>9</v>
      </c>
      <c r="AB31" s="10" t="s">
        <v>81</v>
      </c>
      <c r="AC31" s="69">
        <v>2.5207795478351112</v>
      </c>
      <c r="AD31" s="69">
        <v>2.5161290322580641</v>
      </c>
      <c r="AE31" s="69">
        <v>2.1365661376687655</v>
      </c>
      <c r="AF31" s="69">
        <v>1.0045298208450049</v>
      </c>
      <c r="AG31" s="69">
        <v>0.97691698350849132</v>
      </c>
      <c r="AH31" s="69">
        <v>0.86773465568840258</v>
      </c>
      <c r="AI31" s="69">
        <v>1.1337286064421541</v>
      </c>
      <c r="AJ31" s="69">
        <v>1.1215973955470377</v>
      </c>
      <c r="AK31" s="69">
        <v>6.0387096774193543</v>
      </c>
      <c r="AL31" s="69">
        <v>6.8774193548387093</v>
      </c>
      <c r="AM31" s="69">
        <v>2.5161290322580641</v>
      </c>
      <c r="AN31" s="69">
        <v>2.8516129032258064</v>
      </c>
      <c r="AO31" s="69">
        <v>1.555622268381023</v>
      </c>
      <c r="AP31" s="69">
        <v>1.5156707164243233</v>
      </c>
      <c r="AQ31" s="69">
        <v>5.0322580645161281</v>
      </c>
      <c r="AR31" s="69">
        <v>1.6657555460970865</v>
      </c>
      <c r="AS31" s="69">
        <v>2.5161290322580641</v>
      </c>
      <c r="AT31" s="69">
        <v>3.270967741935483</v>
      </c>
      <c r="AU31" s="69">
        <v>2.1145554546214438</v>
      </c>
      <c r="AV31" s="69">
        <v>4.6129032258064511</v>
      </c>
      <c r="AW31" s="69">
        <v>0.86513393424639873</v>
      </c>
      <c r="AX31" s="69">
        <v>0.67096774193548381</v>
      </c>
      <c r="AY31" s="69">
        <v>2.9626536167816004</v>
      </c>
      <c r="AZ31" s="69">
        <v>7.1290322580645142</v>
      </c>
      <c r="BA31" s="69">
        <v>2.5999999999999996</v>
      </c>
      <c r="BB31" s="69">
        <v>1.8451612903225802</v>
      </c>
      <c r="BC31" s="69">
        <v>4.4451612903225799</v>
      </c>
      <c r="BD31" s="69">
        <v>1.8089558836068733</v>
      </c>
      <c r="BE31" s="69">
        <v>3.4815280545357274</v>
      </c>
      <c r="BF31" s="69">
        <v>1.3054098996549248</v>
      </c>
      <c r="BG31" s="69">
        <v>2.0227805738883187</v>
      </c>
      <c r="BH31" s="69">
        <v>9.236784345495952</v>
      </c>
      <c r="BI31" s="69">
        <v>7.1915304279910668</v>
      </c>
      <c r="BJ31" s="69">
        <v>3.6674230410213169</v>
      </c>
      <c r="BK31" s="69">
        <v>3.0023011045718322</v>
      </c>
      <c r="BM31" s="20"/>
      <c r="BN31" s="68">
        <v>45031</v>
      </c>
      <c r="BO31" s="71">
        <f>IF(BM$29="Grand Total",GETPIVOTDATA("[Measures].[Average of Apr-23]",$AB$26),AS141)</f>
        <v>2.5999999999999996</v>
      </c>
      <c r="BP31" s="71"/>
      <c r="BQ31" s="71"/>
      <c r="BR31" s="71"/>
      <c r="BS31" s="71"/>
      <c r="BT31" s="71"/>
    </row>
    <row r="32" spans="2:72" ht="15.5" x14ac:dyDescent="0.35">
      <c r="B32" s="107" t="s">
        <v>82</v>
      </c>
      <c r="C32" s="105" t="s">
        <v>83</v>
      </c>
      <c r="D32" s="105"/>
      <c r="E32" s="105"/>
      <c r="F32" s="105"/>
      <c r="G32" s="105"/>
      <c r="H32" s="105"/>
      <c r="I32" s="105"/>
      <c r="J32" s="67">
        <v>2023</v>
      </c>
      <c r="AB32" s="10" t="s">
        <v>84</v>
      </c>
      <c r="AC32" s="69">
        <v>3.0055448454957094</v>
      </c>
      <c r="AD32" s="69">
        <v>2.9999999999999996</v>
      </c>
      <c r="AE32" s="69">
        <v>2.5474442410666049</v>
      </c>
      <c r="AF32" s="69">
        <v>1.1977086325459674</v>
      </c>
      <c r="AG32" s="69">
        <v>1.1647856341832012</v>
      </c>
      <c r="AH32" s="69">
        <v>1.0346067048592491</v>
      </c>
      <c r="AI32" s="69">
        <v>1.3517533384502607</v>
      </c>
      <c r="AJ32" s="69">
        <v>1.3372892023830065</v>
      </c>
      <c r="AK32" s="69">
        <v>7.1999999999999993</v>
      </c>
      <c r="AL32" s="69">
        <v>8.1999999999999993</v>
      </c>
      <c r="AM32" s="69">
        <v>2.9999999999999996</v>
      </c>
      <c r="AN32" s="69">
        <v>3.4</v>
      </c>
      <c r="AO32" s="69">
        <v>1.8547803969158352</v>
      </c>
      <c r="AP32" s="69">
        <v>1.8071458541982317</v>
      </c>
      <c r="AQ32" s="69">
        <v>5.9999999999999991</v>
      </c>
      <c r="AR32" s="69">
        <v>1.9860931511157571</v>
      </c>
      <c r="AS32" s="69">
        <v>2.9999999999999996</v>
      </c>
      <c r="AT32" s="69">
        <v>3.899999999999999</v>
      </c>
      <c r="AU32" s="69">
        <v>2.521200734356337</v>
      </c>
      <c r="AV32" s="69">
        <v>5.4999999999999991</v>
      </c>
      <c r="AW32" s="69">
        <v>1.0315058446783985</v>
      </c>
      <c r="AX32" s="69">
        <v>0.79999999999999993</v>
      </c>
      <c r="AY32" s="69">
        <v>3.5323946969319087</v>
      </c>
      <c r="AZ32" s="69">
        <v>8.4999999999999982</v>
      </c>
      <c r="BA32" s="69">
        <v>3.0999999999999996</v>
      </c>
      <c r="BB32" s="69">
        <v>2.1999999999999997</v>
      </c>
      <c r="BC32" s="69">
        <v>5.3</v>
      </c>
      <c r="BD32" s="69">
        <v>2.1568320150697335</v>
      </c>
      <c r="BE32" s="69">
        <v>4.1510526804079824</v>
      </c>
      <c r="BF32" s="69">
        <v>1.5564502649731795</v>
      </c>
      <c r="BG32" s="69">
        <v>2.411776838097611</v>
      </c>
      <c r="BH32" s="69">
        <v>11.013089027322096</v>
      </c>
      <c r="BI32" s="69">
        <v>8.5745170487585796</v>
      </c>
      <c r="BJ32" s="69">
        <v>4.3726967027561852</v>
      </c>
      <c r="BK32" s="69">
        <v>3.5796667016048769</v>
      </c>
      <c r="BM32" s="20"/>
      <c r="BN32" s="68">
        <v>45061</v>
      </c>
      <c r="BO32" s="71">
        <f>IF(BM$29="Grand Total",GETPIVOTDATA("[Measures].[Average of May-23]",$AB$26),AT141)</f>
        <v>3.0999999999999996</v>
      </c>
      <c r="BP32" s="71"/>
      <c r="BQ32" s="70"/>
      <c r="BR32" s="71"/>
      <c r="BS32" s="71"/>
      <c r="BT32" s="71"/>
    </row>
    <row r="33" spans="1:72" ht="15.5" x14ac:dyDescent="0.35">
      <c r="B33" s="107" t="s">
        <v>85</v>
      </c>
      <c r="C33" s="105"/>
      <c r="D33" s="105"/>
      <c r="E33" s="105"/>
      <c r="F33" s="105"/>
      <c r="G33" s="105"/>
      <c r="H33" s="105"/>
      <c r="I33" s="105"/>
      <c r="AB33" s="10" t="s">
        <v>86</v>
      </c>
      <c r="AC33" s="69">
        <v>3.3604176731295179</v>
      </c>
      <c r="AD33" s="69">
        <v>3.3542181326946174</v>
      </c>
      <c r="AE33" s="69">
        <v>2.8482278884713619</v>
      </c>
      <c r="AF33" s="69">
        <v>1.3391253376568533</v>
      </c>
      <c r="AG33" s="69">
        <v>1.302315031626498</v>
      </c>
      <c r="AH33" s="69">
        <v>1.156765523215441</v>
      </c>
      <c r="AI33" s="69">
        <v>1.5113585195867831</v>
      </c>
      <c r="AJ33" s="69">
        <v>1.495186563763268</v>
      </c>
      <c r="AK33" s="69">
        <v>8.0501235184670836</v>
      </c>
      <c r="AL33" s="69">
        <v>9.1681962293652894</v>
      </c>
      <c r="AM33" s="69">
        <v>3.3542181326946174</v>
      </c>
      <c r="AN33" s="69">
        <v>3.8014472170539007</v>
      </c>
      <c r="AO33" s="69">
        <v>2.0737793465005385</v>
      </c>
      <c r="AP33" s="69">
        <v>2.020520464191871</v>
      </c>
      <c r="AQ33" s="69">
        <v>6.7084362653892349</v>
      </c>
      <c r="AR33" s="69">
        <v>2.2205965535643548</v>
      </c>
      <c r="AS33" s="69">
        <v>3.3542181326946174</v>
      </c>
      <c r="AT33" s="69">
        <v>4.3604835725030027</v>
      </c>
      <c r="AU33" s="69">
        <v>2.8188857397803377</v>
      </c>
      <c r="AV33" s="69">
        <v>6.1493999099401329</v>
      </c>
      <c r="AW33" s="69">
        <v>1.153298536066921</v>
      </c>
      <c r="AX33" s="69">
        <v>0.89445816871856476</v>
      </c>
      <c r="AY33" s="69">
        <v>3.9494741147611059</v>
      </c>
      <c r="AZ33" s="69">
        <v>9.5036180426347503</v>
      </c>
      <c r="BA33" s="69">
        <v>3.4660254037844385</v>
      </c>
      <c r="BB33" s="69">
        <v>2.4597599639760528</v>
      </c>
      <c r="BC33" s="69">
        <v>5.9257853677604917</v>
      </c>
      <c r="BD33" s="69">
        <v>2.4114950180410575</v>
      </c>
      <c r="BE33" s="69">
        <v>4.6411787234650177</v>
      </c>
      <c r="BF33" s="69">
        <v>1.740224567136794</v>
      </c>
      <c r="BG33" s="69">
        <v>2.6965418674532997</v>
      </c>
      <c r="BH33" s="69">
        <v>12.313434304141303</v>
      </c>
      <c r="BI33" s="69">
        <v>9.5869335213483904</v>
      </c>
      <c r="BJ33" s="69">
        <v>4.8889928563862552</v>
      </c>
      <c r="BK33" s="69">
        <v>4.0023276531754064</v>
      </c>
      <c r="BM33" s="20"/>
      <c r="BN33" s="68">
        <v>45092</v>
      </c>
      <c r="BO33" s="71">
        <f>IF(BM$29="Grand Total",GETPIVOTDATA("[Measures].[Average of Jun-23]",$AB$26),AU141)</f>
        <v>3.4660254037844385</v>
      </c>
      <c r="BP33" s="71"/>
      <c r="BQ33" s="70"/>
      <c r="BR33" s="71"/>
      <c r="BS33" s="71"/>
      <c r="BT33" s="71"/>
    </row>
    <row r="34" spans="1:72" ht="15.5" x14ac:dyDescent="0.35">
      <c r="B34" s="107" t="s">
        <v>87</v>
      </c>
      <c r="C34" s="105" t="s">
        <v>88</v>
      </c>
      <c r="D34" s="105"/>
      <c r="E34" s="105"/>
      <c r="F34" s="105"/>
      <c r="G34" s="105"/>
      <c r="H34" s="105"/>
      <c r="I34" s="105"/>
      <c r="J34" s="67">
        <v>1</v>
      </c>
      <c r="K34" s="13"/>
      <c r="L34" s="13"/>
      <c r="M34" s="13"/>
      <c r="N34" s="13"/>
      <c r="O34" s="13"/>
      <c r="P34" s="13"/>
      <c r="Q34" s="13"/>
      <c r="R34" s="13"/>
      <c r="S34" s="13"/>
      <c r="T34" s="13"/>
      <c r="U34" s="13"/>
      <c r="V34" s="13"/>
      <c r="W34" s="13"/>
      <c r="X34" s="13"/>
      <c r="Y34" s="13"/>
      <c r="Z34" s="13"/>
      <c r="AA34" s="13"/>
      <c r="AB34" s="10" t="s">
        <v>89</v>
      </c>
      <c r="AC34" s="69">
        <v>3.4903101431563077</v>
      </c>
      <c r="AD34" s="69">
        <v>3.4838709677419351</v>
      </c>
      <c r="AE34" s="69">
        <v>2.9583223444644444</v>
      </c>
      <c r="AF34" s="69">
        <v>1.3908874442469299</v>
      </c>
      <c r="AG34" s="69">
        <v>1.3526542848579111</v>
      </c>
      <c r="AH34" s="69">
        <v>1.201478754030096</v>
      </c>
      <c r="AI34" s="69">
        <v>1.5697780704583673</v>
      </c>
      <c r="AJ34" s="69">
        <v>1.5529810092189755</v>
      </c>
      <c r="AK34" s="69">
        <v>8.3612903225806452</v>
      </c>
      <c r="AL34" s="69">
        <v>9.5225806451612911</v>
      </c>
      <c r="AM34" s="69">
        <v>3.4838709677419351</v>
      </c>
      <c r="AN34" s="69">
        <v>3.9483870967741939</v>
      </c>
      <c r="AO34" s="69">
        <v>2.1539385254506476</v>
      </c>
      <c r="AP34" s="69">
        <v>2.0986209919721399</v>
      </c>
      <c r="AQ34" s="69">
        <v>6.9677419354838701</v>
      </c>
      <c r="AR34" s="69">
        <v>2.3064307561344277</v>
      </c>
      <c r="AS34" s="69">
        <v>3.4838709677419351</v>
      </c>
      <c r="AT34" s="69">
        <v>4.5290322580645146</v>
      </c>
      <c r="AU34" s="69">
        <v>2.9278460140912301</v>
      </c>
      <c r="AV34" s="69">
        <v>6.387096774193548</v>
      </c>
      <c r="AW34" s="69">
        <v>1.1978777551103983</v>
      </c>
      <c r="AX34" s="69">
        <v>0.92903225806451606</v>
      </c>
      <c r="AY34" s="69">
        <v>4.102135777082216</v>
      </c>
      <c r="AZ34" s="69">
        <v>9.8709677419354822</v>
      </c>
      <c r="BA34" s="69">
        <v>3.5999999999999996</v>
      </c>
      <c r="BB34" s="69">
        <v>2.5548387096774188</v>
      </c>
      <c r="BC34" s="69">
        <v>6.1548387096774189</v>
      </c>
      <c r="BD34" s="69">
        <v>2.504708146532594</v>
      </c>
      <c r="BE34" s="69">
        <v>4.8205773062802377</v>
      </c>
      <c r="BF34" s="69">
        <v>1.8074906302914344</v>
      </c>
      <c r="BG34" s="69">
        <v>2.8007731023069029</v>
      </c>
      <c r="BH34" s="69">
        <v>12.789393709148241</v>
      </c>
      <c r="BI34" s="69">
        <v>9.9575036695260923</v>
      </c>
      <c r="BJ34" s="69">
        <v>5.0779703644910539</v>
      </c>
      <c r="BK34" s="69">
        <v>4.1570322986379225</v>
      </c>
      <c r="BM34" s="20"/>
      <c r="BN34" s="68">
        <v>45122</v>
      </c>
      <c r="BO34" s="71">
        <f>IF(BM$29="Grand Total",GETPIVOTDATA("[Measures].[Average of Jul-23]",$AB$26),AV141)</f>
        <v>3.5999999999999996</v>
      </c>
      <c r="BP34" s="71"/>
      <c r="BQ34" s="70"/>
      <c r="BR34" s="71"/>
      <c r="BS34" s="71"/>
      <c r="BT34" s="71"/>
    </row>
    <row r="35" spans="1:72" ht="15.5" x14ac:dyDescent="0.35">
      <c r="B35" s="107" t="s">
        <v>90</v>
      </c>
      <c r="C35" s="105" t="s">
        <v>91</v>
      </c>
      <c r="D35" s="105"/>
      <c r="E35" s="105"/>
      <c r="F35" s="105"/>
      <c r="G35" s="105"/>
      <c r="H35" s="105"/>
      <c r="I35" s="105"/>
      <c r="J35" s="67">
        <v>7</v>
      </c>
      <c r="K35" s="13"/>
      <c r="L35" s="13"/>
      <c r="M35" s="13"/>
      <c r="N35" s="13"/>
      <c r="O35" s="13"/>
      <c r="P35" s="13"/>
      <c r="Q35" s="13"/>
      <c r="R35" s="13"/>
      <c r="S35" s="13"/>
      <c r="T35" s="13"/>
      <c r="U35" s="13"/>
      <c r="V35" s="13"/>
      <c r="W35" s="13"/>
      <c r="X35" s="13"/>
      <c r="Y35" s="13"/>
      <c r="Z35" s="13"/>
      <c r="AA35" s="13"/>
      <c r="AB35" s="10" t="s">
        <v>92</v>
      </c>
      <c r="AC35" s="69">
        <v>3.3604176731295179</v>
      </c>
      <c r="AD35" s="69">
        <v>3.3542181326946174</v>
      </c>
      <c r="AE35" s="69">
        <v>2.8482278884713619</v>
      </c>
      <c r="AF35" s="69">
        <v>1.3391253376568533</v>
      </c>
      <c r="AG35" s="69">
        <v>1.302315031626498</v>
      </c>
      <c r="AH35" s="69">
        <v>1.156765523215441</v>
      </c>
      <c r="AI35" s="69">
        <v>1.5113585195867831</v>
      </c>
      <c r="AJ35" s="69">
        <v>1.495186563763268</v>
      </c>
      <c r="AK35" s="69">
        <v>8.0501235184670836</v>
      </c>
      <c r="AL35" s="69">
        <v>9.1681962293652894</v>
      </c>
      <c r="AM35" s="69">
        <v>3.3542181326946174</v>
      </c>
      <c r="AN35" s="69">
        <v>3.8014472170539007</v>
      </c>
      <c r="AO35" s="69">
        <v>2.0737793465005385</v>
      </c>
      <c r="AP35" s="69">
        <v>2.020520464191871</v>
      </c>
      <c r="AQ35" s="69">
        <v>6.7084362653892349</v>
      </c>
      <c r="AR35" s="69">
        <v>2.2205965535643548</v>
      </c>
      <c r="AS35" s="69">
        <v>3.3542181326946174</v>
      </c>
      <c r="AT35" s="69">
        <v>4.3604835725030027</v>
      </c>
      <c r="AU35" s="69">
        <v>2.8188857397803377</v>
      </c>
      <c r="AV35" s="69">
        <v>6.1493999099401329</v>
      </c>
      <c r="AW35" s="69">
        <v>1.153298536066921</v>
      </c>
      <c r="AX35" s="69">
        <v>0.89445816871856476</v>
      </c>
      <c r="AY35" s="69">
        <v>3.9494741147611059</v>
      </c>
      <c r="AZ35" s="69">
        <v>9.5036180426347503</v>
      </c>
      <c r="BA35" s="69">
        <v>3.4660254037844385</v>
      </c>
      <c r="BB35" s="69">
        <v>2.4597599639760528</v>
      </c>
      <c r="BC35" s="69">
        <v>5.9257853677604917</v>
      </c>
      <c r="BD35" s="69">
        <v>2.4114950180410575</v>
      </c>
      <c r="BE35" s="69">
        <v>4.6411787234650177</v>
      </c>
      <c r="BF35" s="69">
        <v>1.740224567136794</v>
      </c>
      <c r="BG35" s="69">
        <v>2.6965418674532997</v>
      </c>
      <c r="BH35" s="69">
        <v>12.313434304141303</v>
      </c>
      <c r="BI35" s="69">
        <v>9.5869335213483904</v>
      </c>
      <c r="BJ35" s="69">
        <v>4.8889928563862552</v>
      </c>
      <c r="BK35" s="69">
        <v>4.0023276531754064</v>
      </c>
      <c r="BM35" s="20"/>
      <c r="BN35" s="68">
        <v>45153</v>
      </c>
      <c r="BO35" s="71">
        <f>IF(BM$29="Grand Total",GETPIVOTDATA("[Measures].[Average of Aug-23]",$AB$26),AW141)</f>
        <v>3.4660254037844385</v>
      </c>
      <c r="BP35" s="71"/>
      <c r="BQ35" s="70"/>
      <c r="BR35" s="71"/>
      <c r="BS35" s="71"/>
      <c r="BT35" s="71"/>
    </row>
    <row r="36" spans="1:72" ht="15.5" x14ac:dyDescent="0.35">
      <c r="I36" s="13"/>
      <c r="J36" s="13"/>
      <c r="K36" s="13"/>
      <c r="L36" s="13"/>
      <c r="M36" s="13"/>
      <c r="N36" s="13"/>
      <c r="O36" s="13"/>
      <c r="P36" s="13"/>
      <c r="Q36" s="13"/>
      <c r="R36" s="13"/>
      <c r="S36" s="13"/>
      <c r="T36" s="13"/>
      <c r="U36" s="13"/>
      <c r="V36" s="13"/>
      <c r="W36" s="13"/>
      <c r="X36" s="13"/>
      <c r="Y36" s="13"/>
      <c r="Z36" s="13"/>
      <c r="AA36" s="13"/>
      <c r="AB36" s="10" t="s">
        <v>93</v>
      </c>
      <c r="AC36" s="69">
        <v>3.0055448454957094</v>
      </c>
      <c r="AD36" s="69">
        <v>2.9999999999999996</v>
      </c>
      <c r="AE36" s="69">
        <v>2.5474442410666049</v>
      </c>
      <c r="AF36" s="69">
        <v>1.1977086325459674</v>
      </c>
      <c r="AG36" s="69">
        <v>1.1647856341832012</v>
      </c>
      <c r="AH36" s="69">
        <v>1.0346067048592491</v>
      </c>
      <c r="AI36" s="69">
        <v>1.3517533384502607</v>
      </c>
      <c r="AJ36" s="69">
        <v>1.3372892023830065</v>
      </c>
      <c r="AK36" s="69">
        <v>7.1999999999999993</v>
      </c>
      <c r="AL36" s="69">
        <v>8.1999999999999993</v>
      </c>
      <c r="AM36" s="69">
        <v>2.9999999999999996</v>
      </c>
      <c r="AN36" s="69">
        <v>3.4</v>
      </c>
      <c r="AO36" s="69">
        <v>1.8547803969158352</v>
      </c>
      <c r="AP36" s="69">
        <v>1.8071458541982317</v>
      </c>
      <c r="AQ36" s="69">
        <v>5.9999999999999991</v>
      </c>
      <c r="AR36" s="69">
        <v>1.9860931511157571</v>
      </c>
      <c r="AS36" s="69">
        <v>2.9999999999999996</v>
      </c>
      <c r="AT36" s="69">
        <v>3.899999999999999</v>
      </c>
      <c r="AU36" s="69">
        <v>2.521200734356337</v>
      </c>
      <c r="AV36" s="69">
        <v>5.4999999999999991</v>
      </c>
      <c r="AW36" s="69">
        <v>1.0315058446783985</v>
      </c>
      <c r="AX36" s="69">
        <v>0.79999999999999993</v>
      </c>
      <c r="AY36" s="69">
        <v>3.5323946969319087</v>
      </c>
      <c r="AZ36" s="69">
        <v>8.4999999999999982</v>
      </c>
      <c r="BA36" s="69">
        <v>3.0999999999999996</v>
      </c>
      <c r="BB36" s="69">
        <v>2.1999999999999997</v>
      </c>
      <c r="BC36" s="69">
        <v>5.3</v>
      </c>
      <c r="BD36" s="69">
        <v>2.1568320150697335</v>
      </c>
      <c r="BE36" s="69">
        <v>4.1510526804079824</v>
      </c>
      <c r="BF36" s="69">
        <v>1.5564502649731795</v>
      </c>
      <c r="BG36" s="69">
        <v>2.411776838097611</v>
      </c>
      <c r="BH36" s="69">
        <v>11.013089027322096</v>
      </c>
      <c r="BI36" s="69">
        <v>8.5745170487585796</v>
      </c>
      <c r="BJ36" s="69">
        <v>4.3726967027561852</v>
      </c>
      <c r="BK36" s="69">
        <v>3.5796667016048769</v>
      </c>
      <c r="BM36" s="20"/>
      <c r="BN36" s="68">
        <v>45184</v>
      </c>
      <c r="BO36" s="71">
        <f>IF(BM$29="Grand Total",GETPIVOTDATA("[Measures].[Average of Sep-23]",$AB$26),AX141)</f>
        <v>3.0999999999999996</v>
      </c>
      <c r="BP36" s="71"/>
      <c r="BQ36" s="70"/>
      <c r="BR36" s="71"/>
      <c r="BS36" s="71"/>
      <c r="BT36" s="71"/>
    </row>
    <row r="37" spans="1:72" ht="15.5" x14ac:dyDescent="0.35">
      <c r="B37" s="161" t="s">
        <v>94</v>
      </c>
      <c r="C37" s="162"/>
      <c r="D37" s="162"/>
      <c r="E37" s="162"/>
      <c r="F37" s="151"/>
      <c r="G37" s="152"/>
      <c r="H37" s="152"/>
      <c r="I37" s="153"/>
      <c r="J37" s="108" t="s">
        <v>432</v>
      </c>
      <c r="K37" s="13"/>
      <c r="L37" s="13"/>
      <c r="M37" s="13"/>
      <c r="N37" s="13"/>
      <c r="O37" s="13"/>
      <c r="P37" s="13"/>
      <c r="Q37" s="13"/>
      <c r="R37" s="13"/>
      <c r="S37" s="13"/>
      <c r="T37" s="13"/>
      <c r="U37" s="13"/>
      <c r="V37" s="13"/>
      <c r="W37" s="13"/>
      <c r="X37" s="13"/>
      <c r="Y37" s="13"/>
      <c r="Z37" s="13"/>
      <c r="AA37" s="13"/>
      <c r="AB37" s="10" t="s">
        <v>95</v>
      </c>
      <c r="AC37" s="69">
        <v>2.5207795478351112</v>
      </c>
      <c r="AD37" s="69">
        <v>2.5161290322580641</v>
      </c>
      <c r="AE37" s="69">
        <v>2.1365661376687655</v>
      </c>
      <c r="AF37" s="69">
        <v>1.0045298208450049</v>
      </c>
      <c r="AG37" s="69">
        <v>0.97691698350849132</v>
      </c>
      <c r="AH37" s="69">
        <v>0.86773465568840258</v>
      </c>
      <c r="AI37" s="69">
        <v>1.1337286064421541</v>
      </c>
      <c r="AJ37" s="69">
        <v>1.1215973955470377</v>
      </c>
      <c r="AK37" s="69">
        <v>6.0387096774193543</v>
      </c>
      <c r="AL37" s="69">
        <v>6.8774193548387093</v>
      </c>
      <c r="AM37" s="69">
        <v>2.5161290322580641</v>
      </c>
      <c r="AN37" s="69">
        <v>2.8516129032258064</v>
      </c>
      <c r="AO37" s="69">
        <v>1.555622268381023</v>
      </c>
      <c r="AP37" s="69">
        <v>1.5156707164243233</v>
      </c>
      <c r="AQ37" s="69">
        <v>5.0322580645161281</v>
      </c>
      <c r="AR37" s="69">
        <v>1.6657555460970865</v>
      </c>
      <c r="AS37" s="69">
        <v>2.5161290322580641</v>
      </c>
      <c r="AT37" s="69">
        <v>3.270967741935483</v>
      </c>
      <c r="AU37" s="69">
        <v>2.1145554546214438</v>
      </c>
      <c r="AV37" s="69">
        <v>4.6129032258064511</v>
      </c>
      <c r="AW37" s="69">
        <v>0.86513393424639873</v>
      </c>
      <c r="AX37" s="69">
        <v>0.67096774193548381</v>
      </c>
      <c r="AY37" s="69">
        <v>2.9626536167816004</v>
      </c>
      <c r="AZ37" s="69">
        <v>7.1290322580645142</v>
      </c>
      <c r="BA37" s="69">
        <v>2.5999999999999996</v>
      </c>
      <c r="BB37" s="69">
        <v>1.8451612903225802</v>
      </c>
      <c r="BC37" s="69">
        <v>4.4451612903225799</v>
      </c>
      <c r="BD37" s="69">
        <v>1.8089558836068733</v>
      </c>
      <c r="BE37" s="69">
        <v>3.4815280545357274</v>
      </c>
      <c r="BF37" s="69">
        <v>1.3054098996549248</v>
      </c>
      <c r="BG37" s="69">
        <v>2.0227805738883187</v>
      </c>
      <c r="BH37" s="69">
        <v>9.236784345495952</v>
      </c>
      <c r="BI37" s="69">
        <v>7.1915304279910668</v>
      </c>
      <c r="BJ37" s="69">
        <v>3.6674230410213169</v>
      </c>
      <c r="BK37" s="69">
        <v>3.0023011045718322</v>
      </c>
      <c r="BM37" s="66"/>
      <c r="BN37" s="68">
        <v>45214</v>
      </c>
      <c r="BO37" s="71">
        <f>IF(BM$29="Grand Total",GETPIVOTDATA("[Measures].[Average of Oct-23]",$AB$26),AY141)</f>
        <v>2.5999999999999996</v>
      </c>
      <c r="BQ37" s="70"/>
      <c r="BR37" s="66"/>
      <c r="BT37"/>
    </row>
    <row r="38" spans="1:72" ht="15.5" x14ac:dyDescent="0.35">
      <c r="B38" s="275" t="s">
        <v>96</v>
      </c>
      <c r="C38" s="276"/>
      <c r="D38" s="276"/>
      <c r="E38" s="276"/>
      <c r="F38" s="151"/>
      <c r="G38" s="152"/>
      <c r="H38" s="152"/>
      <c r="I38" s="153"/>
      <c r="J38" s="108" t="s">
        <v>433</v>
      </c>
      <c r="K38" s="13"/>
      <c r="L38" s="13"/>
      <c r="M38" s="13"/>
      <c r="N38" s="13"/>
      <c r="O38" s="13"/>
      <c r="P38" s="13"/>
      <c r="Q38" s="13"/>
      <c r="R38" s="13"/>
      <c r="S38" s="13"/>
      <c r="T38" s="13"/>
      <c r="U38" s="13"/>
      <c r="V38" s="13"/>
      <c r="W38" s="13"/>
      <c r="X38" s="13"/>
      <c r="Y38" s="13"/>
      <c r="Z38" s="13"/>
      <c r="AA38" s="13"/>
      <c r="AB38" s="10" t="s">
        <v>97</v>
      </c>
      <c r="AC38" s="69">
        <v>2.0360142501745129</v>
      </c>
      <c r="AD38" s="69">
        <v>2.0322580645161286</v>
      </c>
      <c r="AE38" s="69">
        <v>1.7256880342709258</v>
      </c>
      <c r="AF38" s="69">
        <v>0.81135100914404246</v>
      </c>
      <c r="AG38" s="69">
        <v>0.7890483328337814</v>
      </c>
      <c r="AH38" s="69">
        <v>0.70086260651755583</v>
      </c>
      <c r="AI38" s="69">
        <v>0.91570387443404744</v>
      </c>
      <c r="AJ38" s="69">
        <v>0.90590558871106897</v>
      </c>
      <c r="AK38" s="69">
        <v>4.8774193548387093</v>
      </c>
      <c r="AL38" s="69">
        <v>5.5548387096774192</v>
      </c>
      <c r="AM38" s="69">
        <v>2.0322580645161286</v>
      </c>
      <c r="AN38" s="69">
        <v>2.3032258064516129</v>
      </c>
      <c r="AO38" s="69">
        <v>1.2564641398462109</v>
      </c>
      <c r="AP38" s="69">
        <v>1.2241955786504151</v>
      </c>
      <c r="AQ38" s="69">
        <v>4.0645161290322571</v>
      </c>
      <c r="AR38" s="69">
        <v>1.3454179410784159</v>
      </c>
      <c r="AS38" s="69">
        <v>2.0322580645161286</v>
      </c>
      <c r="AT38" s="69">
        <v>2.641935483870967</v>
      </c>
      <c r="AU38" s="69">
        <v>1.7079101748865508</v>
      </c>
      <c r="AV38" s="69">
        <v>3.7258064516129026</v>
      </c>
      <c r="AW38" s="69">
        <v>0.698762023814399</v>
      </c>
      <c r="AX38" s="69">
        <v>0.54193548387096768</v>
      </c>
      <c r="AY38" s="69">
        <v>2.3929125366312927</v>
      </c>
      <c r="AZ38" s="69">
        <v>5.7580645161290311</v>
      </c>
      <c r="BA38" s="69">
        <v>2.0999999999999996</v>
      </c>
      <c r="BB38" s="69">
        <v>1.490322580645161</v>
      </c>
      <c r="BC38" s="69">
        <v>3.5903225806451609</v>
      </c>
      <c r="BD38" s="69">
        <v>1.4610797521440129</v>
      </c>
      <c r="BE38" s="69">
        <v>2.8120034286634721</v>
      </c>
      <c r="BF38" s="69">
        <v>1.0543695343366699</v>
      </c>
      <c r="BG38" s="69">
        <v>1.6337843096790265</v>
      </c>
      <c r="BH38" s="69">
        <v>7.4604796636698065</v>
      </c>
      <c r="BI38" s="69">
        <v>5.808543807223554</v>
      </c>
      <c r="BJ38" s="69">
        <v>2.9621493792864482</v>
      </c>
      <c r="BK38" s="69">
        <v>2.4249355075387875</v>
      </c>
      <c r="BM38" s="66"/>
      <c r="BN38" s="68">
        <v>45245</v>
      </c>
      <c r="BO38" s="71">
        <f>IF(BM$29="Grand Total",GETPIVOTDATA("[Measures].[Average of Nov-23]",$AB$26),AZ141)</f>
        <v>2.0999999999999996</v>
      </c>
      <c r="BQ38" s="70"/>
      <c r="BT38"/>
    </row>
    <row r="39" spans="1:72" ht="15.5" x14ac:dyDescent="0.35">
      <c r="B39" s="163" t="s">
        <v>98</v>
      </c>
      <c r="C39" s="164"/>
      <c r="D39" s="164"/>
      <c r="E39" s="164"/>
      <c r="F39" s="151"/>
      <c r="G39" s="152"/>
      <c r="H39" s="152"/>
      <c r="I39" s="153"/>
      <c r="J39" s="108" t="s">
        <v>99</v>
      </c>
      <c r="AB39" s="10" t="s">
        <v>100</v>
      </c>
      <c r="AC39" s="69">
        <v>1.6811414225407044</v>
      </c>
      <c r="AD39" s="69">
        <v>1.6780399318215102</v>
      </c>
      <c r="AE39" s="69">
        <v>1.4249043868661686</v>
      </c>
      <c r="AF39" s="69">
        <v>0.66993430403315668</v>
      </c>
      <c r="AG39" s="69">
        <v>0.65151893539048467</v>
      </c>
      <c r="AH39" s="69">
        <v>0.57870378816136414</v>
      </c>
      <c r="AI39" s="69">
        <v>0.75609869329752488</v>
      </c>
      <c r="AJ39" s="69">
        <v>0.74800822733080763</v>
      </c>
      <c r="AK39" s="69">
        <v>4.0272958363716258</v>
      </c>
      <c r="AL39" s="69">
        <v>4.5866424803121291</v>
      </c>
      <c r="AM39" s="69">
        <v>1.6780399318215102</v>
      </c>
      <c r="AN39" s="69">
        <v>1.9017785893977122</v>
      </c>
      <c r="AO39" s="69">
        <v>1.0374651902615075</v>
      </c>
      <c r="AP39" s="69">
        <v>1.0108209686567755</v>
      </c>
      <c r="AQ39" s="69">
        <v>3.3560798636430205</v>
      </c>
      <c r="AR39" s="69">
        <v>1.110914538629818</v>
      </c>
      <c r="AS39" s="69">
        <v>1.6780399318215102</v>
      </c>
      <c r="AT39" s="69">
        <v>2.1814519113679633</v>
      </c>
      <c r="AU39" s="69">
        <v>1.4102251694625501</v>
      </c>
      <c r="AV39" s="69">
        <v>3.0764065416727693</v>
      </c>
      <c r="AW39" s="69">
        <v>0.57696933242587656</v>
      </c>
      <c r="AX39" s="69">
        <v>0.4474773151524028</v>
      </c>
      <c r="AY39" s="69">
        <v>1.9758331188020952</v>
      </c>
      <c r="AZ39" s="69">
        <v>4.7544464734942791</v>
      </c>
      <c r="BA39" s="69">
        <v>1.7339745962155608</v>
      </c>
      <c r="BB39" s="69">
        <v>1.2305626166691075</v>
      </c>
      <c r="BC39" s="69">
        <v>2.9645372128846685</v>
      </c>
      <c r="BD39" s="69">
        <v>1.2064167491726889</v>
      </c>
      <c r="BE39" s="69">
        <v>2.3218773856064368</v>
      </c>
      <c r="BF39" s="69">
        <v>0.87059523217305546</v>
      </c>
      <c r="BG39" s="69">
        <v>1.3490192803233378</v>
      </c>
      <c r="BH39" s="69">
        <v>6.1601343868505989</v>
      </c>
      <c r="BI39" s="69">
        <v>4.7961273346337423</v>
      </c>
      <c r="BJ39" s="69">
        <v>2.4458532256563781</v>
      </c>
      <c r="BK39" s="69">
        <v>2.0022745559682598</v>
      </c>
      <c r="BM39" s="66"/>
      <c r="BN39" s="68">
        <v>45275</v>
      </c>
      <c r="BO39" s="71">
        <f>IF(BM$29="Grand Total",GETPIVOTDATA("[Measures].[Average of Dec-23]",$AB$26),BA141)</f>
        <v>1.7339745962155608</v>
      </c>
      <c r="BQ39" s="70"/>
      <c r="BT39"/>
    </row>
    <row r="40" spans="1:72" ht="16" customHeight="1" x14ac:dyDescent="0.35">
      <c r="B40" s="165" t="s">
        <v>101</v>
      </c>
      <c r="C40" s="166"/>
      <c r="D40" s="166"/>
      <c r="E40" s="167"/>
      <c r="F40" s="151"/>
      <c r="G40" s="152"/>
      <c r="H40" s="152"/>
      <c r="I40" s="153"/>
      <c r="J40" s="154" t="s">
        <v>102</v>
      </c>
      <c r="Y40" s="13"/>
      <c r="AB40"/>
      <c r="AC40"/>
      <c r="AD40"/>
      <c r="AE40"/>
      <c r="AF40"/>
      <c r="AG40"/>
      <c r="AH40"/>
      <c r="BM40" s="66"/>
      <c r="BN40" s="66"/>
      <c r="BO40" s="71"/>
      <c r="BP40" s="66"/>
      <c r="BS40"/>
      <c r="BT40"/>
    </row>
    <row r="41" spans="1:72" ht="16" customHeight="1" x14ac:dyDescent="0.35">
      <c r="E41" s="13"/>
      <c r="F41" s="12"/>
      <c r="I41" s="13"/>
      <c r="J41" s="13"/>
      <c r="Y41" s="13"/>
      <c r="AB41"/>
      <c r="AC41"/>
      <c r="AD41"/>
      <c r="AE41"/>
      <c r="AF41"/>
      <c r="AG41"/>
      <c r="BN41" s="23" t="s">
        <v>103</v>
      </c>
      <c r="BO41" s="71">
        <f>IF(BM$29="Grand Total",AVERAGE(BO28:BO39),AVERAGE(AP140:BA140))</f>
        <v>2.5999999999999996</v>
      </c>
      <c r="BP41"/>
      <c r="BQ41" s="169"/>
      <c r="BR41"/>
      <c r="BS41"/>
      <c r="BT41"/>
    </row>
    <row r="42" spans="1:72" ht="52" x14ac:dyDescent="0.35">
      <c r="B42" s="101" t="s">
        <v>104</v>
      </c>
      <c r="C42" s="101" t="s">
        <v>105</v>
      </c>
      <c r="D42" s="102" t="s">
        <v>106</v>
      </c>
      <c r="E42" s="212" t="s">
        <v>107</v>
      </c>
      <c r="F42" s="216" t="s">
        <v>108</v>
      </c>
      <c r="G42" s="214" t="s">
        <v>109</v>
      </c>
      <c r="H42" s="213" t="s">
        <v>431</v>
      </c>
      <c r="I42" s="215" t="s">
        <v>110</v>
      </c>
      <c r="J42" s="160" t="s">
        <v>111</v>
      </c>
      <c r="Y42" s="13"/>
      <c r="AC42" s="71"/>
      <c r="AD42" s="71"/>
      <c r="AE42" s="71"/>
      <c r="AF42" s="71"/>
      <c r="AG42" s="71"/>
      <c r="AH42" s="76"/>
      <c r="BR42"/>
      <c r="BS42"/>
      <c r="BT42" s="71"/>
    </row>
    <row r="43" spans="1:72" ht="120" x14ac:dyDescent="0.35">
      <c r="B43" s="103" t="s">
        <v>112</v>
      </c>
      <c r="C43" s="103" t="s">
        <v>113</v>
      </c>
      <c r="D43" s="103" t="s">
        <v>114</v>
      </c>
      <c r="E43" s="104" t="s">
        <v>115</v>
      </c>
      <c r="F43" s="104" t="s">
        <v>116</v>
      </c>
      <c r="G43" s="104" t="s">
        <v>115</v>
      </c>
      <c r="H43" s="104" t="s">
        <v>115</v>
      </c>
      <c r="I43" s="104" t="s">
        <v>115</v>
      </c>
      <c r="J43" s="104" t="s">
        <v>117</v>
      </c>
      <c r="K43" s="13"/>
      <c r="Y43" s="63"/>
      <c r="Z43" s="13"/>
      <c r="AA43" s="13"/>
      <c r="AB43" s="203" t="s">
        <v>110</v>
      </c>
      <c r="AI43" s="13"/>
      <c r="AJ43" s="13"/>
      <c r="AK43" s="13"/>
      <c r="BN43"/>
      <c r="BP43"/>
      <c r="BQ43"/>
      <c r="BR43"/>
      <c r="BS43"/>
    </row>
    <row r="44" spans="1:72" ht="15.5" x14ac:dyDescent="0.35">
      <c r="B44" s="72" t="str">
        <f>J26</f>
        <v>Afghanistan</v>
      </c>
      <c r="C44" s="168" t="s">
        <v>104</v>
      </c>
      <c r="D44" s="73">
        <v>42239854</v>
      </c>
      <c r="E44" s="74">
        <v>0.114</v>
      </c>
      <c r="F44" s="75">
        <v>3.3000000000000002E-2</v>
      </c>
      <c r="G44" s="75">
        <f>F44+0.002</f>
        <v>3.5000000000000003E-2</v>
      </c>
      <c r="H44" s="75">
        <f>F44-0.002</f>
        <v>3.1E-2</v>
      </c>
      <c r="I44" s="75">
        <f>F44*1.89</f>
        <v>6.2370000000000002E-2</v>
      </c>
      <c r="J44" s="75">
        <v>9.4E-2</v>
      </c>
      <c r="L44" s="13"/>
      <c r="M44" s="109" t="s">
        <v>118</v>
      </c>
      <c r="N44" s="109" t="s">
        <v>119</v>
      </c>
      <c r="O44" s="109" t="s">
        <v>120</v>
      </c>
      <c r="P44" s="109" t="s">
        <v>121</v>
      </c>
      <c r="Q44" s="109" t="s">
        <v>122</v>
      </c>
      <c r="R44" s="109" t="s">
        <v>123</v>
      </c>
      <c r="S44" s="109" t="s">
        <v>124</v>
      </c>
      <c r="T44" s="109" t="s">
        <v>125</v>
      </c>
      <c r="U44" s="109" t="s">
        <v>126</v>
      </c>
      <c r="V44" s="109" t="s">
        <v>127</v>
      </c>
      <c r="W44" s="109" t="s">
        <v>128</v>
      </c>
      <c r="X44" s="109" t="s">
        <v>129</v>
      </c>
      <c r="Y44" s="63"/>
      <c r="Z44" s="13"/>
      <c r="AA44" s="13"/>
      <c r="AB44"/>
      <c r="AC44" s="77" t="s">
        <v>28</v>
      </c>
      <c r="AD44"/>
      <c r="AE44"/>
      <c r="AF44"/>
      <c r="AG44"/>
      <c r="AH44"/>
      <c r="AI44"/>
      <c r="AJ44"/>
      <c r="AK44"/>
      <c r="AL44"/>
      <c r="AM44"/>
      <c r="AN44"/>
      <c r="AO44"/>
      <c r="AP44"/>
      <c r="AQ44"/>
      <c r="AR44"/>
      <c r="AS44"/>
      <c r="AT44"/>
      <c r="AU44"/>
      <c r="AV44"/>
      <c r="AW44"/>
      <c r="AX44"/>
      <c r="AY44"/>
      <c r="AZ44"/>
      <c r="BA44"/>
      <c r="BB44"/>
      <c r="BC44"/>
      <c r="BD44"/>
      <c r="BE44"/>
      <c r="BF44"/>
      <c r="BG44"/>
      <c r="BH44"/>
      <c r="BI44"/>
      <c r="BJ44"/>
      <c r="BK44"/>
      <c r="BM44" s="20" t="s">
        <v>29</v>
      </c>
      <c r="BN44" s="20"/>
      <c r="BO44" s="71"/>
      <c r="BP44" s="71"/>
      <c r="BQ44" s="71"/>
    </row>
    <row r="45" spans="1:72" ht="15.5" x14ac:dyDescent="0.35">
      <c r="B45" s="63"/>
      <c r="C45" s="97"/>
      <c r="D45" s="98"/>
      <c r="E45" s="99"/>
      <c r="F45" s="100"/>
      <c r="G45" s="18"/>
      <c r="H45" s="18"/>
      <c r="I45" s="100"/>
      <c r="J45" s="100"/>
      <c r="L45" s="13" t="s">
        <v>130</v>
      </c>
      <c r="M45" s="117" t="s">
        <v>131</v>
      </c>
      <c r="N45" s="111"/>
      <c r="O45" s="111"/>
      <c r="P45" s="118" t="s">
        <v>132</v>
      </c>
      <c r="Q45" s="118" t="s">
        <v>132</v>
      </c>
      <c r="R45" s="111"/>
      <c r="S45" s="118" t="s">
        <v>132</v>
      </c>
      <c r="T45" s="118" t="s">
        <v>132</v>
      </c>
      <c r="U45" s="118" t="s">
        <v>132</v>
      </c>
      <c r="V45" s="111"/>
      <c r="W45" s="111"/>
      <c r="X45" s="156" t="s">
        <v>131</v>
      </c>
      <c r="Y45" s="63"/>
      <c r="Z45" s="13"/>
      <c r="AA45" s="13"/>
      <c r="AB45" s="77" t="s">
        <v>31</v>
      </c>
      <c r="AC45" t="s">
        <v>32</v>
      </c>
      <c r="AD45" t="s">
        <v>33</v>
      </c>
      <c r="AE45" t="s">
        <v>34</v>
      </c>
      <c r="AF45" t="s">
        <v>35</v>
      </c>
      <c r="AG45" t="s">
        <v>36</v>
      </c>
      <c r="AH45" t="s">
        <v>37</v>
      </c>
      <c r="AI45" t="s">
        <v>38</v>
      </c>
      <c r="AJ45" t="s">
        <v>39</v>
      </c>
      <c r="AK45" t="s">
        <v>40</v>
      </c>
      <c r="AL45" t="s">
        <v>41</v>
      </c>
      <c r="AM45" t="s">
        <v>42</v>
      </c>
      <c r="AN45" t="s">
        <v>43</v>
      </c>
      <c r="AO45" t="s">
        <v>44</v>
      </c>
      <c r="AP45" t="s">
        <v>45</v>
      </c>
      <c r="AQ45" t="s">
        <v>46</v>
      </c>
      <c r="AR45" t="s">
        <v>47</v>
      </c>
      <c r="AS45" t="s">
        <v>48</v>
      </c>
      <c r="AT45" t="s">
        <v>49</v>
      </c>
      <c r="AU45" t="s">
        <v>50</v>
      </c>
      <c r="AV45" t="s">
        <v>51</v>
      </c>
      <c r="AW45" t="s">
        <v>52</v>
      </c>
      <c r="AX45" t="s">
        <v>53</v>
      </c>
      <c r="AY45" t="s">
        <v>54</v>
      </c>
      <c r="AZ45" t="s">
        <v>55</v>
      </c>
      <c r="BA45" t="s">
        <v>56</v>
      </c>
      <c r="BB45" t="s">
        <v>57</v>
      </c>
      <c r="BC45" t="s">
        <v>58</v>
      </c>
      <c r="BD45" t="s">
        <v>59</v>
      </c>
      <c r="BE45" t="s">
        <v>60</v>
      </c>
      <c r="BF45" t="s">
        <v>61</v>
      </c>
      <c r="BG45" t="s">
        <v>62</v>
      </c>
      <c r="BH45" t="s">
        <v>63</v>
      </c>
      <c r="BI45" t="s">
        <v>64</v>
      </c>
      <c r="BJ45" t="s">
        <v>65</v>
      </c>
      <c r="BK45" t="s">
        <v>66</v>
      </c>
      <c r="BM45" s="20" t="s">
        <v>67</v>
      </c>
      <c r="BN45" s="20"/>
      <c r="BO45" s="71" t="s">
        <v>133</v>
      </c>
      <c r="BP45" s="71"/>
      <c r="BQ45" s="71"/>
    </row>
    <row r="46" spans="1:72" s="20" customFormat="1" ht="15.5" x14ac:dyDescent="0.35">
      <c r="A46" s="12"/>
      <c r="C46" s="19" t="s">
        <v>32</v>
      </c>
      <c r="D46" s="59">
        <v>1476545.2547183016</v>
      </c>
      <c r="E46" s="17">
        <v>9.3475173302648484E-2</v>
      </c>
      <c r="F46" s="18">
        <v>3.20554484549571E-2</v>
      </c>
      <c r="G46" s="18">
        <f t="shared" ref="G46:G79" si="0">F46+0.002</f>
        <v>3.4055448454957102E-2</v>
      </c>
      <c r="H46" s="18">
        <f t="shared" ref="H46:H79" si="1">F46-0.002</f>
        <v>3.0055448454957098E-2</v>
      </c>
      <c r="I46" s="18">
        <f t="shared" ref="I46:I79" si="2">F46*1.89</f>
        <v>6.0584797579868913E-2</v>
      </c>
      <c r="J46" s="18">
        <v>0.218</v>
      </c>
      <c r="K46" s="13"/>
      <c r="L46" s="13"/>
      <c r="M46" s="112"/>
      <c r="N46" s="110"/>
      <c r="O46" s="110"/>
      <c r="Q46" s="119" t="s">
        <v>134</v>
      </c>
      <c r="R46" s="119" t="s">
        <v>134</v>
      </c>
      <c r="S46" s="110"/>
      <c r="T46" s="110"/>
      <c r="U46" s="110"/>
      <c r="V46" s="110"/>
      <c r="W46" s="110"/>
      <c r="X46" s="113"/>
      <c r="Y46" s="63"/>
      <c r="Z46" s="63"/>
      <c r="AA46" s="63"/>
      <c r="AB46" s="10" t="s">
        <v>72</v>
      </c>
      <c r="AC46" s="69">
        <v>3.1269572944448458</v>
      </c>
      <c r="AD46" s="69">
        <v>3.1215483870967731</v>
      </c>
      <c r="AE46" s="69">
        <v>2.6800875435436811</v>
      </c>
      <c r="AF46" s="69">
        <v>1.3634422273609692</v>
      </c>
      <c r="AG46" s="69">
        <v>1.3313263734741934</v>
      </c>
      <c r="AH46" s="69">
        <v>1.2043389275788285</v>
      </c>
      <c r="AI46" s="69">
        <v>1.5137103533785763</v>
      </c>
      <c r="AJ46" s="69">
        <v>1.4996008219374874</v>
      </c>
      <c r="AK46" s="69">
        <v>7.2185806451612891</v>
      </c>
      <c r="AL46" s="69">
        <v>8.1940645161290302</v>
      </c>
      <c r="AM46" s="69">
        <v>3.1215483870967731</v>
      </c>
      <c r="AN46" s="69">
        <v>3.5117419354838697</v>
      </c>
      <c r="AO46" s="69">
        <v>2.004405135572092</v>
      </c>
      <c r="AP46" s="69">
        <v>1.9579384074501458</v>
      </c>
      <c r="AQ46" s="69">
        <v>6.0479999999999983</v>
      </c>
      <c r="AR46" s="69">
        <v>2.1324986093464671</v>
      </c>
      <c r="AS46" s="69">
        <v>3.1215483870967731</v>
      </c>
      <c r="AT46" s="69">
        <v>3.9994838709677403</v>
      </c>
      <c r="AU46" s="69">
        <v>2.6544874260301814</v>
      </c>
      <c r="AV46" s="69">
        <v>5.5602580645161268</v>
      </c>
      <c r="AW46" s="69">
        <v>1.2013140884862827</v>
      </c>
      <c r="AX46" s="69">
        <v>0.9754838709677417</v>
      </c>
      <c r="AY46" s="69">
        <v>3.6408908269426097</v>
      </c>
      <c r="AZ46" s="69">
        <v>8.486709677419352</v>
      </c>
      <c r="BA46" s="69">
        <v>3.2190967741935474</v>
      </c>
      <c r="BB46" s="69">
        <v>2.3411612903225798</v>
      </c>
      <c r="BC46" s="69">
        <v>5.3651612903225789</v>
      </c>
      <c r="BD46" s="69">
        <v>2.2990516172809263</v>
      </c>
      <c r="BE46" s="69">
        <v>4.2443817114689466</v>
      </c>
      <c r="BF46" s="69">
        <v>1.7133889036383527</v>
      </c>
      <c r="BG46" s="69">
        <v>2.5477461801313463</v>
      </c>
      <c r="BH46" s="69">
        <v>10.938187489878068</v>
      </c>
      <c r="BI46" s="69">
        <v>8.5593998565954639</v>
      </c>
      <c r="BJ46" s="69">
        <v>4.4605918803660334</v>
      </c>
      <c r="BK46" s="69">
        <v>3.6870039050494015</v>
      </c>
      <c r="BL46" s="12"/>
      <c r="BM46" s="20" t="str">
        <f>IF(BM29="Grand Total",AC27, "National")</f>
        <v>National</v>
      </c>
      <c r="BN46" s="68">
        <v>44941</v>
      </c>
      <c r="BO46" s="71">
        <f>IF(BM$29="Grand Total",AC46,AD226)</f>
        <v>3.2190967741935474</v>
      </c>
      <c r="BP46" s="71"/>
      <c r="BQ46" s="71"/>
    </row>
    <row r="47" spans="1:72" s="20" customFormat="1" ht="15.5" x14ac:dyDescent="0.35">
      <c r="A47" s="12"/>
      <c r="C47" s="19" t="s">
        <v>33</v>
      </c>
      <c r="D47" s="59">
        <v>770025.27878383687</v>
      </c>
      <c r="E47" s="17">
        <v>0.13100000000000001</v>
      </c>
      <c r="F47" s="18">
        <v>3.2000000000000001E-2</v>
      </c>
      <c r="G47" s="18">
        <f t="shared" si="0"/>
        <v>3.4000000000000002E-2</v>
      </c>
      <c r="H47" s="18">
        <f t="shared" si="1"/>
        <v>0.03</v>
      </c>
      <c r="I47" s="18">
        <f t="shared" si="2"/>
        <v>6.0479999999999999E-2</v>
      </c>
      <c r="J47" s="18">
        <v>0.16600000000000001</v>
      </c>
      <c r="K47" s="13"/>
      <c r="L47" s="63"/>
      <c r="M47" s="112"/>
      <c r="N47" s="110"/>
      <c r="O47" s="110"/>
      <c r="P47" s="110"/>
      <c r="Q47" s="110"/>
      <c r="R47" s="120" t="s">
        <v>135</v>
      </c>
      <c r="S47" s="120" t="s">
        <v>135</v>
      </c>
      <c r="T47" s="110"/>
      <c r="U47" s="110"/>
      <c r="V47" s="110"/>
      <c r="W47" s="110"/>
      <c r="X47" s="113"/>
      <c r="Y47" s="63"/>
      <c r="Z47" s="63"/>
      <c r="AA47" s="63"/>
      <c r="AB47" s="10" t="s">
        <v>76</v>
      </c>
      <c r="AC47" s="69">
        <v>3.3887903200114411</v>
      </c>
      <c r="AD47" s="69">
        <v>3.3829285025521645</v>
      </c>
      <c r="AE47" s="69">
        <v>2.9045023225865685</v>
      </c>
      <c r="AF47" s="69">
        <v>1.4776088660321762</v>
      </c>
      <c r="AG47" s="69">
        <v>1.4428038192975261</v>
      </c>
      <c r="AH47" s="69">
        <v>1.3051831910344882</v>
      </c>
      <c r="AI47" s="69">
        <v>1.6404595617418321</v>
      </c>
      <c r="AJ47" s="69">
        <v>1.6251685810647365</v>
      </c>
      <c r="AK47" s="69">
        <v>7.8230221621518821</v>
      </c>
      <c r="AL47" s="69">
        <v>8.8801873191994325</v>
      </c>
      <c r="AM47" s="69">
        <v>3.3829285025521645</v>
      </c>
      <c r="AN47" s="69">
        <v>3.8057945653711851</v>
      </c>
      <c r="AO47" s="69">
        <v>2.1722422410037594</v>
      </c>
      <c r="AP47" s="69">
        <v>2.1218846621708156</v>
      </c>
      <c r="AQ47" s="69">
        <v>6.5544239736948189</v>
      </c>
      <c r="AR47" s="69">
        <v>2.3110615094198659</v>
      </c>
      <c r="AS47" s="69">
        <v>3.3829285025521645</v>
      </c>
      <c r="AT47" s="69">
        <v>4.3343771438949608</v>
      </c>
      <c r="AU47" s="69">
        <v>2.8767586016937301</v>
      </c>
      <c r="AV47" s="69">
        <v>6.0258413951710432</v>
      </c>
      <c r="AW47" s="69">
        <v>1.3019050696944168</v>
      </c>
      <c r="AX47" s="69">
        <v>1.0571651570475515</v>
      </c>
      <c r="AY47" s="69">
        <v>3.9457576259454701</v>
      </c>
      <c r="AZ47" s="69">
        <v>9.1973368663136981</v>
      </c>
      <c r="BA47" s="69">
        <v>3.48864501825692</v>
      </c>
      <c r="BB47" s="69">
        <v>2.5371963769141233</v>
      </c>
      <c r="BC47" s="69">
        <v>5.8144083637615331</v>
      </c>
      <c r="BD47" s="69">
        <v>2.491560687345892</v>
      </c>
      <c r="BE47" s="69">
        <v>4.5997812902056747</v>
      </c>
      <c r="BF47" s="69">
        <v>1.8568580202165847</v>
      </c>
      <c r="BG47" s="69">
        <v>2.7610794712206186</v>
      </c>
      <c r="BH47" s="69">
        <v>11.85408702255714</v>
      </c>
      <c r="BI47" s="69">
        <v>9.2761136938672824</v>
      </c>
      <c r="BJ47" s="69">
        <v>4.8340956279000649</v>
      </c>
      <c r="BK47" s="69">
        <v>3.9957319421895203</v>
      </c>
      <c r="BL47" s="12"/>
      <c r="BM47" s="20" t="str">
        <f>AD27</f>
        <v>Badghis</v>
      </c>
      <c r="BN47" s="68">
        <v>44972</v>
      </c>
      <c r="BO47" s="71">
        <f>IF(BM$29="Grand Total",AC47,AE226)</f>
        <v>3.48864501825692</v>
      </c>
      <c r="BP47" s="71"/>
      <c r="BQ47" s="71"/>
    </row>
    <row r="48" spans="1:72" s="20" customFormat="1" ht="15.5" x14ac:dyDescent="0.35">
      <c r="A48" s="12"/>
      <c r="C48" s="19" t="s">
        <v>34</v>
      </c>
      <c r="D48" s="59">
        <v>1415729.4696370866</v>
      </c>
      <c r="E48" s="17">
        <v>9.8414436446626882E-2</v>
      </c>
      <c r="F48" s="18">
        <v>2.7474442410666051E-2</v>
      </c>
      <c r="G48" s="18">
        <f t="shared" si="0"/>
        <v>2.9474442410666053E-2</v>
      </c>
      <c r="H48" s="18">
        <f t="shared" si="1"/>
        <v>2.547444241066605E-2</v>
      </c>
      <c r="I48" s="18">
        <f t="shared" si="2"/>
        <v>5.1926696156158837E-2</v>
      </c>
      <c r="J48" s="18">
        <v>0.10099999999999999</v>
      </c>
      <c r="K48" s="63"/>
      <c r="L48" s="63"/>
      <c r="M48" s="121" t="s">
        <v>136</v>
      </c>
      <c r="N48" s="122" t="s">
        <v>136</v>
      </c>
      <c r="O48" s="122" t="s">
        <v>136</v>
      </c>
      <c r="P48" s="110"/>
      <c r="Q48" s="110"/>
      <c r="R48" s="110"/>
      <c r="S48" s="110"/>
      <c r="T48" s="110"/>
      <c r="U48" s="110"/>
      <c r="V48" s="110"/>
      <c r="W48" s="110"/>
      <c r="X48" s="113"/>
      <c r="Y48" s="63"/>
      <c r="Z48" s="63"/>
      <c r="AA48" s="63"/>
      <c r="AB48" s="10" t="s">
        <v>78</v>
      </c>
      <c r="AC48" s="69">
        <v>4.1041314489588601</v>
      </c>
      <c r="AD48" s="69">
        <v>4.0970322580645142</v>
      </c>
      <c r="AE48" s="69">
        <v>3.5176149009010809</v>
      </c>
      <c r="AF48" s="69">
        <v>1.7895179234112721</v>
      </c>
      <c r="AG48" s="69">
        <v>1.7473658651848787</v>
      </c>
      <c r="AH48" s="69">
        <v>1.5806948424472123</v>
      </c>
      <c r="AI48" s="69">
        <v>1.9867448388093811</v>
      </c>
      <c r="AJ48" s="69">
        <v>1.968226078792952</v>
      </c>
      <c r="AK48" s="69">
        <v>9.4743870967741906</v>
      </c>
      <c r="AL48" s="69">
        <v>10.754709677419351</v>
      </c>
      <c r="AM48" s="69">
        <v>4.0970322580645142</v>
      </c>
      <c r="AN48" s="69">
        <v>4.6091612903225787</v>
      </c>
      <c r="AO48" s="69">
        <v>2.6307817404383704</v>
      </c>
      <c r="AP48" s="69">
        <v>2.5697941597783163</v>
      </c>
      <c r="AQ48" s="69">
        <v>7.9379999999999971</v>
      </c>
      <c r="AR48" s="69">
        <v>2.7989044247672377</v>
      </c>
      <c r="AS48" s="69">
        <v>4.0970322580645142</v>
      </c>
      <c r="AT48" s="69">
        <v>5.2493225806451589</v>
      </c>
      <c r="AU48" s="69">
        <v>3.484014746664613</v>
      </c>
      <c r="AV48" s="69">
        <v>7.297838709677416</v>
      </c>
      <c r="AW48" s="69">
        <v>1.5767247411382459</v>
      </c>
      <c r="AX48" s="69">
        <v>1.2803225806451608</v>
      </c>
      <c r="AY48" s="69">
        <v>4.7786692103621746</v>
      </c>
      <c r="AZ48" s="69">
        <v>11.138806451612899</v>
      </c>
      <c r="BA48" s="69">
        <v>4.2250645161290308</v>
      </c>
      <c r="BB48" s="69">
        <v>3.0727741935483857</v>
      </c>
      <c r="BC48" s="69">
        <v>7.0417741935483837</v>
      </c>
      <c r="BD48" s="69">
        <v>3.0175052476812154</v>
      </c>
      <c r="BE48" s="69">
        <v>5.5707509963029924</v>
      </c>
      <c r="BF48" s="69">
        <v>2.2488229360253378</v>
      </c>
      <c r="BG48" s="69">
        <v>3.3439168614223918</v>
      </c>
      <c r="BH48" s="69">
        <v>14.356371080464964</v>
      </c>
      <c r="BI48" s="69">
        <v>11.234212311781546</v>
      </c>
      <c r="BJ48" s="69">
        <v>5.8545268429804178</v>
      </c>
      <c r="BK48" s="69">
        <v>4.839192625377339</v>
      </c>
      <c r="BL48" s="12"/>
      <c r="BN48" s="68">
        <v>45000</v>
      </c>
      <c r="BO48" s="71">
        <f>IF(BM$29="Grand Total",AC48,AF226)</f>
        <v>4.2250645161290308</v>
      </c>
      <c r="BP48" s="71"/>
      <c r="BQ48" s="71"/>
    </row>
    <row r="49" spans="1:94" s="20" customFormat="1" ht="15.5" x14ac:dyDescent="0.35">
      <c r="A49" s="12"/>
      <c r="C49" s="19" t="s">
        <v>35</v>
      </c>
      <c r="D49" s="59">
        <v>2067348.7668594862</v>
      </c>
      <c r="E49" s="17">
        <v>5.651194319090929E-2</v>
      </c>
      <c r="F49" s="18">
        <v>1.3977086325459676E-2</v>
      </c>
      <c r="G49" s="18">
        <f t="shared" si="0"/>
        <v>1.5977086325459675E-2</v>
      </c>
      <c r="H49" s="18">
        <f t="shared" si="1"/>
        <v>1.1977086325459676E-2</v>
      </c>
      <c r="I49" s="18">
        <f t="shared" si="2"/>
        <v>2.6416693155118787E-2</v>
      </c>
      <c r="J49" s="18">
        <v>0.16200000000000001</v>
      </c>
      <c r="L49" s="20" t="s">
        <v>137</v>
      </c>
      <c r="M49" s="112"/>
      <c r="N49" s="123" t="s">
        <v>138</v>
      </c>
      <c r="O49" s="123" t="s">
        <v>138</v>
      </c>
      <c r="P49" s="110"/>
      <c r="Q49" s="110"/>
      <c r="R49" s="110"/>
      <c r="S49" s="110"/>
      <c r="T49" s="110"/>
      <c r="U49" s="110"/>
      <c r="V49" s="110"/>
      <c r="W49" s="110"/>
      <c r="X49" s="113"/>
      <c r="Y49" s="12"/>
      <c r="Z49" s="63"/>
      <c r="AA49" s="63"/>
      <c r="AB49" s="10" t="s">
        <v>81</v>
      </c>
      <c r="AC49" s="69">
        <v>5.0813056034728747</v>
      </c>
      <c r="AD49" s="69">
        <v>5.0725161290322562</v>
      </c>
      <c r="AE49" s="69">
        <v>4.3551422582584811</v>
      </c>
      <c r="AF49" s="69">
        <v>2.2155936194615751</v>
      </c>
      <c r="AG49" s="69">
        <v>2.1634053568955642</v>
      </c>
      <c r="AH49" s="69">
        <v>1.9570507573155964</v>
      </c>
      <c r="AI49" s="69">
        <v>2.4597793242401864</v>
      </c>
      <c r="AJ49" s="69">
        <v>2.4368513356484169</v>
      </c>
      <c r="AK49" s="69">
        <v>11.730193548387094</v>
      </c>
      <c r="AL49" s="69">
        <v>13.315354838709673</v>
      </c>
      <c r="AM49" s="69">
        <v>5.0725161290322562</v>
      </c>
      <c r="AN49" s="69">
        <v>5.7065806451612886</v>
      </c>
      <c r="AO49" s="69">
        <v>3.2571583453046493</v>
      </c>
      <c r="AP49" s="69">
        <v>3.181649912106487</v>
      </c>
      <c r="AQ49" s="69">
        <v>9.8279999999999959</v>
      </c>
      <c r="AR49" s="69">
        <v>3.4653102401880087</v>
      </c>
      <c r="AS49" s="69">
        <v>5.0725161290322562</v>
      </c>
      <c r="AT49" s="69">
        <v>6.4991612903225775</v>
      </c>
      <c r="AU49" s="69">
        <v>4.3135420672990445</v>
      </c>
      <c r="AV49" s="69">
        <v>9.0354193548387052</v>
      </c>
      <c r="AW49" s="69">
        <v>1.9521353937902093</v>
      </c>
      <c r="AX49" s="69">
        <v>1.5851612903225802</v>
      </c>
      <c r="AY49" s="69">
        <v>5.9164475937817409</v>
      </c>
      <c r="AZ49" s="69">
        <v>13.790903225806447</v>
      </c>
      <c r="BA49" s="69">
        <v>5.2310322580645146</v>
      </c>
      <c r="BB49" s="69">
        <v>3.804387096774192</v>
      </c>
      <c r="BC49" s="69">
        <v>8.7183870967741903</v>
      </c>
      <c r="BD49" s="69">
        <v>3.7359588780815054</v>
      </c>
      <c r="BE49" s="69">
        <v>6.8971202811370382</v>
      </c>
      <c r="BF49" s="69">
        <v>2.7842569684123233</v>
      </c>
      <c r="BG49" s="69">
        <v>4.1400875427134372</v>
      </c>
      <c r="BH49" s="69">
        <v>17.77455467105186</v>
      </c>
      <c r="BI49" s="69">
        <v>13.909024766967628</v>
      </c>
      <c r="BJ49" s="69">
        <v>7.248461805594804</v>
      </c>
      <c r="BK49" s="69">
        <v>5.9913813457052791</v>
      </c>
      <c r="BL49" s="12"/>
      <c r="BN49" s="68">
        <v>45031</v>
      </c>
      <c r="BO49" s="71">
        <f>IF(BM$29="Grand Total",AC49,AG226)</f>
        <v>5.2310322580645146</v>
      </c>
      <c r="BP49" s="71"/>
      <c r="BQ49" s="71"/>
    </row>
    <row r="50" spans="1:94" s="20" customFormat="1" ht="15.5" x14ac:dyDescent="0.35">
      <c r="C50" s="19" t="s">
        <v>36</v>
      </c>
      <c r="D50" s="59">
        <v>694346.12804691156</v>
      </c>
      <c r="E50" s="17">
        <v>4.9807175082149227E-2</v>
      </c>
      <c r="F50" s="18">
        <v>1.3647856341832014E-2</v>
      </c>
      <c r="G50" s="18">
        <f t="shared" si="0"/>
        <v>1.5647856341832016E-2</v>
      </c>
      <c r="H50" s="18">
        <f t="shared" si="1"/>
        <v>1.1647856341832014E-2</v>
      </c>
      <c r="I50" s="18">
        <f t="shared" si="2"/>
        <v>2.5794448486062504E-2</v>
      </c>
      <c r="J50" s="18">
        <v>0.11199999999999999</v>
      </c>
      <c r="M50" s="112"/>
      <c r="N50" s="110"/>
      <c r="O50" s="110"/>
      <c r="P50" s="110"/>
      <c r="Q50" s="110"/>
      <c r="R50" s="124" t="s">
        <v>139</v>
      </c>
      <c r="S50" s="124" t="s">
        <v>139</v>
      </c>
      <c r="T50" s="110"/>
      <c r="U50" s="110"/>
      <c r="V50" s="110"/>
      <c r="W50" s="110"/>
      <c r="X50" s="113"/>
      <c r="Y50" s="79"/>
      <c r="Z50" s="63"/>
      <c r="AA50" s="63"/>
      <c r="AB50" s="10" t="s">
        <v>84</v>
      </c>
      <c r="AC50" s="69">
        <v>6.0584797579868894</v>
      </c>
      <c r="AD50" s="69">
        <v>6.0479999999999983</v>
      </c>
      <c r="AE50" s="69">
        <v>5.1926696156158823</v>
      </c>
      <c r="AF50" s="69">
        <v>2.6416693155118782</v>
      </c>
      <c r="AG50" s="69">
        <v>2.5794448486062498</v>
      </c>
      <c r="AH50" s="69">
        <v>2.3334066721839801</v>
      </c>
      <c r="AI50" s="69">
        <v>2.9328138096709915</v>
      </c>
      <c r="AJ50" s="69">
        <v>2.9054765925038817</v>
      </c>
      <c r="AK50" s="69">
        <v>13.985999999999997</v>
      </c>
      <c r="AL50" s="69">
        <v>15.875999999999996</v>
      </c>
      <c r="AM50" s="69">
        <v>6.0479999999999983</v>
      </c>
      <c r="AN50" s="69">
        <v>6.8039999999999976</v>
      </c>
      <c r="AO50" s="69">
        <v>3.8835349501709282</v>
      </c>
      <c r="AP50" s="69">
        <v>3.7935056644346576</v>
      </c>
      <c r="AQ50" s="69">
        <v>11.717999999999996</v>
      </c>
      <c r="AR50" s="69">
        <v>4.1317160556087797</v>
      </c>
      <c r="AS50" s="69">
        <v>6.0479999999999983</v>
      </c>
      <c r="AT50" s="69">
        <v>7.748999999999997</v>
      </c>
      <c r="AU50" s="69">
        <v>5.1430693879334761</v>
      </c>
      <c r="AV50" s="69">
        <v>10.772999999999996</v>
      </c>
      <c r="AW50" s="69">
        <v>2.3275460464421727</v>
      </c>
      <c r="AX50" s="69">
        <v>1.8899999999999995</v>
      </c>
      <c r="AY50" s="69">
        <v>7.0542259772013063</v>
      </c>
      <c r="AZ50" s="69">
        <v>16.442999999999994</v>
      </c>
      <c r="BA50" s="69">
        <v>6.2369999999999983</v>
      </c>
      <c r="BB50" s="69">
        <v>4.5359999999999978</v>
      </c>
      <c r="BC50" s="69">
        <v>10.394999999999996</v>
      </c>
      <c r="BD50" s="69">
        <v>4.4544125084817949</v>
      </c>
      <c r="BE50" s="69">
        <v>8.223489565971084</v>
      </c>
      <c r="BF50" s="69">
        <v>3.3196910007993083</v>
      </c>
      <c r="BG50" s="69">
        <v>4.936258224004483</v>
      </c>
      <c r="BH50" s="69">
        <v>21.192738261638755</v>
      </c>
      <c r="BI50" s="69">
        <v>16.583837222153711</v>
      </c>
      <c r="BJ50" s="69">
        <v>8.6423967682091902</v>
      </c>
      <c r="BK50" s="69">
        <v>7.1435700660332166</v>
      </c>
      <c r="BL50" s="12"/>
      <c r="BN50" s="68">
        <v>45061</v>
      </c>
      <c r="BO50" s="71">
        <f>IF(BM$29="Grand Total",AC50,AH226)</f>
        <v>6.2369999999999983</v>
      </c>
      <c r="BP50" s="71"/>
      <c r="BQ50" s="70"/>
    </row>
    <row r="51" spans="1:94" s="20" customFormat="1" ht="15.5" x14ac:dyDescent="0.35">
      <c r="C51" s="19" t="s">
        <v>37</v>
      </c>
      <c r="D51" s="59">
        <v>715032.96403197071</v>
      </c>
      <c r="E51" s="17">
        <v>5.2810694544647187E-2</v>
      </c>
      <c r="F51" s="18">
        <v>1.2346067048592493E-2</v>
      </c>
      <c r="G51" s="18">
        <f t="shared" si="0"/>
        <v>1.4346067048592493E-2</v>
      </c>
      <c r="H51" s="18">
        <f t="shared" si="1"/>
        <v>1.0346067048592493E-2</v>
      </c>
      <c r="I51" s="18">
        <f t="shared" si="2"/>
        <v>2.3334066721839811E-2</v>
      </c>
      <c r="J51" s="18">
        <v>9.5000000000000001E-2</v>
      </c>
      <c r="K51" s="63"/>
      <c r="L51" s="63"/>
      <c r="M51" s="112"/>
      <c r="N51" s="110"/>
      <c r="O51" s="110"/>
      <c r="P51" s="110"/>
      <c r="Q51" s="110"/>
      <c r="R51" s="110"/>
      <c r="S51" s="125" t="s">
        <v>140</v>
      </c>
      <c r="T51" s="110"/>
      <c r="U51" s="110"/>
      <c r="V51" s="110"/>
      <c r="W51" s="110"/>
      <c r="X51" s="113"/>
      <c r="Y51" s="79"/>
      <c r="Z51" s="63"/>
      <c r="AA51" s="63"/>
      <c r="AB51" s="10" t="s">
        <v>86</v>
      </c>
      <c r="AC51" s="69">
        <v>6.7738208869343088</v>
      </c>
      <c r="AD51" s="69">
        <v>6.7621037555123484</v>
      </c>
      <c r="AE51" s="69">
        <v>5.8057821939303951</v>
      </c>
      <c r="AF51" s="69">
        <v>2.9535783728909739</v>
      </c>
      <c r="AG51" s="69">
        <v>2.8840068944936021</v>
      </c>
      <c r="AH51" s="69">
        <v>2.6089183235967046</v>
      </c>
      <c r="AI51" s="69">
        <v>3.2790990867385412</v>
      </c>
      <c r="AJ51" s="69">
        <v>3.2485340902320976</v>
      </c>
      <c r="AK51" s="69">
        <v>15.637364934622308</v>
      </c>
      <c r="AL51" s="69">
        <v>17.750522358219914</v>
      </c>
      <c r="AM51" s="69">
        <v>6.7621037555123484</v>
      </c>
      <c r="AN51" s="69">
        <v>7.6073667249513921</v>
      </c>
      <c r="AO51" s="69">
        <v>4.3420744496055397</v>
      </c>
      <c r="AP51" s="69">
        <v>4.2414151620421583</v>
      </c>
      <c r="AQ51" s="69">
        <v>13.101576026305175</v>
      </c>
      <c r="AR51" s="69">
        <v>4.6195589709561515</v>
      </c>
      <c r="AS51" s="69">
        <v>6.7621037555123484</v>
      </c>
      <c r="AT51" s="69">
        <v>8.6639454367501951</v>
      </c>
      <c r="AU51" s="69">
        <v>5.7503255329043599</v>
      </c>
      <c r="AV51" s="69">
        <v>12.04499731450637</v>
      </c>
      <c r="AW51" s="69">
        <v>2.602365717886002</v>
      </c>
      <c r="AX51" s="69">
        <v>2.1131574235976092</v>
      </c>
      <c r="AY51" s="69">
        <v>7.8871375616180117</v>
      </c>
      <c r="AZ51" s="69">
        <v>18.384469585299197</v>
      </c>
      <c r="BA51" s="69">
        <v>6.9734194978721096</v>
      </c>
      <c r="BB51" s="69">
        <v>5.0715778166342611</v>
      </c>
      <c r="BC51" s="69">
        <v>11.622365829786848</v>
      </c>
      <c r="BD51" s="69">
        <v>4.9803570688171188</v>
      </c>
      <c r="BE51" s="69">
        <v>9.1944592720684035</v>
      </c>
      <c r="BF51" s="69">
        <v>3.7116559166080618</v>
      </c>
      <c r="BG51" s="69">
        <v>5.5190956142062566</v>
      </c>
      <c r="BH51" s="69">
        <v>23.695022319546581</v>
      </c>
      <c r="BI51" s="69">
        <v>18.541935840067975</v>
      </c>
      <c r="BJ51" s="69">
        <v>9.6628279832895441</v>
      </c>
      <c r="BK51" s="69">
        <v>7.9870307492210353</v>
      </c>
      <c r="BL51" s="12"/>
      <c r="BN51" s="68">
        <v>45092</v>
      </c>
      <c r="BO51" s="71">
        <f>IF(BM$29="Grand Total",AC51,AI226)</f>
        <v>6.9734194978721096</v>
      </c>
      <c r="BP51" s="71"/>
      <c r="BQ51" s="70"/>
    </row>
    <row r="52" spans="1:94" ht="15.5" x14ac:dyDescent="0.35">
      <c r="A52" s="20"/>
      <c r="B52" s="20"/>
      <c r="C52" s="19" t="s">
        <v>38</v>
      </c>
      <c r="D52" s="59">
        <v>788028.70607005886</v>
      </c>
      <c r="E52" s="17">
        <v>3.9427477059562489E-2</v>
      </c>
      <c r="F52" s="18">
        <v>1.5517533384502607E-2</v>
      </c>
      <c r="G52" s="18">
        <f t="shared" si="0"/>
        <v>1.7517533384502605E-2</v>
      </c>
      <c r="H52" s="18">
        <f t="shared" si="1"/>
        <v>1.3517533384502607E-2</v>
      </c>
      <c r="I52" s="18">
        <f t="shared" si="2"/>
        <v>2.9328138096709925E-2</v>
      </c>
      <c r="J52" s="18">
        <v>7.5999999999999998E-2</v>
      </c>
      <c r="L52" s="20"/>
      <c r="M52" s="112"/>
      <c r="N52" s="20"/>
      <c r="O52" s="20"/>
      <c r="P52" s="20"/>
      <c r="Q52" s="20"/>
      <c r="R52" s="133" t="s">
        <v>141</v>
      </c>
      <c r="S52" s="133" t="s">
        <v>141</v>
      </c>
      <c r="T52" s="133" t="s">
        <v>141</v>
      </c>
      <c r="U52" s="133" t="s">
        <v>141</v>
      </c>
      <c r="V52" s="20"/>
      <c r="W52" s="20"/>
      <c r="X52" s="113"/>
      <c r="Y52" s="79"/>
      <c r="AB52" s="10" t="s">
        <v>89</v>
      </c>
      <c r="AC52" s="69">
        <v>7.0356539125009041</v>
      </c>
      <c r="AD52" s="69">
        <v>7.0234838709677394</v>
      </c>
      <c r="AE52" s="69">
        <v>6.0301969729732825</v>
      </c>
      <c r="AF52" s="69">
        <v>3.0677450115621809</v>
      </c>
      <c r="AG52" s="69">
        <v>2.9954843403169349</v>
      </c>
      <c r="AH52" s="69">
        <v>2.7097625870523645</v>
      </c>
      <c r="AI52" s="69">
        <v>3.405848295101797</v>
      </c>
      <c r="AJ52" s="69">
        <v>3.3741018493593469</v>
      </c>
      <c r="AK52" s="69">
        <v>16.241806451612902</v>
      </c>
      <c r="AL52" s="69">
        <v>18.436645161290318</v>
      </c>
      <c r="AM52" s="69">
        <v>7.0234838709677394</v>
      </c>
      <c r="AN52" s="69">
        <v>7.9014193548387075</v>
      </c>
      <c r="AO52" s="69">
        <v>4.5099115550372071</v>
      </c>
      <c r="AP52" s="69">
        <v>4.4053614167628279</v>
      </c>
      <c r="AQ52" s="69">
        <v>13.607999999999995</v>
      </c>
      <c r="AR52" s="69">
        <v>4.7981218710295508</v>
      </c>
      <c r="AS52" s="69">
        <v>7.0234838709677394</v>
      </c>
      <c r="AT52" s="69">
        <v>8.9988387096774147</v>
      </c>
      <c r="AU52" s="69">
        <v>5.9725967085679086</v>
      </c>
      <c r="AV52" s="69">
        <v>12.510580645161285</v>
      </c>
      <c r="AW52" s="69">
        <v>2.7029566990941363</v>
      </c>
      <c r="AX52" s="69">
        <v>2.1948387096774189</v>
      </c>
      <c r="AY52" s="69">
        <v>8.1920043606208726</v>
      </c>
      <c r="AZ52" s="69">
        <v>19.095096774193543</v>
      </c>
      <c r="BA52" s="69">
        <v>7.2429677419354821</v>
      </c>
      <c r="BB52" s="69">
        <v>5.2676129032258041</v>
      </c>
      <c r="BC52" s="69">
        <v>12.071612903225802</v>
      </c>
      <c r="BD52" s="69">
        <v>5.1728661388820845</v>
      </c>
      <c r="BE52" s="69">
        <v>9.5498588508051316</v>
      </c>
      <c r="BF52" s="69">
        <v>3.8551250331862938</v>
      </c>
      <c r="BG52" s="69">
        <v>5.7324289052955288</v>
      </c>
      <c r="BH52" s="69">
        <v>24.610921852225655</v>
      </c>
      <c r="BI52" s="69">
        <v>19.258649677339793</v>
      </c>
      <c r="BJ52" s="69">
        <v>10.036331730823575</v>
      </c>
      <c r="BK52" s="69">
        <v>8.295758786361155</v>
      </c>
      <c r="BM52" s="20"/>
      <c r="BN52" s="68">
        <v>45122</v>
      </c>
      <c r="BO52" s="71">
        <f>IF(BM$29="Grand Total",AC52,AJ226)</f>
        <v>7.2429677419354821</v>
      </c>
      <c r="BP52" s="71"/>
      <c r="BQ52" s="70"/>
    </row>
    <row r="53" spans="1:94" s="15" customFormat="1" ht="15.5" x14ac:dyDescent="0.35">
      <c r="A53" s="20"/>
      <c r="B53" s="20"/>
      <c r="C53" s="19" t="s">
        <v>39</v>
      </c>
      <c r="D53" s="59">
        <v>1550687.9745212314</v>
      </c>
      <c r="E53" s="17">
        <v>3.7345187182510869E-2</v>
      </c>
      <c r="F53" s="18">
        <v>1.5372892023830067E-2</v>
      </c>
      <c r="G53" s="18">
        <f t="shared" si="0"/>
        <v>1.7372892023830067E-2</v>
      </c>
      <c r="H53" s="18">
        <f t="shared" si="1"/>
        <v>1.3372892023830067E-2</v>
      </c>
      <c r="I53" s="18">
        <f t="shared" si="2"/>
        <v>2.9054765925038827E-2</v>
      </c>
      <c r="J53" s="18">
        <v>0.16399999999999998</v>
      </c>
      <c r="K53" s="79"/>
      <c r="L53" s="20"/>
      <c r="M53" s="112"/>
      <c r="N53" s="110"/>
      <c r="O53" s="126" t="s">
        <v>142</v>
      </c>
      <c r="P53" s="126" t="s">
        <v>142</v>
      </c>
      <c r="Q53" s="126" t="s">
        <v>142</v>
      </c>
      <c r="R53" s="110"/>
      <c r="S53" s="110"/>
      <c r="T53" s="110"/>
      <c r="U53" s="110"/>
      <c r="V53" s="110"/>
      <c r="W53" s="110"/>
      <c r="X53" s="113"/>
      <c r="Y53" s="79"/>
      <c r="Z53" s="79"/>
      <c r="AA53" s="79"/>
      <c r="AB53" s="10" t="s">
        <v>92</v>
      </c>
      <c r="AC53" s="69">
        <v>6.7738208869343088</v>
      </c>
      <c r="AD53" s="69">
        <v>6.7621037555123484</v>
      </c>
      <c r="AE53" s="69">
        <v>5.8057821939303951</v>
      </c>
      <c r="AF53" s="69">
        <v>2.9535783728909739</v>
      </c>
      <c r="AG53" s="69">
        <v>2.8840068944936021</v>
      </c>
      <c r="AH53" s="69">
        <v>2.6089183235967046</v>
      </c>
      <c r="AI53" s="69">
        <v>3.2790990867385412</v>
      </c>
      <c r="AJ53" s="69">
        <v>3.2485340902320976</v>
      </c>
      <c r="AK53" s="69">
        <v>15.637364934622308</v>
      </c>
      <c r="AL53" s="69">
        <v>17.750522358219914</v>
      </c>
      <c r="AM53" s="69">
        <v>6.7621037555123484</v>
      </c>
      <c r="AN53" s="69">
        <v>7.6073667249513921</v>
      </c>
      <c r="AO53" s="69">
        <v>4.3420744496055397</v>
      </c>
      <c r="AP53" s="69">
        <v>4.2414151620421583</v>
      </c>
      <c r="AQ53" s="69">
        <v>13.101576026305175</v>
      </c>
      <c r="AR53" s="69">
        <v>4.6195589709561515</v>
      </c>
      <c r="AS53" s="69">
        <v>6.7621037555123484</v>
      </c>
      <c r="AT53" s="69">
        <v>8.6639454367501951</v>
      </c>
      <c r="AU53" s="69">
        <v>5.7503255329043599</v>
      </c>
      <c r="AV53" s="69">
        <v>12.04499731450637</v>
      </c>
      <c r="AW53" s="69">
        <v>2.602365717886002</v>
      </c>
      <c r="AX53" s="69">
        <v>2.1131574235976092</v>
      </c>
      <c r="AY53" s="69">
        <v>7.8871375616180117</v>
      </c>
      <c r="AZ53" s="69">
        <v>18.384469585299197</v>
      </c>
      <c r="BA53" s="69">
        <v>6.9734194978721096</v>
      </c>
      <c r="BB53" s="69">
        <v>5.0715778166342611</v>
      </c>
      <c r="BC53" s="69">
        <v>11.622365829786848</v>
      </c>
      <c r="BD53" s="69">
        <v>4.9803570688171188</v>
      </c>
      <c r="BE53" s="69">
        <v>9.1944592720684035</v>
      </c>
      <c r="BF53" s="69">
        <v>3.7116559166080618</v>
      </c>
      <c r="BG53" s="69">
        <v>5.5190956142062566</v>
      </c>
      <c r="BH53" s="69">
        <v>23.695022319546581</v>
      </c>
      <c r="BI53" s="69">
        <v>18.541935840067975</v>
      </c>
      <c r="BJ53" s="69">
        <v>9.6628279832895441</v>
      </c>
      <c r="BK53" s="69">
        <v>7.9870307492210353</v>
      </c>
      <c r="BL53" s="12"/>
      <c r="BM53" s="20"/>
      <c r="BN53" s="68">
        <v>45153</v>
      </c>
      <c r="BO53" s="71">
        <f>IF(BM$29="Grand Total",AC53,AK226)</f>
        <v>6.9734194978721096</v>
      </c>
      <c r="BP53" s="71"/>
      <c r="BQ53" s="70"/>
    </row>
    <row r="54" spans="1:94" s="16" customFormat="1" ht="15.5" x14ac:dyDescent="0.35">
      <c r="A54" s="20"/>
      <c r="B54" s="20"/>
      <c r="C54" s="19" t="s">
        <v>40</v>
      </c>
      <c r="D54" s="59">
        <v>1908131.1477053759</v>
      </c>
      <c r="E54" s="17">
        <v>0.19600000000000001</v>
      </c>
      <c r="F54" s="18">
        <v>7.400000000000001E-2</v>
      </c>
      <c r="G54" s="18">
        <f t="shared" si="0"/>
        <v>7.6000000000000012E-2</v>
      </c>
      <c r="H54" s="18">
        <f t="shared" si="1"/>
        <v>7.2000000000000008E-2</v>
      </c>
      <c r="I54" s="18">
        <f t="shared" si="2"/>
        <v>0.13986000000000001</v>
      </c>
      <c r="J54" s="18">
        <v>3.1E-2</v>
      </c>
      <c r="K54" s="79"/>
      <c r="L54" s="12" t="s">
        <v>143</v>
      </c>
      <c r="M54" s="112"/>
      <c r="N54" s="110"/>
      <c r="O54" s="127" t="s">
        <v>144</v>
      </c>
      <c r="P54" s="110"/>
      <c r="Q54" s="110"/>
      <c r="R54" s="110"/>
      <c r="S54" s="110"/>
      <c r="T54" s="110"/>
      <c r="U54" s="110"/>
      <c r="V54" s="110"/>
      <c r="W54" s="110"/>
      <c r="X54" s="113"/>
      <c r="Y54" s="79"/>
      <c r="Z54" s="79"/>
      <c r="AA54" s="79"/>
      <c r="AB54" s="10" t="s">
        <v>93</v>
      </c>
      <c r="AC54" s="69">
        <v>6.0584797579868894</v>
      </c>
      <c r="AD54" s="69">
        <v>6.0479999999999983</v>
      </c>
      <c r="AE54" s="69">
        <v>5.1926696156158823</v>
      </c>
      <c r="AF54" s="69">
        <v>2.6416693155118782</v>
      </c>
      <c r="AG54" s="69">
        <v>2.5794448486062498</v>
      </c>
      <c r="AH54" s="69">
        <v>2.3334066721839801</v>
      </c>
      <c r="AI54" s="69">
        <v>2.9328138096709915</v>
      </c>
      <c r="AJ54" s="69">
        <v>2.9054765925038817</v>
      </c>
      <c r="AK54" s="69">
        <v>13.985999999999997</v>
      </c>
      <c r="AL54" s="69">
        <v>15.875999999999996</v>
      </c>
      <c r="AM54" s="69">
        <v>6.0479999999999983</v>
      </c>
      <c r="AN54" s="69">
        <v>6.8039999999999976</v>
      </c>
      <c r="AO54" s="69">
        <v>3.8835349501709282</v>
      </c>
      <c r="AP54" s="69">
        <v>3.7935056644346576</v>
      </c>
      <c r="AQ54" s="69">
        <v>11.717999999999996</v>
      </c>
      <c r="AR54" s="69">
        <v>4.1317160556087797</v>
      </c>
      <c r="AS54" s="69">
        <v>6.0479999999999983</v>
      </c>
      <c r="AT54" s="69">
        <v>7.748999999999997</v>
      </c>
      <c r="AU54" s="69">
        <v>5.1430693879334761</v>
      </c>
      <c r="AV54" s="69">
        <v>10.772999999999996</v>
      </c>
      <c r="AW54" s="69">
        <v>2.3275460464421727</v>
      </c>
      <c r="AX54" s="69">
        <v>1.8899999999999995</v>
      </c>
      <c r="AY54" s="69">
        <v>7.0542259772013063</v>
      </c>
      <c r="AZ54" s="69">
        <v>16.442999999999994</v>
      </c>
      <c r="BA54" s="69">
        <v>6.2369999999999983</v>
      </c>
      <c r="BB54" s="69">
        <v>4.5359999999999978</v>
      </c>
      <c r="BC54" s="69">
        <v>10.394999999999996</v>
      </c>
      <c r="BD54" s="69">
        <v>4.4544125084817949</v>
      </c>
      <c r="BE54" s="69">
        <v>8.223489565971084</v>
      </c>
      <c r="BF54" s="69">
        <v>3.3196910007993083</v>
      </c>
      <c r="BG54" s="69">
        <v>4.936258224004483</v>
      </c>
      <c r="BH54" s="69">
        <v>21.192738261638755</v>
      </c>
      <c r="BI54" s="69">
        <v>16.583837222153711</v>
      </c>
      <c r="BJ54" s="69">
        <v>8.6423967682091902</v>
      </c>
      <c r="BK54" s="69">
        <v>7.1435700660332166</v>
      </c>
      <c r="BL54" s="12"/>
      <c r="BM54" s="20"/>
      <c r="BN54" s="68">
        <v>45184</v>
      </c>
      <c r="BO54" s="71">
        <f>IF(BM$29="Grand Total",AC54,AL226)</f>
        <v>6.2369999999999983</v>
      </c>
      <c r="BP54" s="71"/>
      <c r="BQ54" s="70"/>
    </row>
    <row r="55" spans="1:94" s="20" customFormat="1" ht="15.5" x14ac:dyDescent="0.35">
      <c r="C55" s="19" t="s">
        <v>41</v>
      </c>
      <c r="D55" s="59">
        <v>1071611.7039073266</v>
      </c>
      <c r="E55" s="17">
        <v>0.20699999999999999</v>
      </c>
      <c r="F55" s="18">
        <v>8.4000000000000005E-2</v>
      </c>
      <c r="G55" s="18">
        <f t="shared" si="0"/>
        <v>8.6000000000000007E-2</v>
      </c>
      <c r="H55" s="18">
        <f t="shared" si="1"/>
        <v>8.2000000000000003E-2</v>
      </c>
      <c r="I55" s="18">
        <f t="shared" si="2"/>
        <v>0.15876000000000001</v>
      </c>
      <c r="J55" s="18">
        <v>7.5999999999999998E-2</v>
      </c>
      <c r="K55" s="79"/>
      <c r="L55" s="15"/>
      <c r="M55" s="112"/>
      <c r="N55" s="132" t="s">
        <v>145</v>
      </c>
      <c r="O55" s="132" t="s">
        <v>145</v>
      </c>
      <c r="P55" s="132" t="s">
        <v>145</v>
      </c>
      <c r="Q55" s="110"/>
      <c r="R55" s="110"/>
      <c r="S55" s="110"/>
      <c r="T55" s="110"/>
      <c r="U55" s="110"/>
      <c r="V55" s="110"/>
      <c r="W55" s="110"/>
      <c r="X55" s="113"/>
      <c r="Y55" s="79"/>
      <c r="Z55" s="79"/>
      <c r="AA55" s="79"/>
      <c r="AB55" s="10" t="s">
        <v>95</v>
      </c>
      <c r="AC55" s="69">
        <v>5.0813056034728747</v>
      </c>
      <c r="AD55" s="69">
        <v>5.0725161290322562</v>
      </c>
      <c r="AE55" s="69">
        <v>4.3551422582584811</v>
      </c>
      <c r="AF55" s="69">
        <v>2.2155936194615751</v>
      </c>
      <c r="AG55" s="69">
        <v>2.1634053568955642</v>
      </c>
      <c r="AH55" s="69">
        <v>1.9570507573155964</v>
      </c>
      <c r="AI55" s="69">
        <v>2.4597793242401864</v>
      </c>
      <c r="AJ55" s="69">
        <v>2.4368513356484169</v>
      </c>
      <c r="AK55" s="69">
        <v>11.730193548387094</v>
      </c>
      <c r="AL55" s="69">
        <v>13.315354838709673</v>
      </c>
      <c r="AM55" s="69">
        <v>5.0725161290322562</v>
      </c>
      <c r="AN55" s="69">
        <v>5.7065806451612886</v>
      </c>
      <c r="AO55" s="69">
        <v>3.2571583453046493</v>
      </c>
      <c r="AP55" s="69">
        <v>3.181649912106487</v>
      </c>
      <c r="AQ55" s="69">
        <v>9.8279999999999959</v>
      </c>
      <c r="AR55" s="69">
        <v>3.4653102401880087</v>
      </c>
      <c r="AS55" s="69">
        <v>5.0725161290322562</v>
      </c>
      <c r="AT55" s="69">
        <v>6.4991612903225775</v>
      </c>
      <c r="AU55" s="69">
        <v>4.3135420672990445</v>
      </c>
      <c r="AV55" s="69">
        <v>9.0354193548387052</v>
      </c>
      <c r="AW55" s="69">
        <v>1.9521353937902093</v>
      </c>
      <c r="AX55" s="69">
        <v>1.5851612903225802</v>
      </c>
      <c r="AY55" s="69">
        <v>5.9164475937817409</v>
      </c>
      <c r="AZ55" s="69">
        <v>13.790903225806447</v>
      </c>
      <c r="BA55" s="69">
        <v>5.2310322580645146</v>
      </c>
      <c r="BB55" s="69">
        <v>3.804387096774192</v>
      </c>
      <c r="BC55" s="69">
        <v>8.7183870967741903</v>
      </c>
      <c r="BD55" s="69">
        <v>3.7359588780815054</v>
      </c>
      <c r="BE55" s="69">
        <v>6.8971202811370382</v>
      </c>
      <c r="BF55" s="69">
        <v>2.7842569684123233</v>
      </c>
      <c r="BG55" s="69">
        <v>4.1400875427134372</v>
      </c>
      <c r="BH55" s="69">
        <v>17.77455467105186</v>
      </c>
      <c r="BI55" s="69">
        <v>13.909024766967628</v>
      </c>
      <c r="BJ55" s="69">
        <v>7.248461805594804</v>
      </c>
      <c r="BK55" s="69">
        <v>5.9913813457052791</v>
      </c>
      <c r="BL55" s="12"/>
      <c r="BM55" s="66"/>
      <c r="BN55" s="68">
        <v>45214</v>
      </c>
      <c r="BO55" s="71">
        <f>IF(BM$29="Grand Total",AC55,AM226)</f>
        <v>5.2310322580645146</v>
      </c>
      <c r="BP55" s="12"/>
      <c r="BQ55" s="70"/>
    </row>
    <row r="56" spans="1:94" s="20" customFormat="1" ht="15.5" x14ac:dyDescent="0.35">
      <c r="A56" s="12"/>
      <c r="C56" s="19" t="s">
        <v>42</v>
      </c>
      <c r="D56" s="59">
        <v>1435993.2525717313</v>
      </c>
      <c r="E56" s="17">
        <v>0.127</v>
      </c>
      <c r="F56" s="18">
        <v>3.2000000000000001E-2</v>
      </c>
      <c r="G56" s="18">
        <f t="shared" si="0"/>
        <v>3.4000000000000002E-2</v>
      </c>
      <c r="H56" s="18">
        <f t="shared" si="1"/>
        <v>0.03</v>
      </c>
      <c r="I56" s="18">
        <f t="shared" si="2"/>
        <v>6.0479999999999999E-2</v>
      </c>
      <c r="J56" s="18">
        <v>3.7000000000000005E-2</v>
      </c>
      <c r="K56" s="79"/>
      <c r="L56" s="16"/>
      <c r="M56" s="112"/>
      <c r="N56" s="110"/>
      <c r="O56" s="110"/>
      <c r="P56" s="110"/>
      <c r="Q56" s="110"/>
      <c r="R56" s="128" t="s">
        <v>146</v>
      </c>
      <c r="S56" s="128" t="s">
        <v>146</v>
      </c>
      <c r="T56" s="128" t="s">
        <v>146</v>
      </c>
      <c r="U56" s="110"/>
      <c r="V56" s="110"/>
      <c r="W56" s="110"/>
      <c r="X56" s="113"/>
      <c r="Y56" s="79"/>
      <c r="Z56" s="79"/>
      <c r="AA56" s="79"/>
      <c r="AB56" s="10" t="s">
        <v>97</v>
      </c>
      <c r="AC56" s="69">
        <v>4.1041314489588601</v>
      </c>
      <c r="AD56" s="69">
        <v>4.0970322580645142</v>
      </c>
      <c r="AE56" s="69">
        <v>3.5176149009010809</v>
      </c>
      <c r="AF56" s="69">
        <v>1.7895179234112721</v>
      </c>
      <c r="AG56" s="69">
        <v>1.7473658651848787</v>
      </c>
      <c r="AH56" s="69">
        <v>1.5806948424472123</v>
      </c>
      <c r="AI56" s="69">
        <v>1.9867448388093811</v>
      </c>
      <c r="AJ56" s="69">
        <v>1.968226078792952</v>
      </c>
      <c r="AK56" s="69">
        <v>9.4743870967741906</v>
      </c>
      <c r="AL56" s="69">
        <v>10.754709677419351</v>
      </c>
      <c r="AM56" s="69">
        <v>4.0970322580645142</v>
      </c>
      <c r="AN56" s="69">
        <v>4.6091612903225787</v>
      </c>
      <c r="AO56" s="69">
        <v>2.6307817404383704</v>
      </c>
      <c r="AP56" s="69">
        <v>2.5697941597783163</v>
      </c>
      <c r="AQ56" s="69">
        <v>7.9379999999999971</v>
      </c>
      <c r="AR56" s="69">
        <v>2.7989044247672377</v>
      </c>
      <c r="AS56" s="69">
        <v>4.0970322580645142</v>
      </c>
      <c r="AT56" s="69">
        <v>5.2493225806451589</v>
      </c>
      <c r="AU56" s="69">
        <v>3.484014746664613</v>
      </c>
      <c r="AV56" s="69">
        <v>7.297838709677416</v>
      </c>
      <c r="AW56" s="69">
        <v>1.5767247411382459</v>
      </c>
      <c r="AX56" s="69">
        <v>1.2803225806451608</v>
      </c>
      <c r="AY56" s="69">
        <v>4.7786692103621746</v>
      </c>
      <c r="AZ56" s="69">
        <v>11.138806451612899</v>
      </c>
      <c r="BA56" s="69">
        <v>4.2250645161290308</v>
      </c>
      <c r="BB56" s="69">
        <v>3.0727741935483857</v>
      </c>
      <c r="BC56" s="69">
        <v>7.0417741935483837</v>
      </c>
      <c r="BD56" s="69">
        <v>3.0175052476812154</v>
      </c>
      <c r="BE56" s="69">
        <v>5.5707509963029924</v>
      </c>
      <c r="BF56" s="69">
        <v>2.2488229360253378</v>
      </c>
      <c r="BG56" s="69">
        <v>3.3439168614223918</v>
      </c>
      <c r="BH56" s="69">
        <v>14.356371080464964</v>
      </c>
      <c r="BI56" s="69">
        <v>11.234212311781546</v>
      </c>
      <c r="BJ56" s="69">
        <v>5.8545268429804178</v>
      </c>
      <c r="BK56" s="69">
        <v>4.839192625377339</v>
      </c>
      <c r="BL56" s="12"/>
      <c r="BM56" s="66"/>
      <c r="BN56" s="68">
        <v>45245</v>
      </c>
      <c r="BO56" s="71">
        <f>IF(BM$29="Grand Total",AC56,AN226)</f>
        <v>4.2250645161290308</v>
      </c>
      <c r="BP56" s="12"/>
      <c r="BQ56" s="70"/>
      <c r="BZ56"/>
      <c r="CA56"/>
      <c r="CB56"/>
      <c r="CC56"/>
    </row>
    <row r="57" spans="1:94" s="20" customFormat="1" ht="15.5" x14ac:dyDescent="0.35">
      <c r="A57" s="15"/>
      <c r="C57" s="19" t="s">
        <v>43</v>
      </c>
      <c r="D57" s="59">
        <v>2945070.8286866918</v>
      </c>
      <c r="E57" s="17">
        <v>0.109</v>
      </c>
      <c r="F57" s="18">
        <v>3.6000000000000004E-2</v>
      </c>
      <c r="G57" s="18">
        <f t="shared" si="0"/>
        <v>3.8000000000000006E-2</v>
      </c>
      <c r="H57" s="18">
        <f t="shared" si="1"/>
        <v>3.4000000000000002E-2</v>
      </c>
      <c r="I57" s="18">
        <f t="shared" si="2"/>
        <v>6.8040000000000003E-2</v>
      </c>
      <c r="J57" s="18">
        <v>0.10800000000000001</v>
      </c>
      <c r="K57" s="79"/>
      <c r="M57" s="112"/>
      <c r="N57" s="110"/>
      <c r="O57" s="110"/>
      <c r="P57" s="129" t="s">
        <v>147</v>
      </c>
      <c r="Q57" s="129" t="s">
        <v>147</v>
      </c>
      <c r="R57" s="129" t="s">
        <v>147</v>
      </c>
      <c r="S57" s="110"/>
      <c r="T57" s="110"/>
      <c r="U57" s="110"/>
      <c r="V57" s="110"/>
      <c r="W57" s="110"/>
      <c r="X57" s="113"/>
      <c r="Y57" s="79"/>
      <c r="Z57" s="79"/>
      <c r="AA57" s="79"/>
      <c r="AB57" s="10" t="s">
        <v>100</v>
      </c>
      <c r="AC57" s="69">
        <v>3.3887903200114411</v>
      </c>
      <c r="AD57" s="69">
        <v>3.3829285025521645</v>
      </c>
      <c r="AE57" s="69">
        <v>2.9045023225865685</v>
      </c>
      <c r="AF57" s="69">
        <v>1.4776088660321762</v>
      </c>
      <c r="AG57" s="69">
        <v>1.4428038192975261</v>
      </c>
      <c r="AH57" s="69">
        <v>1.3051831910344882</v>
      </c>
      <c r="AI57" s="69">
        <v>1.6404595617418321</v>
      </c>
      <c r="AJ57" s="69">
        <v>1.6251685810647365</v>
      </c>
      <c r="AK57" s="69">
        <v>7.8230221621518821</v>
      </c>
      <c r="AL57" s="69">
        <v>8.8801873191994325</v>
      </c>
      <c r="AM57" s="69">
        <v>3.3829285025521645</v>
      </c>
      <c r="AN57" s="69">
        <v>3.8057945653711851</v>
      </c>
      <c r="AO57" s="69">
        <v>2.1722422410037594</v>
      </c>
      <c r="AP57" s="69">
        <v>2.1218846621708156</v>
      </c>
      <c r="AQ57" s="69">
        <v>6.5544239736948189</v>
      </c>
      <c r="AR57" s="69">
        <v>2.3110615094198659</v>
      </c>
      <c r="AS57" s="69">
        <v>3.3829285025521645</v>
      </c>
      <c r="AT57" s="69">
        <v>4.3343771438949608</v>
      </c>
      <c r="AU57" s="69">
        <v>2.8767586016937301</v>
      </c>
      <c r="AV57" s="69">
        <v>6.0258413951710432</v>
      </c>
      <c r="AW57" s="69">
        <v>1.3019050696944168</v>
      </c>
      <c r="AX57" s="69">
        <v>1.0571651570475515</v>
      </c>
      <c r="AY57" s="69">
        <v>3.9457576259454701</v>
      </c>
      <c r="AZ57" s="69">
        <v>9.1973368663136981</v>
      </c>
      <c r="BA57" s="69">
        <v>3.48864501825692</v>
      </c>
      <c r="BB57" s="69">
        <v>2.5371963769141233</v>
      </c>
      <c r="BC57" s="69">
        <v>5.8144083637615331</v>
      </c>
      <c r="BD57" s="69">
        <v>2.491560687345892</v>
      </c>
      <c r="BE57" s="69">
        <v>4.5997812902056747</v>
      </c>
      <c r="BF57" s="69">
        <v>1.8568580202165847</v>
      </c>
      <c r="BG57" s="69">
        <v>2.7610794712206186</v>
      </c>
      <c r="BH57" s="69">
        <v>11.85408702255714</v>
      </c>
      <c r="BI57" s="69">
        <v>9.2761136938672824</v>
      </c>
      <c r="BJ57" s="69">
        <v>4.8340956279000649</v>
      </c>
      <c r="BK57" s="69">
        <v>3.9957319421895203</v>
      </c>
      <c r="BL57" s="12"/>
      <c r="BM57" s="66"/>
      <c r="BN57" s="68">
        <v>45275</v>
      </c>
      <c r="BO57" s="71">
        <f>IF(BM$29="Grand Total",AC57,AO226)</f>
        <v>3.48864501825692</v>
      </c>
      <c r="BP57" s="12"/>
      <c r="BQ57" s="70"/>
      <c r="BY57"/>
      <c r="BZ57"/>
      <c r="CA57"/>
      <c r="CB57"/>
      <c r="CC57"/>
    </row>
    <row r="58" spans="1:94" s="20" customFormat="1" ht="15.5" x14ac:dyDescent="0.35">
      <c r="A58" s="16"/>
      <c r="C58" s="19" t="s">
        <v>44</v>
      </c>
      <c r="D58" s="59">
        <v>839844.30477549299</v>
      </c>
      <c r="E58" s="17">
        <v>6.2658629150474848E-2</v>
      </c>
      <c r="F58" s="18">
        <v>2.0547803969158354E-2</v>
      </c>
      <c r="G58" s="18">
        <f t="shared" si="0"/>
        <v>2.2547803969158356E-2</v>
      </c>
      <c r="H58" s="18">
        <f t="shared" si="1"/>
        <v>1.8547803969158352E-2</v>
      </c>
      <c r="I58" s="18">
        <f t="shared" si="2"/>
        <v>3.883534950170929E-2</v>
      </c>
      <c r="J58" s="18">
        <v>0.20199999999999999</v>
      </c>
      <c r="K58" s="79"/>
      <c r="L58" s="13" t="s">
        <v>148</v>
      </c>
      <c r="M58" s="112"/>
      <c r="N58" s="110"/>
      <c r="O58" s="110"/>
      <c r="P58" s="110"/>
      <c r="Q58" s="110"/>
      <c r="R58" s="110"/>
      <c r="S58" s="110"/>
      <c r="T58" s="110"/>
      <c r="U58" s="110"/>
      <c r="V58" s="110"/>
      <c r="W58" s="110"/>
      <c r="X58" s="113"/>
      <c r="Y58" s="79"/>
      <c r="Z58" s="79"/>
      <c r="AA58" s="79"/>
      <c r="AB58"/>
      <c r="AC58"/>
      <c r="AD58"/>
      <c r="AE58"/>
      <c r="AF58"/>
      <c r="AG58"/>
      <c r="AH58"/>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66"/>
      <c r="BN58" s="66"/>
      <c r="BO58" s="71"/>
      <c r="BP58" s="66"/>
      <c r="BQ58" s="12"/>
      <c r="BY58"/>
      <c r="BZ58"/>
      <c r="CA58"/>
      <c r="CB58"/>
      <c r="CC58"/>
    </row>
    <row r="59" spans="1:94" s="20" customFormat="1" ht="15.5" x14ac:dyDescent="0.35">
      <c r="C59" s="19" t="s">
        <v>45</v>
      </c>
      <c r="D59" s="59">
        <v>6908926.7116028061</v>
      </c>
      <c r="E59" s="17">
        <v>6.5359566821275444E-2</v>
      </c>
      <c r="F59" s="18">
        <v>2.007145854198232E-2</v>
      </c>
      <c r="G59" s="18">
        <f t="shared" si="0"/>
        <v>2.2071458541982322E-2</v>
      </c>
      <c r="H59" s="18">
        <f t="shared" si="1"/>
        <v>1.8071458541982319E-2</v>
      </c>
      <c r="I59" s="18">
        <f t="shared" si="2"/>
        <v>3.7935056644346585E-2</v>
      </c>
      <c r="J59" s="18">
        <v>4.0999999999999995E-2</v>
      </c>
      <c r="K59" s="79"/>
      <c r="L59" s="12" t="s">
        <v>149</v>
      </c>
      <c r="M59" s="112"/>
      <c r="N59" s="110"/>
      <c r="O59" s="110"/>
      <c r="P59" s="130" t="s">
        <v>150</v>
      </c>
      <c r="Q59" s="130" t="s">
        <v>150</v>
      </c>
      <c r="R59" s="110"/>
      <c r="T59" s="110"/>
      <c r="U59" s="110"/>
      <c r="V59" s="110"/>
      <c r="W59" s="110"/>
      <c r="X59" s="113"/>
      <c r="Z59" s="79"/>
      <c r="AA59" s="79"/>
      <c r="AB59"/>
      <c r="AC59"/>
      <c r="AD59"/>
      <c r="AE59"/>
      <c r="AF59"/>
      <c r="AG59"/>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23" t="s">
        <v>103</v>
      </c>
      <c r="BO59" s="71">
        <f>IF(BM$29="Grand Total",BQ59,BR59)</f>
        <v>5.2310322580645146</v>
      </c>
      <c r="BP59"/>
      <c r="BQ59" s="169">
        <f>AVERAGE(AC46:AC57)</f>
        <v>5.0813056034728747</v>
      </c>
      <c r="BR59" s="71">
        <f>AVERAGE(AD226:AO226)</f>
        <v>5.2310322580645146</v>
      </c>
      <c r="BY59"/>
      <c r="BZ59"/>
      <c r="CA59"/>
      <c r="CB59"/>
      <c r="CC59"/>
      <c r="CD59"/>
      <c r="CE59"/>
      <c r="CF59"/>
      <c r="CG59"/>
      <c r="CH59"/>
      <c r="CI59"/>
      <c r="CJ59"/>
      <c r="CK59"/>
      <c r="CL59"/>
      <c r="CM59"/>
      <c r="CN59"/>
      <c r="CO59"/>
      <c r="CP59"/>
    </row>
    <row r="60" spans="1:94" s="20" customFormat="1" ht="15.5" x14ac:dyDescent="0.35">
      <c r="C60" s="19" t="s">
        <v>46</v>
      </c>
      <c r="D60" s="59">
        <v>1913339.1293007284</v>
      </c>
      <c r="E60" s="17">
        <v>0.183</v>
      </c>
      <c r="F60" s="18">
        <v>6.2E-2</v>
      </c>
      <c r="G60" s="18">
        <f t="shared" si="0"/>
        <v>6.4000000000000001E-2</v>
      </c>
      <c r="H60" s="18">
        <f t="shared" si="1"/>
        <v>0.06</v>
      </c>
      <c r="I60" s="18">
        <f t="shared" si="2"/>
        <v>0.11717999999999999</v>
      </c>
      <c r="J60" s="18">
        <v>3.7000000000000005E-2</v>
      </c>
      <c r="K60" s="79"/>
      <c r="L60" s="79"/>
      <c r="M60" s="114"/>
      <c r="N60" s="115"/>
      <c r="O60" s="115"/>
      <c r="P60" s="115"/>
      <c r="Q60" s="115"/>
      <c r="R60" s="115"/>
      <c r="S60" s="115"/>
      <c r="T60" s="115"/>
      <c r="U60" s="131" t="s">
        <v>151</v>
      </c>
      <c r="V60" s="131" t="s">
        <v>151</v>
      </c>
      <c r="W60" s="131" t="s">
        <v>151</v>
      </c>
      <c r="X60" s="116"/>
      <c r="Z60" s="79"/>
      <c r="AA60" s="79"/>
      <c r="BY60"/>
      <c r="BZ60"/>
      <c r="CA60"/>
      <c r="CB60"/>
      <c r="CC60"/>
      <c r="CD60"/>
      <c r="CE60"/>
      <c r="CF60"/>
      <c r="CG60"/>
      <c r="CH60"/>
      <c r="CI60"/>
      <c r="CJ60"/>
      <c r="CK60"/>
      <c r="CL60"/>
      <c r="CM60"/>
      <c r="CN60"/>
      <c r="CO60"/>
      <c r="CP60"/>
    </row>
    <row r="61" spans="1:94" s="20" customFormat="1" ht="15.5" x14ac:dyDescent="0.35">
      <c r="C61" s="19" t="s">
        <v>47</v>
      </c>
      <c r="D61" s="59">
        <v>684589.94434277283</v>
      </c>
      <c r="E61" s="17">
        <v>7.4334919140947586E-2</v>
      </c>
      <c r="F61" s="18">
        <v>2.1860931511157575E-2</v>
      </c>
      <c r="G61" s="18">
        <f t="shared" si="0"/>
        <v>2.3860931511157576E-2</v>
      </c>
      <c r="H61" s="18">
        <f t="shared" si="1"/>
        <v>1.9860931511157573E-2</v>
      </c>
      <c r="I61" s="18">
        <f t="shared" si="2"/>
        <v>4.1317160556087813E-2</v>
      </c>
      <c r="J61" s="18">
        <v>0.158</v>
      </c>
      <c r="K61" s="79"/>
      <c r="Z61" s="79"/>
      <c r="AA61" s="79"/>
      <c r="BY61"/>
      <c r="BZ61"/>
      <c r="CA61"/>
      <c r="CB61"/>
      <c r="CC61"/>
      <c r="CD61"/>
      <c r="CE61"/>
      <c r="CF61"/>
      <c r="CG61"/>
      <c r="CH61"/>
      <c r="CI61"/>
      <c r="CJ61"/>
      <c r="CK61"/>
      <c r="CL61"/>
      <c r="CM61"/>
      <c r="CN61"/>
      <c r="CO61"/>
      <c r="CP61"/>
    </row>
    <row r="62" spans="1:94" s="20" customFormat="1" ht="22" x14ac:dyDescent="0.5">
      <c r="C62" s="19" t="s">
        <v>48</v>
      </c>
      <c r="D62" s="59">
        <v>892038.66577877069</v>
      </c>
      <c r="E62" s="17">
        <v>0.14000000000000001</v>
      </c>
      <c r="F62" s="18">
        <v>3.2000000000000001E-2</v>
      </c>
      <c r="G62" s="18">
        <f t="shared" si="0"/>
        <v>3.4000000000000002E-2</v>
      </c>
      <c r="H62" s="18">
        <f t="shared" si="1"/>
        <v>0.03</v>
      </c>
      <c r="I62" s="18">
        <f t="shared" si="2"/>
        <v>6.0479999999999999E-2</v>
      </c>
      <c r="J62" s="18">
        <v>0.08</v>
      </c>
      <c r="K62" s="79"/>
      <c r="L62" s="79"/>
      <c r="M62" s="218" t="s">
        <v>152</v>
      </c>
      <c r="N62" s="79"/>
      <c r="O62" s="79"/>
      <c r="P62" s="79"/>
      <c r="Q62" s="79"/>
      <c r="R62" s="79"/>
      <c r="S62" s="79"/>
      <c r="T62" s="79"/>
      <c r="U62" s="79"/>
      <c r="V62" s="79"/>
      <c r="W62" s="79"/>
      <c r="X62" s="79"/>
      <c r="Y62" s="79"/>
      <c r="Z62" s="79"/>
      <c r="AA62" s="79"/>
      <c r="BY62"/>
      <c r="BZ62"/>
      <c r="CA62"/>
      <c r="CB62"/>
      <c r="CC62"/>
      <c r="CD62"/>
      <c r="CE62"/>
      <c r="CF62"/>
      <c r="CG62"/>
      <c r="CH62"/>
      <c r="CI62"/>
      <c r="CJ62"/>
      <c r="CK62"/>
      <c r="CL62"/>
      <c r="CM62"/>
      <c r="CN62"/>
      <c r="CO62"/>
      <c r="CP62"/>
    </row>
    <row r="63" spans="1:94" s="20" customFormat="1" ht="15.5" x14ac:dyDescent="0.35">
      <c r="C63" s="19" t="s">
        <v>49</v>
      </c>
      <c r="D63" s="59">
        <v>699686.98189997557</v>
      </c>
      <c r="E63" s="17">
        <v>0.159</v>
      </c>
      <c r="F63" s="18">
        <v>4.0999999999999995E-2</v>
      </c>
      <c r="G63" s="18">
        <f t="shared" si="0"/>
        <v>4.2999999999999997E-2</v>
      </c>
      <c r="H63" s="18">
        <f t="shared" si="1"/>
        <v>3.8999999999999993E-2</v>
      </c>
      <c r="I63" s="18">
        <f t="shared" si="2"/>
        <v>7.7489999999999989E-2</v>
      </c>
      <c r="J63" s="18">
        <v>5.0999999999999997E-2</v>
      </c>
      <c r="K63" s="79"/>
      <c r="L63" s="79"/>
      <c r="M63" s="79" t="s">
        <v>430</v>
      </c>
      <c r="N63" s="79"/>
      <c r="O63" s="79"/>
      <c r="P63" s="79"/>
      <c r="Q63" s="79"/>
      <c r="R63" s="79"/>
      <c r="S63" s="79"/>
      <c r="T63" s="79"/>
      <c r="U63" s="79"/>
      <c r="V63" s="79"/>
      <c r="W63" s="79"/>
      <c r="X63" s="79"/>
      <c r="Y63" s="79"/>
      <c r="Z63" s="79"/>
      <c r="AA63" s="79"/>
      <c r="BY63"/>
      <c r="BZ63"/>
      <c r="CA63"/>
      <c r="CB63"/>
      <c r="CC63"/>
      <c r="CD63"/>
      <c r="CE63"/>
      <c r="CF63"/>
      <c r="CG63"/>
      <c r="CH63"/>
      <c r="CI63"/>
      <c r="CJ63"/>
      <c r="CK63"/>
      <c r="CL63"/>
      <c r="CM63"/>
      <c r="CN63"/>
      <c r="CO63"/>
      <c r="CP63"/>
    </row>
    <row r="64" spans="1:94" s="20" customFormat="1" ht="15.5" x14ac:dyDescent="0.35">
      <c r="C64" s="19" t="s">
        <v>50</v>
      </c>
      <c r="D64" s="59">
        <v>1572280.4800329898</v>
      </c>
      <c r="E64" s="17">
        <v>7.5266845671774496E-2</v>
      </c>
      <c r="F64" s="18">
        <v>2.7212007343563376E-2</v>
      </c>
      <c r="G64" s="18">
        <f t="shared" si="0"/>
        <v>2.9212007343563377E-2</v>
      </c>
      <c r="H64" s="18">
        <f t="shared" si="1"/>
        <v>2.5212007343563374E-2</v>
      </c>
      <c r="I64" s="18">
        <f t="shared" si="2"/>
        <v>5.1430693879334778E-2</v>
      </c>
      <c r="J64" s="18">
        <v>0.127</v>
      </c>
      <c r="K64" s="79"/>
      <c r="L64" s="79"/>
      <c r="M64" s="79"/>
      <c r="N64" s="79"/>
      <c r="O64" s="79"/>
      <c r="P64" s="79"/>
      <c r="Q64" s="79"/>
      <c r="R64" s="79"/>
      <c r="S64" s="79"/>
      <c r="T64" s="79"/>
      <c r="V64" s="79"/>
      <c r="W64" s="79"/>
      <c r="X64" s="79"/>
      <c r="Y64" s="79"/>
      <c r="Z64" s="79"/>
      <c r="AA64" s="79"/>
      <c r="AB64" s="70"/>
      <c r="AC64" s="12"/>
      <c r="AD64" s="12"/>
      <c r="AE64" s="12"/>
      <c r="AF64" s="12"/>
      <c r="AG64" s="12"/>
      <c r="AH64" s="12"/>
      <c r="AI64" s="13"/>
      <c r="AJ64" s="13"/>
      <c r="AK64" s="13"/>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c r="BO64" s="12"/>
      <c r="BP64"/>
      <c r="BQ64"/>
      <c r="BR64"/>
      <c r="BS64"/>
      <c r="BT64" s="12"/>
      <c r="BU64" s="12"/>
      <c r="BV64" s="12"/>
      <c r="BW64" s="12"/>
      <c r="BY64"/>
      <c r="BZ64"/>
      <c r="CA64"/>
      <c r="CB64"/>
      <c r="CC64"/>
      <c r="CD64"/>
      <c r="CE64"/>
      <c r="CF64"/>
      <c r="CG64"/>
      <c r="CH64"/>
      <c r="CI64"/>
      <c r="CJ64"/>
      <c r="CK64"/>
      <c r="CL64"/>
      <c r="CM64"/>
      <c r="CN64"/>
      <c r="CO64"/>
      <c r="CP64"/>
    </row>
    <row r="65" spans="3:94" s="20" customFormat="1" ht="15.5" x14ac:dyDescent="0.35">
      <c r="C65" s="19" t="s">
        <v>51</v>
      </c>
      <c r="D65" s="59">
        <v>691732.9736452552</v>
      </c>
      <c r="E65" s="17">
        <v>0.16800000000000001</v>
      </c>
      <c r="F65" s="18">
        <v>5.7000000000000002E-2</v>
      </c>
      <c r="G65" s="18">
        <f t="shared" si="0"/>
        <v>5.9000000000000004E-2</v>
      </c>
      <c r="H65" s="18">
        <f t="shared" si="1"/>
        <v>5.5E-2</v>
      </c>
      <c r="I65" s="18">
        <f t="shared" si="2"/>
        <v>0.10772999999999999</v>
      </c>
      <c r="J65" s="18">
        <v>8.3000000000000004E-2</v>
      </c>
      <c r="K65" s="79"/>
      <c r="L65" s="79"/>
      <c r="M65" s="79"/>
      <c r="N65" s="79"/>
      <c r="O65" s="79"/>
      <c r="P65" s="79"/>
      <c r="Q65" s="79"/>
      <c r="R65" s="79"/>
      <c r="S65" s="79"/>
      <c r="T65" s="79"/>
      <c r="U65" s="79"/>
      <c r="V65" s="79"/>
      <c r="W65" s="79"/>
      <c r="X65" s="79"/>
      <c r="Y65" s="79"/>
      <c r="Z65" s="79"/>
      <c r="AA65" s="79"/>
      <c r="AB65" s="12"/>
      <c r="AC65" s="70"/>
      <c r="AD65" s="70"/>
      <c r="AE65" s="70"/>
      <c r="AF65" s="70"/>
      <c r="AG65" s="70"/>
      <c r="AH65" s="70"/>
      <c r="AI65" s="13"/>
      <c r="AJ65" s="13"/>
      <c r="AK65" s="13"/>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c r="BO65" s="12"/>
      <c r="BP65"/>
      <c r="BQ65"/>
      <c r="BR65"/>
      <c r="BS65"/>
      <c r="BT65" s="70"/>
      <c r="BU65" s="12"/>
      <c r="BV65" s="12"/>
      <c r="BW65" s="12"/>
      <c r="BY65"/>
      <c r="BZ65"/>
      <c r="CA65"/>
      <c r="CB65"/>
      <c r="CC65"/>
      <c r="CD65"/>
      <c r="CE65"/>
      <c r="CF65"/>
      <c r="CG65"/>
      <c r="CH65"/>
      <c r="CI65"/>
      <c r="CJ65"/>
      <c r="CK65"/>
      <c r="CL65"/>
      <c r="CM65"/>
      <c r="CN65"/>
      <c r="CO65"/>
      <c r="CP65"/>
    </row>
    <row r="66" spans="3:94" s="20" customFormat="1" ht="15.5" x14ac:dyDescent="0.35">
      <c r="C66" s="19" t="s">
        <v>52</v>
      </c>
      <c r="D66" s="59">
        <v>608669.48536770511</v>
      </c>
      <c r="E66" s="17">
        <v>6.750103599861669E-2</v>
      </c>
      <c r="F66" s="18">
        <v>1.2315058446783987E-2</v>
      </c>
      <c r="G66" s="18">
        <f t="shared" si="0"/>
        <v>1.4315058446783987E-2</v>
      </c>
      <c r="H66" s="18">
        <f t="shared" si="1"/>
        <v>1.0315058446783987E-2</v>
      </c>
      <c r="I66" s="18">
        <f t="shared" si="2"/>
        <v>2.3275460464421735E-2</v>
      </c>
      <c r="J66" s="18">
        <v>4.0999999999999995E-2</v>
      </c>
      <c r="K66" s="79"/>
      <c r="L66" s="79"/>
      <c r="M66" s="79"/>
      <c r="N66" s="79"/>
      <c r="O66" s="79"/>
      <c r="P66" s="79"/>
      <c r="Q66" s="79"/>
      <c r="R66" s="79"/>
      <c r="S66" s="79"/>
      <c r="T66" s="79"/>
      <c r="U66" s="79"/>
      <c r="V66" s="79"/>
      <c r="W66" s="79"/>
      <c r="X66" s="79"/>
      <c r="Y66" s="79"/>
      <c r="Z66" s="79"/>
      <c r="AA66" s="79"/>
      <c r="AB66"/>
      <c r="AC66" s="77" t="s">
        <v>28</v>
      </c>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s="12"/>
      <c r="BM66" s="12" t="s">
        <v>153</v>
      </c>
      <c r="BN66"/>
      <c r="BO66" s="12"/>
      <c r="BP66" s="12"/>
      <c r="BQ66" s="12"/>
      <c r="BR66" s="12"/>
      <c r="BS66" s="12"/>
      <c r="BT66"/>
      <c r="BY66"/>
      <c r="BZ66"/>
      <c r="CA66"/>
      <c r="CB66"/>
      <c r="CC66"/>
      <c r="CD66"/>
      <c r="CE66"/>
      <c r="CF66"/>
      <c r="CG66"/>
      <c r="CH66"/>
      <c r="CI66"/>
      <c r="CJ66"/>
      <c r="CK66"/>
      <c r="CL66"/>
      <c r="CM66"/>
      <c r="CN66"/>
      <c r="CO66"/>
      <c r="CP66"/>
    </row>
    <row r="67" spans="3:94" s="20" customFormat="1" ht="15.5" x14ac:dyDescent="0.35">
      <c r="C67" s="19" t="s">
        <v>53</v>
      </c>
      <c r="D67" s="59">
        <v>2360312.2406377085</v>
      </c>
      <c r="E67" s="17">
        <v>8.8000000000000009E-2</v>
      </c>
      <c r="F67" s="18">
        <v>0.01</v>
      </c>
      <c r="G67" s="18">
        <f t="shared" si="0"/>
        <v>1.2E-2</v>
      </c>
      <c r="H67" s="18">
        <f t="shared" si="1"/>
        <v>8.0000000000000002E-3</v>
      </c>
      <c r="I67" s="18">
        <f t="shared" si="2"/>
        <v>1.89E-2</v>
      </c>
      <c r="J67" s="18">
        <v>7.8E-2</v>
      </c>
      <c r="K67" s="79"/>
      <c r="L67" s="79"/>
      <c r="M67" s="79"/>
      <c r="AB67" s="135" t="s">
        <v>31</v>
      </c>
      <c r="AC67" s="137" t="s">
        <v>32</v>
      </c>
      <c r="AD67" s="137" t="s">
        <v>33</v>
      </c>
      <c r="AE67" s="137" t="s">
        <v>34</v>
      </c>
      <c r="AF67" s="137" t="s">
        <v>35</v>
      </c>
      <c r="AG67" s="137" t="s">
        <v>36</v>
      </c>
      <c r="AH67" s="137" t="s">
        <v>37</v>
      </c>
      <c r="AI67" s="137" t="s">
        <v>38</v>
      </c>
      <c r="AJ67" s="137" t="s">
        <v>39</v>
      </c>
      <c r="AK67" s="137" t="s">
        <v>40</v>
      </c>
      <c r="AL67" s="137" t="s">
        <v>41</v>
      </c>
      <c r="AM67" s="137" t="s">
        <v>42</v>
      </c>
      <c r="AN67" s="137" t="s">
        <v>43</v>
      </c>
      <c r="AO67" s="137" t="s">
        <v>44</v>
      </c>
      <c r="AP67" s="137" t="s">
        <v>45</v>
      </c>
      <c r="AQ67" s="137" t="s">
        <v>46</v>
      </c>
      <c r="AR67" s="137" t="s">
        <v>47</v>
      </c>
      <c r="AS67" s="137" t="s">
        <v>48</v>
      </c>
      <c r="AT67" s="137" t="s">
        <v>49</v>
      </c>
      <c r="AU67" s="137" t="s">
        <v>50</v>
      </c>
      <c r="AV67" s="137" t="s">
        <v>51</v>
      </c>
      <c r="AW67" s="137" t="s">
        <v>52</v>
      </c>
      <c r="AX67" s="137" t="s">
        <v>53</v>
      </c>
      <c r="AY67" s="137" t="s">
        <v>54</v>
      </c>
      <c r="AZ67" s="137" t="s">
        <v>55</v>
      </c>
      <c r="BA67" s="137" t="s">
        <v>56</v>
      </c>
      <c r="BB67" s="137" t="s">
        <v>57</v>
      </c>
      <c r="BC67" s="137" t="s">
        <v>58</v>
      </c>
      <c r="BD67" s="137" t="s">
        <v>59</v>
      </c>
      <c r="BE67" s="137" t="s">
        <v>60</v>
      </c>
      <c r="BF67" s="137" t="s">
        <v>61</v>
      </c>
      <c r="BG67" s="137" t="s">
        <v>62</v>
      </c>
      <c r="BH67" s="137" t="s">
        <v>63</v>
      </c>
      <c r="BI67" s="137" t="s">
        <v>64</v>
      </c>
      <c r="BJ67" s="137" t="s">
        <v>65</v>
      </c>
      <c r="BK67" s="137" t="s">
        <v>66</v>
      </c>
      <c r="BL67" s="12"/>
      <c r="BM67" s="12"/>
      <c r="BN67"/>
      <c r="BO67" s="12" t="s">
        <v>154</v>
      </c>
      <c r="BP67" s="12" t="s">
        <v>155</v>
      </c>
      <c r="BQ67" s="12"/>
      <c r="BR67" s="12" t="s">
        <v>156</v>
      </c>
      <c r="BS67" s="12" t="s">
        <v>157</v>
      </c>
      <c r="BT67"/>
      <c r="BY67"/>
      <c r="BZ67"/>
      <c r="CA67"/>
      <c r="CB67"/>
      <c r="CC67"/>
      <c r="CD67"/>
      <c r="CE67"/>
      <c r="CF67"/>
      <c r="CG67"/>
      <c r="CH67"/>
      <c r="CI67"/>
      <c r="CJ67"/>
      <c r="CK67"/>
      <c r="CL67"/>
      <c r="CM67"/>
      <c r="CN67"/>
      <c r="CO67"/>
      <c r="CP67"/>
    </row>
    <row r="68" spans="3:94" s="20" customFormat="1" ht="15.5" x14ac:dyDescent="0.35">
      <c r="C68" s="19" t="s">
        <v>54</v>
      </c>
      <c r="D68" s="59">
        <v>256371.67581838256</v>
      </c>
      <c r="E68" s="17">
        <v>9.4444844103495351E-2</v>
      </c>
      <c r="F68" s="18">
        <v>3.7323946969319094E-2</v>
      </c>
      <c r="G68" s="18">
        <f t="shared" si="0"/>
        <v>3.9323946969319096E-2</v>
      </c>
      <c r="H68" s="18">
        <f t="shared" si="1"/>
        <v>3.5323946969319092E-2</v>
      </c>
      <c r="I68" s="18">
        <f t="shared" si="2"/>
        <v>7.0542259772013088E-2</v>
      </c>
      <c r="J68" s="18">
        <v>0.23199999999999998</v>
      </c>
      <c r="K68" s="79"/>
      <c r="L68" s="79"/>
      <c r="M68" s="79"/>
      <c r="AB68" s="136" t="s">
        <v>158</v>
      </c>
      <c r="AC68" s="134">
        <v>549.71742713307742</v>
      </c>
      <c r="AD68" s="134">
        <v>286.1513294061225</v>
      </c>
      <c r="AE68" s="134">
        <v>446.7396398660469</v>
      </c>
      <c r="AF68" s="134">
        <v>306.71460722178483</v>
      </c>
      <c r="AG68" s="134">
        <v>100.18242829622983</v>
      </c>
      <c r="AH68" s="134">
        <v>91.637004236328352</v>
      </c>
      <c r="AI68" s="134">
        <v>131.9498860459158</v>
      </c>
      <c r="AJ68" s="134">
        <v>256.87349073660909</v>
      </c>
      <c r="AK68" s="134">
        <v>1701.8067732825232</v>
      </c>
      <c r="AL68" s="134">
        <v>1088.4809462139965</v>
      </c>
      <c r="AM68" s="134">
        <v>533.63362160084966</v>
      </c>
      <c r="AN68" s="134">
        <v>1240.3498303010786</v>
      </c>
      <c r="AO68" s="134">
        <v>192.95712036653322</v>
      </c>
      <c r="AP68" s="134">
        <v>1546.5833204231139</v>
      </c>
      <c r="AQ68" s="134">
        <v>1422.0430173899601</v>
      </c>
      <c r="AR68" s="134">
        <v>168.42232565040291</v>
      </c>
      <c r="AS68" s="134">
        <v>331.49307837972373</v>
      </c>
      <c r="AT68" s="134">
        <v>338.01652390109774</v>
      </c>
      <c r="AU68" s="134">
        <v>491.02881455979042</v>
      </c>
      <c r="AV68" s="134">
        <v>471.27098075444468</v>
      </c>
      <c r="AW68" s="134">
        <v>77.771907918556565</v>
      </c>
      <c r="AX68" s="134">
        <v>233.89932913674318</v>
      </c>
      <c r="AY68" s="134">
        <v>112.17828518454513</v>
      </c>
      <c r="AZ68" s="134">
        <v>241.83845806340102</v>
      </c>
      <c r="BA68" s="134">
        <v>259.15141232225841</v>
      </c>
      <c r="BB68" s="134">
        <v>233.57423520994283</v>
      </c>
      <c r="BC68" s="134">
        <v>156.41840181350625</v>
      </c>
      <c r="BD68" s="134">
        <v>275.75023292314552</v>
      </c>
      <c r="BE68" s="134">
        <v>309.7958054795655</v>
      </c>
      <c r="BF68" s="134">
        <v>167.55790642496606</v>
      </c>
      <c r="BG68" s="134">
        <v>456.42309416213368</v>
      </c>
      <c r="BH68" s="134">
        <v>742.4848000720134</v>
      </c>
      <c r="BI68" s="134">
        <v>983.15516206259474</v>
      </c>
      <c r="BJ68" s="134">
        <v>255.77741617158154</v>
      </c>
      <c r="BK68" s="134">
        <v>16201.828612710586</v>
      </c>
      <c r="BL68" s="12"/>
      <c r="BM68" s="12"/>
      <c r="BN68" s="68">
        <v>44941</v>
      </c>
      <c r="BO68" s="87">
        <f>BR68</f>
        <v>16201.828612710586</v>
      </c>
      <c r="BP68" s="87">
        <f>BO68*Burden!$F$22</f>
        <v>12151.37145953294</v>
      </c>
      <c r="BQ68" s="12"/>
      <c r="BR68" s="89">
        <f>GETPIVOTDATA("[Measures].[Sum of Jan-23 2]",$AB$66)</f>
        <v>16201.828612710586</v>
      </c>
      <c r="BS68" s="87">
        <f>BR68*Burden!$F$22</f>
        <v>12151.37145953294</v>
      </c>
      <c r="BT68"/>
      <c r="BY68"/>
      <c r="BZ68"/>
      <c r="CA68"/>
      <c r="CB68"/>
      <c r="CC68"/>
      <c r="CD68"/>
      <c r="CE68"/>
      <c r="CF68"/>
      <c r="CG68"/>
      <c r="CH68"/>
      <c r="CI68"/>
      <c r="CJ68"/>
      <c r="CK68"/>
      <c r="CL68"/>
      <c r="CM68"/>
      <c r="CN68"/>
      <c r="CO68"/>
      <c r="CP68"/>
    </row>
    <row r="69" spans="3:94" s="20" customFormat="1" ht="15.5" x14ac:dyDescent="0.35">
      <c r="C69" s="19" t="s">
        <v>55</v>
      </c>
      <c r="D69" s="59">
        <v>229687.26102835272</v>
      </c>
      <c r="E69" s="17">
        <v>0.33299999999999996</v>
      </c>
      <c r="F69" s="18">
        <v>8.6999999999999994E-2</v>
      </c>
      <c r="G69" s="18">
        <f t="shared" si="0"/>
        <v>8.8999999999999996E-2</v>
      </c>
      <c r="H69" s="18">
        <f t="shared" si="1"/>
        <v>8.4999999999999992E-2</v>
      </c>
      <c r="I69" s="18">
        <f t="shared" si="2"/>
        <v>0.16442999999999999</v>
      </c>
      <c r="J69" s="18">
        <v>3.1E-2</v>
      </c>
      <c r="K69" s="79"/>
      <c r="L69" s="79"/>
      <c r="M69" s="79"/>
      <c r="AB69" s="136" t="s">
        <v>159</v>
      </c>
      <c r="AC69" s="134">
        <v>988.21634795007617</v>
      </c>
      <c r="AD69" s="134">
        <v>514.40869026391863</v>
      </c>
      <c r="AE69" s="134">
        <v>803.09517872731226</v>
      </c>
      <c r="AF69" s="134">
        <v>551.37489563029374</v>
      </c>
      <c r="AG69" s="134">
        <v>180.09600666289933</v>
      </c>
      <c r="AH69" s="134">
        <v>164.73406370940401</v>
      </c>
      <c r="AI69" s="134">
        <v>237.20374880739791</v>
      </c>
      <c r="AJ69" s="134">
        <v>461.77648801275399</v>
      </c>
      <c r="AK69" s="134">
        <v>3059.3050018092908</v>
      </c>
      <c r="AL69" s="134">
        <v>1956.7410680259197</v>
      </c>
      <c r="AM69" s="134">
        <v>959.30280295462194</v>
      </c>
      <c r="AN69" s="134">
        <v>2229.7528129554803</v>
      </c>
      <c r="AO69" s="134">
        <v>346.87526970728084</v>
      </c>
      <c r="AP69" s="134">
        <v>2780.2628137147294</v>
      </c>
      <c r="AQ69" s="134">
        <v>2556.379128458695</v>
      </c>
      <c r="AR69" s="134">
        <v>302.76954550179789</v>
      </c>
      <c r="AS69" s="134">
        <v>595.91867224510509</v>
      </c>
      <c r="AT69" s="134">
        <v>607.6457436294055</v>
      </c>
      <c r="AU69" s="134">
        <v>882.71296835758119</v>
      </c>
      <c r="AV69" s="134">
        <v>847.19469405372411</v>
      </c>
      <c r="AW69" s="134">
        <v>139.80904920043611</v>
      </c>
      <c r="AX69" s="134">
        <v>420.47628366624309</v>
      </c>
      <c r="AY69" s="134">
        <v>201.66072573416307</v>
      </c>
      <c r="AZ69" s="134">
        <v>434.74830162776794</v>
      </c>
      <c r="BA69" s="134">
        <v>465.87146342953662</v>
      </c>
      <c r="BB69" s="134">
        <v>419.89186862457535</v>
      </c>
      <c r="BC69" s="134">
        <v>281.19032463366062</v>
      </c>
      <c r="BD69" s="134">
        <v>495.71084101673517</v>
      </c>
      <c r="BE69" s="134">
        <v>556.91390592780988</v>
      </c>
      <c r="BF69" s="134">
        <v>301.21559583985237</v>
      </c>
      <c r="BG69" s="134">
        <v>820.50293654559198</v>
      </c>
      <c r="BH69" s="134">
        <v>1334.7505123900364</v>
      </c>
      <c r="BI69" s="134">
        <v>1767.398950382124</v>
      </c>
      <c r="BJ69" s="134">
        <v>459.80609604359</v>
      </c>
      <c r="BK69" s="134">
        <v>29125.712796239812</v>
      </c>
      <c r="BL69" s="12"/>
      <c r="BM69" s="12"/>
      <c r="BN69" s="68">
        <v>44972</v>
      </c>
      <c r="BO69" s="87">
        <f t="shared" ref="BO69:BO79" si="3">BO68+BR69</f>
        <v>45327.541408950397</v>
      </c>
      <c r="BP69" s="87">
        <f>BO69*Burden!$F$22</f>
        <v>33995.656056712796</v>
      </c>
      <c r="BQ69" s="12"/>
      <c r="BR69" s="89">
        <f>GETPIVOTDATA("[Measures].[Sum of Feb-23 2]",$AB$66)</f>
        <v>29125.712796239812</v>
      </c>
      <c r="BS69" s="87">
        <f>BR69*Burden!$F$22</f>
        <v>21844.28459717986</v>
      </c>
      <c r="BT69"/>
      <c r="BY69"/>
      <c r="BZ69"/>
      <c r="CA69"/>
      <c r="CB69"/>
      <c r="CC69"/>
      <c r="CD69"/>
      <c r="CE69"/>
      <c r="CF69"/>
      <c r="CG69"/>
      <c r="CH69"/>
      <c r="CI69"/>
      <c r="CJ69"/>
      <c r="CK69"/>
      <c r="CL69"/>
      <c r="CM69"/>
      <c r="CN69"/>
      <c r="CO69"/>
      <c r="CP69"/>
    </row>
    <row r="70" spans="3:94" s="20" customFormat="1" ht="15.5" x14ac:dyDescent="0.35">
      <c r="C70" s="19" t="s">
        <v>56</v>
      </c>
      <c r="D70" s="59">
        <v>674873.46958921466</v>
      </c>
      <c r="E70" s="17">
        <v>0.126</v>
      </c>
      <c r="F70" s="18">
        <v>3.3000000000000002E-2</v>
      </c>
      <c r="G70" s="18">
        <f t="shared" si="0"/>
        <v>3.5000000000000003E-2</v>
      </c>
      <c r="H70" s="18">
        <f t="shared" si="1"/>
        <v>3.1E-2</v>
      </c>
      <c r="I70" s="18">
        <f t="shared" si="2"/>
        <v>6.2370000000000002E-2</v>
      </c>
      <c r="J70" s="18">
        <v>0</v>
      </c>
      <c r="K70" s="79"/>
      <c r="L70" s="79"/>
      <c r="M70" s="79"/>
      <c r="AB70" s="136" t="s">
        <v>160</v>
      </c>
      <c r="AC70" s="134">
        <v>1196.8193393515969</v>
      </c>
      <c r="AD70" s="134">
        <v>622.99543021675015</v>
      </c>
      <c r="AE70" s="134">
        <v>972.62086711545817</v>
      </c>
      <c r="AF70" s="134">
        <v>667.76484693070586</v>
      </c>
      <c r="AG70" s="134">
        <v>218.11254606470141</v>
      </c>
      <c r="AH70" s="134">
        <v>199.50784431604342</v>
      </c>
      <c r="AI70" s="134">
        <v>287.27518475917174</v>
      </c>
      <c r="AJ70" s="134">
        <v>559.25307495464028</v>
      </c>
      <c r="AK70" s="134">
        <v>3705.0949407339735</v>
      </c>
      <c r="AL70" s="134">
        <v>2369.790337080346</v>
      </c>
      <c r="AM70" s="134">
        <v>1161.8024223662078</v>
      </c>
      <c r="AN70" s="134">
        <v>2700.432242448147</v>
      </c>
      <c r="AO70" s="134">
        <v>420.09731167637767</v>
      </c>
      <c r="AP70" s="134">
        <v>3367.1496234971978</v>
      </c>
      <c r="AQ70" s="134">
        <v>3096.0062399298731</v>
      </c>
      <c r="AR70" s="134">
        <v>366.68129218355244</v>
      </c>
      <c r="AS70" s="134">
        <v>721.71138749436886</v>
      </c>
      <c r="AT70" s="134">
        <v>735.91393115376241</v>
      </c>
      <c r="AU70" s="134">
        <v>1069.0452083880909</v>
      </c>
      <c r="AV70" s="134">
        <v>1026.0293670944004</v>
      </c>
      <c r="AW70" s="134">
        <v>169.32139834211083</v>
      </c>
      <c r="AX70" s="134">
        <v>509.23479365054044</v>
      </c>
      <c r="AY70" s="134">
        <v>244.22937046829495</v>
      </c>
      <c r="AZ70" s="134">
        <v>526.51949769673297</v>
      </c>
      <c r="BA70" s="134">
        <v>564.21246040008566</v>
      </c>
      <c r="BB70" s="134">
        <v>508.52701419968759</v>
      </c>
      <c r="BC70" s="134">
        <v>340.54690479287655</v>
      </c>
      <c r="BD70" s="134">
        <v>600.35064435611343</v>
      </c>
      <c r="BE70" s="134">
        <v>674.47308916803206</v>
      </c>
      <c r="BF70" s="134">
        <v>364.79931865452392</v>
      </c>
      <c r="BG70" s="134">
        <v>993.7032356219936</v>
      </c>
      <c r="BH70" s="134">
        <v>1616.5035417108388</v>
      </c>
      <c r="BI70" s="134">
        <v>2140.4799147017352</v>
      </c>
      <c r="BJ70" s="134">
        <v>556.86675214214051</v>
      </c>
      <c r="BK70" s="134">
        <v>35273.871373661066</v>
      </c>
      <c r="BL70" s="12"/>
      <c r="BM70" s="12"/>
      <c r="BN70" s="68">
        <v>45000</v>
      </c>
      <c r="BO70" s="87">
        <f t="shared" si="3"/>
        <v>80601.412782611471</v>
      </c>
      <c r="BP70" s="87">
        <f>BO70*Burden!$F$22</f>
        <v>60451.059586958603</v>
      </c>
      <c r="BQ70" s="12"/>
      <c r="BR70" s="89">
        <f>GETPIVOTDATA("[Measures].[Sum of Mar-23 2]",$AB$66)</f>
        <v>35273.871373661066</v>
      </c>
      <c r="BS70" s="87">
        <f>BR70*Burden!$F$22</f>
        <v>26455.4035302458</v>
      </c>
      <c r="BT70"/>
      <c r="BY70"/>
      <c r="BZ70"/>
      <c r="CA70"/>
      <c r="CB70"/>
      <c r="CC70"/>
      <c r="CD70"/>
      <c r="CE70"/>
      <c r="CF70"/>
      <c r="CG70"/>
      <c r="CH70"/>
      <c r="CI70"/>
      <c r="CJ70"/>
      <c r="CK70"/>
      <c r="CL70"/>
      <c r="CM70"/>
      <c r="CN70"/>
      <c r="CO70"/>
      <c r="CP70"/>
    </row>
    <row r="71" spans="3:94" s="20" customFormat="1" ht="15.5" x14ac:dyDescent="0.35">
      <c r="C71" s="19" t="s">
        <v>57</v>
      </c>
      <c r="D71" s="59">
        <v>857102.4256046674</v>
      </c>
      <c r="E71" s="17">
        <v>0.105</v>
      </c>
      <c r="F71" s="18">
        <v>2.4E-2</v>
      </c>
      <c r="G71" s="18">
        <f t="shared" si="0"/>
        <v>2.6000000000000002E-2</v>
      </c>
      <c r="H71" s="18">
        <f t="shared" si="1"/>
        <v>2.1999999999999999E-2</v>
      </c>
      <c r="I71" s="18">
        <f t="shared" si="2"/>
        <v>4.5359999999999998E-2</v>
      </c>
      <c r="J71" s="18">
        <v>5.0999999999999997E-2</v>
      </c>
      <c r="K71" s="79"/>
      <c r="L71" s="79"/>
      <c r="M71" s="79"/>
      <c r="AB71" s="10" t="s">
        <v>161</v>
      </c>
      <c r="AC71" s="85">
        <v>1481.7763249115012</v>
      </c>
      <c r="AD71" s="85">
        <v>771.32767550645269</v>
      </c>
      <c r="AE71" s="85">
        <v>1204.1972640477104</v>
      </c>
      <c r="AF71" s="85">
        <v>826.75647715230264</v>
      </c>
      <c r="AG71" s="85">
        <v>270.04410465153512</v>
      </c>
      <c r="AH71" s="85">
        <v>247.00971201033948</v>
      </c>
      <c r="AI71" s="85">
        <v>355.67403827326029</v>
      </c>
      <c r="AJ71" s="85">
        <v>692.40856899145945</v>
      </c>
      <c r="AK71" s="85">
        <v>4587.260402813492</v>
      </c>
      <c r="AL71" s="85">
        <v>2934.0261316232859</v>
      </c>
      <c r="AM71" s="85">
        <v>1438.4220467391146</v>
      </c>
      <c r="AN71" s="85">
        <v>3343.3923001738967</v>
      </c>
      <c r="AO71" s="85">
        <v>520.12048112313425</v>
      </c>
      <c r="AP71" s="85">
        <v>4168.851914806055</v>
      </c>
      <c r="AQ71" s="85">
        <v>3833.1505827703195</v>
      </c>
      <c r="AR71" s="85">
        <v>453.98636175106498</v>
      </c>
      <c r="AS71" s="85">
        <v>893.5474321358854</v>
      </c>
      <c r="AT71" s="85">
        <v>911.13153380942026</v>
      </c>
      <c r="AU71" s="85">
        <v>1323.5797818138271</v>
      </c>
      <c r="AV71" s="85">
        <v>1270.3220735454481</v>
      </c>
      <c r="AW71" s="85">
        <v>209.63601699499438</v>
      </c>
      <c r="AX71" s="85">
        <v>630.48117309114537</v>
      </c>
      <c r="AY71" s="85">
        <v>302.37922057979375</v>
      </c>
      <c r="AZ71" s="85">
        <v>651.8812828626219</v>
      </c>
      <c r="BA71" s="85">
        <v>698.54876049534425</v>
      </c>
      <c r="BB71" s="85">
        <v>629.60487472342277</v>
      </c>
      <c r="BC71" s="85">
        <v>421.6295011721329</v>
      </c>
      <c r="BD71" s="85">
        <v>743.29127396471199</v>
      </c>
      <c r="BE71" s="85">
        <v>835.0619199223255</v>
      </c>
      <c r="BF71" s="85">
        <v>451.65629928655346</v>
      </c>
      <c r="BG71" s="85">
        <v>1230.2992441034207</v>
      </c>
      <c r="BH71" s="85">
        <v>2001.3853373562768</v>
      </c>
      <c r="BI71" s="85">
        <v>2650.1179896307203</v>
      </c>
      <c r="BJ71" s="85">
        <v>689.45407408074539</v>
      </c>
      <c r="BK71" s="85">
        <v>43672.412176913713</v>
      </c>
      <c r="BL71" s="12"/>
      <c r="BM71" s="12"/>
      <c r="BN71" s="68">
        <v>45031</v>
      </c>
      <c r="BO71" s="87">
        <f t="shared" si="3"/>
        <v>124273.82495952518</v>
      </c>
      <c r="BP71" s="87">
        <f>BO71*Burden!$F$22</f>
        <v>93205.368719643884</v>
      </c>
      <c r="BQ71" s="12"/>
      <c r="BR71" s="89">
        <f>GETPIVOTDATA("[Measures].[Sum of Apr-23 2]",$AB$66)</f>
        <v>43672.412176913713</v>
      </c>
      <c r="BS71" s="87">
        <f>BR71*Burden!$F$22</f>
        <v>32754.309132685285</v>
      </c>
      <c r="BT71"/>
      <c r="BY71"/>
      <c r="BZ71"/>
      <c r="CA71"/>
      <c r="CB71"/>
      <c r="CC71"/>
      <c r="CD71"/>
      <c r="CE71"/>
      <c r="CF71"/>
      <c r="CG71"/>
      <c r="CH71"/>
      <c r="CI71"/>
      <c r="CJ71"/>
      <c r="CK71"/>
      <c r="CL71"/>
      <c r="CM71"/>
      <c r="CN71"/>
      <c r="CO71"/>
      <c r="CP71"/>
    </row>
    <row r="72" spans="3:94" s="20" customFormat="1" ht="15.5" x14ac:dyDescent="0.35">
      <c r="C72" s="19" t="s">
        <v>58</v>
      </c>
      <c r="D72" s="59">
        <v>238255.23074973936</v>
      </c>
      <c r="E72" s="17">
        <v>0.17699999999999999</v>
      </c>
      <c r="F72" s="18">
        <v>5.5E-2</v>
      </c>
      <c r="G72" s="18">
        <f t="shared" si="0"/>
        <v>5.7000000000000002E-2</v>
      </c>
      <c r="H72" s="18">
        <f t="shared" si="1"/>
        <v>5.2999999999999999E-2</v>
      </c>
      <c r="I72" s="18">
        <f t="shared" si="2"/>
        <v>0.10395</v>
      </c>
      <c r="J72" s="18">
        <v>8.5000000000000006E-2</v>
      </c>
      <c r="K72" s="79"/>
      <c r="L72" s="79"/>
      <c r="M72" s="79"/>
      <c r="AB72" s="10" t="s">
        <v>162</v>
      </c>
      <c r="AC72" s="85">
        <v>1766.733310471405</v>
      </c>
      <c r="AD72" s="85">
        <v>919.65992079615501</v>
      </c>
      <c r="AE72" s="85">
        <v>1435.7736609799622</v>
      </c>
      <c r="AF72" s="85">
        <v>985.74810737389919</v>
      </c>
      <c r="AG72" s="85">
        <v>321.97566323836872</v>
      </c>
      <c r="AH72" s="85">
        <v>294.51157970463555</v>
      </c>
      <c r="AI72" s="85">
        <v>424.07289178734879</v>
      </c>
      <c r="AJ72" s="85">
        <v>825.56406302827861</v>
      </c>
      <c r="AK72" s="85">
        <v>5469.425864893009</v>
      </c>
      <c r="AL72" s="85">
        <v>3498.2619261662253</v>
      </c>
      <c r="AM72" s="85">
        <v>1715.0416711120213</v>
      </c>
      <c r="AN72" s="85">
        <v>3986.352357899646</v>
      </c>
      <c r="AO72" s="85">
        <v>620.14365056989084</v>
      </c>
      <c r="AP72" s="85">
        <v>4970.5542061149108</v>
      </c>
      <c r="AQ72" s="85">
        <v>4570.2949256107659</v>
      </c>
      <c r="AR72" s="85">
        <v>541.29143131857745</v>
      </c>
      <c r="AS72" s="85">
        <v>1065.3834767774017</v>
      </c>
      <c r="AT72" s="85">
        <v>1086.3491364650779</v>
      </c>
      <c r="AU72" s="85">
        <v>1578.1143552395629</v>
      </c>
      <c r="AV72" s="85">
        <v>1514.6147799964958</v>
      </c>
      <c r="AW72" s="85">
        <v>249.9506356478779</v>
      </c>
      <c r="AX72" s="85">
        <v>751.72755253175012</v>
      </c>
      <c r="AY72" s="85">
        <v>360.52907069129253</v>
      </c>
      <c r="AZ72" s="85">
        <v>777.24306802851061</v>
      </c>
      <c r="BA72" s="85">
        <v>832.88506059060273</v>
      </c>
      <c r="BB72" s="85">
        <v>750.68273524715789</v>
      </c>
      <c r="BC72" s="85">
        <v>502.71209755138921</v>
      </c>
      <c r="BD72" s="85">
        <v>886.23190357331043</v>
      </c>
      <c r="BE72" s="85">
        <v>995.65075067661883</v>
      </c>
      <c r="BF72" s="85">
        <v>538.51327991858295</v>
      </c>
      <c r="BG72" s="85">
        <v>1466.8952525848479</v>
      </c>
      <c r="BH72" s="85">
        <v>2386.2671330017147</v>
      </c>
      <c r="BI72" s="85">
        <v>3159.7560645597046</v>
      </c>
      <c r="BJ72" s="85">
        <v>822.04139601935026</v>
      </c>
      <c r="BK72" s="85">
        <v>52070.952980166359</v>
      </c>
      <c r="BL72" s="12"/>
      <c r="BM72" s="12"/>
      <c r="BN72" s="68">
        <v>45061</v>
      </c>
      <c r="BO72" s="87">
        <f t="shared" si="3"/>
        <v>176344.77793969156</v>
      </c>
      <c r="BP72" s="87">
        <f>BO72*Burden!$F$22</f>
        <v>132258.58345476867</v>
      </c>
      <c r="BQ72" s="12"/>
      <c r="BR72" s="89">
        <f>GETPIVOTDATA("[Measures].[Sum of May-23 2]",$AB$66)</f>
        <v>52070.952980166359</v>
      </c>
      <c r="BS72" s="87">
        <f>BR72*Burden!$F$22</f>
        <v>39053.21473512477</v>
      </c>
      <c r="BT72"/>
      <c r="BU72" s="12"/>
      <c r="BV72" s="12"/>
      <c r="BW72" s="12"/>
      <c r="BY72"/>
      <c r="BZ72"/>
      <c r="CA72"/>
      <c r="CB72"/>
      <c r="CC72"/>
      <c r="CD72"/>
      <c r="CE72"/>
      <c r="CF72"/>
      <c r="CG72"/>
      <c r="CH72"/>
      <c r="CI72"/>
      <c r="CJ72"/>
      <c r="CK72"/>
      <c r="CL72"/>
      <c r="CM72"/>
      <c r="CN72"/>
      <c r="CO72"/>
      <c r="CP72"/>
    </row>
    <row r="73" spans="3:94" s="20" customFormat="1" ht="15.5" x14ac:dyDescent="0.35">
      <c r="C73" s="19" t="s">
        <v>59</v>
      </c>
      <c r="D73" s="59">
        <v>1032119.6252877874</v>
      </c>
      <c r="E73" s="17">
        <v>6.933804782394698E-2</v>
      </c>
      <c r="F73" s="18">
        <v>2.3568320150697337E-2</v>
      </c>
      <c r="G73" s="18">
        <f t="shared" si="0"/>
        <v>2.5568320150697335E-2</v>
      </c>
      <c r="H73" s="18">
        <f t="shared" si="1"/>
        <v>2.1568320150697338E-2</v>
      </c>
      <c r="I73" s="18">
        <f t="shared" si="2"/>
        <v>4.4544125084817962E-2</v>
      </c>
      <c r="J73" s="18">
        <v>9.6999999999999989E-2</v>
      </c>
      <c r="K73" s="79"/>
      <c r="L73" s="79"/>
      <c r="M73" s="79"/>
      <c r="AB73" s="10" t="s">
        <v>163</v>
      </c>
      <c r="AC73" s="85">
        <v>1975.336301872926</v>
      </c>
      <c r="AD73" s="85">
        <v>1028.2466607489866</v>
      </c>
      <c r="AE73" s="85">
        <v>1605.2993493681083</v>
      </c>
      <c r="AF73" s="85">
        <v>1102.1380586743114</v>
      </c>
      <c r="AG73" s="85">
        <v>359.99220264017083</v>
      </c>
      <c r="AH73" s="85">
        <v>329.28536031127499</v>
      </c>
      <c r="AI73" s="85">
        <v>474.14432773912273</v>
      </c>
      <c r="AJ73" s="85">
        <v>923.04064997016496</v>
      </c>
      <c r="AK73" s="85">
        <v>6115.2158038176922</v>
      </c>
      <c r="AL73" s="85">
        <v>3911.3111952206518</v>
      </c>
      <c r="AM73" s="85">
        <v>1917.5412905236074</v>
      </c>
      <c r="AN73" s="85">
        <v>4457.0317873923132</v>
      </c>
      <c r="AO73" s="85">
        <v>693.36569253898779</v>
      </c>
      <c r="AP73" s="85">
        <v>5557.4410158973797</v>
      </c>
      <c r="AQ73" s="85">
        <v>5109.9220370819439</v>
      </c>
      <c r="AR73" s="85">
        <v>605.20317800033206</v>
      </c>
      <c r="AS73" s="85">
        <v>1191.1761920266656</v>
      </c>
      <c r="AT73" s="85">
        <v>1214.6173239894349</v>
      </c>
      <c r="AU73" s="85">
        <v>1764.446595270073</v>
      </c>
      <c r="AV73" s="85">
        <v>1693.4494530371724</v>
      </c>
      <c r="AW73" s="85">
        <v>279.46298478955265</v>
      </c>
      <c r="AX73" s="85">
        <v>840.48606251604758</v>
      </c>
      <c r="AY73" s="85">
        <v>403.0977154254245</v>
      </c>
      <c r="AZ73" s="85">
        <v>869.0142640974758</v>
      </c>
      <c r="BA73" s="85">
        <v>931.22605756115195</v>
      </c>
      <c r="BB73" s="85">
        <v>839.31788082227024</v>
      </c>
      <c r="BC73" s="85">
        <v>562.06867771060524</v>
      </c>
      <c r="BD73" s="85">
        <v>990.87170691268886</v>
      </c>
      <c r="BE73" s="85">
        <v>1113.2099339168412</v>
      </c>
      <c r="BF73" s="85">
        <v>602.09700273325461</v>
      </c>
      <c r="BG73" s="85">
        <v>1640.0955516612496</v>
      </c>
      <c r="BH73" s="85">
        <v>2668.0201623225171</v>
      </c>
      <c r="BI73" s="85">
        <v>3532.8370288793162</v>
      </c>
      <c r="BJ73" s="85">
        <v>919.10205211790083</v>
      </c>
      <c r="BK73" s="85">
        <v>58219.11155758761</v>
      </c>
      <c r="BL73" s="12"/>
      <c r="BM73" s="12"/>
      <c r="BN73" s="68">
        <v>45092</v>
      </c>
      <c r="BO73" s="87">
        <f t="shared" si="3"/>
        <v>234563.88949727916</v>
      </c>
      <c r="BP73" s="87">
        <f>BO73*Burden!$F$22</f>
        <v>175922.91712295936</v>
      </c>
      <c r="BQ73" s="12"/>
      <c r="BR73" s="89">
        <f>GETPIVOTDATA("[Measures].[Sum of Jun-23 2]",$AB$66)</f>
        <v>58219.11155758761</v>
      </c>
      <c r="BS73" s="87">
        <f>BR73*Burden!$F$22</f>
        <v>43664.333668190709</v>
      </c>
      <c r="BT73"/>
      <c r="BU73" s="15"/>
      <c r="BV73" s="15"/>
      <c r="BW73" s="15"/>
      <c r="BY73"/>
      <c r="BZ73"/>
      <c r="CA73"/>
      <c r="CB73"/>
      <c r="CC73"/>
      <c r="CD73"/>
      <c r="CE73"/>
      <c r="CF73"/>
      <c r="CG73"/>
      <c r="CH73"/>
      <c r="CI73"/>
      <c r="CJ73"/>
      <c r="CK73"/>
      <c r="CL73"/>
      <c r="CM73"/>
      <c r="CN73"/>
      <c r="CO73"/>
      <c r="CP73"/>
    </row>
    <row r="74" spans="3:94" s="20" customFormat="1" ht="15.5" x14ac:dyDescent="0.35">
      <c r="C74" s="19" t="s">
        <v>60</v>
      </c>
      <c r="D74" s="59">
        <v>602487.10721580265</v>
      </c>
      <c r="E74" s="17">
        <v>7.7899148048748743E-2</v>
      </c>
      <c r="F74" s="18">
        <v>4.3510526804079831E-2</v>
      </c>
      <c r="G74" s="18">
        <f t="shared" si="0"/>
        <v>4.5510526804079833E-2</v>
      </c>
      <c r="H74" s="18">
        <f t="shared" si="1"/>
        <v>4.1510526804079829E-2</v>
      </c>
      <c r="I74" s="18">
        <f t="shared" si="2"/>
        <v>8.2234895659710872E-2</v>
      </c>
      <c r="J74" s="18">
        <v>9.6000000000000002E-2</v>
      </c>
      <c r="K74" s="79"/>
      <c r="L74" s="79"/>
      <c r="M74" s="79"/>
      <c r="AB74" s="10" t="s">
        <v>164</v>
      </c>
      <c r="AC74" s="85">
        <v>2051.6902960313091</v>
      </c>
      <c r="AD74" s="85">
        <v>1067.9921660858577</v>
      </c>
      <c r="AE74" s="85">
        <v>1667.3500579122142</v>
      </c>
      <c r="AF74" s="85">
        <v>1144.7397375954959</v>
      </c>
      <c r="AG74" s="85">
        <v>373.90722182520244</v>
      </c>
      <c r="AH74" s="85">
        <v>342.01344739893159</v>
      </c>
      <c r="AI74" s="85">
        <v>492.47174530143735</v>
      </c>
      <c r="AJ74" s="85">
        <v>958.71955706509777</v>
      </c>
      <c r="AK74" s="85">
        <v>6351.591326972527</v>
      </c>
      <c r="AL74" s="85">
        <v>4062.4977207091652</v>
      </c>
      <c r="AM74" s="85">
        <v>1991.6612954849279</v>
      </c>
      <c r="AN74" s="85">
        <v>4629.3124156253953</v>
      </c>
      <c r="AO74" s="85">
        <v>720.16682001664753</v>
      </c>
      <c r="AP74" s="85">
        <v>5772.2564974237675</v>
      </c>
      <c r="AQ74" s="85">
        <v>5307.4392684512122</v>
      </c>
      <c r="AR74" s="85">
        <v>628.59650088608998</v>
      </c>
      <c r="AS74" s="85">
        <v>1237.2195214189182</v>
      </c>
      <c r="AT74" s="85">
        <v>1261.5667391207357</v>
      </c>
      <c r="AU74" s="85">
        <v>1832.6489286652991</v>
      </c>
      <c r="AV74" s="85">
        <v>1758.9074864475438</v>
      </c>
      <c r="AW74" s="85">
        <v>290.26525430076146</v>
      </c>
      <c r="AX74" s="85">
        <v>872.9739319723551</v>
      </c>
      <c r="AY74" s="85">
        <v>418.67892080279137</v>
      </c>
      <c r="AZ74" s="85">
        <v>902.60485319439954</v>
      </c>
      <c r="BA74" s="85">
        <v>967.22136068586133</v>
      </c>
      <c r="BB74" s="85">
        <v>871.76059577089302</v>
      </c>
      <c r="BC74" s="85">
        <v>583.79469393064551</v>
      </c>
      <c r="BD74" s="85">
        <v>1029.1725331819089</v>
      </c>
      <c r="BE74" s="85">
        <v>1156.2395814309123</v>
      </c>
      <c r="BF74" s="85">
        <v>625.37026055061244</v>
      </c>
      <c r="BG74" s="85">
        <v>1703.491261066275</v>
      </c>
      <c r="BH74" s="85">
        <v>2771.1489286471524</v>
      </c>
      <c r="BI74" s="85">
        <v>3669.3941394886892</v>
      </c>
      <c r="BJ74" s="85">
        <v>954.62871795795525</v>
      </c>
      <c r="BK74" s="85">
        <v>60469.493783418977</v>
      </c>
      <c r="BL74" s="12"/>
      <c r="BM74" s="12"/>
      <c r="BN74" s="68">
        <v>45122</v>
      </c>
      <c r="BO74" s="87">
        <f t="shared" si="3"/>
        <v>295033.38328069815</v>
      </c>
      <c r="BP74" s="87">
        <f>BO74*Burden!$F$22</f>
        <v>221275.0374605236</v>
      </c>
      <c r="BQ74" s="12"/>
      <c r="BR74" s="89">
        <f>GETPIVOTDATA("[Measures].[Sum of Jul-23 2]",$AB$66)</f>
        <v>60469.493783418977</v>
      </c>
      <c r="BS74" s="87">
        <f>BR74*Burden!$F$22</f>
        <v>45352.120337564236</v>
      </c>
      <c r="BT74"/>
      <c r="BU74" s="16"/>
      <c r="BV74" s="16"/>
      <c r="BW74" s="16"/>
      <c r="BY74"/>
      <c r="BZ74"/>
      <c r="CA74"/>
      <c r="CB74"/>
      <c r="CC74"/>
      <c r="CD74"/>
      <c r="CE74"/>
      <c r="CF74"/>
      <c r="CG74"/>
      <c r="CH74"/>
      <c r="CI74"/>
      <c r="CJ74"/>
      <c r="CK74"/>
      <c r="CL74"/>
      <c r="CM74"/>
      <c r="CN74"/>
      <c r="CO74"/>
      <c r="CP74"/>
    </row>
    <row r="75" spans="3:94" s="20" customFormat="1" ht="15.5" x14ac:dyDescent="0.35">
      <c r="C75" s="19" t="s">
        <v>61</v>
      </c>
      <c r="D75" s="59">
        <v>869080.78327397851</v>
      </c>
      <c r="E75" s="17">
        <v>6.1585365984931792E-2</v>
      </c>
      <c r="F75" s="18">
        <v>1.7564502649731799E-2</v>
      </c>
      <c r="G75" s="18">
        <f t="shared" si="0"/>
        <v>1.9564502649731801E-2</v>
      </c>
      <c r="H75" s="18">
        <f t="shared" si="1"/>
        <v>1.5564502649731799E-2</v>
      </c>
      <c r="I75" s="18">
        <f t="shared" si="2"/>
        <v>3.3196910007993095E-2</v>
      </c>
      <c r="J75" s="18">
        <v>0.125</v>
      </c>
      <c r="K75" s="79"/>
      <c r="L75" s="79"/>
      <c r="M75" s="79"/>
      <c r="AB75" s="10" t="s">
        <v>165</v>
      </c>
      <c r="AC75" s="85">
        <v>1975.336301872926</v>
      </c>
      <c r="AD75" s="85">
        <v>1028.2466607489866</v>
      </c>
      <c r="AE75" s="85">
        <v>1605.2993493681083</v>
      </c>
      <c r="AF75" s="85">
        <v>1102.1380586743114</v>
      </c>
      <c r="AG75" s="85">
        <v>359.99220264017083</v>
      </c>
      <c r="AH75" s="85">
        <v>329.28536031127499</v>
      </c>
      <c r="AI75" s="85">
        <v>474.14432773912273</v>
      </c>
      <c r="AJ75" s="85">
        <v>923.04064997016496</v>
      </c>
      <c r="AK75" s="85">
        <v>6115.2158038176922</v>
      </c>
      <c r="AL75" s="85">
        <v>3911.3111952206518</v>
      </c>
      <c r="AM75" s="85">
        <v>1917.5412905236074</v>
      </c>
      <c r="AN75" s="85">
        <v>4457.0317873923132</v>
      </c>
      <c r="AO75" s="85">
        <v>693.36569253898779</v>
      </c>
      <c r="AP75" s="85">
        <v>5557.4410158973797</v>
      </c>
      <c r="AQ75" s="85">
        <v>5109.9220370819439</v>
      </c>
      <c r="AR75" s="85">
        <v>605.20317800033206</v>
      </c>
      <c r="AS75" s="85">
        <v>1191.1761920266656</v>
      </c>
      <c r="AT75" s="85">
        <v>1214.6173239894349</v>
      </c>
      <c r="AU75" s="85">
        <v>1764.446595270073</v>
      </c>
      <c r="AV75" s="85">
        <v>1693.4494530371724</v>
      </c>
      <c r="AW75" s="85">
        <v>279.46298478955265</v>
      </c>
      <c r="AX75" s="85">
        <v>840.48606251604758</v>
      </c>
      <c r="AY75" s="85">
        <v>403.0977154254245</v>
      </c>
      <c r="AZ75" s="85">
        <v>869.0142640974758</v>
      </c>
      <c r="BA75" s="85">
        <v>931.22605756115195</v>
      </c>
      <c r="BB75" s="85">
        <v>839.31788082227024</v>
      </c>
      <c r="BC75" s="85">
        <v>562.06867771060524</v>
      </c>
      <c r="BD75" s="85">
        <v>990.87170691268886</v>
      </c>
      <c r="BE75" s="85">
        <v>1113.2099339168412</v>
      </c>
      <c r="BF75" s="85">
        <v>602.09700273325461</v>
      </c>
      <c r="BG75" s="85">
        <v>1640.0955516612496</v>
      </c>
      <c r="BH75" s="85">
        <v>2668.0201623225171</v>
      </c>
      <c r="BI75" s="85">
        <v>3532.8370288793162</v>
      </c>
      <c r="BJ75" s="85">
        <v>919.10205211790083</v>
      </c>
      <c r="BK75" s="85">
        <v>58219.11155758761</v>
      </c>
      <c r="BL75" s="12"/>
      <c r="BM75" s="12"/>
      <c r="BN75" s="68">
        <v>45153</v>
      </c>
      <c r="BO75" s="87">
        <f t="shared" si="3"/>
        <v>353252.49483828578</v>
      </c>
      <c r="BP75" s="87">
        <f>BO75*Burden!$F$22</f>
        <v>264939.37112871435</v>
      </c>
      <c r="BQ75" s="12"/>
      <c r="BR75" s="89">
        <f>GETPIVOTDATA("[Measures].[Sum of Aug-23 2]",$AB$66)</f>
        <v>58219.11155758761</v>
      </c>
      <c r="BS75" s="87">
        <f>BR75*Burden!$F$22</f>
        <v>43664.333668190709</v>
      </c>
      <c r="BT75"/>
      <c r="BY75"/>
      <c r="BZ75"/>
      <c r="CA75"/>
      <c r="CB75"/>
      <c r="CC75"/>
      <c r="CD75"/>
      <c r="CE75"/>
      <c r="CF75"/>
      <c r="CG75"/>
      <c r="CH75"/>
      <c r="CI75"/>
      <c r="CJ75"/>
      <c r="CK75"/>
      <c r="CL75"/>
      <c r="CM75"/>
      <c r="CN75"/>
      <c r="CO75"/>
      <c r="CP75"/>
    </row>
    <row r="76" spans="3:94" s="20" customFormat="1" ht="15.5" x14ac:dyDescent="0.35">
      <c r="C76" s="19" t="s">
        <v>62</v>
      </c>
      <c r="D76" s="59">
        <v>1527780.4918383295</v>
      </c>
      <c r="E76" s="17">
        <v>7.9449935682329456E-2</v>
      </c>
      <c r="F76" s="18">
        <v>2.6117768380976111E-2</v>
      </c>
      <c r="G76" s="18">
        <f t="shared" si="0"/>
        <v>2.8117768380976113E-2</v>
      </c>
      <c r="H76" s="18">
        <f t="shared" si="1"/>
        <v>2.411776838097611E-2</v>
      </c>
      <c r="I76" s="18">
        <f t="shared" si="2"/>
        <v>4.9362582240044847E-2</v>
      </c>
      <c r="J76" s="18">
        <v>0.124</v>
      </c>
      <c r="K76" s="79"/>
      <c r="L76" s="79"/>
      <c r="M76" s="79"/>
      <c r="AB76" s="10" t="s">
        <v>166</v>
      </c>
      <c r="AC76" s="85">
        <v>1766.733310471405</v>
      </c>
      <c r="AD76" s="85">
        <v>919.65992079615501</v>
      </c>
      <c r="AE76" s="85">
        <v>1435.7736609799622</v>
      </c>
      <c r="AF76" s="85">
        <v>985.74810737389919</v>
      </c>
      <c r="AG76" s="85">
        <v>321.97566323836872</v>
      </c>
      <c r="AH76" s="85">
        <v>294.51157970463555</v>
      </c>
      <c r="AI76" s="85">
        <v>424.07289178734879</v>
      </c>
      <c r="AJ76" s="85">
        <v>825.56406302827861</v>
      </c>
      <c r="AK76" s="85">
        <v>5469.425864893009</v>
      </c>
      <c r="AL76" s="85">
        <v>3498.2619261662253</v>
      </c>
      <c r="AM76" s="85">
        <v>1715.0416711120213</v>
      </c>
      <c r="AN76" s="85">
        <v>3986.352357899646</v>
      </c>
      <c r="AO76" s="85">
        <v>620.14365056989084</v>
      </c>
      <c r="AP76" s="85">
        <v>4970.5542061149108</v>
      </c>
      <c r="AQ76" s="85">
        <v>4570.2949256107659</v>
      </c>
      <c r="AR76" s="85">
        <v>541.29143131857745</v>
      </c>
      <c r="AS76" s="85">
        <v>1065.3834767774017</v>
      </c>
      <c r="AT76" s="85">
        <v>1086.3491364650779</v>
      </c>
      <c r="AU76" s="85">
        <v>1578.1143552395629</v>
      </c>
      <c r="AV76" s="85">
        <v>1514.6147799964958</v>
      </c>
      <c r="AW76" s="85">
        <v>249.9506356478779</v>
      </c>
      <c r="AX76" s="85">
        <v>751.72755253175012</v>
      </c>
      <c r="AY76" s="85">
        <v>360.52907069129253</v>
      </c>
      <c r="AZ76" s="85">
        <v>777.24306802851061</v>
      </c>
      <c r="BA76" s="85">
        <v>832.88506059060273</v>
      </c>
      <c r="BB76" s="85">
        <v>750.68273524715789</v>
      </c>
      <c r="BC76" s="85">
        <v>502.71209755138921</v>
      </c>
      <c r="BD76" s="85">
        <v>886.23190357331043</v>
      </c>
      <c r="BE76" s="85">
        <v>995.65075067661883</v>
      </c>
      <c r="BF76" s="85">
        <v>538.51327991858295</v>
      </c>
      <c r="BG76" s="85">
        <v>1466.8952525848479</v>
      </c>
      <c r="BH76" s="85">
        <v>2386.2671330017147</v>
      </c>
      <c r="BI76" s="85">
        <v>3159.7560645597046</v>
      </c>
      <c r="BJ76" s="85">
        <v>822.04139601935026</v>
      </c>
      <c r="BK76" s="85">
        <v>52070.952980166359</v>
      </c>
      <c r="BL76" s="12"/>
      <c r="BM76" s="12"/>
      <c r="BN76" s="68">
        <v>45184</v>
      </c>
      <c r="BO76" s="87">
        <f t="shared" si="3"/>
        <v>405323.44781845214</v>
      </c>
      <c r="BP76" s="87">
        <f>BO76*Burden!$F$22</f>
        <v>303992.58586383914</v>
      </c>
      <c r="BQ76" s="12"/>
      <c r="BR76" s="89">
        <f>GETPIVOTDATA("[Measures].[Sum of Sep-23 2]",$AB$66)</f>
        <v>52070.952980166359</v>
      </c>
      <c r="BS76" s="87">
        <f>BR76*Burden!$F$22</f>
        <v>39053.21473512477</v>
      </c>
      <c r="BT76"/>
      <c r="BY76"/>
      <c r="BZ76"/>
      <c r="CA76"/>
      <c r="CB76"/>
      <c r="CC76"/>
      <c r="CD76"/>
      <c r="CE76"/>
      <c r="CF76"/>
      <c r="CG76"/>
      <c r="CH76"/>
      <c r="CI76"/>
      <c r="CJ76"/>
      <c r="CK76"/>
      <c r="CL76"/>
      <c r="CM76"/>
      <c r="CN76"/>
      <c r="CO76"/>
      <c r="CP76"/>
    </row>
    <row r="77" spans="3:94" s="20" customFormat="1" ht="15.5" x14ac:dyDescent="0.35">
      <c r="C77" s="19" t="s">
        <v>63</v>
      </c>
      <c r="D77" s="59">
        <v>544263.0947936239</v>
      </c>
      <c r="E77" s="17">
        <v>0.21582391302424031</v>
      </c>
      <c r="F77" s="18">
        <v>0.11213089027322097</v>
      </c>
      <c r="G77" s="18">
        <f t="shared" si="0"/>
        <v>0.11413089027322097</v>
      </c>
      <c r="H77" s="18">
        <f t="shared" si="1"/>
        <v>0.11013089027322097</v>
      </c>
      <c r="I77" s="18">
        <f t="shared" si="2"/>
        <v>0.21192738261638763</v>
      </c>
      <c r="J77" s="18">
        <v>4.2000000000000003E-2</v>
      </c>
      <c r="K77" s="79"/>
      <c r="L77" s="79"/>
      <c r="M77" s="79"/>
      <c r="AB77" s="10" t="s">
        <v>167</v>
      </c>
      <c r="AC77" s="85">
        <v>1481.7763249115012</v>
      </c>
      <c r="AD77" s="85">
        <v>771.32767550645269</v>
      </c>
      <c r="AE77" s="85">
        <v>1204.1972640477104</v>
      </c>
      <c r="AF77" s="85">
        <v>826.75647715230264</v>
      </c>
      <c r="AG77" s="85">
        <v>270.04410465153512</v>
      </c>
      <c r="AH77" s="85">
        <v>247.00971201033948</v>
      </c>
      <c r="AI77" s="85">
        <v>355.67403827326029</v>
      </c>
      <c r="AJ77" s="85">
        <v>692.40856899145945</v>
      </c>
      <c r="AK77" s="85">
        <v>4587.260402813492</v>
      </c>
      <c r="AL77" s="85">
        <v>2934.0261316232859</v>
      </c>
      <c r="AM77" s="85">
        <v>1438.4220467391146</v>
      </c>
      <c r="AN77" s="85">
        <v>3343.3923001738967</v>
      </c>
      <c r="AO77" s="85">
        <v>520.12048112313425</v>
      </c>
      <c r="AP77" s="85">
        <v>4168.851914806055</v>
      </c>
      <c r="AQ77" s="85">
        <v>3833.1505827703195</v>
      </c>
      <c r="AR77" s="85">
        <v>453.98636175106498</v>
      </c>
      <c r="AS77" s="85">
        <v>893.5474321358854</v>
      </c>
      <c r="AT77" s="85">
        <v>911.13153380942026</v>
      </c>
      <c r="AU77" s="85">
        <v>1323.5797818138271</v>
      </c>
      <c r="AV77" s="85">
        <v>1270.3220735454481</v>
      </c>
      <c r="AW77" s="85">
        <v>209.63601699499438</v>
      </c>
      <c r="AX77" s="85">
        <v>630.48117309114537</v>
      </c>
      <c r="AY77" s="85">
        <v>302.37922057979375</v>
      </c>
      <c r="AZ77" s="85">
        <v>651.8812828626219</v>
      </c>
      <c r="BA77" s="85">
        <v>698.54876049534425</v>
      </c>
      <c r="BB77" s="85">
        <v>629.60487472342277</v>
      </c>
      <c r="BC77" s="85">
        <v>421.6295011721329</v>
      </c>
      <c r="BD77" s="85">
        <v>743.29127396471199</v>
      </c>
      <c r="BE77" s="85">
        <v>835.0619199223255</v>
      </c>
      <c r="BF77" s="85">
        <v>451.65629928655346</v>
      </c>
      <c r="BG77" s="85">
        <v>1230.2992441034207</v>
      </c>
      <c r="BH77" s="85">
        <v>2001.3853373562768</v>
      </c>
      <c r="BI77" s="85">
        <v>2650.1179896307203</v>
      </c>
      <c r="BJ77" s="85">
        <v>689.45407408074539</v>
      </c>
      <c r="BK77" s="85">
        <v>43672.412176913713</v>
      </c>
      <c r="BL77" s="12"/>
      <c r="BM77" s="12"/>
      <c r="BN77" s="68">
        <v>45214</v>
      </c>
      <c r="BO77" s="87">
        <f t="shared" si="3"/>
        <v>448995.85999536584</v>
      </c>
      <c r="BP77" s="87">
        <f>BO77*Burden!$F$22</f>
        <v>336746.89499652438</v>
      </c>
      <c r="BQ77" s="12"/>
      <c r="BR77" s="89">
        <f>GETPIVOTDATA("[Measures].[Sum of Oct-23 2]",$AB$66)</f>
        <v>43672.412176913713</v>
      </c>
      <c r="BS77" s="87">
        <f>BR77*Burden!$F$22</f>
        <v>32754.309132685285</v>
      </c>
      <c r="BT77"/>
      <c r="BY77"/>
      <c r="BZ77"/>
      <c r="CA77"/>
      <c r="CB77"/>
      <c r="CC77"/>
      <c r="CD77"/>
      <c r="CE77"/>
      <c r="CF77"/>
      <c r="CG77"/>
      <c r="CH77"/>
      <c r="CI77"/>
      <c r="CJ77"/>
      <c r="CK77"/>
      <c r="CL77"/>
      <c r="CM77"/>
      <c r="CN77"/>
      <c r="CO77"/>
      <c r="CP77"/>
    </row>
    <row r="78" spans="3:94" s="20" customFormat="1" ht="15.5" x14ac:dyDescent="0.35">
      <c r="C78" s="19" t="s">
        <v>64</v>
      </c>
      <c r="D78" s="59">
        <v>925641.60157377052</v>
      </c>
      <c r="E78" s="17">
        <v>0.16570963780761727</v>
      </c>
      <c r="F78" s="18">
        <v>8.7745170487585802E-2</v>
      </c>
      <c r="G78" s="18">
        <f t="shared" si="0"/>
        <v>8.9745170487585804E-2</v>
      </c>
      <c r="H78" s="18">
        <f t="shared" si="1"/>
        <v>8.5745170487585801E-2</v>
      </c>
      <c r="I78" s="18">
        <f t="shared" si="2"/>
        <v>0.16583837222153716</v>
      </c>
      <c r="J78" s="18">
        <v>0.04</v>
      </c>
      <c r="M78" s="79"/>
      <c r="AB78" s="10" t="s">
        <v>168</v>
      </c>
      <c r="AC78" s="85">
        <v>1196.8193393515969</v>
      </c>
      <c r="AD78" s="85">
        <v>622.99543021675015</v>
      </c>
      <c r="AE78" s="85">
        <v>972.62086711545817</v>
      </c>
      <c r="AF78" s="85">
        <v>667.76484693070586</v>
      </c>
      <c r="AG78" s="85">
        <v>218.11254606470141</v>
      </c>
      <c r="AH78" s="85">
        <v>199.50784431604342</v>
      </c>
      <c r="AI78" s="85">
        <v>287.27518475917174</v>
      </c>
      <c r="AJ78" s="85">
        <v>559.25307495464028</v>
      </c>
      <c r="AK78" s="85">
        <v>3705.0949407339735</v>
      </c>
      <c r="AL78" s="85">
        <v>2369.790337080346</v>
      </c>
      <c r="AM78" s="85">
        <v>1161.8024223662078</v>
      </c>
      <c r="AN78" s="85">
        <v>2700.432242448147</v>
      </c>
      <c r="AO78" s="85">
        <v>420.09731167637767</v>
      </c>
      <c r="AP78" s="85">
        <v>3367.1496234971978</v>
      </c>
      <c r="AQ78" s="85">
        <v>3096.0062399298731</v>
      </c>
      <c r="AR78" s="85">
        <v>366.68129218355244</v>
      </c>
      <c r="AS78" s="85">
        <v>721.71138749436886</v>
      </c>
      <c r="AT78" s="85">
        <v>735.91393115376241</v>
      </c>
      <c r="AU78" s="85">
        <v>1069.0452083880909</v>
      </c>
      <c r="AV78" s="85">
        <v>1026.0293670944004</v>
      </c>
      <c r="AW78" s="85">
        <v>169.32139834211083</v>
      </c>
      <c r="AX78" s="85">
        <v>509.23479365054044</v>
      </c>
      <c r="AY78" s="85">
        <v>244.22937046829495</v>
      </c>
      <c r="AZ78" s="85">
        <v>526.51949769673297</v>
      </c>
      <c r="BA78" s="85">
        <v>564.21246040008566</v>
      </c>
      <c r="BB78" s="85">
        <v>508.52701419968759</v>
      </c>
      <c r="BC78" s="85">
        <v>340.54690479287655</v>
      </c>
      <c r="BD78" s="85">
        <v>600.35064435611343</v>
      </c>
      <c r="BE78" s="85">
        <v>674.47308916803206</v>
      </c>
      <c r="BF78" s="85">
        <v>364.79931865452392</v>
      </c>
      <c r="BG78" s="85">
        <v>993.7032356219936</v>
      </c>
      <c r="BH78" s="85">
        <v>1616.5035417108388</v>
      </c>
      <c r="BI78" s="85">
        <v>2140.4799147017352</v>
      </c>
      <c r="BJ78" s="85">
        <v>556.86675214214051</v>
      </c>
      <c r="BK78" s="85">
        <v>35273.871373661066</v>
      </c>
      <c r="BL78" s="12"/>
      <c r="BM78" s="12"/>
      <c r="BN78" s="68">
        <v>45245</v>
      </c>
      <c r="BO78" s="87">
        <f t="shared" si="3"/>
        <v>484269.73136902694</v>
      </c>
      <c r="BP78" s="87">
        <f>BO78*Burden!$F$22</f>
        <v>363202.2985267702</v>
      </c>
      <c r="BQ78" s="12"/>
      <c r="BR78" s="89">
        <f>GETPIVOTDATA("[Measures].[Sum of Nov-23 2]",$AB$66)</f>
        <v>35273.871373661066</v>
      </c>
      <c r="BS78" s="87">
        <f>BR78*Burden!$F$22</f>
        <v>26455.4035302458</v>
      </c>
      <c r="BT78"/>
      <c r="BY78"/>
      <c r="BZ78"/>
      <c r="CA78"/>
      <c r="CB78"/>
      <c r="CC78"/>
      <c r="CD78"/>
      <c r="CE78"/>
      <c r="CF78"/>
      <c r="CG78"/>
      <c r="CH78"/>
      <c r="CI78"/>
      <c r="CJ78"/>
      <c r="CK78"/>
      <c r="CL78"/>
      <c r="CM78"/>
      <c r="CN78"/>
      <c r="CO78"/>
      <c r="CP78"/>
    </row>
    <row r="79" spans="3:94" s="20" customFormat="1" ht="15.5" x14ac:dyDescent="0.35">
      <c r="C79" s="19" t="s">
        <v>65</v>
      </c>
      <c r="D79" s="59">
        <v>472218.84030213533</v>
      </c>
      <c r="E79" s="17">
        <v>9.3743009127370894E-2</v>
      </c>
      <c r="F79" s="18">
        <v>4.5726967027561863E-2</v>
      </c>
      <c r="G79" s="18">
        <f t="shared" si="0"/>
        <v>4.7726967027561865E-2</v>
      </c>
      <c r="H79" s="18">
        <f t="shared" si="1"/>
        <v>4.3726967027561861E-2</v>
      </c>
      <c r="I79" s="18">
        <f t="shared" si="2"/>
        <v>8.6423967682091915E-2</v>
      </c>
      <c r="J79" s="18">
        <v>3.3000000000000002E-2</v>
      </c>
      <c r="M79" s="79"/>
      <c r="AB79" s="10" t="s">
        <v>169</v>
      </c>
      <c r="AC79" s="85">
        <v>988.21634795007617</v>
      </c>
      <c r="AD79" s="85">
        <v>514.40869026391863</v>
      </c>
      <c r="AE79" s="85">
        <v>803.09517872731226</v>
      </c>
      <c r="AF79" s="85">
        <v>551.37489563029374</v>
      </c>
      <c r="AG79" s="85">
        <v>180.09600666289933</v>
      </c>
      <c r="AH79" s="85">
        <v>164.73406370940401</v>
      </c>
      <c r="AI79" s="85">
        <v>237.20374880739791</v>
      </c>
      <c r="AJ79" s="85">
        <v>461.77648801275399</v>
      </c>
      <c r="AK79" s="85">
        <v>3059.3050018092908</v>
      </c>
      <c r="AL79" s="85">
        <v>1956.7410680259197</v>
      </c>
      <c r="AM79" s="85">
        <v>959.30280295462194</v>
      </c>
      <c r="AN79" s="85">
        <v>2229.7528129554803</v>
      </c>
      <c r="AO79" s="85">
        <v>346.87526970728084</v>
      </c>
      <c r="AP79" s="85">
        <v>2780.2628137147294</v>
      </c>
      <c r="AQ79" s="85">
        <v>2556.379128458695</v>
      </c>
      <c r="AR79" s="85">
        <v>302.76954550179789</v>
      </c>
      <c r="AS79" s="85">
        <v>595.91867224510509</v>
      </c>
      <c r="AT79" s="85">
        <v>607.6457436294055</v>
      </c>
      <c r="AU79" s="85">
        <v>882.71296835758119</v>
      </c>
      <c r="AV79" s="85">
        <v>847.19469405372411</v>
      </c>
      <c r="AW79" s="85">
        <v>139.80904920043611</v>
      </c>
      <c r="AX79" s="85">
        <v>420.47628366624309</v>
      </c>
      <c r="AY79" s="85">
        <v>201.66072573416307</v>
      </c>
      <c r="AZ79" s="85">
        <v>434.74830162776794</v>
      </c>
      <c r="BA79" s="85">
        <v>465.87146342953662</v>
      </c>
      <c r="BB79" s="85">
        <v>419.89186862457535</v>
      </c>
      <c r="BC79" s="85">
        <v>281.19032463366062</v>
      </c>
      <c r="BD79" s="85">
        <v>495.71084101673517</v>
      </c>
      <c r="BE79" s="85">
        <v>556.91390592780988</v>
      </c>
      <c r="BF79" s="85">
        <v>301.21559583985237</v>
      </c>
      <c r="BG79" s="85">
        <v>820.50293654559198</v>
      </c>
      <c r="BH79" s="85">
        <v>1334.7505123900364</v>
      </c>
      <c r="BI79" s="85">
        <v>1767.398950382124</v>
      </c>
      <c r="BJ79" s="85">
        <v>459.80609604359</v>
      </c>
      <c r="BK79" s="85">
        <v>29125.712796239812</v>
      </c>
      <c r="BL79" s="12"/>
      <c r="BM79" s="12"/>
      <c r="BN79" s="68">
        <v>45275</v>
      </c>
      <c r="BO79" s="87">
        <f t="shared" si="3"/>
        <v>513395.44416526676</v>
      </c>
      <c r="BP79" s="87">
        <f>BO79*Burden!$F$22</f>
        <v>385046.58312395005</v>
      </c>
      <c r="BQ79" s="12"/>
      <c r="BR79" s="89">
        <f>GETPIVOTDATA("[Measures].[Sum of Dec-23 2]",$AB$66)</f>
        <v>29125.712796239812</v>
      </c>
      <c r="BS79" s="87">
        <f>BR79*Burden!$F$22</f>
        <v>21844.28459717986</v>
      </c>
      <c r="BT79"/>
      <c r="BY79"/>
      <c r="BZ79"/>
      <c r="CA79"/>
      <c r="CB79"/>
      <c r="CC79"/>
      <c r="CD79"/>
      <c r="CE79"/>
      <c r="CF79"/>
      <c r="CG79"/>
      <c r="CH79"/>
      <c r="CI79"/>
      <c r="CJ79"/>
      <c r="CK79"/>
      <c r="CL79"/>
      <c r="CM79"/>
      <c r="CN79"/>
      <c r="CO79"/>
      <c r="CP79"/>
    </row>
    <row r="80" spans="3:94" s="20" customFormat="1" ht="15.5" x14ac:dyDescent="0.35">
      <c r="C80" s="19"/>
      <c r="D80" s="59" t="s">
        <v>170</v>
      </c>
      <c r="E80" s="94" t="s">
        <v>170</v>
      </c>
      <c r="F80" s="95" t="s">
        <v>170</v>
      </c>
      <c r="G80" s="95" t="s">
        <v>170</v>
      </c>
      <c r="H80" s="95" t="s">
        <v>170</v>
      </c>
      <c r="I80" s="95" t="s">
        <v>170</v>
      </c>
      <c r="J80" s="95" t="s">
        <v>170</v>
      </c>
      <c r="M80" s="79"/>
      <c r="AB80" s="10"/>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12"/>
      <c r="BM80" s="12"/>
      <c r="BN80" s="68"/>
      <c r="BO80" s="87"/>
      <c r="BP80" s="87"/>
      <c r="BQ80" s="12"/>
      <c r="BR80" s="89"/>
      <c r="BS80" s="87"/>
      <c r="BT80"/>
      <c r="BY80"/>
      <c r="BZ80"/>
      <c r="CD80"/>
      <c r="CE80"/>
      <c r="CF80"/>
      <c r="CG80"/>
      <c r="CH80"/>
      <c r="CI80"/>
      <c r="CJ80"/>
      <c r="CK80"/>
      <c r="CL80"/>
      <c r="CM80"/>
      <c r="CN80"/>
      <c r="CO80"/>
      <c r="CP80"/>
    </row>
    <row r="81" spans="2:78" s="20" customFormat="1" ht="15.5" x14ac:dyDescent="0.35">
      <c r="C81" s="19"/>
      <c r="D81" s="59" t="s">
        <v>170</v>
      </c>
      <c r="E81" s="94" t="s">
        <v>170</v>
      </c>
      <c r="F81" s="95" t="s">
        <v>170</v>
      </c>
      <c r="G81" s="95" t="s">
        <v>170</v>
      </c>
      <c r="H81" s="95" t="s">
        <v>170</v>
      </c>
      <c r="I81" s="95" t="s">
        <v>170</v>
      </c>
      <c r="J81" s="95" t="s">
        <v>170</v>
      </c>
      <c r="M81" s="79"/>
      <c r="AB81" s="234" t="s">
        <v>171</v>
      </c>
      <c r="AC81" s="235"/>
      <c r="AD81" s="235"/>
      <c r="AE81" s="235"/>
      <c r="AF81" s="235"/>
      <c r="AG81" s="20" t="s">
        <v>172</v>
      </c>
      <c r="AH81" s="235"/>
      <c r="AI81" s="235"/>
      <c r="AJ81" s="235"/>
      <c r="AK81" s="235"/>
      <c r="AL81" s="235"/>
      <c r="AM81" s="235"/>
      <c r="AN81" s="235"/>
      <c r="AO81" s="235"/>
      <c r="AP81" s="235"/>
      <c r="AQ81" s="235"/>
      <c r="AR81" s="235"/>
      <c r="AS81" s="235"/>
      <c r="AT81" s="235"/>
      <c r="AU81" s="235"/>
      <c r="AV81" s="235"/>
      <c r="AW81" s="235"/>
      <c r="AX81" s="235"/>
      <c r="AY81" s="235"/>
      <c r="AZ81" s="235"/>
      <c r="BA81" s="235"/>
      <c r="BB81" s="235"/>
      <c r="BC81" s="235"/>
      <c r="BD81" s="235"/>
      <c r="BE81" s="235"/>
      <c r="BF81" s="235"/>
      <c r="BG81" s="85"/>
      <c r="BH81" s="85"/>
      <c r="BI81" s="85"/>
      <c r="BJ81" s="85"/>
      <c r="BK81" s="85"/>
      <c r="BL81" s="12"/>
      <c r="BM81" s="12"/>
      <c r="BN81" s="89" t="s">
        <v>173</v>
      </c>
      <c r="BO81" s="87">
        <f>SUM(BR68:BR79)</f>
        <v>513395.44416526676</v>
      </c>
      <c r="BQ81" s="12"/>
      <c r="BR81" s="86">
        <f>SUM(BR68:BR79)</f>
        <v>513395.44416526676</v>
      </c>
      <c r="BT81" s="12" t="s">
        <v>174</v>
      </c>
      <c r="BY81"/>
      <c r="BZ81"/>
    </row>
    <row r="82" spans="2:78" s="20" customFormat="1" ht="15.5" x14ac:dyDescent="0.35">
      <c r="B82" s="176"/>
      <c r="C82" s="19"/>
      <c r="D82" s="59" t="s">
        <v>170</v>
      </c>
      <c r="E82" s="94" t="s">
        <v>170</v>
      </c>
      <c r="F82" s="95" t="s">
        <v>170</v>
      </c>
      <c r="G82" s="95" t="s">
        <v>170</v>
      </c>
      <c r="H82" s="95" t="s">
        <v>170</v>
      </c>
      <c r="I82" s="95" t="s">
        <v>170</v>
      </c>
      <c r="J82" s="95" t="s">
        <v>170</v>
      </c>
      <c r="M82" s="79"/>
      <c r="AB82" s="234" t="s">
        <v>175</v>
      </c>
      <c r="AC82" s="235"/>
      <c r="AD82" s="235"/>
      <c r="AE82" s="235"/>
      <c r="AF82" s="235"/>
      <c r="AG82" s="234" t="s">
        <v>176</v>
      </c>
      <c r="AH82" s="235"/>
      <c r="AI82" s="235"/>
      <c r="AJ82" s="235"/>
      <c r="AK82" s="235"/>
      <c r="AL82" s="235"/>
      <c r="AM82" s="235"/>
      <c r="AN82" s="235"/>
      <c r="AO82" s="235"/>
      <c r="AP82" s="235"/>
      <c r="AQ82" s="235"/>
      <c r="AR82" s="235"/>
      <c r="AS82" s="235"/>
      <c r="AT82" s="235"/>
      <c r="AU82" s="235"/>
      <c r="AV82" s="235"/>
      <c r="AW82" s="235"/>
      <c r="AX82" s="235"/>
      <c r="AY82" s="235"/>
      <c r="AZ82" s="235"/>
      <c r="BA82" s="235"/>
      <c r="BB82" s="235"/>
      <c r="BC82" s="235"/>
      <c r="BD82" s="235"/>
      <c r="BE82" s="235"/>
      <c r="BF82" s="235"/>
      <c r="BG82" s="85"/>
      <c r="BH82" s="85"/>
      <c r="BI82" s="85"/>
      <c r="BJ82" s="85"/>
      <c r="BK82" s="85"/>
      <c r="BL82" s="12"/>
      <c r="BM82" s="12"/>
      <c r="BN82" s="68"/>
      <c r="BO82" s="87"/>
      <c r="BP82" s="87"/>
      <c r="BQ82" s="12"/>
      <c r="BY82"/>
      <c r="BZ82"/>
    </row>
    <row r="83" spans="2:78" s="20" customFormat="1" ht="15.5" x14ac:dyDescent="0.35">
      <c r="C83" s="19"/>
      <c r="D83" s="59" t="s">
        <v>170</v>
      </c>
      <c r="E83" s="94" t="s">
        <v>170</v>
      </c>
      <c r="F83" s="95" t="s">
        <v>170</v>
      </c>
      <c r="G83" s="95" t="s">
        <v>170</v>
      </c>
      <c r="H83" s="95" t="s">
        <v>170</v>
      </c>
      <c r="I83" s="95" t="s">
        <v>170</v>
      </c>
      <c r="J83" s="95" t="s">
        <v>170</v>
      </c>
      <c r="M83" s="79"/>
      <c r="AB83" s="234" t="s">
        <v>177</v>
      </c>
      <c r="AC83" s="235"/>
      <c r="AD83" s="235"/>
      <c r="AE83" s="235"/>
      <c r="AF83" s="235"/>
      <c r="AG83" s="234" t="s">
        <v>178</v>
      </c>
      <c r="AH83" s="235"/>
      <c r="AI83" s="235"/>
      <c r="AJ83" s="235"/>
      <c r="AK83" s="235"/>
      <c r="AL83" s="235"/>
      <c r="AM83" s="235"/>
      <c r="AN83" s="235"/>
      <c r="AO83" s="235"/>
      <c r="AP83" s="235"/>
      <c r="AQ83" s="235"/>
      <c r="AR83" s="235"/>
      <c r="AS83" s="235"/>
      <c r="AT83" s="235"/>
      <c r="AU83" s="235"/>
      <c r="AV83" s="235"/>
      <c r="AW83" s="235"/>
      <c r="AX83" s="235"/>
      <c r="AY83" s="235"/>
      <c r="AZ83" s="235"/>
      <c r="BA83" s="235"/>
      <c r="BB83" s="235"/>
      <c r="BC83" s="235"/>
      <c r="BD83" s="235"/>
      <c r="BE83" s="235"/>
      <c r="BF83" s="235"/>
      <c r="BG83" s="85"/>
      <c r="BH83" s="85"/>
      <c r="BI83" s="85"/>
      <c r="BJ83" s="85"/>
      <c r="BK83" s="85"/>
      <c r="BL83" s="12"/>
      <c r="BM83" s="12"/>
      <c r="BN83" s="68"/>
      <c r="BO83" s="87"/>
      <c r="BP83" s="87"/>
      <c r="BQ83" s="12"/>
      <c r="BR83" s="89"/>
      <c r="BS83" s="87"/>
      <c r="BT83" s="20" t="s">
        <v>179</v>
      </c>
      <c r="BY83"/>
      <c r="BZ83"/>
    </row>
    <row r="84" spans="2:78" s="20" customFormat="1" ht="15.5" x14ac:dyDescent="0.35">
      <c r="C84" s="19"/>
      <c r="D84" s="59" t="s">
        <v>170</v>
      </c>
      <c r="E84" s="94" t="s">
        <v>170</v>
      </c>
      <c r="F84" s="95" t="s">
        <v>170</v>
      </c>
      <c r="G84" s="95" t="s">
        <v>170</v>
      </c>
      <c r="H84" s="95" t="s">
        <v>170</v>
      </c>
      <c r="I84" s="95" t="s">
        <v>170</v>
      </c>
      <c r="J84" s="95" t="s">
        <v>170</v>
      </c>
      <c r="M84" s="79"/>
      <c r="AB84" s="234" t="s">
        <v>180</v>
      </c>
      <c r="AC84" s="235"/>
      <c r="AD84" s="235"/>
      <c r="AE84" s="235"/>
      <c r="AF84" s="235"/>
      <c r="AG84" s="235" t="s">
        <v>181</v>
      </c>
      <c r="AH84" s="235"/>
      <c r="AI84" s="235"/>
      <c r="AJ84" s="235"/>
      <c r="AK84" s="235"/>
      <c r="AL84" s="235"/>
      <c r="AM84" s="235"/>
      <c r="AN84" s="235"/>
      <c r="AO84" s="235"/>
      <c r="AP84" s="235"/>
      <c r="AQ84" s="235"/>
      <c r="AR84" s="235"/>
      <c r="AS84" s="235"/>
      <c r="AT84" s="235"/>
      <c r="AU84" s="235"/>
      <c r="AV84" s="235"/>
      <c r="AW84" s="235"/>
      <c r="AX84" s="235"/>
      <c r="AY84" s="235"/>
      <c r="AZ84" s="235"/>
      <c r="BA84" s="235"/>
      <c r="BB84" s="235"/>
      <c r="BC84" s="235"/>
      <c r="BD84" s="235"/>
      <c r="BE84" s="235"/>
      <c r="BF84" s="235"/>
      <c r="BG84" s="85"/>
      <c r="BH84" s="85"/>
      <c r="BI84" s="85"/>
      <c r="BJ84" s="85"/>
      <c r="BK84" s="85"/>
      <c r="BL84" s="12"/>
      <c r="BM84" s="12"/>
      <c r="BN84" s="68"/>
      <c r="BO84" s="87"/>
      <c r="BP84" s="87"/>
      <c r="BQ84" s="12"/>
      <c r="BR84" s="89">
        <f>VLOOKUP(BM28,C46:D79,2) *Burden!F20</f>
        <v>424856.20331478753</v>
      </c>
      <c r="BS84" s="87"/>
      <c r="BT84" s="20" t="s">
        <v>182</v>
      </c>
      <c r="BY84"/>
      <c r="BZ84"/>
    </row>
    <row r="85" spans="2:78" s="20" customFormat="1" ht="15.5" x14ac:dyDescent="0.35">
      <c r="C85" s="19"/>
      <c r="D85" s="59" t="s">
        <v>170</v>
      </c>
      <c r="E85" s="94" t="s">
        <v>170</v>
      </c>
      <c r="F85" s="95" t="s">
        <v>170</v>
      </c>
      <c r="G85" s="95" t="s">
        <v>170</v>
      </c>
      <c r="H85" s="95" t="s">
        <v>170</v>
      </c>
      <c r="I85" s="95" t="s">
        <v>170</v>
      </c>
      <c r="J85" s="95" t="s">
        <v>170</v>
      </c>
      <c r="M85" s="79"/>
      <c r="AB85" s="234"/>
      <c r="AC85" s="235"/>
      <c r="AD85" s="235"/>
      <c r="AE85" s="235"/>
      <c r="AF85" s="235"/>
      <c r="AG85" s="20" t="s">
        <v>183</v>
      </c>
      <c r="BH85" s="85"/>
      <c r="BI85" s="85"/>
      <c r="BJ85" s="85"/>
      <c r="BK85" s="85"/>
      <c r="BL85" s="12"/>
      <c r="BM85" s="12"/>
      <c r="BN85" s="68"/>
      <c r="BO85" s="87"/>
      <c r="BP85" s="87"/>
      <c r="BQ85" s="12"/>
      <c r="BR85" s="183">
        <f>BO41</f>
        <v>2.5999999999999996</v>
      </c>
      <c r="BS85" s="87"/>
      <c r="BT85" s="20" t="s">
        <v>184</v>
      </c>
      <c r="BY85"/>
      <c r="BZ85"/>
    </row>
    <row r="86" spans="2:78" s="20" customFormat="1" ht="15.5" x14ac:dyDescent="0.35">
      <c r="C86" s="19"/>
      <c r="D86" s="59" t="s">
        <v>170</v>
      </c>
      <c r="E86" s="94" t="s">
        <v>170</v>
      </c>
      <c r="F86" s="95" t="s">
        <v>170</v>
      </c>
      <c r="G86" s="95" t="s">
        <v>170</v>
      </c>
      <c r="H86" s="95" t="s">
        <v>170</v>
      </c>
      <c r="I86" s="95" t="s">
        <v>170</v>
      </c>
      <c r="J86" s="95" t="s">
        <v>170</v>
      </c>
      <c r="M86" s="79"/>
      <c r="AG86" s="235"/>
      <c r="AH86" s="235"/>
      <c r="AI86" s="235"/>
      <c r="AJ86" s="235"/>
      <c r="AK86" s="235"/>
      <c r="AL86" s="235"/>
      <c r="AM86" s="235"/>
      <c r="AN86" s="235"/>
      <c r="AO86" s="235"/>
      <c r="AP86" s="235"/>
      <c r="AQ86" s="235"/>
      <c r="AR86" s="235"/>
      <c r="AS86" s="235"/>
      <c r="AT86" s="235"/>
      <c r="AU86" s="235"/>
      <c r="AV86" s="235"/>
      <c r="AW86" s="235"/>
      <c r="AX86" s="235"/>
      <c r="AY86" s="235"/>
      <c r="AZ86" s="235"/>
      <c r="BA86" s="235"/>
      <c r="BB86" s="235"/>
      <c r="BC86" s="235"/>
      <c r="BD86" s="235"/>
      <c r="BE86" s="235"/>
      <c r="BF86" s="235"/>
      <c r="BG86" s="85"/>
      <c r="BH86" s="85"/>
      <c r="BI86" s="85"/>
      <c r="BJ86" s="85"/>
      <c r="BK86" s="85"/>
      <c r="BL86" s="12"/>
      <c r="BM86" s="12"/>
      <c r="BN86" s="68"/>
      <c r="BO86" s="87"/>
      <c r="BP86" s="87"/>
      <c r="BQ86" s="12"/>
      <c r="BR86" s="89">
        <f>BR84*Prevalence!BR85/100*2.6</f>
        <v>28720.279344079634</v>
      </c>
      <c r="BS86" s="87"/>
      <c r="BT86" s="12" t="s">
        <v>185</v>
      </c>
      <c r="BY86"/>
      <c r="BZ86"/>
    </row>
    <row r="87" spans="2:78" s="20" customFormat="1" ht="15.5" x14ac:dyDescent="0.35">
      <c r="C87" s="19"/>
      <c r="D87" s="59" t="s">
        <v>170</v>
      </c>
      <c r="E87" s="94" t="s">
        <v>170</v>
      </c>
      <c r="F87" s="95" t="s">
        <v>170</v>
      </c>
      <c r="G87" s="95"/>
      <c r="H87" s="95"/>
      <c r="I87" s="95"/>
      <c r="J87" s="95"/>
      <c r="M87" s="79"/>
      <c r="BY87"/>
      <c r="BZ87"/>
    </row>
    <row r="88" spans="2:78" s="20" customFormat="1" ht="15.5" x14ac:dyDescent="0.35">
      <c r="C88" s="19"/>
      <c r="D88" s="59"/>
      <c r="E88" s="94"/>
      <c r="F88" s="95"/>
      <c r="G88" s="95" t="s">
        <v>170</v>
      </c>
      <c r="H88" s="95" t="s">
        <v>170</v>
      </c>
      <c r="I88" s="95" t="s">
        <v>170</v>
      </c>
      <c r="J88" s="95" t="s">
        <v>170</v>
      </c>
      <c r="M88" s="79"/>
      <c r="BY88"/>
      <c r="BZ88"/>
    </row>
    <row r="89" spans="2:78" s="20" customFormat="1" ht="15.5" x14ac:dyDescent="0.35">
      <c r="C89" s="19"/>
      <c r="D89" s="59" t="s">
        <v>170</v>
      </c>
      <c r="E89" s="94" t="s">
        <v>170</v>
      </c>
      <c r="F89" s="95" t="s">
        <v>170</v>
      </c>
      <c r="G89" s="18"/>
      <c r="H89" s="18"/>
      <c r="I89" s="95" t="s">
        <v>170</v>
      </c>
      <c r="J89" s="95" t="s">
        <v>170</v>
      </c>
      <c r="M89" s="79"/>
      <c r="BY89"/>
      <c r="BZ89"/>
    </row>
    <row r="90" spans="2:78" s="20" customFormat="1" x14ac:dyDescent="0.3">
      <c r="M90" s="79"/>
      <c r="AB90" s="207"/>
    </row>
    <row r="91" spans="2:78" s="20" customFormat="1" ht="15.5" x14ac:dyDescent="0.35">
      <c r="D91" s="81"/>
      <c r="M91" s="79"/>
      <c r="AB91"/>
      <c r="AC91" s="77" t="s">
        <v>28</v>
      </c>
      <c r="AD91"/>
      <c r="AE91"/>
      <c r="AF91"/>
      <c r="AG91"/>
      <c r="AH91"/>
      <c r="AI91"/>
      <c r="AJ91"/>
      <c r="AK91"/>
      <c r="AL91"/>
      <c r="AM91"/>
      <c r="AN91"/>
      <c r="AO91"/>
      <c r="AP91"/>
      <c r="AQ91"/>
      <c r="AR91"/>
      <c r="AS91"/>
      <c r="AT91"/>
      <c r="AU91"/>
      <c r="AV91"/>
      <c r="AW91"/>
      <c r="AX91"/>
      <c r="AY91"/>
      <c r="AZ91"/>
      <c r="BA91"/>
      <c r="BB91"/>
      <c r="BC91"/>
      <c r="BD91"/>
      <c r="BE91"/>
      <c r="BF91"/>
      <c r="BG91"/>
      <c r="BH91"/>
      <c r="BI91"/>
      <c r="BJ91"/>
      <c r="BK91"/>
      <c r="BM91" s="12" t="s">
        <v>153</v>
      </c>
      <c r="BN91"/>
      <c r="BO91" s="12"/>
      <c r="BP91" s="12"/>
      <c r="BQ91" s="12"/>
      <c r="BR91" s="12"/>
      <c r="BS91" s="12"/>
      <c r="BT91"/>
    </row>
    <row r="92" spans="2:78" s="20" customFormat="1" ht="15.5" x14ac:dyDescent="0.35">
      <c r="M92" s="79"/>
      <c r="AB92" s="77" t="s">
        <v>31</v>
      </c>
      <c r="AC92" t="s">
        <v>32</v>
      </c>
      <c r="AD92" t="s">
        <v>33</v>
      </c>
      <c r="AE92" t="s">
        <v>34</v>
      </c>
      <c r="AF92" t="s">
        <v>35</v>
      </c>
      <c r="AG92" t="s">
        <v>36</v>
      </c>
      <c r="AH92" t="s">
        <v>37</v>
      </c>
      <c r="AI92" t="s">
        <v>38</v>
      </c>
      <c r="AJ92" t="s">
        <v>39</v>
      </c>
      <c r="AK92" t="s">
        <v>40</v>
      </c>
      <c r="AL92" t="s">
        <v>41</v>
      </c>
      <c r="AM92" t="s">
        <v>42</v>
      </c>
      <c r="AN92" t="s">
        <v>43</v>
      </c>
      <c r="AO92" t="s">
        <v>44</v>
      </c>
      <c r="AP92" t="s">
        <v>45</v>
      </c>
      <c r="AQ92" t="s">
        <v>46</v>
      </c>
      <c r="AR92" t="s">
        <v>47</v>
      </c>
      <c r="AS92" t="s">
        <v>48</v>
      </c>
      <c r="AT92" t="s">
        <v>49</v>
      </c>
      <c r="AU92" t="s">
        <v>50</v>
      </c>
      <c r="AV92" t="s">
        <v>51</v>
      </c>
      <c r="AW92" t="s">
        <v>52</v>
      </c>
      <c r="AX92" t="s">
        <v>53</v>
      </c>
      <c r="AY92" t="s">
        <v>54</v>
      </c>
      <c r="AZ92" t="s">
        <v>55</v>
      </c>
      <c r="BA92" t="s">
        <v>56</v>
      </c>
      <c r="BB92" t="s">
        <v>57</v>
      </c>
      <c r="BC92" t="s">
        <v>58</v>
      </c>
      <c r="BD92" t="s">
        <v>59</v>
      </c>
      <c r="BE92" t="s">
        <v>60</v>
      </c>
      <c r="BF92" t="s">
        <v>61</v>
      </c>
      <c r="BG92" t="s">
        <v>62</v>
      </c>
      <c r="BH92" t="s">
        <v>63</v>
      </c>
      <c r="BI92" t="s">
        <v>64</v>
      </c>
      <c r="BJ92" t="s">
        <v>65</v>
      </c>
      <c r="BK92" t="s">
        <v>66</v>
      </c>
      <c r="BM92" s="12"/>
      <c r="BN92"/>
      <c r="BO92" s="12" t="s">
        <v>154</v>
      </c>
      <c r="BP92" s="12" t="s">
        <v>155</v>
      </c>
      <c r="BQ92" s="12"/>
      <c r="BR92" s="12" t="s">
        <v>156</v>
      </c>
      <c r="BS92" s="12" t="s">
        <v>157</v>
      </c>
      <c r="BT92"/>
    </row>
    <row r="93" spans="2:78" s="20" customFormat="1" ht="15.5" x14ac:dyDescent="0.35">
      <c r="M93" s="79"/>
      <c r="AB93" s="10" t="s">
        <v>158</v>
      </c>
      <c r="AC93" s="204">
        <v>181.17855699410842</v>
      </c>
      <c r="AD93" s="204">
        <v>94.322029785187183</v>
      </c>
      <c r="AE93" s="204">
        <v>148.89061943943736</v>
      </c>
      <c r="AF93" s="204">
        <v>110.6085181357587</v>
      </c>
      <c r="AG93" s="204">
        <v>36.274266353933463</v>
      </c>
      <c r="AH93" s="204">
        <v>33.791920296228639</v>
      </c>
      <c r="AI93" s="204">
        <v>46.808303782253311</v>
      </c>
      <c r="AJ93" s="204">
        <v>91.251113544854121</v>
      </c>
      <c r="AK93" s="204">
        <v>540.50301111462397</v>
      </c>
      <c r="AL93" s="204">
        <v>344.56797565927798</v>
      </c>
      <c r="AM93" s="204">
        <v>175.89785955380472</v>
      </c>
      <c r="AN93" s="204">
        <v>405.84146954149418</v>
      </c>
      <c r="AO93" s="204">
        <v>66.057536348372139</v>
      </c>
      <c r="AP93" s="204">
        <v>530.82051088765047</v>
      </c>
      <c r="AQ93" s="204">
        <v>454.0898765582611</v>
      </c>
      <c r="AR93" s="204">
        <v>57.287168404340981</v>
      </c>
      <c r="AS93" s="204">
        <v>109.26770837447208</v>
      </c>
      <c r="AT93" s="204">
        <v>109.81099520296367</v>
      </c>
      <c r="AU93" s="204">
        <v>163.77544165511205</v>
      </c>
      <c r="AV93" s="204">
        <v>150.92858867150036</v>
      </c>
      <c r="AW93" s="204">
        <v>28.693014917078617</v>
      </c>
      <c r="AX93" s="204">
        <v>90.34989158707738</v>
      </c>
      <c r="AY93" s="204">
        <v>36.628217388613201</v>
      </c>
      <c r="AZ93" s="204">
        <v>76.491704507267613</v>
      </c>
      <c r="BA93" s="204">
        <v>85.25001667850961</v>
      </c>
      <c r="BB93" s="204">
        <v>78.741220656277534</v>
      </c>
      <c r="BC93" s="204">
        <v>50.160667913845124</v>
      </c>
      <c r="BD93" s="204">
        <v>93.114398494899262</v>
      </c>
      <c r="BE93" s="204">
        <v>100.34604878599026</v>
      </c>
      <c r="BF93" s="204">
        <v>58.432461447033376</v>
      </c>
      <c r="BG93" s="204">
        <v>152.74085013093975</v>
      </c>
      <c r="BH93" s="204">
        <v>233.61048670716266</v>
      </c>
      <c r="BI93" s="204">
        <v>310.90253585900024</v>
      </c>
      <c r="BJ93" s="204">
        <v>82.655904732888999</v>
      </c>
      <c r="BK93" s="204">
        <v>5330.0908901102193</v>
      </c>
      <c r="BM93" s="12"/>
      <c r="BN93" s="68">
        <v>44941</v>
      </c>
      <c r="BO93" s="87">
        <f>BR93</f>
        <v>5330.0908901102193</v>
      </c>
      <c r="BP93" s="87">
        <f>BO93*Burden!$F$22</f>
        <v>3997.5681675826645</v>
      </c>
      <c r="BQ93" s="12"/>
      <c r="BR93" s="89">
        <f>GETPIVOTDATA("[Measures].[Sum of Jan-23 4]",$AB$91)</f>
        <v>5330.0908901102193</v>
      </c>
      <c r="BS93" s="87">
        <f>BR93*Burden!$F$22</f>
        <v>3997.5681675826645</v>
      </c>
      <c r="BT93"/>
    </row>
    <row r="94" spans="2:78" s="20" customFormat="1" ht="15.5" x14ac:dyDescent="0.35">
      <c r="M94" s="79"/>
      <c r="AB94" s="10" t="s">
        <v>159</v>
      </c>
      <c r="AC94" s="204">
        <v>240.04008848306367</v>
      </c>
      <c r="AD94" s="204">
        <v>124.96549675177479</v>
      </c>
      <c r="AE94" s="204">
        <v>197.26240266778859</v>
      </c>
      <c r="AF94" s="204">
        <v>146.54316118188004</v>
      </c>
      <c r="AG94" s="204">
        <v>48.059098437016189</v>
      </c>
      <c r="AH94" s="204">
        <v>44.77028447788733</v>
      </c>
      <c r="AI94" s="204">
        <v>62.015448009112795</v>
      </c>
      <c r="AJ94" s="204">
        <v>120.89689714328144</v>
      </c>
      <c r="AK94" s="204">
        <v>716.10235099474642</v>
      </c>
      <c r="AL94" s="204">
        <v>456.51167962648469</v>
      </c>
      <c r="AM94" s="204">
        <v>233.04379100805946</v>
      </c>
      <c r="AN94" s="204">
        <v>537.6917880078089</v>
      </c>
      <c r="AO94" s="204">
        <v>87.518396951092086</v>
      </c>
      <c r="AP94" s="204">
        <v>703.27418716686248</v>
      </c>
      <c r="AQ94" s="204">
        <v>601.61520191295551</v>
      </c>
      <c r="AR94" s="204">
        <v>75.898700160026905</v>
      </c>
      <c r="AS94" s="204">
        <v>144.76674735522249</v>
      </c>
      <c r="AT94" s="204">
        <v>145.48653793390034</v>
      </c>
      <c r="AU94" s="204">
        <v>216.98302579771791</v>
      </c>
      <c r="AV94" s="204">
        <v>199.96247006487076</v>
      </c>
      <c r="AW94" s="204">
        <v>38.014839911576203</v>
      </c>
      <c r="AX94" s="204">
        <v>119.70288499263469</v>
      </c>
      <c r="AY94" s="204">
        <v>48.528041556405121</v>
      </c>
      <c r="AZ94" s="204">
        <v>101.34243159217759</v>
      </c>
      <c r="BA94" s="204">
        <v>112.94615591489412</v>
      </c>
      <c r="BB94" s="204">
        <v>104.32277355102197</v>
      </c>
      <c r="BC94" s="204">
        <v>66.456932675540031</v>
      </c>
      <c r="BD94" s="204">
        <v>123.36552859558145</v>
      </c>
      <c r="BE94" s="204">
        <v>132.94660708826703</v>
      </c>
      <c r="BF94" s="204">
        <v>77.416077535517658</v>
      </c>
      <c r="BG94" s="204">
        <v>202.36350144681518</v>
      </c>
      <c r="BH94" s="204">
        <v>309.50617352351674</v>
      </c>
      <c r="BI94" s="204">
        <v>411.9089667969377</v>
      </c>
      <c r="BJ94" s="204">
        <v>109.509265416964</v>
      </c>
      <c r="BK94" s="204">
        <v>7061.7379347294027</v>
      </c>
      <c r="BM94" s="12"/>
      <c r="BN94" s="68">
        <v>44972</v>
      </c>
      <c r="BO94" s="87">
        <f t="shared" ref="BO94:BO104" si="4">BO93+BR94</f>
        <v>12391.828824839622</v>
      </c>
      <c r="BP94" s="87">
        <f>BO94*Burden!$F$22</f>
        <v>9293.871618629717</v>
      </c>
      <c r="BQ94" s="12"/>
      <c r="BR94" s="89">
        <f>GETPIVOTDATA("[Measures].[Sum of Feb-23 4]",$AB$91)</f>
        <v>7061.7379347294027</v>
      </c>
      <c r="BS94" s="87">
        <f>BR94*Burden!$F$22</f>
        <v>5296.3034510470516</v>
      </c>
      <c r="BT94"/>
    </row>
    <row r="95" spans="2:78" s="20" customFormat="1" ht="15.5" x14ac:dyDescent="0.35">
      <c r="M95" s="79"/>
      <c r="N95" s="79"/>
      <c r="O95" s="79"/>
      <c r="P95" s="79"/>
      <c r="Q95" s="79"/>
      <c r="R95" s="79"/>
      <c r="S95" s="79"/>
      <c r="T95" s="79"/>
      <c r="U95" s="79"/>
      <c r="V95" s="79"/>
      <c r="W95" s="79"/>
      <c r="X95" s="79"/>
      <c r="Y95" s="79"/>
      <c r="Z95" s="79"/>
      <c r="AB95" s="10" t="s">
        <v>160</v>
      </c>
      <c r="AC95" s="204">
        <v>290.71024853225003</v>
      </c>
      <c r="AD95" s="204">
        <v>151.34451436109913</v>
      </c>
      <c r="AE95" s="204">
        <v>238.90260359434811</v>
      </c>
      <c r="AF95" s="204">
        <v>177.47701676460483</v>
      </c>
      <c r="AG95" s="204">
        <v>58.203913101151045</v>
      </c>
      <c r="AH95" s="204">
        <v>54.220862063815083</v>
      </c>
      <c r="AI95" s="204">
        <v>75.106314189015293</v>
      </c>
      <c r="AJ95" s="204">
        <v>146.41707240405799</v>
      </c>
      <c r="AK95" s="204">
        <v>867.26468794357049</v>
      </c>
      <c r="AL95" s="204">
        <v>552.87691602169184</v>
      </c>
      <c r="AM95" s="204">
        <v>282.23709977356873</v>
      </c>
      <c r="AN95" s="204">
        <v>651.19336654689175</v>
      </c>
      <c r="AO95" s="204">
        <v>105.99269101082348</v>
      </c>
      <c r="AP95" s="204">
        <v>851.72862178818878</v>
      </c>
      <c r="AQ95" s="204">
        <v>728.61039993007273</v>
      </c>
      <c r="AR95" s="204">
        <v>91.920187691286145</v>
      </c>
      <c r="AS95" s="204">
        <v>175.32561901972284</v>
      </c>
      <c r="AT95" s="204">
        <v>176.19735048483338</v>
      </c>
      <c r="AU95" s="204">
        <v>262.78606109322789</v>
      </c>
      <c r="AV95" s="204">
        <v>242.17262931805118</v>
      </c>
      <c r="AW95" s="204">
        <v>46.039407952425222</v>
      </c>
      <c r="AX95" s="204">
        <v>144.97101574219531</v>
      </c>
      <c r="AY95" s="204">
        <v>58.771845614618115</v>
      </c>
      <c r="AZ95" s="204">
        <v>122.73484675499597</v>
      </c>
      <c r="BA95" s="204">
        <v>136.78800597133517</v>
      </c>
      <c r="BB95" s="204">
        <v>126.34431031186296</v>
      </c>
      <c r="BC95" s="204">
        <v>80.485353662750285</v>
      </c>
      <c r="BD95" s="204">
        <v>149.40680827512813</v>
      </c>
      <c r="BE95" s="204">
        <v>161.01036052932645</v>
      </c>
      <c r="BF95" s="204">
        <v>93.757868875015816</v>
      </c>
      <c r="BG95" s="204">
        <v>245.08049539238004</v>
      </c>
      <c r="BH95" s="204">
        <v>374.83995775828788</v>
      </c>
      <c r="BI95" s="204">
        <v>498.85899837371926</v>
      </c>
      <c r="BJ95" s="204">
        <v>132.62562085830896</v>
      </c>
      <c r="BK95" s="204">
        <v>8552.4030717046207</v>
      </c>
      <c r="BM95" s="12"/>
      <c r="BN95" s="68">
        <v>45000</v>
      </c>
      <c r="BO95" s="87">
        <f t="shared" si="4"/>
        <v>20944.231896544243</v>
      </c>
      <c r="BP95" s="87">
        <f>BO95*Burden!$F$22</f>
        <v>15708.173922408183</v>
      </c>
      <c r="BQ95" s="12"/>
      <c r="BR95" s="89">
        <f>GETPIVOTDATA("[Measures].[Sum of Mar-23 4]",$AB$91)</f>
        <v>8552.4030717046207</v>
      </c>
      <c r="BS95" s="87">
        <f>BR95*Burden!$F$22</f>
        <v>6414.302303778466</v>
      </c>
      <c r="BT95"/>
    </row>
    <row r="96" spans="2:78" s="20" customFormat="1" ht="15.5" x14ac:dyDescent="0.35">
      <c r="M96" s="79"/>
      <c r="N96" s="79"/>
      <c r="O96" s="79"/>
      <c r="P96" s="79"/>
      <c r="Q96" s="79"/>
      <c r="R96" s="79"/>
      <c r="S96" s="79"/>
      <c r="T96" s="79"/>
      <c r="U96" s="79"/>
      <c r="V96" s="79"/>
      <c r="W96" s="79"/>
      <c r="X96" s="79"/>
      <c r="Y96" s="79"/>
      <c r="Z96" s="79"/>
      <c r="AB96" s="10" t="s">
        <v>161</v>
      </c>
      <c r="AC96" s="204">
        <v>359.926974373262</v>
      </c>
      <c r="AD96" s="204">
        <v>187.37892254231323</v>
      </c>
      <c r="AE96" s="204">
        <v>295.78417587871672</v>
      </c>
      <c r="AF96" s="204">
        <v>219.73344932760602</v>
      </c>
      <c r="AG96" s="204">
        <v>72.061987649044156</v>
      </c>
      <c r="AH96" s="204">
        <v>67.130591126628204</v>
      </c>
      <c r="AI96" s="204">
        <v>92.988769948304665</v>
      </c>
      <c r="AJ96" s="204">
        <v>181.2782801193099</v>
      </c>
      <c r="AK96" s="204">
        <v>1073.7562803110875</v>
      </c>
      <c r="AL96" s="204">
        <v>684.51427697923759</v>
      </c>
      <c r="AM96" s="204">
        <v>349.43640924346607</v>
      </c>
      <c r="AN96" s="204">
        <v>806.23940620091366</v>
      </c>
      <c r="AO96" s="204">
        <v>131.22904601340051</v>
      </c>
      <c r="AP96" s="204">
        <v>1054.5211507853767</v>
      </c>
      <c r="AQ96" s="204">
        <v>902.08906658009016</v>
      </c>
      <c r="AR96" s="204">
        <v>113.80594666540192</v>
      </c>
      <c r="AS96" s="204">
        <v>217.06981402441878</v>
      </c>
      <c r="AT96" s="204">
        <v>218.14910060026995</v>
      </c>
      <c r="AU96" s="204">
        <v>325.35417087732981</v>
      </c>
      <c r="AV96" s="204">
        <v>299.83277915568243</v>
      </c>
      <c r="AW96" s="204">
        <v>57.001171750621715</v>
      </c>
      <c r="AX96" s="204">
        <v>179.48792425224181</v>
      </c>
      <c r="AY96" s="204">
        <v>72.765142189527197</v>
      </c>
      <c r="AZ96" s="204">
        <v>151.95742931570933</v>
      </c>
      <c r="BA96" s="204">
        <v>169.35657882165307</v>
      </c>
      <c r="BB96" s="204">
        <v>156.42628895754461</v>
      </c>
      <c r="BC96" s="204">
        <v>99.648533106262263</v>
      </c>
      <c r="BD96" s="204">
        <v>184.97985786444437</v>
      </c>
      <c r="BE96" s="204">
        <v>199.34616065535656</v>
      </c>
      <c r="BF96" s="204">
        <v>116.08117098811482</v>
      </c>
      <c r="BG96" s="204">
        <v>303.43299429532772</v>
      </c>
      <c r="BH96" s="204">
        <v>464.08756674835644</v>
      </c>
      <c r="BI96" s="204">
        <v>617.63495036746201</v>
      </c>
      <c r="BJ96" s="204">
        <v>164.20314963409683</v>
      </c>
      <c r="BK96" s="204">
        <v>10588.689517348579</v>
      </c>
      <c r="BM96" s="12"/>
      <c r="BN96" s="68">
        <v>45031</v>
      </c>
      <c r="BO96" s="87">
        <f t="shared" si="4"/>
        <v>31532.921413892822</v>
      </c>
      <c r="BP96" s="87">
        <f>BO96*Burden!$F$22</f>
        <v>23649.691060419616</v>
      </c>
      <c r="BQ96" s="12"/>
      <c r="BR96" s="89">
        <f>GETPIVOTDATA("[Measures].[Sum of Apr-23 4]",$AB$91)</f>
        <v>10588.689517348579</v>
      </c>
      <c r="BS96" s="87">
        <f>BR96*Burden!$F$22</f>
        <v>7941.5171380114343</v>
      </c>
      <c r="BT96"/>
    </row>
    <row r="97" spans="11:125" s="20" customFormat="1" ht="15.5" x14ac:dyDescent="0.35">
      <c r="M97" s="79"/>
      <c r="N97" s="79"/>
      <c r="O97" s="79"/>
      <c r="P97" s="79"/>
      <c r="Q97" s="79"/>
      <c r="R97" s="79"/>
      <c r="S97" s="79"/>
      <c r="T97" s="79"/>
      <c r="U97" s="79"/>
      <c r="V97" s="79"/>
      <c r="W97" s="79"/>
      <c r="X97" s="79"/>
      <c r="Y97" s="79"/>
      <c r="Z97" s="79"/>
      <c r="AB97" s="10" t="s">
        <v>162</v>
      </c>
      <c r="AC97" s="204">
        <v>429.14370021427385</v>
      </c>
      <c r="AD97" s="204">
        <v>223.41333072352728</v>
      </c>
      <c r="AE97" s="204">
        <v>352.66574816308531</v>
      </c>
      <c r="AF97" s="204">
        <v>261.98988189060714</v>
      </c>
      <c r="AG97" s="204">
        <v>85.920062196937266</v>
      </c>
      <c r="AH97" s="204">
        <v>80.040320189441317</v>
      </c>
      <c r="AI97" s="204">
        <v>110.87122570759401</v>
      </c>
      <c r="AJ97" s="204">
        <v>216.13948783456178</v>
      </c>
      <c r="AK97" s="204">
        <v>1280.2478726786042</v>
      </c>
      <c r="AL97" s="204">
        <v>816.15163793678323</v>
      </c>
      <c r="AM97" s="204">
        <v>416.63571871336336</v>
      </c>
      <c r="AN97" s="204">
        <v>961.28544585493546</v>
      </c>
      <c r="AO97" s="204">
        <v>156.46540101597753</v>
      </c>
      <c r="AP97" s="204">
        <v>1257.3136797825646</v>
      </c>
      <c r="AQ97" s="204">
        <v>1075.5677332301075</v>
      </c>
      <c r="AR97" s="204">
        <v>135.69170563951766</v>
      </c>
      <c r="AS97" s="204">
        <v>258.81400902911469</v>
      </c>
      <c r="AT97" s="204">
        <v>260.10085071570643</v>
      </c>
      <c r="AU97" s="204">
        <v>387.92228066143167</v>
      </c>
      <c r="AV97" s="204">
        <v>357.49292899331368</v>
      </c>
      <c r="AW97" s="204">
        <v>67.962935548818194</v>
      </c>
      <c r="AX97" s="204">
        <v>214.00483276228832</v>
      </c>
      <c r="AY97" s="204">
        <v>86.758438764436278</v>
      </c>
      <c r="AZ97" s="204">
        <v>181.18001187642264</v>
      </c>
      <c r="BA97" s="204">
        <v>201.92515167197095</v>
      </c>
      <c r="BB97" s="204">
        <v>186.50826760322627</v>
      </c>
      <c r="BC97" s="204">
        <v>118.81171254977423</v>
      </c>
      <c r="BD97" s="204">
        <v>220.55290745376058</v>
      </c>
      <c r="BE97" s="204">
        <v>237.68196078138666</v>
      </c>
      <c r="BF97" s="204">
        <v>138.40447310121382</v>
      </c>
      <c r="BG97" s="204">
        <v>361.78549319827533</v>
      </c>
      <c r="BH97" s="204">
        <v>553.33517573842494</v>
      </c>
      <c r="BI97" s="204">
        <v>736.41090236120465</v>
      </c>
      <c r="BJ97" s="204">
        <v>195.78067840988467</v>
      </c>
      <c r="BK97" s="204">
        <v>12624.975962992536</v>
      </c>
      <c r="BM97" s="12"/>
      <c r="BN97" s="68">
        <v>45061</v>
      </c>
      <c r="BO97" s="87">
        <f t="shared" si="4"/>
        <v>44157.897376885361</v>
      </c>
      <c r="BP97" s="87">
        <f>BO97*Burden!$F$22</f>
        <v>33118.423032664025</v>
      </c>
      <c r="BQ97" s="12"/>
      <c r="BR97" s="89">
        <f>GETPIVOTDATA("[Measures].[Sum of May-23 4]",$AB$91)</f>
        <v>12624.975962992536</v>
      </c>
      <c r="BS97" s="87">
        <f>BR97*Burden!$F$22</f>
        <v>9468.7319722444008</v>
      </c>
      <c r="BT97"/>
      <c r="BU97" s="12"/>
    </row>
    <row r="98" spans="11:125" s="20" customFormat="1" ht="15.5" x14ac:dyDescent="0.35">
      <c r="M98" s="79"/>
      <c r="N98" s="79"/>
      <c r="O98" s="79"/>
      <c r="P98" s="79"/>
      <c r="Q98" s="79"/>
      <c r="R98" s="79"/>
      <c r="S98" s="79"/>
      <c r="T98" s="79"/>
      <c r="U98" s="79"/>
      <c r="V98" s="79"/>
      <c r="W98" s="79"/>
      <c r="X98" s="79"/>
      <c r="Y98" s="79"/>
      <c r="Z98" s="79"/>
      <c r="AB98" s="10" t="s">
        <v>163</v>
      </c>
      <c r="AC98" s="204">
        <v>479.8138602634603</v>
      </c>
      <c r="AD98" s="204">
        <v>249.79234833285165</v>
      </c>
      <c r="AE98" s="204">
        <v>394.30594908964486</v>
      </c>
      <c r="AF98" s="204">
        <v>292.92373747333198</v>
      </c>
      <c r="AG98" s="204">
        <v>96.064876861072136</v>
      </c>
      <c r="AH98" s="204">
        <v>89.490897775369078</v>
      </c>
      <c r="AI98" s="204">
        <v>123.96209188749653</v>
      </c>
      <c r="AJ98" s="204">
        <v>241.65966309533835</v>
      </c>
      <c r="AK98" s="204">
        <v>1431.4102096274285</v>
      </c>
      <c r="AL98" s="204">
        <v>912.51687433199049</v>
      </c>
      <c r="AM98" s="204">
        <v>465.82902747887266</v>
      </c>
      <c r="AN98" s="204">
        <v>1074.7870243940185</v>
      </c>
      <c r="AO98" s="204">
        <v>174.93969507570895</v>
      </c>
      <c r="AP98" s="204">
        <v>1405.7681144038911</v>
      </c>
      <c r="AQ98" s="204">
        <v>1202.5629312472249</v>
      </c>
      <c r="AR98" s="204">
        <v>151.71319317077692</v>
      </c>
      <c r="AS98" s="204">
        <v>289.37288069361506</v>
      </c>
      <c r="AT98" s="204">
        <v>290.81166326663953</v>
      </c>
      <c r="AU98" s="204">
        <v>433.72531595694164</v>
      </c>
      <c r="AV98" s="204">
        <v>399.70308824649413</v>
      </c>
      <c r="AW98" s="204">
        <v>75.987503589667227</v>
      </c>
      <c r="AX98" s="204">
        <v>239.27296351184893</v>
      </c>
      <c r="AY98" s="204">
        <v>97.002242822649279</v>
      </c>
      <c r="AZ98" s="204">
        <v>202.57242703924106</v>
      </c>
      <c r="BA98" s="204">
        <v>225.76700172841203</v>
      </c>
      <c r="BB98" s="204">
        <v>208.52980436406727</v>
      </c>
      <c r="BC98" s="204">
        <v>132.8401335369845</v>
      </c>
      <c r="BD98" s="204">
        <v>246.59418713330729</v>
      </c>
      <c r="BE98" s="204">
        <v>265.74571422244611</v>
      </c>
      <c r="BF98" s="204">
        <v>154.746264440712</v>
      </c>
      <c r="BG98" s="204">
        <v>404.5024871438402</v>
      </c>
      <c r="BH98" s="204">
        <v>618.66895997319614</v>
      </c>
      <c r="BI98" s="204">
        <v>823.36093393798626</v>
      </c>
      <c r="BJ98" s="204">
        <v>218.89703385122965</v>
      </c>
      <c r="BK98" s="204">
        <v>14115.641099967752</v>
      </c>
      <c r="BM98" s="12"/>
      <c r="BN98" s="68">
        <v>45092</v>
      </c>
      <c r="BO98" s="87">
        <f t="shared" si="4"/>
        <v>58273.538476853115</v>
      </c>
      <c r="BP98" s="87">
        <f>BO98*Burden!$F$22</f>
        <v>43705.153857639838</v>
      </c>
      <c r="BQ98" s="12"/>
      <c r="BR98" s="89">
        <f>GETPIVOTDATA("[Measures].[Sum of Jun-23 4]",$AB$91)</f>
        <v>14115.641099967752</v>
      </c>
      <c r="BS98" s="87">
        <f>BR98*Burden!$F$22</f>
        <v>10586.730824975813</v>
      </c>
      <c r="BT98"/>
      <c r="BU98" s="15"/>
      <c r="BV98" s="12"/>
    </row>
    <row r="99" spans="11:125" s="20" customFormat="1" ht="15.5" x14ac:dyDescent="0.35">
      <c r="M99" s="79"/>
      <c r="N99" s="79"/>
      <c r="O99" s="79"/>
      <c r="P99" s="79"/>
      <c r="Q99" s="79"/>
      <c r="R99" s="79"/>
      <c r="S99" s="79"/>
      <c r="T99" s="79"/>
      <c r="U99" s="79"/>
      <c r="V99" s="79"/>
      <c r="W99" s="79"/>
      <c r="X99" s="79"/>
      <c r="Y99" s="79"/>
      <c r="Z99" s="79"/>
      <c r="AB99" s="10" t="s">
        <v>164</v>
      </c>
      <c r="AC99" s="204">
        <v>498.36042605528581</v>
      </c>
      <c r="AD99" s="204">
        <v>259.44773890474136</v>
      </c>
      <c r="AE99" s="204">
        <v>409.54732044745396</v>
      </c>
      <c r="AF99" s="204">
        <v>304.24631445360831</v>
      </c>
      <c r="AG99" s="204">
        <v>99.778136744830377</v>
      </c>
      <c r="AH99" s="204">
        <v>92.950049252254431</v>
      </c>
      <c r="AI99" s="204">
        <v>128.75368146688339</v>
      </c>
      <c r="AJ99" s="204">
        <v>251.00069554981371</v>
      </c>
      <c r="AK99" s="204">
        <v>1486.739465046121</v>
      </c>
      <c r="AL99" s="204">
        <v>947.78899889432898</v>
      </c>
      <c r="AM99" s="204">
        <v>483.8350281832607</v>
      </c>
      <c r="AN99" s="204">
        <v>1116.3314855089575</v>
      </c>
      <c r="AO99" s="204">
        <v>181.70175601855456</v>
      </c>
      <c r="AP99" s="204">
        <v>1460.1062087797525</v>
      </c>
      <c r="AQ99" s="204">
        <v>1249.0463998801249</v>
      </c>
      <c r="AR99" s="204">
        <v>157.57746461363342</v>
      </c>
      <c r="AS99" s="204">
        <v>300.55820403381063</v>
      </c>
      <c r="AT99" s="204">
        <v>302.05260083114297</v>
      </c>
      <c r="AU99" s="204">
        <v>450.49039044553354</v>
      </c>
      <c r="AV99" s="204">
        <v>415.15307883094493</v>
      </c>
      <c r="AW99" s="204">
        <v>78.92469934701468</v>
      </c>
      <c r="AX99" s="204">
        <v>248.52174127233482</v>
      </c>
      <c r="AY99" s="204">
        <v>100.75173533934536</v>
      </c>
      <c r="AZ99" s="204">
        <v>210.40259443713597</v>
      </c>
      <c r="BA99" s="204">
        <v>234.49372452228886</v>
      </c>
      <c r="BB99" s="204">
        <v>216.59024624890793</v>
      </c>
      <c r="BC99" s="204">
        <v>137.97489199328621</v>
      </c>
      <c r="BD99" s="204">
        <v>256.12595704307682</v>
      </c>
      <c r="BE99" s="204">
        <v>276.0177609074168</v>
      </c>
      <c r="BF99" s="204">
        <v>160.72777521431283</v>
      </c>
      <c r="BG99" s="204">
        <v>420.13799210122295</v>
      </c>
      <c r="BH99" s="204">
        <v>642.58278472849349</v>
      </c>
      <c r="BI99" s="204">
        <v>855.1868543549474</v>
      </c>
      <c r="BJ99" s="204">
        <v>227.35820718567254</v>
      </c>
      <c r="BK99" s="204">
        <v>14661.262408636492</v>
      </c>
      <c r="BM99" s="12"/>
      <c r="BN99" s="68">
        <v>45122</v>
      </c>
      <c r="BO99" s="87">
        <f t="shared" si="4"/>
        <v>72934.800885489603</v>
      </c>
      <c r="BP99" s="87">
        <f>BO99*Burden!$F$22</f>
        <v>54701.100664117199</v>
      </c>
      <c r="BQ99" s="12"/>
      <c r="BR99" s="89">
        <f>GETPIVOTDATA("[Measures].[Sum of Jul-23 4]",$AB$91)</f>
        <v>14661.262408636492</v>
      </c>
      <c r="BS99" s="87">
        <f>BR99*Burden!$F$22</f>
        <v>10995.946806477368</v>
      </c>
      <c r="BT99"/>
      <c r="BU99" s="16"/>
      <c r="BV99" s="15"/>
    </row>
    <row r="100" spans="11:125" s="20" customFormat="1" ht="15.5" x14ac:dyDescent="0.35">
      <c r="M100" s="79"/>
      <c r="N100" s="79"/>
      <c r="O100" s="79"/>
      <c r="P100" s="79"/>
      <c r="Q100" s="79"/>
      <c r="R100" s="79"/>
      <c r="S100" s="79"/>
      <c r="T100" s="79"/>
      <c r="U100" s="79"/>
      <c r="V100" s="79"/>
      <c r="W100" s="79"/>
      <c r="X100" s="79"/>
      <c r="Y100" s="79"/>
      <c r="Z100" s="79"/>
      <c r="AB100" s="10" t="s">
        <v>165</v>
      </c>
      <c r="AC100" s="204">
        <v>479.8138602634603</v>
      </c>
      <c r="AD100" s="204">
        <v>249.79234833285165</v>
      </c>
      <c r="AE100" s="204">
        <v>394.30594908964486</v>
      </c>
      <c r="AF100" s="204">
        <v>292.92373747333198</v>
      </c>
      <c r="AG100" s="204">
        <v>96.064876861072136</v>
      </c>
      <c r="AH100" s="204">
        <v>89.490897775369078</v>
      </c>
      <c r="AI100" s="204">
        <v>123.96209188749653</v>
      </c>
      <c r="AJ100" s="204">
        <v>241.65966309533835</v>
      </c>
      <c r="AK100" s="204">
        <v>1431.4102096274285</v>
      </c>
      <c r="AL100" s="204">
        <v>912.51687433199049</v>
      </c>
      <c r="AM100" s="204">
        <v>465.82902747887266</v>
      </c>
      <c r="AN100" s="204">
        <v>1074.7870243940185</v>
      </c>
      <c r="AO100" s="204">
        <v>174.93969507570895</v>
      </c>
      <c r="AP100" s="204">
        <v>1405.7681144038911</v>
      </c>
      <c r="AQ100" s="204">
        <v>1202.5629312472249</v>
      </c>
      <c r="AR100" s="204">
        <v>151.71319317077692</v>
      </c>
      <c r="AS100" s="204">
        <v>289.37288069361506</v>
      </c>
      <c r="AT100" s="204">
        <v>290.81166326663953</v>
      </c>
      <c r="AU100" s="204">
        <v>433.72531595694164</v>
      </c>
      <c r="AV100" s="204">
        <v>399.70308824649413</v>
      </c>
      <c r="AW100" s="204">
        <v>75.987503589667227</v>
      </c>
      <c r="AX100" s="204">
        <v>239.27296351184893</v>
      </c>
      <c r="AY100" s="204">
        <v>97.002242822649279</v>
      </c>
      <c r="AZ100" s="204">
        <v>202.57242703924106</v>
      </c>
      <c r="BA100" s="204">
        <v>225.76700172841203</v>
      </c>
      <c r="BB100" s="204">
        <v>208.52980436406727</v>
      </c>
      <c r="BC100" s="204">
        <v>132.8401335369845</v>
      </c>
      <c r="BD100" s="204">
        <v>246.59418713330729</v>
      </c>
      <c r="BE100" s="204">
        <v>265.74571422244611</v>
      </c>
      <c r="BF100" s="204">
        <v>154.746264440712</v>
      </c>
      <c r="BG100" s="204">
        <v>404.5024871438402</v>
      </c>
      <c r="BH100" s="204">
        <v>618.66895997319614</v>
      </c>
      <c r="BI100" s="204">
        <v>823.36093393798626</v>
      </c>
      <c r="BJ100" s="204">
        <v>218.89703385122965</v>
      </c>
      <c r="BK100" s="204">
        <v>14115.641099967752</v>
      </c>
      <c r="BM100" s="12"/>
      <c r="BN100" s="68">
        <v>45153</v>
      </c>
      <c r="BO100" s="87">
        <f t="shared" si="4"/>
        <v>87050.44198545735</v>
      </c>
      <c r="BP100" s="87">
        <f>BO100*Burden!$F$22</f>
        <v>65287.831489093012</v>
      </c>
      <c r="BQ100" s="12"/>
      <c r="BR100" s="89">
        <f>GETPIVOTDATA("[Measures].[Sum of Aug-23 4]",$AB$91)</f>
        <v>14115.641099967752</v>
      </c>
      <c r="BS100" s="87">
        <f>BR100*Burden!$F$22</f>
        <v>10586.730824975813</v>
      </c>
      <c r="BT100"/>
      <c r="BV100" s="16"/>
    </row>
    <row r="101" spans="11:125" s="20" customFormat="1" ht="15.5" x14ac:dyDescent="0.35">
      <c r="M101" s="79"/>
      <c r="N101" s="79"/>
      <c r="O101" s="79"/>
      <c r="P101" s="79"/>
      <c r="Q101" s="79"/>
      <c r="R101" s="79"/>
      <c r="S101" s="79"/>
      <c r="T101" s="79"/>
      <c r="U101" s="79"/>
      <c r="V101" s="79"/>
      <c r="W101" s="79"/>
      <c r="X101" s="79"/>
      <c r="Y101" s="79"/>
      <c r="Z101" s="79"/>
      <c r="AB101" s="10" t="s">
        <v>166</v>
      </c>
      <c r="AC101" s="204">
        <v>429.14370021427385</v>
      </c>
      <c r="AD101" s="204">
        <v>223.41333072352728</v>
      </c>
      <c r="AE101" s="204">
        <v>352.66574816308531</v>
      </c>
      <c r="AF101" s="204">
        <v>261.98988189060714</v>
      </c>
      <c r="AG101" s="204">
        <v>85.920062196937266</v>
      </c>
      <c r="AH101" s="204">
        <v>80.040320189441317</v>
      </c>
      <c r="AI101" s="204">
        <v>110.87122570759401</v>
      </c>
      <c r="AJ101" s="204">
        <v>216.13948783456178</v>
      </c>
      <c r="AK101" s="204">
        <v>1280.2478726786042</v>
      </c>
      <c r="AL101" s="204">
        <v>816.15163793678323</v>
      </c>
      <c r="AM101" s="204">
        <v>416.63571871336336</v>
      </c>
      <c r="AN101" s="204">
        <v>961.28544585493546</v>
      </c>
      <c r="AO101" s="204">
        <v>156.46540101597753</v>
      </c>
      <c r="AP101" s="204">
        <v>1257.3136797825646</v>
      </c>
      <c r="AQ101" s="204">
        <v>1075.5677332301075</v>
      </c>
      <c r="AR101" s="204">
        <v>135.69170563951766</v>
      </c>
      <c r="AS101" s="204">
        <v>258.81400902911469</v>
      </c>
      <c r="AT101" s="204">
        <v>260.10085071570643</v>
      </c>
      <c r="AU101" s="204">
        <v>387.92228066143167</v>
      </c>
      <c r="AV101" s="204">
        <v>357.49292899331368</v>
      </c>
      <c r="AW101" s="204">
        <v>67.962935548818194</v>
      </c>
      <c r="AX101" s="204">
        <v>214.00483276228832</v>
      </c>
      <c r="AY101" s="204">
        <v>86.758438764436278</v>
      </c>
      <c r="AZ101" s="204">
        <v>181.18001187642264</v>
      </c>
      <c r="BA101" s="204">
        <v>201.92515167197095</v>
      </c>
      <c r="BB101" s="204">
        <v>186.50826760322627</v>
      </c>
      <c r="BC101" s="204">
        <v>118.81171254977423</v>
      </c>
      <c r="BD101" s="204">
        <v>220.55290745376058</v>
      </c>
      <c r="BE101" s="204">
        <v>237.68196078138666</v>
      </c>
      <c r="BF101" s="204">
        <v>138.40447310121382</v>
      </c>
      <c r="BG101" s="204">
        <v>361.78549319827533</v>
      </c>
      <c r="BH101" s="204">
        <v>553.33517573842494</v>
      </c>
      <c r="BI101" s="204">
        <v>736.41090236120465</v>
      </c>
      <c r="BJ101" s="204">
        <v>195.78067840988467</v>
      </c>
      <c r="BK101" s="204">
        <v>12624.975962992536</v>
      </c>
      <c r="BM101" s="12"/>
      <c r="BN101" s="68">
        <v>45184</v>
      </c>
      <c r="BO101" s="87">
        <f t="shared" si="4"/>
        <v>99675.417948449889</v>
      </c>
      <c r="BP101" s="87">
        <f>BO101*Burden!$F$22</f>
        <v>74756.563461337413</v>
      </c>
      <c r="BQ101" s="12"/>
      <c r="BR101" s="89">
        <f>GETPIVOTDATA("[Measures].[Sum of Sep-23 4]",$AB$91)</f>
        <v>12624.975962992536</v>
      </c>
      <c r="BS101" s="87">
        <f>BR101*Burden!$F$22</f>
        <v>9468.7319722444008</v>
      </c>
      <c r="BT101"/>
    </row>
    <row r="102" spans="11:125" s="20" customFormat="1" ht="15.5" x14ac:dyDescent="0.35">
      <c r="M102" s="79"/>
      <c r="N102" s="79"/>
      <c r="O102" s="79"/>
      <c r="P102" s="79"/>
      <c r="Q102" s="79"/>
      <c r="R102" s="79"/>
      <c r="S102" s="79"/>
      <c r="T102" s="79"/>
      <c r="U102" s="79"/>
      <c r="V102" s="79"/>
      <c r="W102" s="79"/>
      <c r="X102" s="79"/>
      <c r="Y102" s="79"/>
      <c r="Z102" s="79"/>
      <c r="AB102" s="10" t="s">
        <v>167</v>
      </c>
      <c r="AC102" s="204">
        <v>359.926974373262</v>
      </c>
      <c r="AD102" s="204">
        <v>187.37892254231323</v>
      </c>
      <c r="AE102" s="204">
        <v>295.78417587871672</v>
      </c>
      <c r="AF102" s="204">
        <v>219.73344932760602</v>
      </c>
      <c r="AG102" s="204">
        <v>72.061987649044156</v>
      </c>
      <c r="AH102" s="204">
        <v>67.130591126628204</v>
      </c>
      <c r="AI102" s="204">
        <v>92.988769948304665</v>
      </c>
      <c r="AJ102" s="204">
        <v>181.2782801193099</v>
      </c>
      <c r="AK102" s="204">
        <v>1073.7562803110875</v>
      </c>
      <c r="AL102" s="204">
        <v>684.51427697923759</v>
      </c>
      <c r="AM102" s="204">
        <v>349.43640924346607</v>
      </c>
      <c r="AN102" s="204">
        <v>806.23940620091366</v>
      </c>
      <c r="AO102" s="204">
        <v>131.22904601340051</v>
      </c>
      <c r="AP102" s="204">
        <v>1054.5211507853767</v>
      </c>
      <c r="AQ102" s="204">
        <v>902.08906658009016</v>
      </c>
      <c r="AR102" s="204">
        <v>113.80594666540192</v>
      </c>
      <c r="AS102" s="204">
        <v>217.06981402441878</v>
      </c>
      <c r="AT102" s="204">
        <v>218.14910060026995</v>
      </c>
      <c r="AU102" s="204">
        <v>325.35417087732981</v>
      </c>
      <c r="AV102" s="204">
        <v>299.83277915568243</v>
      </c>
      <c r="AW102" s="204">
        <v>57.001171750621715</v>
      </c>
      <c r="AX102" s="204">
        <v>179.48792425224181</v>
      </c>
      <c r="AY102" s="204">
        <v>72.765142189527197</v>
      </c>
      <c r="AZ102" s="204">
        <v>151.95742931570933</v>
      </c>
      <c r="BA102" s="204">
        <v>169.35657882165307</v>
      </c>
      <c r="BB102" s="204">
        <v>156.42628895754461</v>
      </c>
      <c r="BC102" s="204">
        <v>99.648533106262263</v>
      </c>
      <c r="BD102" s="204">
        <v>184.97985786444437</v>
      </c>
      <c r="BE102" s="204">
        <v>199.34616065535656</v>
      </c>
      <c r="BF102" s="204">
        <v>116.08117098811482</v>
      </c>
      <c r="BG102" s="204">
        <v>303.43299429532772</v>
      </c>
      <c r="BH102" s="204">
        <v>464.08756674835644</v>
      </c>
      <c r="BI102" s="204">
        <v>617.63495036746201</v>
      </c>
      <c r="BJ102" s="204">
        <v>164.20314963409683</v>
      </c>
      <c r="BK102" s="204">
        <v>10588.689517348579</v>
      </c>
      <c r="BM102" s="12"/>
      <c r="BN102" s="68">
        <v>45214</v>
      </c>
      <c r="BO102" s="87">
        <f t="shared" si="4"/>
        <v>110264.10746579847</v>
      </c>
      <c r="BP102" s="87">
        <f>BO102*Burden!$F$22</f>
        <v>82698.080599348847</v>
      </c>
      <c r="BQ102" s="12"/>
      <c r="BR102" s="89">
        <f>GETPIVOTDATA("[Measures].[Sum of Oct-23 4]",$AB$91)</f>
        <v>10588.689517348579</v>
      </c>
      <c r="BS102" s="87">
        <f>BR102*Burden!$F$22</f>
        <v>7941.5171380114343</v>
      </c>
      <c r="BT102"/>
    </row>
    <row r="103" spans="11:125" s="20" customFormat="1" ht="15.5" x14ac:dyDescent="0.35">
      <c r="M103" s="79"/>
      <c r="N103" s="79"/>
      <c r="O103" s="79"/>
      <c r="P103" s="79"/>
      <c r="Q103" s="79"/>
      <c r="R103" s="79"/>
      <c r="S103" s="79"/>
      <c r="T103" s="79"/>
      <c r="U103" s="79"/>
      <c r="V103" s="79"/>
      <c r="W103" s="79"/>
      <c r="X103" s="79"/>
      <c r="Y103" s="79"/>
      <c r="Z103" s="79"/>
      <c r="AB103" s="10" t="s">
        <v>168</v>
      </c>
      <c r="AC103" s="204">
        <v>290.71024853225003</v>
      </c>
      <c r="AD103" s="204">
        <v>151.34451436109913</v>
      </c>
      <c r="AE103" s="204">
        <v>238.90260359434811</v>
      </c>
      <c r="AF103" s="204">
        <v>177.47701676460483</v>
      </c>
      <c r="AG103" s="204">
        <v>58.203913101151045</v>
      </c>
      <c r="AH103" s="204">
        <v>54.220862063815083</v>
      </c>
      <c r="AI103" s="204">
        <v>75.106314189015293</v>
      </c>
      <c r="AJ103" s="204">
        <v>146.41707240405799</v>
      </c>
      <c r="AK103" s="204">
        <v>867.26468794357049</v>
      </c>
      <c r="AL103" s="204">
        <v>552.87691602169184</v>
      </c>
      <c r="AM103" s="204">
        <v>282.23709977356873</v>
      </c>
      <c r="AN103" s="204">
        <v>651.19336654689175</v>
      </c>
      <c r="AO103" s="204">
        <v>105.99269101082348</v>
      </c>
      <c r="AP103" s="204">
        <v>851.72862178818878</v>
      </c>
      <c r="AQ103" s="204">
        <v>728.61039993007273</v>
      </c>
      <c r="AR103" s="204">
        <v>91.920187691286145</v>
      </c>
      <c r="AS103" s="204">
        <v>175.32561901972284</v>
      </c>
      <c r="AT103" s="204">
        <v>176.19735048483338</v>
      </c>
      <c r="AU103" s="204">
        <v>262.78606109322789</v>
      </c>
      <c r="AV103" s="204">
        <v>242.17262931805118</v>
      </c>
      <c r="AW103" s="204">
        <v>46.039407952425222</v>
      </c>
      <c r="AX103" s="204">
        <v>144.97101574219531</v>
      </c>
      <c r="AY103" s="204">
        <v>58.771845614618115</v>
      </c>
      <c r="AZ103" s="204">
        <v>122.73484675499597</v>
      </c>
      <c r="BA103" s="204">
        <v>136.78800597133517</v>
      </c>
      <c r="BB103" s="204">
        <v>126.34431031186296</v>
      </c>
      <c r="BC103" s="204">
        <v>80.485353662750285</v>
      </c>
      <c r="BD103" s="204">
        <v>149.40680827512813</v>
      </c>
      <c r="BE103" s="204">
        <v>161.01036052932645</v>
      </c>
      <c r="BF103" s="204">
        <v>93.757868875015816</v>
      </c>
      <c r="BG103" s="204">
        <v>245.08049539238004</v>
      </c>
      <c r="BH103" s="204">
        <v>374.83995775828788</v>
      </c>
      <c r="BI103" s="204">
        <v>498.85899837371926</v>
      </c>
      <c r="BJ103" s="204">
        <v>132.62562085830896</v>
      </c>
      <c r="BK103" s="204">
        <v>8552.4030717046207</v>
      </c>
      <c r="BM103" s="12"/>
      <c r="BN103" s="68">
        <v>45245</v>
      </c>
      <c r="BO103" s="87">
        <f t="shared" si="4"/>
        <v>118816.5105375031</v>
      </c>
      <c r="BP103" s="87">
        <f>BO103*Burden!$F$22</f>
        <v>89112.38290312732</v>
      </c>
      <c r="BQ103" s="12"/>
      <c r="BR103" s="89">
        <f>GETPIVOTDATA("[Measures].[Sum of Nov-23 4]",$AB$91)</f>
        <v>8552.4030717046207</v>
      </c>
      <c r="BS103" s="87">
        <f>BR103*Burden!$F$22</f>
        <v>6414.302303778466</v>
      </c>
      <c r="BT103"/>
      <c r="DT103" s="20" t="s">
        <v>186</v>
      </c>
    </row>
    <row r="104" spans="11:125" s="20" customFormat="1" ht="15.5" x14ac:dyDescent="0.35">
      <c r="M104" s="79"/>
      <c r="N104" s="79"/>
      <c r="O104" s="79"/>
      <c r="P104" s="79"/>
      <c r="Q104" s="79"/>
      <c r="R104" s="79"/>
      <c r="S104" s="79"/>
      <c r="T104" s="79"/>
      <c r="U104" s="79"/>
      <c r="V104" s="79"/>
      <c r="W104" s="79"/>
      <c r="X104" s="79"/>
      <c r="Y104" s="79"/>
      <c r="Z104" s="79"/>
      <c r="AB104" s="10" t="s">
        <v>169</v>
      </c>
      <c r="AC104" s="204">
        <v>240.04008848306367</v>
      </c>
      <c r="AD104" s="204">
        <v>124.96549675177479</v>
      </c>
      <c r="AE104" s="204">
        <v>197.26240266778859</v>
      </c>
      <c r="AF104" s="204">
        <v>146.54316118188004</v>
      </c>
      <c r="AG104" s="204">
        <v>48.059098437016189</v>
      </c>
      <c r="AH104" s="204">
        <v>44.77028447788733</v>
      </c>
      <c r="AI104" s="204">
        <v>62.015448009112795</v>
      </c>
      <c r="AJ104" s="204">
        <v>120.89689714328144</v>
      </c>
      <c r="AK104" s="204">
        <v>716.10235099474642</v>
      </c>
      <c r="AL104" s="204">
        <v>456.51167962648469</v>
      </c>
      <c r="AM104" s="204">
        <v>233.04379100805946</v>
      </c>
      <c r="AN104" s="204">
        <v>537.6917880078089</v>
      </c>
      <c r="AO104" s="204">
        <v>87.518396951092086</v>
      </c>
      <c r="AP104" s="204">
        <v>703.27418716686248</v>
      </c>
      <c r="AQ104" s="204">
        <v>601.61520191295551</v>
      </c>
      <c r="AR104" s="204">
        <v>75.898700160026905</v>
      </c>
      <c r="AS104" s="204">
        <v>144.76674735522249</v>
      </c>
      <c r="AT104" s="204">
        <v>145.48653793390034</v>
      </c>
      <c r="AU104" s="204">
        <v>216.98302579771791</v>
      </c>
      <c r="AV104" s="204">
        <v>199.96247006487076</v>
      </c>
      <c r="AW104" s="204">
        <v>38.014839911576203</v>
      </c>
      <c r="AX104" s="204">
        <v>119.70288499263469</v>
      </c>
      <c r="AY104" s="204">
        <v>48.528041556405121</v>
      </c>
      <c r="AZ104" s="204">
        <v>101.34243159217759</v>
      </c>
      <c r="BA104" s="204">
        <v>112.94615591489412</v>
      </c>
      <c r="BB104" s="204">
        <v>104.32277355102197</v>
      </c>
      <c r="BC104" s="204">
        <v>66.456932675540031</v>
      </c>
      <c r="BD104" s="204">
        <v>123.36552859558145</v>
      </c>
      <c r="BE104" s="204">
        <v>132.94660708826703</v>
      </c>
      <c r="BF104" s="204">
        <v>77.416077535517658</v>
      </c>
      <c r="BG104" s="204">
        <v>202.36350144681518</v>
      </c>
      <c r="BH104" s="204">
        <v>309.50617352351674</v>
      </c>
      <c r="BI104" s="204">
        <v>411.9089667969377</v>
      </c>
      <c r="BJ104" s="204">
        <v>109.509265416964</v>
      </c>
      <c r="BK104" s="204">
        <v>7061.7379347294027</v>
      </c>
      <c r="BM104" s="12"/>
      <c r="BN104" s="68">
        <v>45275</v>
      </c>
      <c r="BO104" s="87">
        <f t="shared" si="4"/>
        <v>125878.2484722325</v>
      </c>
      <c r="BP104" s="87">
        <f>BO104*Burden!$F$22</f>
        <v>94408.686354174381</v>
      </c>
      <c r="BQ104" s="12"/>
      <c r="BR104" s="89">
        <f>GETPIVOTDATA("[Measures].[Sum of Dec-23 4]",$AB$91)</f>
        <v>7061.7379347294027</v>
      </c>
      <c r="BS104" s="87">
        <f>BR104*Burden!$F$22</f>
        <v>5296.3034510470516</v>
      </c>
      <c r="BT104"/>
      <c r="BY104"/>
      <c r="BZ104"/>
      <c r="CA104"/>
      <c r="CB104"/>
      <c r="CC104"/>
      <c r="CD104"/>
      <c r="CE104"/>
      <c r="CF104"/>
      <c r="CG104"/>
      <c r="CH104"/>
      <c r="CI104"/>
      <c r="CJ104"/>
      <c r="CK104"/>
      <c r="DU104" s="20" t="s">
        <v>187</v>
      </c>
    </row>
    <row r="105" spans="11:125" s="20" customFormat="1" ht="15.5" x14ac:dyDescent="0.35">
      <c r="M105" s="79"/>
      <c r="N105" s="79"/>
      <c r="O105" s="79"/>
      <c r="P105" s="79"/>
      <c r="Q105" s="79"/>
      <c r="R105" s="79"/>
      <c r="S105" s="79"/>
      <c r="T105" s="79"/>
      <c r="U105" s="79"/>
      <c r="V105" s="79"/>
      <c r="W105" s="79"/>
      <c r="X105" s="79"/>
      <c r="Y105" s="79"/>
      <c r="Z105" s="79"/>
      <c r="AB105"/>
      <c r="AC105"/>
      <c r="AD105"/>
      <c r="BM105" s="12"/>
      <c r="BN105" s="68"/>
      <c r="BO105" s="87"/>
      <c r="BP105" s="87"/>
      <c r="BQ105" s="12"/>
      <c r="BR105" s="89"/>
      <c r="BS105" s="87"/>
      <c r="BT105"/>
      <c r="BY105"/>
      <c r="BZ105"/>
      <c r="CA105"/>
      <c r="CB105"/>
      <c r="CC105"/>
      <c r="CD105"/>
      <c r="CE105"/>
      <c r="CF105"/>
      <c r="CG105"/>
      <c r="CH105"/>
      <c r="CI105"/>
      <c r="CJ105"/>
      <c r="CK105"/>
    </row>
    <row r="106" spans="11:125" s="20" customFormat="1" ht="15.5" x14ac:dyDescent="0.35">
      <c r="M106" s="79"/>
      <c r="N106" s="79"/>
      <c r="O106" s="79"/>
      <c r="P106" s="79"/>
      <c r="Q106" s="79"/>
      <c r="R106" s="79"/>
      <c r="S106" s="79"/>
      <c r="T106" s="79"/>
      <c r="U106" s="79"/>
      <c r="V106" s="79"/>
      <c r="W106" s="79"/>
      <c r="X106" s="79"/>
      <c r="Y106" s="79"/>
      <c r="Z106" s="79"/>
      <c r="AB106"/>
      <c r="AC106"/>
      <c r="AD106"/>
      <c r="BM106" s="12"/>
      <c r="BN106" s="89" t="s">
        <v>173</v>
      </c>
      <c r="BO106" s="87">
        <f>SUM(BR93:BR104)</f>
        <v>125878.2484722325</v>
      </c>
      <c r="BQ106" s="12"/>
      <c r="BR106" s="86">
        <f>SUM(BR93:BR104)</f>
        <v>125878.2484722325</v>
      </c>
      <c r="BT106" s="12" t="s">
        <v>174</v>
      </c>
      <c r="BY106"/>
      <c r="BZ106"/>
      <c r="CA106"/>
      <c r="CB106"/>
      <c r="CC106"/>
      <c r="CD106"/>
      <c r="CE106"/>
      <c r="CF106"/>
      <c r="CG106"/>
      <c r="CH106"/>
      <c r="CI106"/>
      <c r="CJ106"/>
      <c r="CK106"/>
    </row>
    <row r="107" spans="11:125" s="20" customFormat="1" ht="15.5" x14ac:dyDescent="0.35">
      <c r="M107" s="79"/>
      <c r="N107" s="79"/>
      <c r="O107" s="79"/>
      <c r="P107" s="79"/>
      <c r="Q107" s="79"/>
      <c r="R107" s="79"/>
      <c r="S107" s="79"/>
      <c r="T107" s="79"/>
      <c r="U107" s="79"/>
      <c r="V107" s="79"/>
      <c r="W107" s="79"/>
      <c r="X107" s="79"/>
      <c r="Y107" s="79"/>
      <c r="Z107" s="79"/>
      <c r="AB107"/>
      <c r="AC107"/>
      <c r="AD107"/>
      <c r="BM107" s="12"/>
      <c r="BN107" s="68"/>
      <c r="BO107" s="87"/>
      <c r="BP107" s="87"/>
      <c r="BQ107" s="12"/>
      <c r="BY107"/>
      <c r="BZ107"/>
      <c r="CA107"/>
      <c r="CB107"/>
      <c r="CC107"/>
      <c r="CD107"/>
      <c r="CE107"/>
      <c r="CF107"/>
      <c r="CG107"/>
      <c r="CH107"/>
      <c r="CI107"/>
      <c r="CJ107"/>
      <c r="CK107"/>
    </row>
    <row r="108" spans="11:125" s="20" customFormat="1" ht="15.5" x14ac:dyDescent="0.35">
      <c r="M108" s="79"/>
      <c r="N108" s="79"/>
      <c r="O108" s="79"/>
      <c r="P108" s="79"/>
      <c r="Q108" s="79"/>
      <c r="R108" s="79"/>
      <c r="S108" s="79"/>
      <c r="T108" s="79"/>
      <c r="U108" s="79"/>
      <c r="V108" s="79"/>
      <c r="W108" s="79"/>
      <c r="X108" s="79"/>
      <c r="Y108" s="79"/>
      <c r="Z108" s="79"/>
      <c r="AB108"/>
      <c r="AC108"/>
      <c r="AD108"/>
      <c r="BM108" s="12"/>
      <c r="BN108" s="68"/>
      <c r="BO108" s="87"/>
      <c r="BP108" s="87"/>
      <c r="BQ108" s="12"/>
      <c r="BR108" s="89"/>
      <c r="BS108" s="87"/>
      <c r="BT108" s="20" t="s">
        <v>179</v>
      </c>
      <c r="BY108"/>
      <c r="BZ108"/>
      <c r="CA108"/>
      <c r="CB108"/>
      <c r="CC108"/>
      <c r="CD108"/>
      <c r="CE108"/>
      <c r="CF108"/>
      <c r="CG108"/>
      <c r="CH108"/>
      <c r="CI108"/>
      <c r="CJ108"/>
      <c r="CK108"/>
    </row>
    <row r="109" spans="11:125" s="20" customFormat="1" ht="15.5" x14ac:dyDescent="0.35">
      <c r="M109" s="79"/>
      <c r="N109" s="79"/>
      <c r="O109" s="79"/>
      <c r="P109" s="79"/>
      <c r="Q109" s="79"/>
      <c r="R109" s="79"/>
      <c r="S109" s="79"/>
      <c r="T109" s="79"/>
      <c r="U109" s="79"/>
      <c r="V109" s="79"/>
      <c r="W109" s="79"/>
      <c r="X109" s="79"/>
      <c r="Y109" s="79"/>
      <c r="Z109" s="79"/>
      <c r="AB109"/>
      <c r="AC109"/>
      <c r="BM109" s="12"/>
      <c r="BN109" s="68"/>
      <c r="BO109" s="87"/>
      <c r="BP109" s="87"/>
      <c r="BQ109" s="12"/>
      <c r="BR109" s="89">
        <f>VLOOKUP(BM28,C46:D79,2) *Burden!F17</f>
        <v>47206.244812754172</v>
      </c>
      <c r="BS109" s="87"/>
      <c r="BT109" s="20" t="s">
        <v>182</v>
      </c>
      <c r="BY109"/>
      <c r="BZ109"/>
      <c r="CA109"/>
      <c r="CB109"/>
      <c r="CC109"/>
      <c r="CD109"/>
      <c r="CE109"/>
      <c r="CF109"/>
      <c r="CG109"/>
      <c r="CH109"/>
      <c r="CI109"/>
      <c r="CJ109"/>
      <c r="CK109"/>
    </row>
    <row r="110" spans="11:125" s="20" customFormat="1" ht="15.5" x14ac:dyDescent="0.35">
      <c r="M110" s="79"/>
      <c r="N110" s="79"/>
      <c r="O110" s="79"/>
      <c r="P110" s="79"/>
      <c r="Q110" s="79"/>
      <c r="R110" s="79"/>
      <c r="S110" s="79"/>
      <c r="T110" s="79"/>
      <c r="U110" s="79"/>
      <c r="V110" s="79"/>
      <c r="W110" s="79"/>
      <c r="X110" s="79"/>
      <c r="Y110" s="79"/>
      <c r="Z110" s="79"/>
      <c r="AB110"/>
      <c r="AC110"/>
      <c r="BM110" s="12"/>
      <c r="BN110" s="68"/>
      <c r="BO110" s="87"/>
      <c r="BP110" s="87"/>
      <c r="BQ110" s="12"/>
      <c r="BR110" s="183">
        <f>BO59</f>
        <v>5.2310322580645146</v>
      </c>
      <c r="BS110" s="87"/>
      <c r="BT110" s="20" t="s">
        <v>184</v>
      </c>
      <c r="BY110"/>
      <c r="BZ110"/>
      <c r="CA110"/>
      <c r="CB110"/>
      <c r="CC110"/>
      <c r="CD110"/>
      <c r="CE110"/>
      <c r="CF110"/>
      <c r="CG110"/>
      <c r="CH110"/>
      <c r="CI110"/>
      <c r="CJ110"/>
      <c r="CK110"/>
    </row>
    <row r="111" spans="11:125" s="20" customFormat="1" ht="15.5" x14ac:dyDescent="0.35">
      <c r="M111" s="79"/>
      <c r="N111" s="79"/>
      <c r="O111" s="79"/>
      <c r="P111" s="79"/>
      <c r="Q111" s="79"/>
      <c r="R111" s="79"/>
      <c r="S111" s="79"/>
      <c r="T111" s="79"/>
      <c r="U111" s="79"/>
      <c r="V111" s="79"/>
      <c r="W111" s="79"/>
      <c r="X111" s="79"/>
      <c r="Y111" s="79"/>
      <c r="Z111" s="79"/>
      <c r="AB111"/>
      <c r="AC111"/>
      <c r="BM111" s="12"/>
      <c r="BN111" s="68"/>
      <c r="BO111" s="87"/>
      <c r="BP111" s="87"/>
      <c r="BQ111" s="12"/>
      <c r="BR111" s="89">
        <f>BR109*Prevalence!BR110/100*2.6</f>
        <v>6420.3721243378013</v>
      </c>
      <c r="BS111" s="87"/>
      <c r="BT111" s="12" t="s">
        <v>185</v>
      </c>
      <c r="BY111"/>
      <c r="BZ111"/>
      <c r="CA111"/>
      <c r="CB111"/>
      <c r="CC111"/>
      <c r="CD111"/>
      <c r="CE111"/>
      <c r="CF111"/>
      <c r="CG111"/>
      <c r="CH111"/>
      <c r="CI111"/>
      <c r="CJ111"/>
      <c r="CK111"/>
    </row>
    <row r="112" spans="11:125" s="20" customFormat="1" ht="15.5" x14ac:dyDescent="0.35">
      <c r="K112" s="12"/>
      <c r="L112" s="12"/>
      <c r="M112" s="79"/>
      <c r="N112" s="79"/>
      <c r="O112" s="79"/>
      <c r="P112" s="79"/>
      <c r="Q112" s="79"/>
      <c r="R112" s="79"/>
      <c r="S112" s="79"/>
      <c r="T112" s="79"/>
      <c r="U112" s="79"/>
      <c r="V112" s="79"/>
      <c r="W112" s="79"/>
      <c r="X112" s="79"/>
      <c r="Y112" s="79"/>
      <c r="Z112" s="79"/>
      <c r="AB112"/>
      <c r="AC112"/>
      <c r="BY112"/>
      <c r="BZ112"/>
      <c r="CA112"/>
      <c r="CB112"/>
      <c r="CC112"/>
      <c r="CD112"/>
      <c r="CE112"/>
      <c r="CF112"/>
      <c r="CG112"/>
      <c r="CH112"/>
      <c r="CI112"/>
      <c r="CJ112"/>
      <c r="CK112"/>
    </row>
    <row r="113" spans="1:119" s="20" customFormat="1" ht="15.5" x14ac:dyDescent="0.35">
      <c r="K113" s="12"/>
      <c r="L113" s="12"/>
      <c r="M113" s="79"/>
      <c r="N113" s="79"/>
      <c r="O113" s="79"/>
      <c r="P113" s="79"/>
      <c r="Q113" s="79"/>
      <c r="R113" s="79"/>
      <c r="S113" s="79"/>
      <c r="T113" s="79"/>
      <c r="U113" s="79"/>
      <c r="V113" s="79"/>
      <c r="W113" s="79"/>
      <c r="X113" s="79"/>
      <c r="Y113" s="79"/>
      <c r="Z113" s="79"/>
      <c r="AB113"/>
      <c r="AC113"/>
      <c r="BM113" s="12"/>
      <c r="BN113" s="12"/>
      <c r="BO113" s="12"/>
      <c r="BP113" s="12"/>
      <c r="BQ113" s="12"/>
      <c r="BY113"/>
      <c r="BZ113"/>
      <c r="CA113"/>
      <c r="CB113"/>
      <c r="CC113"/>
      <c r="CD113"/>
      <c r="CE113"/>
      <c r="CF113"/>
      <c r="CG113"/>
      <c r="CH113"/>
      <c r="CI113"/>
      <c r="CJ113"/>
      <c r="CK113"/>
    </row>
    <row r="114" spans="1:119" ht="15.5" x14ac:dyDescent="0.35">
      <c r="A114" s="20"/>
      <c r="B114" s="20"/>
      <c r="C114" s="20"/>
      <c r="D114" s="20"/>
      <c r="E114" s="20"/>
      <c r="F114" s="20"/>
      <c r="G114" s="20"/>
      <c r="H114" s="20"/>
      <c r="I114" s="20"/>
      <c r="J114" s="20"/>
      <c r="K114" s="66"/>
      <c r="L114" s="66"/>
      <c r="M114" s="66"/>
      <c r="N114" s="79"/>
      <c r="O114" s="79"/>
      <c r="P114" s="79"/>
      <c r="Q114" s="79"/>
      <c r="R114" s="79"/>
      <c r="S114" s="79"/>
      <c r="T114" s="79"/>
      <c r="U114" s="79"/>
      <c r="V114" s="79"/>
      <c r="W114" s="79"/>
      <c r="X114" s="79"/>
      <c r="Y114" s="79"/>
      <c r="Z114" s="79"/>
      <c r="AB114"/>
      <c r="AC114"/>
      <c r="BR114" s="20"/>
      <c r="BS114" s="20"/>
      <c r="BT114" s="20"/>
      <c r="BU114" s="20"/>
      <c r="BV114" s="20"/>
      <c r="BW114" s="20"/>
      <c r="BX114" s="20"/>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row>
    <row r="115" spans="1:119" ht="15.5" x14ac:dyDescent="0.35">
      <c r="A115" s="20"/>
      <c r="B115" s="20"/>
      <c r="C115" s="20"/>
      <c r="D115" s="20"/>
      <c r="E115" s="20"/>
      <c r="F115" s="20"/>
      <c r="G115" s="20"/>
      <c r="H115" s="20"/>
      <c r="I115" s="20"/>
      <c r="J115" s="20"/>
      <c r="K115" s="66"/>
      <c r="L115" s="66"/>
      <c r="M115" s="66"/>
      <c r="N115" s="79"/>
      <c r="O115" s="79"/>
      <c r="P115" s="79"/>
      <c r="Q115" s="79"/>
      <c r="R115" s="79"/>
      <c r="S115" s="79"/>
      <c r="T115" s="79"/>
      <c r="U115" s="79"/>
      <c r="V115" s="79"/>
      <c r="W115" s="79"/>
      <c r="X115" s="79"/>
      <c r="Y115" s="79"/>
      <c r="Z115" s="79"/>
      <c r="AB115"/>
      <c r="AC115"/>
      <c r="BV115" s="20"/>
      <c r="BW115" s="20"/>
      <c r="BX115" s="20"/>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row>
    <row r="116" spans="1:119" ht="15.5" x14ac:dyDescent="0.35">
      <c r="A116" s="20"/>
      <c r="B116" s="20"/>
      <c r="F116" s="12"/>
      <c r="K116" s="66"/>
      <c r="L116" s="66"/>
      <c r="M116" s="66"/>
      <c r="N116" s="79"/>
      <c r="O116" s="79"/>
      <c r="P116" s="79"/>
      <c r="Q116" s="79"/>
      <c r="R116" s="79"/>
      <c r="S116" s="79"/>
      <c r="T116" s="79"/>
      <c r="U116" s="79"/>
      <c r="V116" s="79"/>
      <c r="W116" s="79"/>
      <c r="X116" s="79"/>
      <c r="Y116" s="79"/>
      <c r="Z116" s="79"/>
      <c r="AB116"/>
      <c r="AC116"/>
      <c r="BP116" s="20"/>
      <c r="BQ116" s="20"/>
      <c r="BR116" s="20"/>
      <c r="BS116" s="20"/>
      <c r="BT116" s="20"/>
      <c r="BU116" s="20"/>
      <c r="BV116" s="20"/>
      <c r="BW116" s="20"/>
      <c r="BX116" s="20"/>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row>
    <row r="117" spans="1:119" ht="15.5" x14ac:dyDescent="0.35">
      <c r="A117" s="20"/>
      <c r="B117" s="20"/>
      <c r="F117" s="12"/>
      <c r="K117" s="66"/>
      <c r="L117" s="66"/>
      <c r="M117" s="66"/>
      <c r="N117" s="79"/>
      <c r="O117" s="79"/>
      <c r="P117" s="79"/>
      <c r="Q117" s="79"/>
      <c r="R117" s="79"/>
      <c r="S117" s="79"/>
      <c r="T117" s="79"/>
      <c r="U117" s="79"/>
      <c r="V117" s="79"/>
      <c r="W117" s="79"/>
      <c r="X117" s="79"/>
      <c r="Y117" s="79"/>
      <c r="Z117" s="79"/>
      <c r="AB117"/>
      <c r="AC117"/>
      <c r="BR117" s="20"/>
      <c r="BS117" s="20"/>
      <c r="BT117" s="20"/>
      <c r="BU117" s="20"/>
      <c r="BV117" s="20"/>
      <c r="BW117" s="20"/>
      <c r="BX117" s="20"/>
      <c r="BY117"/>
      <c r="BZ117"/>
      <c r="CA117"/>
      <c r="CB117"/>
      <c r="CC117"/>
      <c r="CD117"/>
      <c r="CE117"/>
      <c r="CF117"/>
      <c r="CG117"/>
      <c r="CH117"/>
      <c r="CI117"/>
      <c r="CJ117"/>
      <c r="CK117"/>
      <c r="CL117"/>
      <c r="CM117"/>
      <c r="CN117"/>
      <c r="CO117"/>
      <c r="CP117"/>
      <c r="CQ117"/>
      <c r="CR117"/>
      <c r="CS117"/>
      <c r="CT117"/>
      <c r="CU117"/>
    </row>
    <row r="118" spans="1:119" ht="15.5" x14ac:dyDescent="0.35">
      <c r="F118" s="65"/>
      <c r="G118" s="66"/>
      <c r="H118" s="66"/>
      <c r="I118" s="66"/>
      <c r="J118" s="66"/>
      <c r="N118" s="79"/>
      <c r="O118" s="79"/>
      <c r="P118" s="79"/>
      <c r="Q118" s="79"/>
      <c r="R118" s="79"/>
      <c r="S118" s="79"/>
      <c r="T118" s="79"/>
      <c r="U118" s="79"/>
      <c r="V118" s="79"/>
      <c r="W118" s="79"/>
      <c r="X118" s="79"/>
      <c r="Y118" s="79"/>
      <c r="Z118" s="79"/>
      <c r="AB118"/>
      <c r="AC118"/>
      <c r="BR118" s="20"/>
      <c r="BS118" s="20"/>
      <c r="BT118" s="20"/>
      <c r="BU118" s="20"/>
      <c r="BV118" s="20"/>
      <c r="BW118" s="20"/>
      <c r="BX118" s="20"/>
      <c r="BY118"/>
      <c r="BZ118"/>
      <c r="CA118"/>
      <c r="CB118"/>
      <c r="CC118"/>
      <c r="CD118"/>
      <c r="CE118"/>
      <c r="CF118"/>
      <c r="CG118"/>
      <c r="CH118"/>
      <c r="CI118"/>
      <c r="CJ118"/>
      <c r="CK118"/>
      <c r="CL118"/>
      <c r="CM118"/>
      <c r="CN118"/>
      <c r="CO118"/>
      <c r="CP118"/>
      <c r="CQ118"/>
      <c r="CR118"/>
      <c r="CS118"/>
      <c r="CT118"/>
      <c r="CU118"/>
    </row>
    <row r="119" spans="1:119" ht="15.5" x14ac:dyDescent="0.35">
      <c r="F119" s="65"/>
      <c r="G119" s="66"/>
      <c r="H119" s="66"/>
      <c r="I119" s="66"/>
      <c r="J119" s="66"/>
      <c r="N119" s="79"/>
      <c r="O119" s="79"/>
      <c r="P119" s="79"/>
      <c r="Q119" s="79"/>
      <c r="R119" s="79"/>
      <c r="S119" s="79"/>
      <c r="T119" s="79"/>
      <c r="U119" s="79"/>
      <c r="V119" s="79"/>
      <c r="W119" s="79"/>
      <c r="X119" s="79"/>
      <c r="Y119" s="79"/>
      <c r="Z119" s="79"/>
      <c r="AB119"/>
      <c r="AC119"/>
      <c r="BP119" s="20"/>
      <c r="BQ119" s="20"/>
      <c r="BR119" s="20"/>
      <c r="BS119" s="20"/>
      <c r="BT119" s="20"/>
      <c r="BU119" s="20"/>
      <c r="BV119" s="20"/>
      <c r="BW119" s="20"/>
      <c r="BX119" s="20"/>
      <c r="BY119"/>
      <c r="BZ119"/>
      <c r="CA119"/>
      <c r="CB119"/>
      <c r="CC119"/>
      <c r="CD119"/>
      <c r="CE119"/>
      <c r="CF119"/>
      <c r="CG119"/>
      <c r="CH119"/>
      <c r="CI119"/>
      <c r="CJ119"/>
      <c r="CK119"/>
      <c r="CL119"/>
      <c r="CM119"/>
      <c r="CN119"/>
      <c r="CO119"/>
      <c r="CP119"/>
      <c r="CQ119"/>
      <c r="CR119"/>
      <c r="CS119"/>
      <c r="CT119"/>
      <c r="CU119"/>
    </row>
    <row r="120" spans="1:119" ht="15.5" x14ac:dyDescent="0.35">
      <c r="F120" s="65"/>
      <c r="G120" s="66"/>
      <c r="H120" s="66"/>
      <c r="I120" s="66"/>
      <c r="J120" s="66"/>
      <c r="N120" s="79"/>
      <c r="O120" s="79"/>
      <c r="P120" s="79"/>
      <c r="Q120" s="79"/>
      <c r="R120" s="79"/>
      <c r="S120" s="79"/>
      <c r="T120" s="79"/>
      <c r="U120" s="79"/>
      <c r="V120" s="79"/>
      <c r="W120" s="79"/>
      <c r="X120" s="79"/>
      <c r="Y120" s="79"/>
      <c r="Z120" s="79"/>
      <c r="AB120"/>
      <c r="AC120"/>
      <c r="BP120" s="20"/>
      <c r="BQ120" s="20"/>
      <c r="BR120" s="20"/>
      <c r="BS120" s="20"/>
      <c r="BT120" s="20"/>
      <c r="BU120" s="20"/>
      <c r="BV120" s="20"/>
      <c r="BW120" s="20"/>
      <c r="BX120" s="20"/>
      <c r="BY120"/>
      <c r="BZ120"/>
      <c r="CA120"/>
      <c r="CB120"/>
      <c r="CC120"/>
      <c r="CD120"/>
      <c r="CE120"/>
      <c r="CF120"/>
      <c r="CG120"/>
      <c r="CH120"/>
      <c r="CI120"/>
      <c r="CJ120"/>
      <c r="CK120"/>
      <c r="CL120"/>
      <c r="CM120"/>
      <c r="CN120"/>
      <c r="CO120"/>
      <c r="CP120"/>
      <c r="CQ120"/>
      <c r="CR120"/>
      <c r="CS120"/>
      <c r="CT120"/>
      <c r="CU120"/>
    </row>
    <row r="121" spans="1:119" ht="15.5" x14ac:dyDescent="0.35">
      <c r="F121" s="65"/>
      <c r="G121" s="66"/>
      <c r="H121" s="66"/>
      <c r="I121" s="66"/>
      <c r="J121" s="66"/>
      <c r="N121" s="79"/>
      <c r="O121" s="79"/>
      <c r="P121" s="79"/>
      <c r="Q121" s="79"/>
      <c r="R121" s="79"/>
      <c r="S121" s="79"/>
      <c r="T121" s="79"/>
      <c r="U121" s="79"/>
      <c r="V121" s="79"/>
      <c r="W121" s="79"/>
      <c r="X121" s="79"/>
      <c r="Y121" s="79"/>
      <c r="Z121" s="79"/>
      <c r="AB121"/>
      <c r="AC121"/>
      <c r="BP121" s="20"/>
      <c r="BQ121" s="20"/>
      <c r="BR121" s="20"/>
      <c r="BS121" s="20"/>
      <c r="BT121" s="20"/>
      <c r="BU121" s="20"/>
      <c r="BV121" s="20"/>
      <c r="BW121" s="20"/>
      <c r="BX121" s="20"/>
      <c r="BY121"/>
      <c r="BZ121"/>
      <c r="CA121"/>
      <c r="CB121"/>
      <c r="CC121"/>
      <c r="CD121"/>
      <c r="CE121"/>
      <c r="CF121"/>
      <c r="CG121"/>
      <c r="CH121"/>
      <c r="CI121"/>
      <c r="CJ121"/>
      <c r="CK121"/>
      <c r="CL121"/>
      <c r="CM121"/>
      <c r="CN121"/>
      <c r="CO121"/>
      <c r="CP121"/>
      <c r="CQ121"/>
      <c r="CR121"/>
      <c r="CS121"/>
      <c r="CT121"/>
      <c r="CU121"/>
    </row>
    <row r="122" spans="1:119" ht="15.5" x14ac:dyDescent="0.35">
      <c r="F122" s="65"/>
      <c r="G122" s="66"/>
      <c r="H122" s="66"/>
      <c r="I122" s="66"/>
      <c r="J122" s="66"/>
      <c r="N122" s="79"/>
      <c r="O122" s="79"/>
      <c r="P122" s="79"/>
      <c r="Q122" s="79"/>
      <c r="R122" s="79"/>
      <c r="S122" s="79"/>
      <c r="T122" s="79"/>
      <c r="U122" s="79"/>
      <c r="V122" s="79"/>
      <c r="W122" s="79"/>
      <c r="X122" s="79"/>
      <c r="Y122" s="79"/>
      <c r="Z122" s="79"/>
      <c r="AB122"/>
      <c r="AC122"/>
      <c r="BP122" s="20"/>
      <c r="BQ122" s="20"/>
      <c r="BR122" s="20"/>
      <c r="BS122" s="20"/>
      <c r="BT122" s="20"/>
      <c r="BU122" s="20"/>
      <c r="BV122" s="20"/>
      <c r="BW122" s="20"/>
      <c r="BX122" s="20"/>
      <c r="BY122"/>
      <c r="BZ122"/>
      <c r="CA122"/>
      <c r="CB122"/>
      <c r="CC122"/>
      <c r="CD122"/>
      <c r="CE122"/>
      <c r="CF122"/>
      <c r="CG122"/>
      <c r="CH122"/>
      <c r="CI122"/>
      <c r="CJ122"/>
      <c r="CK122"/>
    </row>
    <row r="123" spans="1:119" ht="15.5" x14ac:dyDescent="0.35">
      <c r="F123" s="65"/>
      <c r="G123" s="66"/>
      <c r="H123" s="66"/>
      <c r="I123" s="66"/>
      <c r="J123" s="66"/>
      <c r="N123" s="79"/>
      <c r="O123" s="79"/>
      <c r="P123" s="79"/>
      <c r="Q123" s="79"/>
      <c r="R123" s="79"/>
      <c r="S123" s="79"/>
      <c r="T123" s="79"/>
      <c r="U123" s="79"/>
      <c r="V123" s="79"/>
      <c r="W123" s="79"/>
      <c r="X123" s="79"/>
      <c r="Y123" s="79"/>
      <c r="Z123" s="79"/>
      <c r="AB123"/>
      <c r="AC123"/>
      <c r="BP123" s="20"/>
      <c r="BQ123" s="20"/>
      <c r="BR123" s="20"/>
      <c r="BS123" s="20"/>
      <c r="BT123" s="20"/>
      <c r="BU123" s="20"/>
      <c r="BV123" s="20"/>
      <c r="BW123" s="20"/>
      <c r="BX123" s="20"/>
      <c r="BY123"/>
      <c r="BZ123"/>
      <c r="CA123"/>
      <c r="CB123"/>
      <c r="CC123"/>
      <c r="CD123"/>
      <c r="CE123"/>
      <c r="CF123"/>
      <c r="CG123"/>
      <c r="CH123"/>
      <c r="CI123"/>
      <c r="CJ123"/>
      <c r="CK123"/>
    </row>
    <row r="124" spans="1:119" ht="15.5" x14ac:dyDescent="0.35">
      <c r="F124" s="65"/>
      <c r="G124" s="66"/>
      <c r="H124" s="66"/>
      <c r="I124" s="66"/>
      <c r="J124" s="66"/>
      <c r="N124" s="79"/>
      <c r="O124" s="79"/>
      <c r="P124" s="79"/>
      <c r="Q124" s="79"/>
      <c r="R124" s="79"/>
      <c r="S124" s="79"/>
      <c r="T124" s="79"/>
      <c r="U124" s="79"/>
      <c r="V124" s="79"/>
      <c r="W124" s="79"/>
      <c r="X124" s="79"/>
      <c r="Y124" s="79"/>
      <c r="Z124" s="79"/>
      <c r="AB124"/>
      <c r="AC124"/>
      <c r="BP124" s="20"/>
      <c r="BQ124" s="20"/>
      <c r="BR124" s="20"/>
      <c r="BS124" s="20"/>
      <c r="BT124" s="20"/>
      <c r="BU124" s="20"/>
      <c r="BV124" s="20"/>
      <c r="BW124" s="20"/>
      <c r="BX124" s="20"/>
      <c r="BY124"/>
      <c r="BZ124"/>
      <c r="CA124"/>
      <c r="CB124"/>
      <c r="CC124"/>
      <c r="CD124"/>
      <c r="CE124"/>
      <c r="CF124"/>
      <c r="CG124"/>
      <c r="CH124"/>
      <c r="CI124"/>
      <c r="CJ124"/>
      <c r="CK124"/>
    </row>
    <row r="125" spans="1:119" ht="15.5" x14ac:dyDescent="0.35">
      <c r="F125" s="65"/>
      <c r="G125" s="66"/>
      <c r="H125" s="66"/>
      <c r="I125" s="66"/>
      <c r="J125" s="66"/>
      <c r="N125" s="79"/>
      <c r="O125" s="79"/>
      <c r="P125" s="79"/>
      <c r="Q125" s="79"/>
      <c r="R125" s="79"/>
      <c r="S125" s="79"/>
      <c r="T125" s="79"/>
      <c r="U125" s="79"/>
      <c r="V125" s="79"/>
      <c r="W125" s="79"/>
      <c r="X125" s="79"/>
      <c r="Y125" s="79"/>
      <c r="Z125" s="79"/>
      <c r="AB125"/>
      <c r="AC125"/>
      <c r="BP125" s="20"/>
      <c r="BQ125" s="20"/>
      <c r="BR125" s="20"/>
      <c r="BS125" s="20"/>
      <c r="BT125" s="20"/>
      <c r="BU125" s="20"/>
      <c r="BV125" s="20"/>
      <c r="BW125" s="20"/>
      <c r="BX125" s="20"/>
      <c r="BY125"/>
      <c r="BZ125"/>
      <c r="CA125"/>
      <c r="CB125"/>
      <c r="CC125"/>
      <c r="CD125"/>
      <c r="CE125"/>
      <c r="CF125"/>
      <c r="CG125"/>
      <c r="CH125"/>
      <c r="CI125"/>
      <c r="CJ125"/>
      <c r="CK125"/>
    </row>
    <row r="126" spans="1:119" ht="15.5" x14ac:dyDescent="0.35">
      <c r="F126" s="65"/>
      <c r="G126" s="66"/>
      <c r="H126" s="66"/>
      <c r="I126" s="66"/>
      <c r="J126" s="66"/>
      <c r="N126" s="79"/>
      <c r="O126" s="79"/>
      <c r="P126" s="79"/>
      <c r="Q126" s="79"/>
      <c r="R126" s="79"/>
      <c r="S126" s="79"/>
      <c r="T126" s="79"/>
      <c r="U126" s="79"/>
      <c r="V126" s="79"/>
      <c r="W126" s="79"/>
      <c r="X126" s="79"/>
      <c r="Y126" s="79"/>
      <c r="Z126" s="79"/>
      <c r="AB126"/>
      <c r="AC126"/>
      <c r="BP126" s="20"/>
      <c r="BQ126" s="20"/>
      <c r="BR126" s="20"/>
      <c r="BS126" s="20"/>
      <c r="BT126" s="20"/>
      <c r="BU126" s="20"/>
      <c r="BV126" s="20"/>
      <c r="BW126" s="20"/>
      <c r="BX126" s="20"/>
      <c r="BY126"/>
      <c r="BZ126"/>
      <c r="CA126" s="20"/>
      <c r="CB126" s="20"/>
      <c r="CC126" s="20"/>
      <c r="CF126"/>
      <c r="CG126"/>
    </row>
    <row r="127" spans="1:119" ht="15.5" x14ac:dyDescent="0.35">
      <c r="F127" s="65"/>
      <c r="G127" s="66"/>
      <c r="H127" s="66"/>
      <c r="I127" s="66"/>
      <c r="J127" s="66"/>
      <c r="N127" s="79"/>
      <c r="O127" s="79"/>
      <c r="P127" s="79"/>
      <c r="Q127" s="79"/>
      <c r="R127" s="79"/>
      <c r="S127" s="79"/>
      <c r="T127" s="79"/>
      <c r="U127" s="79"/>
      <c r="V127" s="79"/>
      <c r="W127" s="79"/>
      <c r="X127" s="79"/>
      <c r="Y127" s="79"/>
      <c r="Z127" s="79"/>
      <c r="BP127" s="20"/>
      <c r="BQ127" s="20"/>
      <c r="BR127" s="20"/>
      <c r="BS127" s="20"/>
      <c r="BT127" s="20"/>
      <c r="BU127" s="20"/>
      <c r="BV127" s="20"/>
      <c r="BW127" s="20"/>
      <c r="BX127" s="20"/>
      <c r="BY127"/>
      <c r="BZ127"/>
      <c r="CA127" s="20"/>
      <c r="CB127" s="20"/>
      <c r="CC127" s="20"/>
      <c r="CF127"/>
      <c r="CG127"/>
    </row>
    <row r="128" spans="1:119" ht="15.5" x14ac:dyDescent="0.35">
      <c r="F128" s="65"/>
      <c r="G128" s="66"/>
      <c r="H128" s="66"/>
      <c r="N128" s="79"/>
      <c r="O128" s="79"/>
      <c r="P128" s="79"/>
      <c r="Q128" s="79"/>
      <c r="R128" s="79"/>
      <c r="S128" s="79"/>
      <c r="T128" s="79"/>
      <c r="U128" s="79"/>
      <c r="V128" s="79"/>
      <c r="W128" s="79"/>
      <c r="X128" s="79"/>
      <c r="Y128" s="79"/>
      <c r="Z128" s="79"/>
      <c r="BP128" s="20"/>
      <c r="BQ128" s="20"/>
      <c r="BR128" s="20"/>
      <c r="BS128" s="20"/>
      <c r="BT128" s="20"/>
      <c r="BU128" s="20"/>
      <c r="BV128" s="20"/>
      <c r="BW128" s="20"/>
      <c r="BX128" s="20"/>
      <c r="BY128"/>
      <c r="BZ128"/>
      <c r="CA128" s="20"/>
      <c r="CB128" s="20"/>
      <c r="CC128" s="20"/>
      <c r="CF128"/>
      <c r="CG128"/>
    </row>
    <row r="129" spans="6:100" ht="15.5" x14ac:dyDescent="0.35">
      <c r="F129" s="65"/>
      <c r="G129" s="66"/>
      <c r="H129" s="66"/>
      <c r="N129" s="79"/>
      <c r="O129" s="79"/>
      <c r="P129" s="79"/>
      <c r="Q129" s="79"/>
      <c r="R129" s="79"/>
      <c r="S129" s="79"/>
      <c r="T129" s="79"/>
      <c r="U129" s="79"/>
      <c r="V129" s="79"/>
      <c r="W129" s="79"/>
      <c r="X129" s="79"/>
      <c r="Y129" s="79"/>
      <c r="Z129" s="79"/>
      <c r="BP129" s="20"/>
      <c r="BQ129" s="20"/>
      <c r="BR129" s="20"/>
      <c r="BS129" s="20"/>
      <c r="BT129" s="20"/>
      <c r="BU129" s="20"/>
      <c r="BV129" s="20"/>
      <c r="BW129" s="20"/>
      <c r="BX129" s="20"/>
      <c r="BY129"/>
      <c r="BZ129"/>
      <c r="CA129" s="20"/>
      <c r="CB129" s="20"/>
      <c r="CC129" s="20"/>
      <c r="CF129"/>
      <c r="CG129"/>
    </row>
    <row r="130" spans="6:100" ht="15.5" x14ac:dyDescent="0.35">
      <c r="F130" s="65"/>
      <c r="G130" s="66"/>
      <c r="H130" s="66"/>
      <c r="N130" s="79"/>
      <c r="O130" s="79"/>
      <c r="P130" s="79"/>
      <c r="Q130" s="79"/>
      <c r="R130" s="79"/>
      <c r="S130" s="79"/>
      <c r="T130" s="79"/>
      <c r="U130" s="79"/>
      <c r="V130" s="79"/>
      <c r="W130" s="79"/>
      <c r="X130" s="79"/>
      <c r="Y130" s="79"/>
      <c r="Z130" s="79"/>
      <c r="AA130" s="20"/>
      <c r="AB130" s="20"/>
      <c r="AC130" s="20"/>
      <c r="AD130" s="20"/>
      <c r="AE130" s="20"/>
      <c r="AF130" s="20"/>
      <c r="AG130" s="20"/>
      <c r="AH130" s="20"/>
      <c r="AI130" s="20"/>
      <c r="AJ130" s="20"/>
      <c r="AK130" s="20"/>
      <c r="AL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c r="BZ130"/>
      <c r="CA130" s="20"/>
      <c r="CB130" s="20"/>
      <c r="CC130" s="20"/>
      <c r="CF130"/>
      <c r="CG130"/>
    </row>
    <row r="131" spans="6:100" ht="15.5" x14ac:dyDescent="0.35">
      <c r="F131" s="65"/>
      <c r="G131" s="66"/>
      <c r="H131" s="66"/>
      <c r="N131" s="79"/>
      <c r="O131" s="79"/>
      <c r="P131" s="79"/>
      <c r="Q131" s="79"/>
      <c r="R131" s="79"/>
      <c r="S131" s="79"/>
      <c r="T131" s="79"/>
      <c r="U131" s="79"/>
      <c r="V131" s="79"/>
      <c r="W131" s="79"/>
      <c r="X131" s="79"/>
      <c r="Y131" s="79"/>
      <c r="Z131" s="79"/>
      <c r="AA131" s="79"/>
      <c r="AB131" s="20"/>
      <c r="AC131" s="20"/>
      <c r="AD131" s="20"/>
      <c r="AE131" s="20"/>
      <c r="AF131" s="20"/>
      <c r="AG131" s="20"/>
      <c r="BF131" s="235"/>
      <c r="BG131" s="85"/>
      <c r="BH131" s="85"/>
      <c r="BI131" s="85"/>
      <c r="BJ131" s="85"/>
      <c r="BK131" s="85"/>
      <c r="BN131" s="68"/>
      <c r="BO131" s="87"/>
      <c r="BP131" s="20"/>
      <c r="BQ131" s="20"/>
      <c r="BR131" s="20"/>
      <c r="BS131" s="20"/>
      <c r="BT131" s="20"/>
      <c r="BU131" s="20"/>
      <c r="BV131" s="20"/>
      <c r="BW131" s="20"/>
      <c r="BX131" s="20"/>
      <c r="BY131"/>
      <c r="BZ131"/>
      <c r="CA131" s="20"/>
      <c r="CB131" s="20"/>
      <c r="CC131" s="20"/>
      <c r="CF131"/>
      <c r="CG131"/>
    </row>
    <row r="132" spans="6:100" ht="15.5" x14ac:dyDescent="0.35">
      <c r="F132" s="65"/>
      <c r="G132" s="66"/>
      <c r="H132" s="66"/>
      <c r="N132" s="79"/>
      <c r="O132" s="79"/>
      <c r="P132" s="79"/>
      <c r="Q132" s="79"/>
      <c r="R132" s="79"/>
      <c r="S132" s="79"/>
      <c r="T132" s="79"/>
      <c r="U132" s="79"/>
      <c r="V132" s="79"/>
      <c r="W132" s="79"/>
      <c r="X132" s="79"/>
      <c r="Y132" s="79"/>
      <c r="Z132" s="79"/>
      <c r="AA132" s="79"/>
      <c r="AB132" s="20"/>
      <c r="AC132" s="20"/>
      <c r="AD132" s="235"/>
      <c r="AE132" s="235"/>
      <c r="AF132" s="235"/>
      <c r="AG132" s="20"/>
      <c r="AH132" s="20"/>
      <c r="AI132" s="20"/>
      <c r="AJ132" s="235"/>
      <c r="AK132" s="235"/>
      <c r="AL132" s="235"/>
      <c r="AM132" s="236" t="s">
        <v>188</v>
      </c>
      <c r="AN132" s="236"/>
      <c r="AO132" s="236"/>
      <c r="AP132" s="236"/>
      <c r="AQ132" s="236"/>
      <c r="AR132" s="236"/>
      <c r="AS132" s="236"/>
      <c r="AT132" s="236"/>
      <c r="AU132" s="236"/>
      <c r="AV132" s="236"/>
      <c r="AW132" s="236"/>
      <c r="AX132" s="236"/>
      <c r="AY132" s="236"/>
      <c r="AZ132" s="236"/>
      <c r="BA132" s="236"/>
      <c r="BB132" s="235"/>
      <c r="BC132" s="235"/>
      <c r="BD132" s="235"/>
      <c r="BE132" s="235"/>
      <c r="BF132" s="235"/>
      <c r="BG132" s="85"/>
      <c r="BH132" s="85"/>
      <c r="BI132" s="85"/>
      <c r="BJ132" s="85"/>
      <c r="BK132" s="85"/>
      <c r="BN132" s="68"/>
      <c r="BO132" s="87"/>
      <c r="BP132" s="20"/>
      <c r="BQ132" s="20"/>
      <c r="BR132" s="20"/>
      <c r="BS132" s="20"/>
      <c r="BT132" s="20"/>
      <c r="BU132" s="20"/>
      <c r="BV132" s="20"/>
      <c r="BW132" s="20"/>
      <c r="BX132" s="20"/>
      <c r="BY132"/>
      <c r="BZ132"/>
      <c r="CA132" s="20"/>
      <c r="CB132" s="20"/>
      <c r="CC132" s="20"/>
      <c r="CF132"/>
      <c r="CG132"/>
    </row>
    <row r="133" spans="6:100" ht="15.5" x14ac:dyDescent="0.35">
      <c r="F133" s="65"/>
      <c r="G133" s="66"/>
      <c r="H133" s="66"/>
      <c r="N133" s="79"/>
      <c r="O133" s="79"/>
      <c r="P133" s="79"/>
      <c r="Q133" s="79"/>
      <c r="R133" s="79"/>
      <c r="S133" s="79"/>
      <c r="T133" s="79"/>
      <c r="U133" s="79"/>
      <c r="V133" s="79"/>
      <c r="W133" s="79"/>
      <c r="X133" s="79"/>
      <c r="Y133" s="79"/>
      <c r="Z133" s="79"/>
      <c r="AA133" s="79"/>
      <c r="AB133" s="20"/>
      <c r="AC133" s="20"/>
      <c r="AD133" s="235"/>
      <c r="AE133" s="235"/>
      <c r="AF133" s="235"/>
      <c r="AG133" s="235"/>
      <c r="AH133" s="20"/>
      <c r="AI133" s="20"/>
      <c r="AJ133" s="235"/>
      <c r="AK133" s="235"/>
      <c r="AL133" s="235"/>
      <c r="AM133" s="236" t="s">
        <v>189</v>
      </c>
      <c r="AN133" s="236"/>
      <c r="AO133" s="236"/>
      <c r="AP133" s="236">
        <v>1</v>
      </c>
      <c r="AQ133" s="236">
        <v>2</v>
      </c>
      <c r="AR133" s="236">
        <v>3</v>
      </c>
      <c r="AS133" s="236">
        <v>4</v>
      </c>
      <c r="AT133" s="236">
        <v>5</v>
      </c>
      <c r="AU133" s="236">
        <v>6</v>
      </c>
      <c r="AV133" s="236">
        <v>7</v>
      </c>
      <c r="AW133" s="236">
        <v>8</v>
      </c>
      <c r="AX133" s="236">
        <v>9</v>
      </c>
      <c r="AY133" s="236">
        <v>10</v>
      </c>
      <c r="AZ133" s="236">
        <v>11</v>
      </c>
      <c r="BA133" s="236">
        <v>12</v>
      </c>
      <c r="BB133" s="235"/>
      <c r="BC133" s="235"/>
      <c r="BD133" s="235"/>
      <c r="BE133" s="235"/>
      <c r="BF133" s="235"/>
      <c r="BG133" s="85"/>
      <c r="BH133" s="85"/>
      <c r="BI133" s="85"/>
      <c r="BJ133" s="85"/>
      <c r="BK133" s="85"/>
      <c r="BN133" s="68"/>
      <c r="BO133" s="87"/>
      <c r="BP133" s="20"/>
      <c r="BQ133" s="20"/>
      <c r="BR133" s="20"/>
      <c r="BS133" s="20"/>
      <c r="BT133" s="20"/>
      <c r="BU133" s="20"/>
      <c r="BV133" s="20"/>
      <c r="BW133" s="20"/>
      <c r="BX133" s="20"/>
      <c r="BY133"/>
      <c r="BZ133"/>
      <c r="CA133" s="20"/>
      <c r="CB133" s="20"/>
      <c r="CC133" s="20"/>
      <c r="CF133"/>
      <c r="CG133"/>
    </row>
    <row r="134" spans="6:100" ht="15.5" x14ac:dyDescent="0.35">
      <c r="F134" s="65"/>
      <c r="G134" s="66"/>
      <c r="H134" s="66"/>
      <c r="N134" s="79"/>
      <c r="O134" s="79"/>
      <c r="P134" s="79"/>
      <c r="Q134" s="79"/>
      <c r="R134" s="79"/>
      <c r="S134" s="79"/>
      <c r="T134" s="79"/>
      <c r="U134" s="79"/>
      <c r="V134" s="79"/>
      <c r="W134" s="79"/>
      <c r="X134" s="79"/>
      <c r="Y134" s="79"/>
      <c r="Z134" s="79"/>
      <c r="AA134" s="79"/>
      <c r="AB134" s="20"/>
      <c r="AC134" s="20"/>
      <c r="AD134" s="235"/>
      <c r="AE134" s="235"/>
      <c r="AF134" s="235"/>
      <c r="AG134" s="235"/>
      <c r="AH134" s="235"/>
      <c r="AI134" s="235"/>
      <c r="AJ134" s="235"/>
      <c r="AK134" s="235"/>
      <c r="AL134" s="235"/>
      <c r="AM134" s="236" t="s">
        <v>82</v>
      </c>
      <c r="AN134" s="236"/>
      <c r="AO134" s="236"/>
      <c r="AP134" s="237">
        <f t="shared" ref="AP134:BA134" si="5">$J$32</f>
        <v>2023</v>
      </c>
      <c r="AQ134" s="237">
        <f t="shared" si="5"/>
        <v>2023</v>
      </c>
      <c r="AR134" s="237">
        <f t="shared" si="5"/>
        <v>2023</v>
      </c>
      <c r="AS134" s="237">
        <f t="shared" si="5"/>
        <v>2023</v>
      </c>
      <c r="AT134" s="237">
        <f t="shared" si="5"/>
        <v>2023</v>
      </c>
      <c r="AU134" s="237">
        <f t="shared" si="5"/>
        <v>2023</v>
      </c>
      <c r="AV134" s="237">
        <f t="shared" si="5"/>
        <v>2023</v>
      </c>
      <c r="AW134" s="237">
        <f t="shared" si="5"/>
        <v>2023</v>
      </c>
      <c r="AX134" s="237">
        <f t="shared" si="5"/>
        <v>2023</v>
      </c>
      <c r="AY134" s="237">
        <f t="shared" si="5"/>
        <v>2023</v>
      </c>
      <c r="AZ134" s="237">
        <f t="shared" si="5"/>
        <v>2023</v>
      </c>
      <c r="BA134" s="237">
        <f t="shared" si="5"/>
        <v>2023</v>
      </c>
      <c r="BB134" s="235"/>
      <c r="BC134" s="235"/>
      <c r="BD134" s="235"/>
      <c r="BE134" s="235"/>
      <c r="BF134" s="235"/>
      <c r="BG134" s="85"/>
      <c r="BH134" s="85"/>
      <c r="BI134" s="85"/>
      <c r="BJ134" s="85"/>
      <c r="BK134" s="85"/>
      <c r="BN134" s="68"/>
      <c r="BO134" s="87"/>
      <c r="BP134" s="20"/>
      <c r="BQ134" s="20"/>
      <c r="BR134" s="20"/>
      <c r="BS134" s="20"/>
      <c r="BT134" s="20"/>
      <c r="BU134" s="20"/>
      <c r="BV134" s="20"/>
      <c r="BW134" s="20"/>
      <c r="BX134" s="20"/>
      <c r="BY134"/>
      <c r="BZ134"/>
      <c r="CA134" s="20"/>
      <c r="CB134" s="20"/>
      <c r="CC134" s="20"/>
      <c r="CF134"/>
      <c r="CG134"/>
    </row>
    <row r="135" spans="6:100" ht="15.5" x14ac:dyDescent="0.35">
      <c r="F135" s="65"/>
      <c r="G135" s="66"/>
      <c r="H135" s="66"/>
      <c r="N135" s="79"/>
      <c r="O135" s="79"/>
      <c r="P135" s="79"/>
      <c r="Q135" s="79"/>
      <c r="R135" s="79"/>
      <c r="S135" s="79"/>
      <c r="T135" s="79"/>
      <c r="U135" s="79"/>
      <c r="V135" s="79"/>
      <c r="W135" s="79"/>
      <c r="X135" s="79"/>
      <c r="Y135" s="79"/>
      <c r="Z135" s="79"/>
      <c r="AA135" s="79"/>
      <c r="AB135" s="20"/>
      <c r="AC135" s="20"/>
      <c r="AD135" s="235"/>
      <c r="AE135" s="235"/>
      <c r="AF135" s="235"/>
      <c r="AG135" s="235"/>
      <c r="AH135" s="235"/>
      <c r="AI135" s="235"/>
      <c r="AJ135" s="235"/>
      <c r="AK135" s="235"/>
      <c r="AL135" s="235"/>
      <c r="AM135" s="236" t="s">
        <v>190</v>
      </c>
      <c r="AN135" s="236"/>
      <c r="AO135" s="236"/>
      <c r="AP135" s="238">
        <f t="shared" ref="AP135:BA135" si="6">DATE(AP134,AP133,15)</f>
        <v>44941</v>
      </c>
      <c r="AQ135" s="238">
        <f t="shared" si="6"/>
        <v>44972</v>
      </c>
      <c r="AR135" s="238">
        <f t="shared" si="6"/>
        <v>45000</v>
      </c>
      <c r="AS135" s="238">
        <f t="shared" si="6"/>
        <v>45031</v>
      </c>
      <c r="AT135" s="238">
        <f t="shared" si="6"/>
        <v>45061</v>
      </c>
      <c r="AU135" s="238">
        <f t="shared" si="6"/>
        <v>45092</v>
      </c>
      <c r="AV135" s="238">
        <f t="shared" si="6"/>
        <v>45122</v>
      </c>
      <c r="AW135" s="238">
        <f t="shared" si="6"/>
        <v>45153</v>
      </c>
      <c r="AX135" s="238">
        <f t="shared" si="6"/>
        <v>45184</v>
      </c>
      <c r="AY135" s="238">
        <f t="shared" si="6"/>
        <v>45214</v>
      </c>
      <c r="AZ135" s="238">
        <f t="shared" si="6"/>
        <v>45245</v>
      </c>
      <c r="BA135" s="238">
        <f t="shared" si="6"/>
        <v>45275</v>
      </c>
      <c r="BB135" s="235"/>
      <c r="BC135" s="235"/>
      <c r="BD135" s="235"/>
      <c r="BE135" s="235"/>
      <c r="BF135" s="235"/>
      <c r="BG135" s="85"/>
      <c r="BH135" s="85"/>
      <c r="BI135" s="85"/>
      <c r="BJ135" s="85"/>
      <c r="BK135" s="85"/>
      <c r="BN135" s="68"/>
      <c r="BO135" s="87"/>
      <c r="BP135" s="20"/>
      <c r="BQ135" s="20"/>
      <c r="BR135" s="20"/>
      <c r="BS135" s="20"/>
      <c r="BT135" s="20"/>
      <c r="BU135" s="20"/>
      <c r="BV135" s="20"/>
      <c r="BW135" s="20"/>
      <c r="BX135" s="20"/>
      <c r="BY135"/>
      <c r="BZ135"/>
      <c r="CA135" s="20"/>
      <c r="CB135" s="20"/>
      <c r="CC135" s="20"/>
      <c r="CF135"/>
      <c r="CG135"/>
    </row>
    <row r="136" spans="6:100" ht="15.5" x14ac:dyDescent="0.35">
      <c r="F136" s="65"/>
      <c r="G136" s="66"/>
      <c r="H136" s="66"/>
      <c r="N136" s="79"/>
      <c r="O136" s="79"/>
      <c r="P136" s="79"/>
      <c r="Q136" s="79"/>
      <c r="R136" s="79"/>
      <c r="S136" s="79"/>
      <c r="T136" s="79"/>
      <c r="U136" s="79"/>
      <c r="V136" s="79"/>
      <c r="W136" s="79"/>
      <c r="X136" s="79"/>
      <c r="Y136" s="79"/>
      <c r="Z136" s="79"/>
      <c r="AA136" s="79"/>
      <c r="AB136" s="20"/>
      <c r="AC136" s="20"/>
      <c r="AD136" s="235"/>
      <c r="AE136" s="235"/>
      <c r="AF136" s="235"/>
      <c r="AG136" s="235"/>
      <c r="AH136" s="235"/>
      <c r="AI136" s="235"/>
      <c r="AJ136" s="235"/>
      <c r="AK136" s="235"/>
      <c r="AL136" s="235"/>
      <c r="AM136" s="236" t="s">
        <v>191</v>
      </c>
      <c r="AN136" s="238">
        <f>DATE(J32,J31,15)</f>
        <v>45184</v>
      </c>
      <c r="AO136" s="236"/>
      <c r="AP136" s="236"/>
      <c r="AQ136" s="236"/>
      <c r="AR136" s="236"/>
      <c r="AS136" s="236"/>
      <c r="AT136" s="236"/>
      <c r="AU136" s="236"/>
      <c r="AV136" s="236"/>
      <c r="AW136" s="236"/>
      <c r="AX136" s="236"/>
      <c r="AY136" s="236"/>
      <c r="AZ136" s="236"/>
      <c r="BA136" s="236"/>
      <c r="BB136" s="235"/>
      <c r="BC136" s="235"/>
      <c r="BD136" s="235"/>
      <c r="BE136" s="235"/>
      <c r="BF136" s="235"/>
      <c r="BG136" s="85"/>
      <c r="BH136" s="85"/>
      <c r="BI136" s="85"/>
      <c r="BJ136" s="85"/>
      <c r="BK136" s="85"/>
      <c r="BN136" s="68"/>
      <c r="BO136" s="87"/>
      <c r="BP136" s="20"/>
      <c r="BQ136" s="20"/>
      <c r="BR136" s="20"/>
      <c r="BS136" s="20"/>
      <c r="BT136" s="20"/>
      <c r="BU136" s="20"/>
      <c r="BV136" s="20"/>
      <c r="BW136" s="20"/>
      <c r="BX136" s="20"/>
      <c r="BY136"/>
      <c r="BZ136"/>
      <c r="CA136" s="20"/>
      <c r="CB136" s="20"/>
      <c r="CC136" s="20"/>
      <c r="CF136"/>
      <c r="CG136"/>
      <c r="CI136"/>
      <c r="CJ136"/>
      <c r="CK136"/>
      <c r="CL136"/>
      <c r="CM136"/>
      <c r="CN136"/>
      <c r="CO136"/>
      <c r="CP136"/>
      <c r="CQ136"/>
      <c r="CR136"/>
      <c r="CS136"/>
      <c r="CT136"/>
      <c r="CU136"/>
      <c r="CV136"/>
    </row>
    <row r="137" spans="6:100" ht="15.5" x14ac:dyDescent="0.35">
      <c r="F137" s="65"/>
      <c r="G137" s="66"/>
      <c r="H137" s="66"/>
      <c r="N137" s="79"/>
      <c r="O137" s="79"/>
      <c r="P137" s="79"/>
      <c r="Q137" s="79"/>
      <c r="R137" s="79"/>
      <c r="S137" s="79"/>
      <c r="T137" s="79"/>
      <c r="U137" s="79"/>
      <c r="V137" s="79"/>
      <c r="W137" s="79"/>
      <c r="X137" s="79"/>
      <c r="Y137" s="79"/>
      <c r="Z137" s="79"/>
      <c r="AA137" s="79"/>
      <c r="AB137" s="20"/>
      <c r="AC137" s="20"/>
      <c r="AD137" s="235"/>
      <c r="AE137" s="235"/>
      <c r="AF137" s="235"/>
      <c r="AG137" s="235"/>
      <c r="AH137" s="235"/>
      <c r="AI137" s="235"/>
      <c r="AJ137" s="235"/>
      <c r="AK137" s="235"/>
      <c r="AL137" s="235"/>
      <c r="AM137" s="236" t="s">
        <v>192</v>
      </c>
      <c r="AN137" s="236"/>
      <c r="AO137" s="236"/>
      <c r="AP137" s="239">
        <v>0</v>
      </c>
      <c r="AQ137" s="239">
        <v>0.4</v>
      </c>
      <c r="AR137" s="239">
        <v>1.5</v>
      </c>
      <c r="AS137" s="239">
        <v>3</v>
      </c>
      <c r="AT137" s="239">
        <v>4.5</v>
      </c>
      <c r="AU137" s="239">
        <v>5.6</v>
      </c>
      <c r="AV137" s="239">
        <v>6</v>
      </c>
      <c r="AW137" s="239">
        <v>5.6</v>
      </c>
      <c r="AX137" s="239">
        <v>4.5</v>
      </c>
      <c r="AY137" s="239">
        <v>3</v>
      </c>
      <c r="AZ137" s="239">
        <v>1.5</v>
      </c>
      <c r="BA137" s="239">
        <v>0.4</v>
      </c>
      <c r="BB137" s="235"/>
      <c r="BC137" s="235"/>
      <c r="BD137" s="235"/>
      <c r="BE137" s="235"/>
      <c r="BF137" s="235"/>
      <c r="BG137" s="85"/>
      <c r="BH137" s="85"/>
      <c r="BI137" s="85"/>
      <c r="BJ137" s="85"/>
      <c r="BK137" s="85"/>
      <c r="BN137" s="68"/>
      <c r="BO137" s="87"/>
      <c r="BP137" s="20"/>
      <c r="BQ137" s="20"/>
      <c r="BR137" s="20"/>
      <c r="BS137" s="20"/>
      <c r="BT137" s="20"/>
      <c r="BU137" s="20"/>
      <c r="BV137" s="20"/>
      <c r="BW137" s="20"/>
      <c r="BX137" s="20"/>
      <c r="BY137"/>
      <c r="BZ137"/>
      <c r="CA137" s="20"/>
      <c r="CB137" s="20"/>
      <c r="CC137" s="20"/>
      <c r="CF137"/>
      <c r="CG137"/>
      <c r="CI137"/>
      <c r="CJ137"/>
      <c r="CL137"/>
      <c r="CM137"/>
      <c r="CN137"/>
      <c r="CO137"/>
      <c r="CP137"/>
      <c r="CQ137"/>
      <c r="CR137"/>
      <c r="CS137"/>
      <c r="CT137"/>
      <c r="CU137"/>
      <c r="CV137"/>
    </row>
    <row r="138" spans="6:100" ht="15.5" x14ac:dyDescent="0.35">
      <c r="F138" s="65"/>
      <c r="G138" s="66"/>
      <c r="H138" s="66"/>
      <c r="N138" s="79"/>
      <c r="O138" s="79"/>
      <c r="P138" s="79"/>
      <c r="Q138" s="79"/>
      <c r="R138" s="79"/>
      <c r="S138" s="79"/>
      <c r="T138" s="79"/>
      <c r="U138" s="79"/>
      <c r="V138" s="79"/>
      <c r="W138" s="79"/>
      <c r="X138" s="79"/>
      <c r="Y138" s="79"/>
      <c r="Z138" s="79"/>
      <c r="AA138" s="79"/>
      <c r="AB138" s="234"/>
      <c r="AC138" s="235"/>
      <c r="AD138" s="235"/>
      <c r="AE138" s="235"/>
      <c r="AF138" s="235"/>
      <c r="AG138" s="235"/>
      <c r="AH138" s="235"/>
      <c r="AI138" s="235"/>
      <c r="AJ138" s="235"/>
      <c r="AK138" s="235"/>
      <c r="AL138" s="235"/>
      <c r="BB138" s="235"/>
      <c r="BC138" s="235"/>
      <c r="BD138" s="235"/>
      <c r="BE138" s="235"/>
      <c r="BF138" s="235"/>
      <c r="BG138" s="85"/>
      <c r="BH138" s="85"/>
      <c r="BI138" s="85"/>
      <c r="BJ138" s="85"/>
      <c r="BK138" s="85"/>
      <c r="BN138" s="68"/>
      <c r="BO138" s="87"/>
      <c r="BP138" s="20"/>
      <c r="BQ138" s="20"/>
      <c r="BR138" s="20"/>
      <c r="BS138" s="20"/>
      <c r="BT138" s="20"/>
      <c r="BU138" s="20"/>
      <c r="BV138" s="20"/>
      <c r="BW138" s="20"/>
      <c r="BX138" s="20"/>
      <c r="BY138"/>
      <c r="BZ138"/>
      <c r="CA138" s="20"/>
      <c r="CB138" s="20"/>
      <c r="CC138" s="20"/>
      <c r="CF138"/>
      <c r="CJ138"/>
      <c r="CK138"/>
      <c r="CL138"/>
      <c r="CM138"/>
      <c r="CN138"/>
      <c r="CO138"/>
      <c r="CP138"/>
      <c r="CQ138"/>
      <c r="CR138"/>
      <c r="CS138"/>
      <c r="CT138"/>
      <c r="CU138"/>
      <c r="CV138"/>
    </row>
    <row r="139" spans="6:100" ht="15.5" x14ac:dyDescent="0.35">
      <c r="F139" s="65"/>
      <c r="G139" s="66"/>
      <c r="H139" s="66"/>
      <c r="N139" s="79"/>
      <c r="O139" s="79"/>
      <c r="P139" s="79"/>
      <c r="Q139" s="79"/>
      <c r="R139" s="79"/>
      <c r="S139" s="79"/>
      <c r="T139" s="79"/>
      <c r="U139" s="79"/>
      <c r="V139" s="79"/>
      <c r="W139" s="79"/>
      <c r="X139" s="79"/>
      <c r="Y139" s="79"/>
      <c r="Z139" s="79"/>
      <c r="AA139" s="79"/>
      <c r="AB139" s="234"/>
      <c r="AC139" s="235"/>
      <c r="AD139" s="235"/>
      <c r="AE139" s="235"/>
      <c r="AF139" s="235"/>
      <c r="AG139" s="235"/>
      <c r="AH139" s="240"/>
      <c r="AI139" s="240"/>
      <c r="AJ139" s="240"/>
      <c r="AK139" s="240"/>
      <c r="AL139" s="240"/>
      <c r="AM139" s="240" t="s">
        <v>193</v>
      </c>
      <c r="AN139" s="240"/>
      <c r="AO139" s="240"/>
      <c r="AP139" s="241" t="str">
        <f t="shared" ref="AP139:AW139" si="7">IF($AN$136=AP135,$F$44*100,"")</f>
        <v/>
      </c>
      <c r="AQ139" s="241" t="str">
        <f t="shared" si="7"/>
        <v/>
      </c>
      <c r="AR139" s="241" t="str">
        <f t="shared" si="7"/>
        <v/>
      </c>
      <c r="AS139" s="241" t="str">
        <f t="shared" si="7"/>
        <v/>
      </c>
      <c r="AT139" s="241" t="str">
        <f t="shared" si="7"/>
        <v/>
      </c>
      <c r="AU139" s="241" t="str">
        <f t="shared" si="7"/>
        <v/>
      </c>
      <c r="AV139" s="241" t="str">
        <f t="shared" si="7"/>
        <v/>
      </c>
      <c r="AW139" s="241" t="str">
        <f t="shared" si="7"/>
        <v/>
      </c>
      <c r="AX139" s="241">
        <f>IF($AN$136=AX135,$H$44*100,"")</f>
        <v>3.1</v>
      </c>
      <c r="AY139" s="241" t="str">
        <f>IF($AN$136=AY135,$F$44*100,"")</f>
        <v/>
      </c>
      <c r="AZ139" s="241" t="str">
        <f>IF($AN$136=AZ135,$F$44*100,"")</f>
        <v/>
      </c>
      <c r="BA139" s="241" t="str">
        <f>IF($AN$136=BA135,$F$44*100,"")</f>
        <v/>
      </c>
      <c r="BB139" s="235"/>
      <c r="BE139" s="235"/>
      <c r="BF139" s="235"/>
      <c r="BG139" s="85"/>
      <c r="BH139" s="85"/>
      <c r="BI139" s="85"/>
      <c r="BJ139" s="85"/>
      <c r="BK139" s="85"/>
      <c r="BN139" s="68"/>
      <c r="BO139" s="87"/>
      <c r="BP139" s="20"/>
      <c r="BQ139" s="20"/>
      <c r="BR139" s="20"/>
      <c r="BS139" s="20"/>
      <c r="BT139" s="20"/>
      <c r="BU139" s="20"/>
      <c r="BV139" s="20"/>
      <c r="BW139" s="20"/>
      <c r="BX139" s="20"/>
      <c r="BY139"/>
      <c r="BZ139"/>
      <c r="CA139" s="20"/>
      <c r="CB139" s="20"/>
      <c r="CC139" s="20"/>
      <c r="CF139"/>
      <c r="CG139"/>
      <c r="CJ139"/>
      <c r="CK139"/>
      <c r="CL139"/>
      <c r="CM139"/>
      <c r="CN139"/>
      <c r="CO139"/>
      <c r="CP139"/>
      <c r="CQ139"/>
      <c r="CR139"/>
      <c r="CS139"/>
      <c r="CT139"/>
      <c r="CU139"/>
      <c r="CV139"/>
    </row>
    <row r="140" spans="6:100" ht="15.5" x14ac:dyDescent="0.35">
      <c r="F140" s="65"/>
      <c r="G140" s="66"/>
      <c r="H140" s="66"/>
      <c r="N140" s="79"/>
      <c r="O140" s="79"/>
      <c r="P140" s="79"/>
      <c r="Q140" s="79"/>
      <c r="R140" s="79"/>
      <c r="S140" s="79"/>
      <c r="T140" s="79"/>
      <c r="U140" s="79"/>
      <c r="V140" s="79"/>
      <c r="W140" s="79"/>
      <c r="X140" s="79"/>
      <c r="Y140" s="79"/>
      <c r="Z140" s="79"/>
      <c r="AA140" s="79"/>
      <c r="AB140" s="234"/>
      <c r="AC140" s="235"/>
      <c r="AD140" s="235"/>
      <c r="AE140" s="235"/>
      <c r="AF140" s="235"/>
      <c r="AG140" s="235"/>
      <c r="AH140" s="240"/>
      <c r="AI140" s="240"/>
      <c r="AJ140" s="240"/>
      <c r="AK140" s="240"/>
      <c r="AL140" s="240"/>
      <c r="AM140" s="240" t="s">
        <v>194</v>
      </c>
      <c r="AN140" s="240"/>
      <c r="AO140" s="240"/>
      <c r="AP140" s="241" t="str">
        <f t="shared" ref="AP140:AW140" si="8">IF(LEN(AP139)=0,"",($F$44*100)+ $J$34-($J$34*AP137/3))</f>
        <v/>
      </c>
      <c r="AQ140" s="241" t="str">
        <f t="shared" si="8"/>
        <v/>
      </c>
      <c r="AR140" s="241" t="str">
        <f t="shared" si="8"/>
        <v/>
      </c>
      <c r="AS140" s="241" t="str">
        <f t="shared" si="8"/>
        <v/>
      </c>
      <c r="AT140" s="241" t="str">
        <f t="shared" si="8"/>
        <v/>
      </c>
      <c r="AU140" s="241" t="str">
        <f t="shared" si="8"/>
        <v/>
      </c>
      <c r="AV140" s="241" t="str">
        <f t="shared" si="8"/>
        <v/>
      </c>
      <c r="AW140" s="241" t="str">
        <f t="shared" si="8"/>
        <v/>
      </c>
      <c r="AX140" s="241">
        <f>IF(LEN(AX139)=0,"",($H$44*100)+ $J$34-($J$34*AX137/3))</f>
        <v>2.5999999999999996</v>
      </c>
      <c r="AY140" s="241" t="str">
        <f>IF(LEN(AY139)=0,"",($F$44*100)+ $J$34-($J$34*AY137/3))</f>
        <v/>
      </c>
      <c r="AZ140" s="241" t="str">
        <f>IF(LEN(AZ139)=0,"",($F$44*100)+ $J$34-($J$34*AZ137/3))</f>
        <v/>
      </c>
      <c r="BA140" s="241" t="str">
        <f>IF(LEN(BA139)=0,"",($F$44*100)+ $J$34-($J$34*BA137/3))</f>
        <v/>
      </c>
      <c r="BB140" s="235"/>
      <c r="BC140" s="235" t="s">
        <v>103</v>
      </c>
      <c r="BD140" s="242">
        <f>AVERAGE(AP140:BA140)</f>
        <v>2.5999999999999996</v>
      </c>
      <c r="BE140" s="235"/>
      <c r="BF140" s="235"/>
      <c r="BG140" s="85"/>
      <c r="BH140" s="85"/>
      <c r="BI140" s="85"/>
      <c r="BJ140" s="85"/>
      <c r="BK140" s="85"/>
      <c r="BN140" s="68"/>
      <c r="BO140" s="87"/>
      <c r="BP140" s="20"/>
      <c r="BQ140" s="20"/>
      <c r="BR140" s="20"/>
      <c r="BS140" s="20"/>
      <c r="BT140" s="20"/>
      <c r="BU140" s="20"/>
      <c r="BV140" s="20"/>
      <c r="BW140" s="20"/>
      <c r="BX140" s="20"/>
      <c r="BY140"/>
      <c r="BZ140"/>
      <c r="CA140" s="20"/>
      <c r="CB140" s="20"/>
      <c r="CC140" s="20"/>
      <c r="CF140"/>
      <c r="CG140"/>
      <c r="CJ140"/>
      <c r="CK140"/>
      <c r="CL140"/>
      <c r="CM140"/>
      <c r="CN140"/>
      <c r="CO140"/>
      <c r="CP140"/>
      <c r="CQ140"/>
      <c r="CR140"/>
      <c r="CS140"/>
      <c r="CT140"/>
      <c r="CU140"/>
      <c r="CV140"/>
    </row>
    <row r="141" spans="6:100" ht="15.5" x14ac:dyDescent="0.35">
      <c r="F141" s="65"/>
      <c r="G141" s="66"/>
      <c r="H141" s="66"/>
      <c r="N141" s="79"/>
      <c r="O141" s="79"/>
      <c r="P141" s="79"/>
      <c r="Q141" s="79"/>
      <c r="R141" s="79"/>
      <c r="S141" s="79"/>
      <c r="T141" s="79"/>
      <c r="U141" s="79"/>
      <c r="V141" s="79"/>
      <c r="W141" s="79"/>
      <c r="X141" s="79"/>
      <c r="Y141" s="79"/>
      <c r="Z141" s="79"/>
      <c r="AA141" s="79"/>
      <c r="AB141" s="10"/>
      <c r="AC141" s="85"/>
      <c r="AD141" s="85"/>
      <c r="AE141" s="85"/>
      <c r="AF141" s="85"/>
      <c r="AG141" s="235"/>
      <c r="AH141" s="229"/>
      <c r="AI141" s="229"/>
      <c r="AJ141" s="229"/>
      <c r="AK141" s="229"/>
      <c r="AL141" s="229" t="s">
        <v>108</v>
      </c>
      <c r="AM141" s="240" t="s">
        <v>195</v>
      </c>
      <c r="AN141" s="240"/>
      <c r="AO141" s="240"/>
      <c r="AP141" s="243">
        <f t="shared" ref="AP141:BA141" si="9">IF($J$34*COS((AP133-$J$35)*PI()/6)+$BD140&lt;0,0,$J$34*COS((AP133-$J$35)*PI()/6)+$BD140)</f>
        <v>1.5999999999999996</v>
      </c>
      <c r="AQ141" s="243">
        <f t="shared" si="9"/>
        <v>1.7339745962155608</v>
      </c>
      <c r="AR141" s="243">
        <f t="shared" si="9"/>
        <v>2.0999999999999996</v>
      </c>
      <c r="AS141" s="243">
        <f t="shared" si="9"/>
        <v>2.5999999999999996</v>
      </c>
      <c r="AT141" s="243">
        <f t="shared" si="9"/>
        <v>3.0999999999999996</v>
      </c>
      <c r="AU141" s="243">
        <f t="shared" si="9"/>
        <v>3.4660254037844385</v>
      </c>
      <c r="AV141" s="243">
        <f t="shared" si="9"/>
        <v>3.5999999999999996</v>
      </c>
      <c r="AW141" s="243">
        <f t="shared" si="9"/>
        <v>3.4660254037844385</v>
      </c>
      <c r="AX141" s="243">
        <f t="shared" si="9"/>
        <v>3.0999999999999996</v>
      </c>
      <c r="AY141" s="243">
        <f t="shared" si="9"/>
        <v>2.5999999999999996</v>
      </c>
      <c r="AZ141" s="243">
        <f t="shared" si="9"/>
        <v>2.0999999999999996</v>
      </c>
      <c r="BA141" s="243">
        <f t="shared" si="9"/>
        <v>1.7339745962155608</v>
      </c>
      <c r="BB141" s="235"/>
      <c r="BC141" s="235" t="s">
        <v>196</v>
      </c>
      <c r="BD141" s="235"/>
      <c r="BE141" s="235"/>
      <c r="BF141" s="235"/>
      <c r="BG141" s="85"/>
      <c r="BH141" s="85"/>
      <c r="BI141" s="85"/>
      <c r="BJ141" s="85"/>
      <c r="BK141" s="85"/>
      <c r="BN141" s="68"/>
      <c r="BO141" s="87"/>
      <c r="BP141" s="20"/>
      <c r="BQ141" s="20"/>
      <c r="BR141" s="20"/>
      <c r="BS141" s="20"/>
      <c r="BT141" s="20"/>
      <c r="BU141" s="20"/>
      <c r="BV141" s="20"/>
      <c r="BW141" s="20"/>
      <c r="BX141" s="20"/>
      <c r="BY141"/>
      <c r="BZ141"/>
      <c r="CA141" s="20"/>
      <c r="CB141" s="20"/>
      <c r="CC141" s="20"/>
      <c r="CF141"/>
      <c r="CG141"/>
      <c r="CJ141"/>
      <c r="CK141"/>
      <c r="CL141"/>
      <c r="CM141"/>
      <c r="CN141"/>
      <c r="CO141"/>
      <c r="CP141"/>
      <c r="CQ141"/>
      <c r="CR141"/>
      <c r="CS141"/>
      <c r="CT141"/>
      <c r="CU141"/>
      <c r="CV141"/>
    </row>
    <row r="142" spans="6:100" ht="15.5" x14ac:dyDescent="0.35">
      <c r="F142" s="65"/>
      <c r="G142" s="66"/>
      <c r="N142" s="66"/>
      <c r="O142" s="66"/>
      <c r="P142" s="66"/>
      <c r="Q142" s="66"/>
      <c r="R142" s="66"/>
      <c r="S142" s="66"/>
      <c r="T142" s="66"/>
      <c r="U142" s="66"/>
      <c r="V142" s="66"/>
      <c r="W142" s="66"/>
      <c r="X142" s="66"/>
      <c r="Y142" s="66"/>
      <c r="Z142" s="66"/>
      <c r="AA142" s="79"/>
      <c r="AB142" s="79"/>
      <c r="AC142" s="79"/>
      <c r="AD142" s="79"/>
      <c r="AE142" s="79"/>
      <c r="AF142" s="79"/>
      <c r="AG142" s="85"/>
      <c r="AH142" s="201"/>
      <c r="AI142" s="201"/>
      <c r="AJ142" s="201"/>
      <c r="AK142" s="201"/>
      <c r="AL142" s="201"/>
      <c r="AM142" s="244" t="s">
        <v>193</v>
      </c>
      <c r="AN142" s="244"/>
      <c r="AO142" s="244"/>
      <c r="AP142" s="245" t="str">
        <f t="shared" ref="AP142:BA142" si="10">IF($AN$136=AP135,$I$44*100,"")</f>
        <v/>
      </c>
      <c r="AQ142" s="245" t="str">
        <f t="shared" si="10"/>
        <v/>
      </c>
      <c r="AR142" s="245" t="str">
        <f t="shared" si="10"/>
        <v/>
      </c>
      <c r="AS142" s="245" t="str">
        <f t="shared" si="10"/>
        <v/>
      </c>
      <c r="AT142" s="245" t="str">
        <f t="shared" si="10"/>
        <v/>
      </c>
      <c r="AU142" s="245" t="str">
        <f t="shared" si="10"/>
        <v/>
      </c>
      <c r="AV142" s="245" t="str">
        <f t="shared" si="10"/>
        <v/>
      </c>
      <c r="AW142" s="245" t="str">
        <f t="shared" si="10"/>
        <v/>
      </c>
      <c r="AX142" s="245">
        <f t="shared" si="10"/>
        <v>6.2370000000000001</v>
      </c>
      <c r="AY142" s="245" t="str">
        <f t="shared" si="10"/>
        <v/>
      </c>
      <c r="AZ142" s="245" t="str">
        <f t="shared" si="10"/>
        <v/>
      </c>
      <c r="BA142" s="245" t="str">
        <f t="shared" si="10"/>
        <v/>
      </c>
      <c r="BB142" s="235"/>
      <c r="BC142" s="235"/>
      <c r="BD142" s="235"/>
      <c r="BE142" s="235"/>
      <c r="BF142" s="194"/>
      <c r="BG142" s="85"/>
      <c r="BV142"/>
      <c r="BW142"/>
      <c r="BX142"/>
      <c r="BY142"/>
      <c r="BZ142"/>
      <c r="CA142"/>
      <c r="CB142"/>
      <c r="CF142"/>
      <c r="CG142"/>
      <c r="CJ142"/>
      <c r="CK142"/>
      <c r="CL142"/>
      <c r="CM142"/>
      <c r="CN142"/>
      <c r="CO142"/>
      <c r="CP142"/>
      <c r="CQ142"/>
      <c r="CR142"/>
      <c r="CS142"/>
      <c r="CT142"/>
      <c r="CU142"/>
      <c r="CV142"/>
    </row>
    <row r="143" spans="6:100" ht="15.5" x14ac:dyDescent="0.35">
      <c r="F143" s="65"/>
      <c r="G143" s="66"/>
      <c r="N143" s="66"/>
      <c r="O143" s="66"/>
      <c r="P143" s="66"/>
      <c r="Q143" s="66"/>
      <c r="R143" s="66"/>
      <c r="S143" s="66"/>
      <c r="T143" s="66"/>
      <c r="U143" s="66"/>
      <c r="V143" s="66"/>
      <c r="W143" s="66"/>
      <c r="X143" s="66"/>
      <c r="Y143" s="66"/>
      <c r="Z143" s="66"/>
      <c r="AA143" s="79"/>
      <c r="AB143" s="79"/>
      <c r="AC143" s="79"/>
      <c r="AD143" s="79"/>
      <c r="AE143" s="79"/>
      <c r="AF143" s="79"/>
      <c r="AG143" s="79"/>
      <c r="AH143" s="201"/>
      <c r="AI143" s="201"/>
      <c r="AJ143" s="201"/>
      <c r="AK143" s="201"/>
      <c r="AL143" s="206" t="s">
        <v>110</v>
      </c>
      <c r="AM143" s="244" t="s">
        <v>194</v>
      </c>
      <c r="AN143" s="205"/>
      <c r="AO143" s="205"/>
      <c r="AP143" s="245" t="str">
        <f t="shared" ref="AP143:BA143" si="11">IF(LEN(AP142)=0,"",($I$44*100)+ $J$34-($J$34*AP137/3))</f>
        <v/>
      </c>
      <c r="AQ143" s="245" t="str">
        <f t="shared" si="11"/>
        <v/>
      </c>
      <c r="AR143" s="245" t="str">
        <f t="shared" si="11"/>
        <v/>
      </c>
      <c r="AS143" s="245" t="str">
        <f t="shared" si="11"/>
        <v/>
      </c>
      <c r="AT143" s="245" t="str">
        <f t="shared" si="11"/>
        <v/>
      </c>
      <c r="AU143" s="245" t="str">
        <f t="shared" si="11"/>
        <v/>
      </c>
      <c r="AV143" s="245" t="str">
        <f t="shared" si="11"/>
        <v/>
      </c>
      <c r="AW143" s="245" t="str">
        <f t="shared" si="11"/>
        <v/>
      </c>
      <c r="AX143" s="245">
        <f t="shared" si="11"/>
        <v>5.7370000000000001</v>
      </c>
      <c r="AY143" s="245" t="str">
        <f t="shared" si="11"/>
        <v/>
      </c>
      <c r="AZ143" s="245" t="str">
        <f t="shared" si="11"/>
        <v/>
      </c>
      <c r="BA143" s="245" t="str">
        <f t="shared" si="11"/>
        <v/>
      </c>
      <c r="BB143" s="85"/>
      <c r="BC143" s="235" t="s">
        <v>103</v>
      </c>
      <c r="BD143" s="242">
        <f>AVERAGE(AP143:BA143)</f>
        <v>5.7370000000000001</v>
      </c>
      <c r="BE143" s="85"/>
      <c r="BV143"/>
      <c r="BW143"/>
      <c r="BX143"/>
      <c r="BY143"/>
      <c r="BZ143"/>
      <c r="CA143"/>
      <c r="CB143"/>
      <c r="CF143"/>
      <c r="CG143"/>
      <c r="CJ143"/>
      <c r="CK143"/>
      <c r="CL143"/>
      <c r="CM143"/>
      <c r="CN143"/>
      <c r="CO143"/>
      <c r="CP143"/>
      <c r="CQ143"/>
      <c r="CR143"/>
      <c r="CS143"/>
      <c r="CT143"/>
      <c r="CU143"/>
      <c r="CV143"/>
    </row>
    <row r="144" spans="6:100" ht="15.5" x14ac:dyDescent="0.35">
      <c r="F144" s="65"/>
      <c r="G144" s="66"/>
      <c r="N144" s="66"/>
      <c r="O144" s="66"/>
      <c r="P144" s="66"/>
      <c r="Q144" s="66"/>
      <c r="R144" s="66"/>
      <c r="S144" s="66"/>
      <c r="T144" s="66"/>
      <c r="U144" s="66"/>
      <c r="V144" s="66"/>
      <c r="W144" s="66"/>
      <c r="X144" s="66"/>
      <c r="Y144" s="66"/>
      <c r="Z144" s="66"/>
      <c r="AA144" s="79"/>
      <c r="AB144" s="79"/>
      <c r="AC144" s="79"/>
      <c r="AD144" s="79"/>
      <c r="AE144" s="79"/>
      <c r="AF144" s="79"/>
      <c r="AG144" s="79"/>
      <c r="AH144" s="246"/>
      <c r="AI144" s="246"/>
      <c r="AJ144" s="246"/>
      <c r="AK144" s="246"/>
      <c r="AL144" s="246"/>
      <c r="AM144" s="246"/>
      <c r="AN144" s="246"/>
      <c r="AO144" s="246"/>
      <c r="AP144" s="246" t="str">
        <f t="shared" ref="AP144:BA144" si="12">IF($AN$136=AP135,$G$44*100,"")</f>
        <v/>
      </c>
      <c r="AQ144" s="246" t="str">
        <f t="shared" si="12"/>
        <v/>
      </c>
      <c r="AR144" s="246" t="str">
        <f t="shared" si="12"/>
        <v/>
      </c>
      <c r="AS144" s="246" t="str">
        <f t="shared" si="12"/>
        <v/>
      </c>
      <c r="AT144" s="246" t="str">
        <f t="shared" si="12"/>
        <v/>
      </c>
      <c r="AU144" s="246" t="str">
        <f t="shared" si="12"/>
        <v/>
      </c>
      <c r="AV144" s="246" t="str">
        <f t="shared" si="12"/>
        <v/>
      </c>
      <c r="AW144" s="246" t="str">
        <f t="shared" si="12"/>
        <v/>
      </c>
      <c r="AX144" s="246">
        <f t="shared" si="12"/>
        <v>3.5000000000000004</v>
      </c>
      <c r="AY144" s="246" t="str">
        <f t="shared" si="12"/>
        <v/>
      </c>
      <c r="AZ144" s="246" t="str">
        <f t="shared" si="12"/>
        <v/>
      </c>
      <c r="BA144" s="246" t="str">
        <f t="shared" si="12"/>
        <v/>
      </c>
      <c r="BV144"/>
      <c r="BW144"/>
      <c r="BX144"/>
      <c r="BY144"/>
      <c r="BZ144"/>
      <c r="CA144"/>
      <c r="CB144"/>
      <c r="CF144"/>
      <c r="CG144"/>
      <c r="CJ144"/>
      <c r="CK144"/>
      <c r="CL144"/>
      <c r="CM144"/>
      <c r="CN144"/>
      <c r="CO144"/>
      <c r="CP144"/>
      <c r="CQ144"/>
      <c r="CR144"/>
      <c r="CS144"/>
      <c r="CT144"/>
      <c r="CU144"/>
      <c r="CV144"/>
    </row>
    <row r="145" spans="6:100" ht="15.5" x14ac:dyDescent="0.35">
      <c r="F145" s="65"/>
      <c r="G145" s="66"/>
      <c r="N145" s="66"/>
      <c r="O145" s="66"/>
      <c r="P145" s="66"/>
      <c r="Q145" s="66"/>
      <c r="R145" s="66"/>
      <c r="S145" s="66"/>
      <c r="T145" s="66"/>
      <c r="U145" s="66"/>
      <c r="V145" s="66"/>
      <c r="W145" s="66"/>
      <c r="X145" s="66"/>
      <c r="Y145" s="66"/>
      <c r="Z145" s="66"/>
      <c r="AA145" s="79"/>
      <c r="AB145" s="20"/>
      <c r="AC145" s="20"/>
      <c r="AD145" s="20"/>
      <c r="AE145" s="20"/>
      <c r="AF145" s="20"/>
      <c r="AG145" s="79"/>
      <c r="AH145" s="246"/>
      <c r="AI145" s="246"/>
      <c r="AJ145" s="246"/>
      <c r="AK145" s="246"/>
      <c r="AL145" s="247" t="s">
        <v>197</v>
      </c>
      <c r="AM145" s="246" t="s">
        <v>198</v>
      </c>
      <c r="AN145" s="246"/>
      <c r="AO145" s="246"/>
      <c r="AP145" s="246" t="str">
        <f t="shared" ref="AP145:BA145" si="13">IF(LEN(AP144)=0,"",($G$44*100)+ $J$34-($J$34*AP137/3))</f>
        <v/>
      </c>
      <c r="AQ145" s="246" t="str">
        <f t="shared" si="13"/>
        <v/>
      </c>
      <c r="AR145" s="246" t="str">
        <f t="shared" si="13"/>
        <v/>
      </c>
      <c r="AS145" s="246" t="str">
        <f t="shared" si="13"/>
        <v/>
      </c>
      <c r="AT145" s="246" t="str">
        <f t="shared" si="13"/>
        <v/>
      </c>
      <c r="AU145" s="246" t="str">
        <f t="shared" si="13"/>
        <v/>
      </c>
      <c r="AV145" s="246" t="str">
        <f t="shared" si="13"/>
        <v/>
      </c>
      <c r="AW145" s="246" t="str">
        <f t="shared" si="13"/>
        <v/>
      </c>
      <c r="AX145" s="246">
        <f t="shared" si="13"/>
        <v>3</v>
      </c>
      <c r="AY145" s="246" t="str">
        <f t="shared" si="13"/>
        <v/>
      </c>
      <c r="AZ145" s="246" t="str">
        <f t="shared" si="13"/>
        <v/>
      </c>
      <c r="BA145" s="246" t="str">
        <f t="shared" si="13"/>
        <v/>
      </c>
      <c r="BB145" s="20"/>
      <c r="BC145" s="20"/>
      <c r="BE145" s="20"/>
      <c r="BH145" s="20"/>
      <c r="BI145" s="20"/>
      <c r="BJ145" s="20"/>
      <c r="BK145" s="20"/>
      <c r="BL145" s="20"/>
      <c r="BM145" s="20"/>
      <c r="BN145" s="20"/>
      <c r="BY145"/>
      <c r="BZ145"/>
      <c r="CF145"/>
      <c r="CG145"/>
      <c r="CJ145"/>
      <c r="CK145"/>
      <c r="CL145"/>
      <c r="CM145"/>
      <c r="CN145"/>
      <c r="CO145"/>
      <c r="CP145"/>
      <c r="CQ145"/>
      <c r="CR145"/>
      <c r="CS145"/>
      <c r="CT145"/>
      <c r="CU145"/>
      <c r="CV145"/>
    </row>
    <row r="146" spans="6:100" ht="15.5" x14ac:dyDescent="0.35">
      <c r="F146" s="65"/>
      <c r="G146" s="66"/>
      <c r="AA146" s="79"/>
      <c r="AB146" s="20"/>
      <c r="AC146" s="20"/>
      <c r="AD146" s="20"/>
      <c r="AE146" s="20"/>
      <c r="AF146" s="20"/>
      <c r="AG146" s="20"/>
      <c r="AH146" s="248"/>
      <c r="AI146" s="248"/>
      <c r="AJ146" s="248"/>
      <c r="AK146" s="248"/>
      <c r="AL146" s="248"/>
      <c r="AM146" s="248"/>
      <c r="AN146" s="248"/>
      <c r="AO146" s="248"/>
      <c r="AP146" s="248" t="str">
        <f t="shared" ref="AP146:BA146" si="14">IF($AN$136=AP135,$J$44*100,"")</f>
        <v/>
      </c>
      <c r="AQ146" s="248" t="str">
        <f t="shared" si="14"/>
        <v/>
      </c>
      <c r="AR146" s="248" t="str">
        <f t="shared" si="14"/>
        <v/>
      </c>
      <c r="AS146" s="248" t="str">
        <f t="shared" si="14"/>
        <v/>
      </c>
      <c r="AT146" s="248" t="str">
        <f t="shared" si="14"/>
        <v/>
      </c>
      <c r="AU146" s="248" t="str">
        <f t="shared" si="14"/>
        <v/>
      </c>
      <c r="AV146" s="248" t="str">
        <f t="shared" si="14"/>
        <v/>
      </c>
      <c r="AW146" s="248" t="str">
        <f t="shared" si="14"/>
        <v/>
      </c>
      <c r="AX146" s="248">
        <f t="shared" si="14"/>
        <v>9.4</v>
      </c>
      <c r="AY146" s="248" t="str">
        <f t="shared" si="14"/>
        <v/>
      </c>
      <c r="AZ146" s="248" t="str">
        <f t="shared" si="14"/>
        <v/>
      </c>
      <c r="BA146" s="248" t="str">
        <f t="shared" si="14"/>
        <v/>
      </c>
      <c r="BB146" s="20"/>
      <c r="BC146" s="20"/>
      <c r="BD146" s="20"/>
      <c r="BH146" s="20"/>
      <c r="BI146" s="20"/>
      <c r="BJ146" s="20"/>
      <c r="BK146" s="20"/>
      <c r="BL146" s="20"/>
      <c r="BM146" s="20"/>
      <c r="BN146" s="20"/>
      <c r="BY146"/>
      <c r="BZ146"/>
      <c r="CF146"/>
      <c r="CG146"/>
      <c r="CJ146"/>
      <c r="CK146"/>
      <c r="CL146"/>
      <c r="CM146"/>
      <c r="CN146"/>
      <c r="CO146"/>
      <c r="CP146"/>
      <c r="CQ146"/>
      <c r="CR146"/>
      <c r="CS146"/>
      <c r="CT146"/>
      <c r="CU146"/>
      <c r="CV146"/>
    </row>
    <row r="147" spans="6:100" ht="15.5" x14ac:dyDescent="0.35">
      <c r="F147" s="65"/>
      <c r="G147" s="66"/>
      <c r="AA147" s="79"/>
      <c r="AB147" s="20"/>
      <c r="AC147" s="20"/>
      <c r="AD147" s="20"/>
      <c r="AE147" s="20"/>
      <c r="AF147" s="20"/>
      <c r="AG147" s="20"/>
      <c r="AH147" s="248"/>
      <c r="AI147" s="248"/>
      <c r="AJ147" s="248"/>
      <c r="AK147" s="248"/>
      <c r="AL147" s="249" t="s">
        <v>111</v>
      </c>
      <c r="AM147" s="248" t="s">
        <v>198</v>
      </c>
      <c r="AN147" s="248"/>
      <c r="AO147" s="248"/>
      <c r="AP147" s="248" t="str">
        <f t="shared" ref="AP147:BA147" si="15">IF(LEN(AP146)=0,"",($J$44*100)+ $J$34-($J$34*AP137/3))</f>
        <v/>
      </c>
      <c r="AQ147" s="248" t="str">
        <f t="shared" si="15"/>
        <v/>
      </c>
      <c r="AR147" s="248" t="str">
        <f t="shared" si="15"/>
        <v/>
      </c>
      <c r="AS147" s="248" t="str">
        <f t="shared" si="15"/>
        <v/>
      </c>
      <c r="AT147" s="248" t="str">
        <f t="shared" si="15"/>
        <v/>
      </c>
      <c r="AU147" s="248" t="str">
        <f t="shared" si="15"/>
        <v/>
      </c>
      <c r="AV147" s="248" t="str">
        <f t="shared" si="15"/>
        <v/>
      </c>
      <c r="AW147" s="248" t="str">
        <f t="shared" si="15"/>
        <v/>
      </c>
      <c r="AX147" s="248">
        <f t="shared" si="15"/>
        <v>8.9</v>
      </c>
      <c r="AY147" s="248" t="str">
        <f t="shared" si="15"/>
        <v/>
      </c>
      <c r="AZ147" s="248" t="str">
        <f t="shared" si="15"/>
        <v/>
      </c>
      <c r="BA147" s="248" t="str">
        <f t="shared" si="15"/>
        <v/>
      </c>
      <c r="BB147" s="20"/>
      <c r="BC147" s="20" t="s">
        <v>199</v>
      </c>
      <c r="BD147" s="20"/>
      <c r="BE147" s="20"/>
      <c r="BF147" s="20"/>
      <c r="BG147" s="20"/>
      <c r="BH147" s="20"/>
      <c r="BI147" s="20"/>
      <c r="BJ147" s="20"/>
      <c r="BK147" s="20"/>
      <c r="BL147" s="20"/>
      <c r="BM147" s="20"/>
      <c r="BN147" s="20"/>
      <c r="BV147" s="20"/>
      <c r="BW147" s="20"/>
      <c r="BX147" s="20"/>
      <c r="BY147"/>
      <c r="BZ147"/>
      <c r="CA147" s="20"/>
      <c r="CF147"/>
      <c r="CG147"/>
      <c r="CJ147"/>
      <c r="CK147"/>
      <c r="CL147"/>
      <c r="CM147"/>
      <c r="CN147"/>
      <c r="CO147"/>
      <c r="CP147"/>
      <c r="CQ147"/>
      <c r="CR147"/>
      <c r="CS147"/>
      <c r="CT147"/>
      <c r="CU147"/>
      <c r="CV147"/>
    </row>
    <row r="148" spans="6:100" ht="15.5" x14ac:dyDescent="0.35">
      <c r="F148" s="65"/>
      <c r="G148" s="66"/>
      <c r="AA148" s="79"/>
      <c r="AB148" s="20"/>
      <c r="AC148" s="20"/>
      <c r="AD148" s="20"/>
      <c r="AE148" s="20"/>
      <c r="AF148" s="20"/>
      <c r="AG148" s="20"/>
      <c r="BD148" s="20"/>
      <c r="BE148" s="20"/>
      <c r="BF148" s="20"/>
      <c r="BG148" s="20"/>
      <c r="BH148" s="20"/>
      <c r="BI148" s="20"/>
      <c r="BJ148" s="20"/>
      <c r="BK148" s="20"/>
      <c r="BL148" s="20"/>
      <c r="BM148" s="20"/>
      <c r="BN148" s="20"/>
      <c r="BY148"/>
      <c r="BZ148"/>
      <c r="CF148"/>
      <c r="CG148"/>
      <c r="CJ148"/>
      <c r="CK148"/>
      <c r="CL148"/>
      <c r="CM148"/>
      <c r="CN148"/>
      <c r="CO148"/>
      <c r="CP148"/>
      <c r="CQ148"/>
      <c r="CR148"/>
      <c r="CS148"/>
      <c r="CT148"/>
      <c r="CU148"/>
      <c r="CV148"/>
    </row>
    <row r="149" spans="6:100" ht="15.5" x14ac:dyDescent="0.35">
      <c r="F149" s="65"/>
      <c r="G149" s="66"/>
      <c r="AA149" s="79"/>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Y149"/>
      <c r="BZ149"/>
      <c r="CF149"/>
      <c r="CG149"/>
      <c r="CJ149"/>
      <c r="CK149"/>
      <c r="CL149"/>
      <c r="CM149"/>
      <c r="CN149"/>
      <c r="CO149"/>
      <c r="CP149"/>
      <c r="CQ149"/>
      <c r="CR149"/>
      <c r="CS149"/>
      <c r="CT149"/>
      <c r="CU149"/>
      <c r="CV149"/>
    </row>
    <row r="150" spans="6:100" ht="15.5" x14ac:dyDescent="0.35">
      <c r="F150" s="65"/>
      <c r="G150" s="66"/>
      <c r="AA150" s="79"/>
      <c r="AB150" s="20"/>
      <c r="AC150" s="20"/>
      <c r="AD150" s="20"/>
      <c r="AE150" s="20"/>
      <c r="AF150" s="20"/>
      <c r="AG150" s="20"/>
      <c r="AH150" s="20"/>
      <c r="AI150" s="20"/>
      <c r="AJ150" s="20"/>
      <c r="AK150" s="20"/>
      <c r="AL150" s="20"/>
      <c r="AM150" s="20"/>
      <c r="AN150" s="20"/>
      <c r="AO150" s="20"/>
      <c r="AP150" s="198"/>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V150"/>
      <c r="BW150"/>
      <c r="BX150"/>
      <c r="BY150"/>
      <c r="BZ150"/>
      <c r="CA150"/>
      <c r="CB150"/>
      <c r="CF150"/>
      <c r="CG150"/>
      <c r="CJ150"/>
      <c r="CK150"/>
      <c r="CL150"/>
      <c r="CM150"/>
      <c r="CN150"/>
      <c r="CO150"/>
      <c r="CP150"/>
      <c r="CQ150"/>
      <c r="CR150"/>
      <c r="CS150"/>
      <c r="CT150"/>
      <c r="CU150"/>
      <c r="CV150"/>
    </row>
    <row r="151" spans="6:100" ht="15.5" x14ac:dyDescent="0.35">
      <c r="F151" s="65"/>
      <c r="G151" s="66"/>
      <c r="AA151" s="79"/>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W151"/>
      <c r="BX151"/>
      <c r="BY151"/>
      <c r="BZ151"/>
      <c r="CA151"/>
      <c r="CB151"/>
      <c r="CC151"/>
      <c r="CF151"/>
      <c r="CG151"/>
      <c r="CJ151"/>
      <c r="CK151"/>
      <c r="CL151"/>
      <c r="CM151"/>
      <c r="CN151"/>
      <c r="CO151"/>
      <c r="CP151"/>
      <c r="CQ151"/>
      <c r="CR151"/>
      <c r="CS151"/>
      <c r="CT151"/>
      <c r="CU151"/>
      <c r="CV151"/>
    </row>
    <row r="152" spans="6:100" ht="15.5" x14ac:dyDescent="0.35">
      <c r="F152" s="65"/>
      <c r="G152" s="66"/>
      <c r="AA152" s="79"/>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W152"/>
      <c r="BX152"/>
      <c r="BY152"/>
      <c r="BZ152"/>
      <c r="CA152"/>
      <c r="CB152"/>
      <c r="CC152"/>
      <c r="CF152"/>
      <c r="CG152"/>
      <c r="CJ152"/>
      <c r="CK152"/>
      <c r="CL152"/>
      <c r="CM152"/>
      <c r="CN152"/>
      <c r="CO152"/>
      <c r="CP152"/>
      <c r="CQ152"/>
      <c r="CR152"/>
      <c r="CS152"/>
      <c r="CT152"/>
      <c r="CU152"/>
      <c r="CV152"/>
    </row>
    <row r="153" spans="6:100" ht="15.5" x14ac:dyDescent="0.35">
      <c r="F153" s="65"/>
      <c r="G153" s="66"/>
      <c r="AA153" s="79"/>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W153"/>
      <c r="BX153"/>
      <c r="BY153"/>
      <c r="BZ153"/>
      <c r="CA153"/>
      <c r="CB153"/>
      <c r="CC153"/>
      <c r="CF153"/>
      <c r="CG153"/>
      <c r="CJ153"/>
      <c r="CK153"/>
      <c r="CL153"/>
      <c r="CM153"/>
      <c r="CN153"/>
      <c r="CO153"/>
      <c r="CP153"/>
      <c r="CQ153"/>
      <c r="CR153"/>
      <c r="CS153"/>
      <c r="CT153"/>
      <c r="CU153"/>
      <c r="CV153"/>
    </row>
    <row r="154" spans="6:100" ht="15.5" x14ac:dyDescent="0.35">
      <c r="F154" s="65"/>
      <c r="G154" s="66"/>
      <c r="AA154" s="79"/>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W154"/>
      <c r="BX154"/>
      <c r="BY154"/>
      <c r="BZ154"/>
      <c r="CA154"/>
      <c r="CB154"/>
      <c r="CC154"/>
      <c r="CF154"/>
      <c r="CG154"/>
      <c r="CJ154"/>
      <c r="CK154"/>
      <c r="CL154"/>
      <c r="CM154"/>
      <c r="CN154"/>
      <c r="CO154"/>
      <c r="CP154"/>
      <c r="CQ154"/>
      <c r="CR154"/>
      <c r="CS154"/>
      <c r="CT154"/>
      <c r="CU154"/>
      <c r="CV154"/>
    </row>
    <row r="155" spans="6:100" ht="15.5" x14ac:dyDescent="0.35">
      <c r="F155" s="65"/>
      <c r="G155" s="66"/>
      <c r="AA155" s="79"/>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W155"/>
      <c r="BX155"/>
      <c r="BY155"/>
      <c r="BZ155"/>
      <c r="CA155"/>
      <c r="CB155"/>
      <c r="CC155"/>
      <c r="CF155"/>
      <c r="CG155"/>
      <c r="CJ155"/>
      <c r="CK155"/>
      <c r="CL155"/>
      <c r="CM155"/>
      <c r="CN155"/>
      <c r="CO155"/>
      <c r="CP155"/>
      <c r="CQ155"/>
      <c r="CR155"/>
      <c r="CS155"/>
      <c r="CT155"/>
      <c r="CU155"/>
      <c r="CV155"/>
    </row>
    <row r="156" spans="6:100" ht="15.5" x14ac:dyDescent="0.35">
      <c r="F156" s="65"/>
      <c r="G156" s="66"/>
      <c r="AA156" s="79"/>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W156"/>
      <c r="BX156"/>
      <c r="BY156"/>
      <c r="BZ156"/>
      <c r="CA156"/>
      <c r="CB156"/>
      <c r="CC156"/>
      <c r="CF156"/>
      <c r="CG156"/>
      <c r="CJ156"/>
      <c r="CK156"/>
      <c r="CL156"/>
      <c r="CM156"/>
      <c r="CN156"/>
      <c r="CO156"/>
      <c r="CP156"/>
      <c r="CQ156"/>
      <c r="CR156"/>
      <c r="CS156"/>
      <c r="CT156"/>
      <c r="CU156"/>
      <c r="CV156"/>
    </row>
    <row r="157" spans="6:100" ht="15.5" x14ac:dyDescent="0.35">
      <c r="F157" s="65"/>
      <c r="G157" s="66"/>
      <c r="AA157" s="79"/>
      <c r="AB157" s="79"/>
      <c r="AC157" s="20" t="s">
        <v>200</v>
      </c>
      <c r="AD157" s="79"/>
      <c r="AE157" s="79"/>
      <c r="AF157" s="79"/>
      <c r="AG157" s="79"/>
      <c r="AH157" s="79"/>
      <c r="AI157" s="79"/>
      <c r="AJ157" s="79"/>
      <c r="AK157" s="79"/>
      <c r="AM157" s="20"/>
      <c r="AN157" s="20"/>
      <c r="AO157" s="20"/>
      <c r="AQ157" s="20" t="s">
        <v>201</v>
      </c>
      <c r="AR157" s="20"/>
      <c r="AS157" s="20"/>
      <c r="AT157" s="20"/>
      <c r="AU157" s="20"/>
      <c r="AV157" s="20"/>
      <c r="AW157" s="20"/>
      <c r="AX157" s="20"/>
      <c r="AY157" s="20"/>
      <c r="AZ157" s="20"/>
      <c r="BA157" s="20"/>
      <c r="BB157" s="20"/>
      <c r="BC157" s="20"/>
      <c r="BD157" s="20"/>
      <c r="BO157" s="20"/>
      <c r="BW157"/>
      <c r="BX157"/>
      <c r="BY157"/>
      <c r="BZ157"/>
      <c r="CA157"/>
      <c r="CB157"/>
      <c r="CC157"/>
      <c r="CF157"/>
      <c r="CG157"/>
      <c r="CJ157"/>
      <c r="CK157"/>
      <c r="CL157"/>
      <c r="CM157"/>
      <c r="CN157"/>
      <c r="CO157"/>
      <c r="CP157"/>
      <c r="CQ157"/>
      <c r="CR157"/>
      <c r="CS157"/>
      <c r="CT157"/>
      <c r="CU157"/>
      <c r="CV157"/>
    </row>
    <row r="158" spans="6:100" ht="15.5" x14ac:dyDescent="0.35">
      <c r="F158" s="65"/>
      <c r="AA158" s="79"/>
      <c r="AB158" s="79"/>
      <c r="AC158" s="80" t="s">
        <v>202</v>
      </c>
      <c r="AD158" s="79"/>
      <c r="AE158" s="79"/>
      <c r="AF158" s="79"/>
      <c r="AG158" s="79"/>
      <c r="AH158" s="79"/>
      <c r="AI158" s="79"/>
      <c r="AJ158" s="79"/>
      <c r="AK158" s="79"/>
      <c r="AM158" s="20"/>
      <c r="AN158" s="20"/>
      <c r="AO158" s="20"/>
      <c r="AQ158" s="80" t="s">
        <v>203</v>
      </c>
      <c r="BE158" s="20"/>
      <c r="BF158" s="20"/>
      <c r="BG158" s="81"/>
      <c r="BO158" s="20"/>
      <c r="BW158"/>
      <c r="BX158"/>
      <c r="BY158"/>
      <c r="BZ158"/>
      <c r="CA158"/>
      <c r="CB158"/>
      <c r="CC158"/>
      <c r="CF158"/>
      <c r="CG158"/>
    </row>
    <row r="159" spans="6:100" ht="15.5" x14ac:dyDescent="0.35">
      <c r="F159" s="65"/>
      <c r="AA159" s="79"/>
      <c r="AB159" s="20"/>
      <c r="AC159" s="20"/>
      <c r="AD159" s="20"/>
      <c r="AE159" s="20"/>
      <c r="AF159" s="20"/>
      <c r="AG159" s="20"/>
      <c r="AH159" s="20"/>
      <c r="AI159" s="20"/>
      <c r="AJ159" s="20"/>
      <c r="AK159" s="20"/>
      <c r="AL159" s="20"/>
      <c r="AM159" s="20"/>
      <c r="AN159" s="20"/>
      <c r="AO159" s="20"/>
      <c r="AP159" s="20"/>
      <c r="AQ159" s="20" t="s">
        <v>204</v>
      </c>
      <c r="AR159" s="15"/>
      <c r="AS159" s="96">
        <f>AP141/$BD140</f>
        <v>0.61538461538461531</v>
      </c>
      <c r="AT159" s="96">
        <f t="shared" ref="AT159:BD159" si="16">AQ141/$BD140</f>
        <v>0.66691330623675427</v>
      </c>
      <c r="AU159" s="96">
        <f t="shared" si="16"/>
        <v>0.80769230769230771</v>
      </c>
      <c r="AV159" s="96">
        <f t="shared" si="16"/>
        <v>1</v>
      </c>
      <c r="AW159" s="96">
        <f t="shared" si="16"/>
        <v>1.1923076923076923</v>
      </c>
      <c r="AX159" s="96">
        <f t="shared" si="16"/>
        <v>1.3330866937632457</v>
      </c>
      <c r="AY159" s="96">
        <f t="shared" si="16"/>
        <v>1.3846153846153846</v>
      </c>
      <c r="AZ159" s="96">
        <f t="shared" si="16"/>
        <v>1.3330866937632457</v>
      </c>
      <c r="BA159" s="96">
        <f t="shared" si="16"/>
        <v>1.1923076923076923</v>
      </c>
      <c r="BB159" s="96">
        <f t="shared" si="16"/>
        <v>1</v>
      </c>
      <c r="BC159" s="96">
        <f t="shared" si="16"/>
        <v>0.80769230769230771</v>
      </c>
      <c r="BD159" s="96">
        <f t="shared" si="16"/>
        <v>0.66691330623675427</v>
      </c>
      <c r="BH159" s="20"/>
      <c r="BI159" s="81"/>
      <c r="BJ159" s="20"/>
      <c r="BK159" s="20"/>
      <c r="BL159" s="20"/>
      <c r="BO159" s="20"/>
      <c r="BW159"/>
      <c r="BX159"/>
      <c r="BY159"/>
      <c r="BZ159"/>
      <c r="CA159"/>
      <c r="CB159"/>
      <c r="CC159"/>
      <c r="CF159"/>
      <c r="CG159"/>
    </row>
    <row r="160" spans="6:100" ht="15.5" x14ac:dyDescent="0.35">
      <c r="F160" s="65"/>
      <c r="AA160" s="79"/>
      <c r="AC160" s="20"/>
      <c r="AD160" s="210"/>
      <c r="AE160" s="210"/>
      <c r="AF160" s="210"/>
      <c r="AG160" s="210"/>
      <c r="AH160" s="210"/>
      <c r="AI160" s="210"/>
      <c r="AJ160" s="210"/>
      <c r="AK160" s="210"/>
      <c r="AL160" s="210"/>
      <c r="AM160" s="210"/>
      <c r="AN160" s="210"/>
      <c r="AO160" s="210"/>
      <c r="AQ160" s="20" t="s">
        <v>205</v>
      </c>
      <c r="AR160" s="20"/>
      <c r="AS160" s="20"/>
      <c r="AT160" s="86">
        <f t="shared" ref="AT160:BD160" si="17">$BF$163/11*AT159</f>
        <v>30178.096269543308</v>
      </c>
      <c r="AU160" s="86">
        <f t="shared" si="17"/>
        <v>36548.40290299301</v>
      </c>
      <c r="AV160" s="86">
        <f t="shared" si="17"/>
        <v>45250.403594181822</v>
      </c>
      <c r="AW160" s="86">
        <f t="shared" si="17"/>
        <v>53952.404285370634</v>
      </c>
      <c r="AX160" s="86">
        <f t="shared" si="17"/>
        <v>60322.710918820339</v>
      </c>
      <c r="AY160" s="86">
        <f t="shared" si="17"/>
        <v>62654.404976559446</v>
      </c>
      <c r="AZ160" s="86">
        <f t="shared" si="17"/>
        <v>60322.710918820339</v>
      </c>
      <c r="BA160" s="86">
        <f t="shared" si="17"/>
        <v>53952.404285370634</v>
      </c>
      <c r="BB160" s="86">
        <f t="shared" si="17"/>
        <v>45250.403594181822</v>
      </c>
      <c r="BC160" s="86">
        <f t="shared" si="17"/>
        <v>36548.40290299301</v>
      </c>
      <c r="BD160" s="86">
        <f t="shared" si="17"/>
        <v>30178.096269543308</v>
      </c>
      <c r="BE160" s="15"/>
      <c r="BF160" s="182">
        <f>SUM(AT160:BD160)</f>
        <v>515158.44091837766</v>
      </c>
      <c r="BG160" s="20" t="s">
        <v>205</v>
      </c>
      <c r="BH160" s="20"/>
      <c r="BI160" s="20"/>
      <c r="BJ160" s="20"/>
      <c r="BK160" s="20"/>
      <c r="BL160" s="20"/>
      <c r="BO160" s="20"/>
      <c r="BW160"/>
      <c r="BX160"/>
      <c r="BY160"/>
      <c r="BZ160"/>
      <c r="CA160"/>
      <c r="CB160"/>
      <c r="CC160"/>
      <c r="CF160"/>
      <c r="CG160"/>
    </row>
    <row r="161" spans="6:85" ht="15.5" x14ac:dyDescent="0.35">
      <c r="F161" s="65"/>
      <c r="AA161" s="79"/>
      <c r="AB161" s="15"/>
      <c r="AC161" s="20"/>
      <c r="AD161" s="15"/>
      <c r="AE161" s="15"/>
      <c r="AF161" s="15"/>
      <c r="AG161" s="15"/>
      <c r="AH161" s="15"/>
      <c r="AI161" s="15"/>
      <c r="AJ161" s="15"/>
      <c r="AK161" s="15"/>
      <c r="AL161" s="15"/>
      <c r="AM161" s="15"/>
      <c r="AN161" s="15"/>
      <c r="AO161" s="15"/>
      <c r="AP161" s="15"/>
      <c r="AQ161" s="20" t="s">
        <v>206</v>
      </c>
      <c r="AR161" s="20"/>
      <c r="AS161" s="20"/>
      <c r="AT161" s="179">
        <f t="shared" ref="AT161:BD161" si="18">AT160/$BF$160</f>
        <v>5.8580222845120308E-2</v>
      </c>
      <c r="AU161" s="179">
        <f t="shared" si="18"/>
        <v>7.0945945945945943E-2</v>
      </c>
      <c r="AV161" s="179">
        <f t="shared" si="18"/>
        <v>8.7837837837837843E-2</v>
      </c>
      <c r="AW161" s="179">
        <f t="shared" si="18"/>
        <v>0.10472972972972973</v>
      </c>
      <c r="AX161" s="179">
        <f t="shared" si="18"/>
        <v>0.11709545283055538</v>
      </c>
      <c r="AY161" s="179">
        <f t="shared" si="18"/>
        <v>0.12162162162162163</v>
      </c>
      <c r="AZ161" s="179">
        <f t="shared" si="18"/>
        <v>0.11709545283055538</v>
      </c>
      <c r="BA161" s="179">
        <f t="shared" si="18"/>
        <v>0.10472972972972973</v>
      </c>
      <c r="BB161" s="179">
        <f t="shared" si="18"/>
        <v>8.7837837837837843E-2</v>
      </c>
      <c r="BC161" s="179">
        <f t="shared" si="18"/>
        <v>7.0945945945945943E-2</v>
      </c>
      <c r="BD161" s="179">
        <f t="shared" si="18"/>
        <v>5.8580222845120308E-2</v>
      </c>
      <c r="BE161" s="20"/>
      <c r="BF161" s="20"/>
      <c r="BG161" s="20"/>
      <c r="BH161" s="15"/>
      <c r="BI161" s="20"/>
      <c r="BJ161" s="20"/>
      <c r="BK161" s="20"/>
      <c r="BL161" s="20"/>
      <c r="BO161" s="20"/>
      <c r="BW161"/>
      <c r="BX161"/>
      <c r="BY161"/>
      <c r="BZ161"/>
      <c r="CA161"/>
      <c r="CB161"/>
      <c r="CC161"/>
      <c r="CF161"/>
      <c r="CG161"/>
    </row>
    <row r="162" spans="6:85" ht="15.5" x14ac:dyDescent="0.35">
      <c r="F162" s="65"/>
      <c r="AA162" s="79"/>
      <c r="AB162" s="13" t="s">
        <v>190</v>
      </c>
      <c r="AC162" s="16"/>
      <c r="AD162" s="68">
        <f t="shared" ref="AD162:AO162" si="19">AP135</f>
        <v>44941</v>
      </c>
      <c r="AE162" s="68">
        <f t="shared" si="19"/>
        <v>44972</v>
      </c>
      <c r="AF162" s="68">
        <f t="shared" si="19"/>
        <v>45000</v>
      </c>
      <c r="AG162" s="68">
        <f t="shared" si="19"/>
        <v>45031</v>
      </c>
      <c r="AH162" s="68">
        <f t="shared" si="19"/>
        <v>45061</v>
      </c>
      <c r="AI162" s="68">
        <f t="shared" si="19"/>
        <v>45092</v>
      </c>
      <c r="AJ162" s="68">
        <f t="shared" si="19"/>
        <v>45122</v>
      </c>
      <c r="AK162" s="68">
        <f t="shared" si="19"/>
        <v>45153</v>
      </c>
      <c r="AL162" s="68">
        <f t="shared" si="19"/>
        <v>45184</v>
      </c>
      <c r="AM162" s="68">
        <f t="shared" si="19"/>
        <v>45214</v>
      </c>
      <c r="AN162" s="68">
        <f t="shared" si="19"/>
        <v>45245</v>
      </c>
      <c r="AO162" s="68">
        <f t="shared" si="19"/>
        <v>45275</v>
      </c>
      <c r="AP162" s="68"/>
      <c r="AQ162" s="68" t="s">
        <v>207</v>
      </c>
      <c r="AR162" s="16"/>
      <c r="AS162" s="16"/>
      <c r="AT162" s="16"/>
      <c r="AU162" s="16"/>
      <c r="AV162" s="16"/>
      <c r="AW162" s="16"/>
      <c r="AX162" s="16"/>
      <c r="AY162" s="16"/>
      <c r="AZ162" s="16"/>
      <c r="BA162" s="16"/>
      <c r="BB162" s="16"/>
      <c r="BC162" s="16"/>
      <c r="BD162" s="16"/>
      <c r="BE162" s="178"/>
      <c r="BF162" s="16"/>
      <c r="BG162" s="16"/>
      <c r="BH162" s="177" t="s">
        <v>208</v>
      </c>
      <c r="BI162" s="20"/>
      <c r="BJ162" s="20"/>
      <c r="BK162" s="20"/>
      <c r="BO162" s="20"/>
      <c r="BW162"/>
      <c r="BX162"/>
      <c r="BY162"/>
      <c r="BZ162"/>
      <c r="CA162"/>
      <c r="CB162"/>
      <c r="CC162"/>
      <c r="CF162"/>
      <c r="CG162"/>
    </row>
    <row r="163" spans="6:85" ht="15.5" x14ac:dyDescent="0.35">
      <c r="F163" s="65"/>
      <c r="AA163" s="79"/>
      <c r="AB163" s="20" t="s">
        <v>209</v>
      </c>
      <c r="AC163" s="20" t="s">
        <v>104</v>
      </c>
      <c r="AD163" s="71">
        <f t="shared" ref="AD163:AO163" si="20">AP141</f>
        <v>1.5999999999999996</v>
      </c>
      <c r="AE163" s="71">
        <f t="shared" si="20"/>
        <v>1.7339745962155608</v>
      </c>
      <c r="AF163" s="71">
        <f t="shared" si="20"/>
        <v>2.0999999999999996</v>
      </c>
      <c r="AG163" s="71">
        <f t="shared" si="20"/>
        <v>2.5999999999999996</v>
      </c>
      <c r="AH163" s="71">
        <f t="shared" si="20"/>
        <v>3.0999999999999996</v>
      </c>
      <c r="AI163" s="71">
        <f t="shared" si="20"/>
        <v>3.4660254037844385</v>
      </c>
      <c r="AJ163" s="71">
        <f t="shared" si="20"/>
        <v>3.5999999999999996</v>
      </c>
      <c r="AK163" s="71">
        <f t="shared" si="20"/>
        <v>3.4660254037844385</v>
      </c>
      <c r="AL163" s="71">
        <f t="shared" si="20"/>
        <v>3.0999999999999996</v>
      </c>
      <c r="AM163" s="71">
        <f t="shared" si="20"/>
        <v>2.5999999999999996</v>
      </c>
      <c r="AN163" s="71">
        <f t="shared" si="20"/>
        <v>2.0999999999999996</v>
      </c>
      <c r="AO163" s="71">
        <f t="shared" si="20"/>
        <v>1.7339745962155608</v>
      </c>
      <c r="AP163" s="71"/>
      <c r="AQ163" s="81">
        <f>D44*(Burden!F$20)</f>
        <v>7603173.7199999997</v>
      </c>
      <c r="AR163" s="20" t="str">
        <f t="shared" ref="AR163:AR206" si="21">AC163</f>
        <v>National</v>
      </c>
      <c r="AS163" s="81">
        <f>$AQ163*AD163/100/Burden!F$23</f>
        <v>16220.103935999998</v>
      </c>
      <c r="AT163" s="81">
        <f t="shared" ref="AT163:BD163" si="22">$BF$163*AT161</f>
        <v>29158.565990166844</v>
      </c>
      <c r="AU163" s="81">
        <f t="shared" si="22"/>
        <v>35313.659561675675</v>
      </c>
      <c r="AV163" s="81">
        <f t="shared" si="22"/>
        <v>43721.67374302703</v>
      </c>
      <c r="AW163" s="81">
        <f t="shared" si="22"/>
        <v>52129.687924378377</v>
      </c>
      <c r="AX163" s="81">
        <f t="shared" si="22"/>
        <v>58284.781495887219</v>
      </c>
      <c r="AY163" s="81">
        <f t="shared" si="22"/>
        <v>60537.702105729739</v>
      </c>
      <c r="AZ163" s="81">
        <f t="shared" si="22"/>
        <v>58284.781495887219</v>
      </c>
      <c r="BA163" s="81">
        <f t="shared" si="22"/>
        <v>52129.687924378377</v>
      </c>
      <c r="BB163" s="81">
        <f t="shared" si="22"/>
        <v>43721.67374302703</v>
      </c>
      <c r="BC163" s="81">
        <f t="shared" si="22"/>
        <v>35313.659561675675</v>
      </c>
      <c r="BD163" s="81">
        <f t="shared" si="22"/>
        <v>29158.565990166844</v>
      </c>
      <c r="BE163" s="81">
        <f>AQ163*AVERAGE(AD163:AO163)/100*(Burden!F21+1)</f>
        <v>513974.54347199999</v>
      </c>
      <c r="BF163" s="86">
        <f>BE163-AS163</f>
        <v>497754.43953600002</v>
      </c>
      <c r="BG163" s="20"/>
      <c r="BH163" s="88">
        <f>SUM(AS163:BD163)</f>
        <v>513974.54347199999</v>
      </c>
      <c r="BI163" s="20"/>
      <c r="BJ163" s="20"/>
      <c r="BK163" s="86"/>
      <c r="BO163" s="20"/>
      <c r="BW163"/>
      <c r="BX163"/>
      <c r="BY163"/>
      <c r="BZ163"/>
      <c r="CA163"/>
      <c r="CB163"/>
      <c r="CC163"/>
      <c r="CF163"/>
      <c r="CG163"/>
    </row>
    <row r="164" spans="6:85" ht="15.5" x14ac:dyDescent="0.35">
      <c r="F164" s="65"/>
      <c r="AA164" s="79"/>
      <c r="AB164" s="20"/>
      <c r="AC164" s="20" t="s">
        <v>210</v>
      </c>
      <c r="AD164" s="68" t="s">
        <v>211</v>
      </c>
      <c r="AE164" s="68" t="s">
        <v>212</v>
      </c>
      <c r="AF164" s="68" t="s">
        <v>213</v>
      </c>
      <c r="AG164" s="68" t="s">
        <v>214</v>
      </c>
      <c r="AH164" s="68" t="s">
        <v>215</v>
      </c>
      <c r="AI164" s="68" t="s">
        <v>216</v>
      </c>
      <c r="AJ164" s="68" t="s">
        <v>217</v>
      </c>
      <c r="AK164" s="68" t="s">
        <v>218</v>
      </c>
      <c r="AL164" s="68" t="s">
        <v>219</v>
      </c>
      <c r="AM164" s="68" t="s">
        <v>220</v>
      </c>
      <c r="AN164" s="68" t="s">
        <v>221</v>
      </c>
      <c r="AO164" s="68" t="s">
        <v>222</v>
      </c>
      <c r="AP164" s="71"/>
      <c r="AQ164" s="81">
        <f>D45*(Burden!F$20)</f>
        <v>0</v>
      </c>
      <c r="AR164" s="82" t="str">
        <f t="shared" si="21"/>
        <v>Admin 1</v>
      </c>
      <c r="AS164" s="83" t="s">
        <v>211</v>
      </c>
      <c r="AT164" s="83" t="s">
        <v>212</v>
      </c>
      <c r="AU164" s="83" t="s">
        <v>213</v>
      </c>
      <c r="AV164" s="83" t="s">
        <v>214</v>
      </c>
      <c r="AW164" s="83" t="s">
        <v>215</v>
      </c>
      <c r="AX164" s="83" t="s">
        <v>216</v>
      </c>
      <c r="AY164" s="83" t="s">
        <v>217</v>
      </c>
      <c r="AZ164" s="83" t="s">
        <v>218</v>
      </c>
      <c r="BA164" s="83" t="s">
        <v>219</v>
      </c>
      <c r="BB164" s="83" t="s">
        <v>220</v>
      </c>
      <c r="BC164" s="83" t="s">
        <v>221</v>
      </c>
      <c r="BD164" s="84" t="s">
        <v>222</v>
      </c>
      <c r="BE164" s="20" t="s">
        <v>223</v>
      </c>
      <c r="BF164" s="20" t="s">
        <v>224</v>
      </c>
      <c r="BG164" s="20"/>
      <c r="BH164" s="88">
        <f t="shared" ref="BH164:BH206" si="23">SUM(AS164:BD164)</f>
        <v>0</v>
      </c>
      <c r="BI164" s="20"/>
      <c r="BJ164" s="20"/>
      <c r="BK164" s="20"/>
      <c r="BL164" s="20"/>
      <c r="BM164" s="20"/>
      <c r="BN164" s="20"/>
      <c r="BO164" s="20"/>
      <c r="BY164"/>
      <c r="BZ164"/>
      <c r="CF164"/>
      <c r="CG164"/>
    </row>
    <row r="165" spans="6:85" ht="15.5" x14ac:dyDescent="0.35">
      <c r="F165" s="65"/>
      <c r="AA165" s="79"/>
      <c r="AB165" s="20"/>
      <c r="AC165" s="20" t="str">
        <f t="shared" ref="AC165:AC198" si="24">IF(ISBLANK(C46), " ",C46)</f>
        <v>Badakhshan</v>
      </c>
      <c r="AD165" s="71">
        <f t="shared" ref="AD165:AO198" si="25">AD$163*($H46/$H$44)</f>
        <v>1.5512489525139144</v>
      </c>
      <c r="AE165" s="71">
        <f t="shared" si="25"/>
        <v>1.6811414225407044</v>
      </c>
      <c r="AF165" s="71">
        <f t="shared" si="25"/>
        <v>2.0360142501745129</v>
      </c>
      <c r="AG165" s="71">
        <f t="shared" si="25"/>
        <v>2.5207795478351112</v>
      </c>
      <c r="AH165" s="71">
        <f t="shared" si="25"/>
        <v>3.0055448454957094</v>
      </c>
      <c r="AI165" s="71">
        <f t="shared" si="25"/>
        <v>3.3604176731295179</v>
      </c>
      <c r="AJ165" s="71">
        <f t="shared" si="25"/>
        <v>3.4903101431563077</v>
      </c>
      <c r="AK165" s="71">
        <f t="shared" si="25"/>
        <v>3.3604176731295179</v>
      </c>
      <c r="AL165" s="71">
        <f t="shared" si="25"/>
        <v>3.0055448454957094</v>
      </c>
      <c r="AM165" s="71">
        <f t="shared" si="25"/>
        <v>2.5207795478351112</v>
      </c>
      <c r="AN165" s="71">
        <f t="shared" si="25"/>
        <v>2.0360142501745129</v>
      </c>
      <c r="AO165" s="71">
        <f t="shared" si="25"/>
        <v>1.6811414225407044</v>
      </c>
      <c r="AP165" s="76"/>
      <c r="AQ165" s="81">
        <f>D46*(Burden!F$20)</f>
        <v>265778.14584929426</v>
      </c>
      <c r="AR165" s="181" t="str">
        <f t="shared" si="21"/>
        <v>Badakhshan</v>
      </c>
      <c r="AS165" s="180">
        <f>$AQ165*AD165/100/Burden!F$23</f>
        <v>549.71742713307742</v>
      </c>
      <c r="AT165" s="180">
        <f t="shared" ref="AT165:BD174" si="26">$BF165*AT$161</f>
        <v>988.21634795007617</v>
      </c>
      <c r="AU165" s="180">
        <f t="shared" si="26"/>
        <v>1196.8193393515969</v>
      </c>
      <c r="AV165" s="180">
        <f t="shared" si="26"/>
        <v>1481.7763249115012</v>
      </c>
      <c r="AW165" s="180">
        <f t="shared" si="26"/>
        <v>1766.733310471405</v>
      </c>
      <c r="AX165" s="180">
        <f t="shared" si="26"/>
        <v>1975.336301872926</v>
      </c>
      <c r="AY165" s="180">
        <f t="shared" si="26"/>
        <v>2051.6902960313091</v>
      </c>
      <c r="AZ165" s="180">
        <f t="shared" si="26"/>
        <v>1975.336301872926</v>
      </c>
      <c r="BA165" s="180">
        <f t="shared" si="26"/>
        <v>1766.733310471405</v>
      </c>
      <c r="BB165" s="180">
        <f t="shared" si="26"/>
        <v>1481.7763249115012</v>
      </c>
      <c r="BC165" s="180">
        <f t="shared" si="26"/>
        <v>1196.8193393515969</v>
      </c>
      <c r="BD165" s="180">
        <f t="shared" si="26"/>
        <v>988.21634795007617</v>
      </c>
      <c r="BE165" s="81" cm="1">
        <f t="array" ref="BE165">AQ165*AVERAGE(TableP6to59[[#This Row],[Jan-23]:[Dec-23]]/100*(Burden!$F$21+1))</f>
        <v>17419.170972279397</v>
      </c>
      <c r="BF165" s="86">
        <f>BE165-AS165</f>
        <v>16869.45354514632</v>
      </c>
      <c r="BG165" s="20"/>
      <c r="BH165" s="88">
        <f>SUM(AS165:BD165)</f>
        <v>17419.1709722794</v>
      </c>
      <c r="BI165" s="20"/>
      <c r="BJ165" s="20"/>
      <c r="BK165" s="20"/>
      <c r="BO165" s="20"/>
      <c r="BY165"/>
      <c r="BZ165"/>
      <c r="CF165"/>
      <c r="CG165"/>
    </row>
    <row r="166" spans="6:85" ht="15.5" x14ac:dyDescent="0.35">
      <c r="F166" s="65"/>
      <c r="AA166" s="79"/>
      <c r="AB166" s="20"/>
      <c r="AC166" s="20" t="str">
        <f t="shared" si="24"/>
        <v>Badghis</v>
      </c>
      <c r="AD166" s="71">
        <f t="shared" si="25"/>
        <v>1.5483870967741931</v>
      </c>
      <c r="AE166" s="71">
        <f t="shared" si="25"/>
        <v>1.6780399318215102</v>
      </c>
      <c r="AF166" s="71">
        <f t="shared" si="25"/>
        <v>2.0322580645161286</v>
      </c>
      <c r="AG166" s="71">
        <f t="shared" si="25"/>
        <v>2.5161290322580641</v>
      </c>
      <c r="AH166" s="71">
        <f t="shared" si="25"/>
        <v>2.9999999999999996</v>
      </c>
      <c r="AI166" s="71">
        <f t="shared" si="25"/>
        <v>3.3542181326946174</v>
      </c>
      <c r="AJ166" s="71">
        <f t="shared" si="25"/>
        <v>3.4838709677419351</v>
      </c>
      <c r="AK166" s="71">
        <f t="shared" si="25"/>
        <v>3.3542181326946174</v>
      </c>
      <c r="AL166" s="71">
        <f t="shared" si="25"/>
        <v>2.9999999999999996</v>
      </c>
      <c r="AM166" s="71">
        <f t="shared" si="25"/>
        <v>2.5161290322580641</v>
      </c>
      <c r="AN166" s="71">
        <f t="shared" si="25"/>
        <v>2.0322580645161286</v>
      </c>
      <c r="AO166" s="71">
        <f t="shared" si="25"/>
        <v>1.6780399318215102</v>
      </c>
      <c r="AP166" s="76"/>
      <c r="AQ166" s="81">
        <f>D47*(Burden!F$20)</f>
        <v>138604.55018109063</v>
      </c>
      <c r="AR166" s="181" t="str">
        <f t="shared" si="21"/>
        <v>Badghis</v>
      </c>
      <c r="AS166" s="180">
        <f>$AQ166*AD166/100/Burden!F$23</f>
        <v>286.1513294061225</v>
      </c>
      <c r="AT166" s="180">
        <f t="shared" si="26"/>
        <v>514.40869026391863</v>
      </c>
      <c r="AU166" s="180">
        <f t="shared" si="26"/>
        <v>622.99543021675015</v>
      </c>
      <c r="AV166" s="180">
        <f t="shared" si="26"/>
        <v>771.32767550645269</v>
      </c>
      <c r="AW166" s="180">
        <f t="shared" si="26"/>
        <v>919.65992079615501</v>
      </c>
      <c r="AX166" s="180">
        <f t="shared" si="26"/>
        <v>1028.2466607489866</v>
      </c>
      <c r="AY166" s="180">
        <f t="shared" si="26"/>
        <v>1067.9921660858577</v>
      </c>
      <c r="AZ166" s="180">
        <f t="shared" si="26"/>
        <v>1028.2466607489866</v>
      </c>
      <c r="BA166" s="180">
        <f t="shared" si="26"/>
        <v>919.65992079615501</v>
      </c>
      <c r="BB166" s="180">
        <f t="shared" si="26"/>
        <v>771.32767550645269</v>
      </c>
      <c r="BC166" s="180">
        <f t="shared" si="26"/>
        <v>622.99543021675015</v>
      </c>
      <c r="BD166" s="180">
        <f t="shared" si="26"/>
        <v>514.40869026391863</v>
      </c>
      <c r="BE166" s="81" cm="1">
        <f t="array" ref="BE166">AQ166*AVERAGE(TableP6to59[[#This Row],[Jan-23]:[Dec-23]]/100*(Burden!$F$21+1))</f>
        <v>9067.4202505565063</v>
      </c>
      <c r="BF166" s="86">
        <f t="shared" ref="BF166:BF198" si="27">BE166-AS166</f>
        <v>8781.2689211503839</v>
      </c>
      <c r="BG166" s="20"/>
      <c r="BH166" s="88">
        <f t="shared" si="23"/>
        <v>9067.4202505565081</v>
      </c>
      <c r="BI166" s="20"/>
      <c r="BJ166" s="20"/>
      <c r="BK166" s="20"/>
      <c r="BO166" s="20"/>
      <c r="BY166"/>
      <c r="BZ166"/>
      <c r="CF166"/>
      <c r="CG166"/>
    </row>
    <row r="167" spans="6:85" ht="15.5" x14ac:dyDescent="0.35">
      <c r="F167" s="65"/>
      <c r="AA167" s="79"/>
      <c r="AB167" s="20"/>
      <c r="AC167" s="20" t="str">
        <f t="shared" si="24"/>
        <v>Baghlan</v>
      </c>
      <c r="AD167" s="71">
        <f t="shared" si="25"/>
        <v>1.3148099308730863</v>
      </c>
      <c r="AE167" s="71">
        <f t="shared" si="25"/>
        <v>1.4249043868661686</v>
      </c>
      <c r="AF167" s="71">
        <f t="shared" si="25"/>
        <v>1.7256880342709258</v>
      </c>
      <c r="AG167" s="71">
        <f t="shared" si="25"/>
        <v>2.1365661376687655</v>
      </c>
      <c r="AH167" s="71">
        <f t="shared" si="25"/>
        <v>2.5474442410666049</v>
      </c>
      <c r="AI167" s="71">
        <f t="shared" si="25"/>
        <v>2.8482278884713619</v>
      </c>
      <c r="AJ167" s="71">
        <f t="shared" si="25"/>
        <v>2.9583223444644444</v>
      </c>
      <c r="AK167" s="71">
        <f t="shared" si="25"/>
        <v>2.8482278884713619</v>
      </c>
      <c r="AL167" s="71">
        <f t="shared" si="25"/>
        <v>2.5474442410666049</v>
      </c>
      <c r="AM167" s="71">
        <f t="shared" si="25"/>
        <v>2.1365661376687655</v>
      </c>
      <c r="AN167" s="71">
        <f t="shared" si="25"/>
        <v>1.7256880342709258</v>
      </c>
      <c r="AO167" s="71">
        <f t="shared" si="25"/>
        <v>1.4249043868661686</v>
      </c>
      <c r="AP167" s="76"/>
      <c r="AQ167" s="81">
        <f>D48*(Burden!F$20)</f>
        <v>254831.30453467558</v>
      </c>
      <c r="AR167" s="181" t="str">
        <f t="shared" si="21"/>
        <v>Baghlan</v>
      </c>
      <c r="AS167" s="180">
        <f>$AQ167*AD167/100/Burden!F$23</f>
        <v>446.7396398660469</v>
      </c>
      <c r="AT167" s="180">
        <f t="shared" si="26"/>
        <v>803.09517872731226</v>
      </c>
      <c r="AU167" s="180">
        <f t="shared" si="26"/>
        <v>972.62086711545817</v>
      </c>
      <c r="AV167" s="180">
        <f t="shared" si="26"/>
        <v>1204.1972640477104</v>
      </c>
      <c r="AW167" s="180">
        <f t="shared" si="26"/>
        <v>1435.7736609799622</v>
      </c>
      <c r="AX167" s="180">
        <f t="shared" si="26"/>
        <v>1605.2993493681083</v>
      </c>
      <c r="AY167" s="180">
        <f t="shared" si="26"/>
        <v>1667.3500579122142</v>
      </c>
      <c r="AZ167" s="180">
        <f t="shared" si="26"/>
        <v>1605.2993493681083</v>
      </c>
      <c r="BA167" s="180">
        <f t="shared" si="26"/>
        <v>1435.7736609799622</v>
      </c>
      <c r="BB167" s="180">
        <f t="shared" si="26"/>
        <v>1204.1972640477104</v>
      </c>
      <c r="BC167" s="180">
        <f t="shared" si="26"/>
        <v>972.62086711545817</v>
      </c>
      <c r="BD167" s="180">
        <f t="shared" si="26"/>
        <v>803.09517872731226</v>
      </c>
      <c r="BE167" s="81" cm="1">
        <f t="array" ref="BE167">AQ167*AVERAGE(TableP6to59[[#This Row],[Jan-23]:[Dec-23]]/100*(Burden!$F$21+1))</f>
        <v>14156.062338255364</v>
      </c>
      <c r="BF167" s="86">
        <f t="shared" si="27"/>
        <v>13709.322698389316</v>
      </c>
      <c r="BG167" s="20"/>
      <c r="BH167" s="88">
        <f t="shared" si="23"/>
        <v>14156.062338255362</v>
      </c>
      <c r="BI167" s="20"/>
      <c r="BJ167" s="20"/>
      <c r="BK167" s="20"/>
      <c r="BL167" s="20"/>
      <c r="BM167" s="20"/>
      <c r="BN167" s="20"/>
      <c r="BO167" s="20"/>
      <c r="BY167"/>
      <c r="BZ167"/>
      <c r="CF167"/>
      <c r="CG167"/>
    </row>
    <row r="168" spans="6:85" ht="15.5" x14ac:dyDescent="0.35">
      <c r="F168" s="65"/>
      <c r="AA168" s="79"/>
      <c r="AB168" s="20"/>
      <c r="AC168" s="20" t="str">
        <f t="shared" si="24"/>
        <v>Balkh</v>
      </c>
      <c r="AD168" s="71">
        <f t="shared" si="25"/>
        <v>0.61817219744307994</v>
      </c>
      <c r="AE168" s="71">
        <f t="shared" si="25"/>
        <v>0.66993430403315668</v>
      </c>
      <c r="AF168" s="71">
        <f t="shared" si="25"/>
        <v>0.81135100914404246</v>
      </c>
      <c r="AG168" s="71">
        <f t="shared" si="25"/>
        <v>1.0045298208450049</v>
      </c>
      <c r="AH168" s="71">
        <f t="shared" si="25"/>
        <v>1.1977086325459674</v>
      </c>
      <c r="AI168" s="71">
        <f t="shared" si="25"/>
        <v>1.3391253376568533</v>
      </c>
      <c r="AJ168" s="71">
        <f t="shared" si="25"/>
        <v>1.3908874442469299</v>
      </c>
      <c r="AK168" s="71">
        <f t="shared" si="25"/>
        <v>1.3391253376568533</v>
      </c>
      <c r="AL168" s="71">
        <f t="shared" si="25"/>
        <v>1.1977086325459674</v>
      </c>
      <c r="AM168" s="71">
        <f t="shared" si="25"/>
        <v>1.0045298208450049</v>
      </c>
      <c r="AN168" s="71">
        <f t="shared" si="25"/>
        <v>0.81135100914404246</v>
      </c>
      <c r="AO168" s="71">
        <f t="shared" si="25"/>
        <v>0.66993430403315668</v>
      </c>
      <c r="AP168" s="76"/>
      <c r="AQ168" s="81">
        <f>D49*(Burden!F$20)</f>
        <v>372122.77803470753</v>
      </c>
      <c r="AR168" s="181" t="str">
        <f t="shared" si="21"/>
        <v>Balkh</v>
      </c>
      <c r="AS168" s="180">
        <f>$AQ168*AD168/100/Burden!F$23</f>
        <v>306.71460722178483</v>
      </c>
      <c r="AT168" s="180">
        <f t="shared" si="26"/>
        <v>551.37489563029374</v>
      </c>
      <c r="AU168" s="180">
        <f t="shared" si="26"/>
        <v>667.76484693070586</v>
      </c>
      <c r="AV168" s="180">
        <f t="shared" si="26"/>
        <v>826.75647715230264</v>
      </c>
      <c r="AW168" s="180">
        <f t="shared" si="26"/>
        <v>985.74810737389919</v>
      </c>
      <c r="AX168" s="180">
        <f t="shared" si="26"/>
        <v>1102.1380586743114</v>
      </c>
      <c r="AY168" s="180">
        <f t="shared" si="26"/>
        <v>1144.7397375954959</v>
      </c>
      <c r="AZ168" s="180">
        <f t="shared" si="26"/>
        <v>1102.1380586743114</v>
      </c>
      <c r="BA168" s="180">
        <f t="shared" si="26"/>
        <v>985.74810737389919</v>
      </c>
      <c r="BB168" s="180">
        <f t="shared" si="26"/>
        <v>826.75647715230264</v>
      </c>
      <c r="BC168" s="180">
        <f t="shared" si="26"/>
        <v>667.76484693070586</v>
      </c>
      <c r="BD168" s="180">
        <f t="shared" si="26"/>
        <v>551.37489563029374</v>
      </c>
      <c r="BE168" s="81" cm="1">
        <f t="array" ref="BE168">AQ168*AVERAGE(TableP6to59[[#This Row],[Jan-23]:[Dec-23]]/100*(Burden!$F$21+1))</f>
        <v>9719.0191163403069</v>
      </c>
      <c r="BF168" s="86">
        <f t="shared" si="27"/>
        <v>9412.3045091185213</v>
      </c>
      <c r="BG168" s="20"/>
      <c r="BH168" s="88">
        <f t="shared" si="23"/>
        <v>9719.0191163403069</v>
      </c>
      <c r="BI168" s="20"/>
      <c r="BJ168" s="20"/>
      <c r="BK168" s="20"/>
      <c r="BL168" s="20"/>
      <c r="BM168" s="20"/>
      <c r="BN168" s="20"/>
      <c r="BO168" s="20"/>
      <c r="BY168"/>
      <c r="BZ168"/>
      <c r="CF168"/>
      <c r="CG168"/>
    </row>
    <row r="169" spans="6:85" ht="15.5" x14ac:dyDescent="0.35">
      <c r="F169" s="65"/>
      <c r="AA169" s="79"/>
      <c r="AB169" s="20"/>
      <c r="AC169" s="20" t="str">
        <f t="shared" si="24"/>
        <v>Bamyan</v>
      </c>
      <c r="AD169" s="71">
        <f t="shared" si="25"/>
        <v>0.60117968215907158</v>
      </c>
      <c r="AE169" s="71">
        <f t="shared" si="25"/>
        <v>0.65151893539048467</v>
      </c>
      <c r="AF169" s="71">
        <f t="shared" si="25"/>
        <v>0.7890483328337814</v>
      </c>
      <c r="AG169" s="71">
        <f t="shared" si="25"/>
        <v>0.97691698350849132</v>
      </c>
      <c r="AH169" s="71">
        <f t="shared" si="25"/>
        <v>1.1647856341832012</v>
      </c>
      <c r="AI169" s="71">
        <f t="shared" si="25"/>
        <v>1.302315031626498</v>
      </c>
      <c r="AJ169" s="71">
        <f t="shared" si="25"/>
        <v>1.3526542848579111</v>
      </c>
      <c r="AK169" s="71">
        <f t="shared" si="25"/>
        <v>1.302315031626498</v>
      </c>
      <c r="AL169" s="71">
        <f t="shared" si="25"/>
        <v>1.1647856341832012</v>
      </c>
      <c r="AM169" s="71">
        <f t="shared" si="25"/>
        <v>0.97691698350849132</v>
      </c>
      <c r="AN169" s="71">
        <f t="shared" si="25"/>
        <v>0.7890483328337814</v>
      </c>
      <c r="AO169" s="71">
        <f t="shared" si="25"/>
        <v>0.65151893539048467</v>
      </c>
      <c r="AP169" s="76"/>
      <c r="AQ169" s="81">
        <f>D50*(Burden!F$20)</f>
        <v>124982.30304844408</v>
      </c>
      <c r="AR169" s="181" t="str">
        <f t="shared" si="21"/>
        <v>Bamyan</v>
      </c>
      <c r="AS169" s="180">
        <f>$AQ169*AD169/100/Burden!F$23</f>
        <v>100.18242829622983</v>
      </c>
      <c r="AT169" s="180">
        <f t="shared" si="26"/>
        <v>180.09600666289933</v>
      </c>
      <c r="AU169" s="180">
        <f t="shared" si="26"/>
        <v>218.11254606470141</v>
      </c>
      <c r="AV169" s="180">
        <f t="shared" si="26"/>
        <v>270.04410465153512</v>
      </c>
      <c r="AW169" s="180">
        <f t="shared" si="26"/>
        <v>321.97566323836872</v>
      </c>
      <c r="AX169" s="180">
        <f t="shared" si="26"/>
        <v>359.99220264017083</v>
      </c>
      <c r="AY169" s="180">
        <f t="shared" si="26"/>
        <v>373.90722182520244</v>
      </c>
      <c r="AZ169" s="180">
        <f t="shared" si="26"/>
        <v>359.99220264017083</v>
      </c>
      <c r="BA169" s="180">
        <f t="shared" si="26"/>
        <v>321.97566323836872</v>
      </c>
      <c r="BB169" s="180">
        <f t="shared" si="26"/>
        <v>270.04410465153512</v>
      </c>
      <c r="BC169" s="180">
        <f t="shared" si="26"/>
        <v>218.11254606470141</v>
      </c>
      <c r="BD169" s="180">
        <f t="shared" si="26"/>
        <v>180.09600666289933</v>
      </c>
      <c r="BE169" s="81" cm="1">
        <f t="array" ref="BE169">AQ169*AVERAGE(TableP6to59[[#This Row],[Jan-23]:[Dec-23]]/100*(Burden!$F$21+1))</f>
        <v>3174.530696636783</v>
      </c>
      <c r="BF169" s="86">
        <f t="shared" si="27"/>
        <v>3074.3482683405532</v>
      </c>
      <c r="BG169" s="20"/>
      <c r="BH169" s="88">
        <f t="shared" si="23"/>
        <v>3174.5306966367834</v>
      </c>
      <c r="BI169" s="20"/>
      <c r="BJ169" s="20"/>
      <c r="BK169" s="20"/>
      <c r="BL169" s="20"/>
      <c r="BM169" s="20"/>
      <c r="BN169" s="20"/>
      <c r="BO169" s="20"/>
      <c r="BY169"/>
      <c r="BZ169"/>
      <c r="CF169"/>
      <c r="CG169"/>
    </row>
    <row r="170" spans="6:85" ht="15.5" x14ac:dyDescent="0.35">
      <c r="F170" s="65"/>
      <c r="AA170" s="79"/>
      <c r="AB170" s="20"/>
      <c r="AC170" s="20" t="str">
        <f t="shared" si="24"/>
        <v>Dykundi</v>
      </c>
      <c r="AD170" s="71">
        <f t="shared" si="25"/>
        <v>0.53399055734670919</v>
      </c>
      <c r="AE170" s="71">
        <f t="shared" si="25"/>
        <v>0.57870378816136414</v>
      </c>
      <c r="AF170" s="71">
        <f t="shared" si="25"/>
        <v>0.70086260651755583</v>
      </c>
      <c r="AG170" s="71">
        <f t="shared" si="25"/>
        <v>0.86773465568840258</v>
      </c>
      <c r="AH170" s="71">
        <f t="shared" si="25"/>
        <v>1.0346067048592491</v>
      </c>
      <c r="AI170" s="71">
        <f t="shared" si="25"/>
        <v>1.156765523215441</v>
      </c>
      <c r="AJ170" s="71">
        <f t="shared" si="25"/>
        <v>1.201478754030096</v>
      </c>
      <c r="AK170" s="71">
        <f t="shared" si="25"/>
        <v>1.156765523215441</v>
      </c>
      <c r="AL170" s="71">
        <f t="shared" si="25"/>
        <v>1.0346067048592491</v>
      </c>
      <c r="AM170" s="71">
        <f t="shared" si="25"/>
        <v>0.86773465568840258</v>
      </c>
      <c r="AN170" s="71">
        <f t="shared" si="25"/>
        <v>0.70086260651755583</v>
      </c>
      <c r="AO170" s="71">
        <f t="shared" si="25"/>
        <v>0.57870378816136414</v>
      </c>
      <c r="AP170" s="76"/>
      <c r="AQ170" s="81">
        <f>D51*(Burden!F$20)</f>
        <v>128705.93352575472</v>
      </c>
      <c r="AR170" s="181" t="str">
        <f t="shared" si="21"/>
        <v>Dykundi</v>
      </c>
      <c r="AS170" s="180">
        <f>$AQ170*AD170/100/Burden!F$23</f>
        <v>91.637004236328352</v>
      </c>
      <c r="AT170" s="180">
        <f t="shared" si="26"/>
        <v>164.73406370940401</v>
      </c>
      <c r="AU170" s="180">
        <f t="shared" si="26"/>
        <v>199.50784431604342</v>
      </c>
      <c r="AV170" s="180">
        <f t="shared" si="26"/>
        <v>247.00971201033948</v>
      </c>
      <c r="AW170" s="180">
        <f t="shared" si="26"/>
        <v>294.51157970463555</v>
      </c>
      <c r="AX170" s="180">
        <f t="shared" si="26"/>
        <v>329.28536031127499</v>
      </c>
      <c r="AY170" s="180">
        <f t="shared" si="26"/>
        <v>342.01344739893159</v>
      </c>
      <c r="AZ170" s="180">
        <f t="shared" si="26"/>
        <v>329.28536031127499</v>
      </c>
      <c r="BA170" s="180">
        <f t="shared" si="26"/>
        <v>294.51157970463555</v>
      </c>
      <c r="BB170" s="180">
        <f t="shared" si="26"/>
        <v>247.00971201033948</v>
      </c>
      <c r="BC170" s="180">
        <f t="shared" si="26"/>
        <v>199.50784431604342</v>
      </c>
      <c r="BD170" s="180">
        <f t="shared" si="26"/>
        <v>164.73406370940401</v>
      </c>
      <c r="BE170" s="81" cm="1">
        <f t="array" ref="BE170">AQ170*AVERAGE(TableP6to59[[#This Row],[Jan-23]:[Dec-23]]/100*(Burden!$F$21+1))</f>
        <v>2903.7475717386546</v>
      </c>
      <c r="BF170" s="86">
        <f t="shared" si="27"/>
        <v>2812.1105675023264</v>
      </c>
      <c r="BG170" s="20"/>
      <c r="BH170" s="88">
        <f t="shared" si="23"/>
        <v>2903.7475717386546</v>
      </c>
      <c r="BI170" s="20"/>
      <c r="BJ170" s="20"/>
      <c r="BK170" s="20"/>
      <c r="BL170" s="20"/>
      <c r="BM170" s="20"/>
      <c r="BN170" s="20"/>
      <c r="BO170" s="20"/>
      <c r="BY170"/>
      <c r="BZ170"/>
      <c r="CF170"/>
      <c r="CG170"/>
    </row>
    <row r="171" spans="6:85" ht="15.5" x14ac:dyDescent="0.35">
      <c r="F171" s="65"/>
      <c r="AA171" s="79"/>
      <c r="AB171" s="20"/>
      <c r="AC171" s="20" t="str">
        <f t="shared" si="24"/>
        <v>Farah</v>
      </c>
      <c r="AD171" s="71">
        <f t="shared" si="25"/>
        <v>0.69767914242594087</v>
      </c>
      <c r="AE171" s="71">
        <f t="shared" si="25"/>
        <v>0.75609869329752488</v>
      </c>
      <c r="AF171" s="71">
        <f t="shared" si="25"/>
        <v>0.91570387443404744</v>
      </c>
      <c r="AG171" s="71">
        <f t="shared" si="25"/>
        <v>1.1337286064421541</v>
      </c>
      <c r="AH171" s="71">
        <f t="shared" si="25"/>
        <v>1.3517533384502607</v>
      </c>
      <c r="AI171" s="71">
        <f t="shared" si="25"/>
        <v>1.5113585195867831</v>
      </c>
      <c r="AJ171" s="71">
        <f t="shared" si="25"/>
        <v>1.5697780704583673</v>
      </c>
      <c r="AK171" s="71">
        <f t="shared" si="25"/>
        <v>1.5113585195867831</v>
      </c>
      <c r="AL171" s="71">
        <f t="shared" si="25"/>
        <v>1.3517533384502607</v>
      </c>
      <c r="AM171" s="71">
        <f t="shared" si="25"/>
        <v>1.1337286064421541</v>
      </c>
      <c r="AN171" s="71">
        <f t="shared" si="25"/>
        <v>0.91570387443404744</v>
      </c>
      <c r="AO171" s="71">
        <f t="shared" si="25"/>
        <v>0.75609869329752488</v>
      </c>
      <c r="AP171" s="76"/>
      <c r="AQ171" s="81">
        <f>D52*(Burden!F$20)</f>
        <v>141845.16709261059</v>
      </c>
      <c r="AR171" s="181" t="str">
        <f t="shared" si="21"/>
        <v>Farah</v>
      </c>
      <c r="AS171" s="180">
        <f>$AQ171*AD171/100/Burden!F$23</f>
        <v>131.9498860459158</v>
      </c>
      <c r="AT171" s="180">
        <f t="shared" si="26"/>
        <v>237.20374880739791</v>
      </c>
      <c r="AU171" s="180">
        <f t="shared" si="26"/>
        <v>287.27518475917174</v>
      </c>
      <c r="AV171" s="180">
        <f t="shared" si="26"/>
        <v>355.67403827326029</v>
      </c>
      <c r="AW171" s="180">
        <f t="shared" si="26"/>
        <v>424.07289178734879</v>
      </c>
      <c r="AX171" s="180">
        <f t="shared" si="26"/>
        <v>474.14432773912273</v>
      </c>
      <c r="AY171" s="180">
        <f t="shared" si="26"/>
        <v>492.47174530143735</v>
      </c>
      <c r="AZ171" s="180">
        <f t="shared" si="26"/>
        <v>474.14432773912273</v>
      </c>
      <c r="BA171" s="180">
        <f t="shared" si="26"/>
        <v>424.07289178734879</v>
      </c>
      <c r="BB171" s="180">
        <f t="shared" si="26"/>
        <v>355.67403827326029</v>
      </c>
      <c r="BC171" s="180">
        <f t="shared" si="26"/>
        <v>287.27518475917174</v>
      </c>
      <c r="BD171" s="180">
        <f t="shared" si="26"/>
        <v>237.20374880739791</v>
      </c>
      <c r="BE171" s="81" cm="1">
        <f t="array" ref="BE171">AQ171*AVERAGE(TableP6to59[[#This Row],[Jan-23]:[Dec-23]]/100*(Burden!$F$21+1))</f>
        <v>4181.162014079956</v>
      </c>
      <c r="BF171" s="86">
        <f t="shared" si="27"/>
        <v>4049.2121280340402</v>
      </c>
      <c r="BG171" s="20"/>
      <c r="BH171" s="88">
        <f t="shared" si="23"/>
        <v>4181.1620140799569</v>
      </c>
      <c r="BI171" s="20"/>
      <c r="BJ171" s="20"/>
      <c r="BK171" s="20"/>
      <c r="BL171" s="20"/>
      <c r="BM171" s="20"/>
      <c r="BN171" s="20"/>
      <c r="BO171" s="20"/>
      <c r="BY171"/>
      <c r="BZ171"/>
      <c r="CF171"/>
      <c r="CG171"/>
    </row>
    <row r="172" spans="6:85" ht="15.5" x14ac:dyDescent="0.35">
      <c r="F172" s="65"/>
      <c r="AA172" s="79"/>
      <c r="AB172" s="20"/>
      <c r="AC172" s="20" t="str">
        <f t="shared" si="24"/>
        <v>Faryab</v>
      </c>
      <c r="AD172" s="71">
        <f t="shared" si="25"/>
        <v>0.69021378187510007</v>
      </c>
      <c r="AE172" s="71">
        <f t="shared" si="25"/>
        <v>0.74800822733080763</v>
      </c>
      <c r="AF172" s="71">
        <f t="shared" si="25"/>
        <v>0.90590558871106897</v>
      </c>
      <c r="AG172" s="71">
        <f t="shared" si="25"/>
        <v>1.1215973955470377</v>
      </c>
      <c r="AH172" s="71">
        <f t="shared" si="25"/>
        <v>1.3372892023830065</v>
      </c>
      <c r="AI172" s="71">
        <f t="shared" si="25"/>
        <v>1.495186563763268</v>
      </c>
      <c r="AJ172" s="71">
        <f t="shared" si="25"/>
        <v>1.5529810092189755</v>
      </c>
      <c r="AK172" s="71">
        <f t="shared" si="25"/>
        <v>1.495186563763268</v>
      </c>
      <c r="AL172" s="71">
        <f t="shared" si="25"/>
        <v>1.3372892023830065</v>
      </c>
      <c r="AM172" s="71">
        <f t="shared" si="25"/>
        <v>1.1215973955470377</v>
      </c>
      <c r="AN172" s="71">
        <f t="shared" si="25"/>
        <v>0.90590558871106897</v>
      </c>
      <c r="AO172" s="71">
        <f t="shared" si="25"/>
        <v>0.74800822733080763</v>
      </c>
      <c r="AP172" s="76"/>
      <c r="AQ172" s="81">
        <f>D53*(Burden!F$20)</f>
        <v>279123.83541382162</v>
      </c>
      <c r="AR172" s="181" t="str">
        <f t="shared" si="21"/>
        <v>Faryab</v>
      </c>
      <c r="AS172" s="180">
        <f>$AQ172*AD172/100/Burden!F$23</f>
        <v>256.87349073660909</v>
      </c>
      <c r="AT172" s="180">
        <f t="shared" si="26"/>
        <v>461.77648801275399</v>
      </c>
      <c r="AU172" s="180">
        <f t="shared" si="26"/>
        <v>559.25307495464028</v>
      </c>
      <c r="AV172" s="180">
        <f t="shared" si="26"/>
        <v>692.40856899145945</v>
      </c>
      <c r="AW172" s="180">
        <f t="shared" si="26"/>
        <v>825.56406302827861</v>
      </c>
      <c r="AX172" s="180">
        <f t="shared" si="26"/>
        <v>923.04064997016496</v>
      </c>
      <c r="AY172" s="180">
        <f t="shared" si="26"/>
        <v>958.71955706509777</v>
      </c>
      <c r="AZ172" s="180">
        <f t="shared" si="26"/>
        <v>923.04064997016496</v>
      </c>
      <c r="BA172" s="180">
        <f t="shared" si="26"/>
        <v>825.56406302827861</v>
      </c>
      <c r="BB172" s="180">
        <f t="shared" si="26"/>
        <v>692.40856899145945</v>
      </c>
      <c r="BC172" s="180">
        <f t="shared" si="26"/>
        <v>559.25307495464028</v>
      </c>
      <c r="BD172" s="180">
        <f t="shared" si="26"/>
        <v>461.77648801275399</v>
      </c>
      <c r="BE172" s="81" cm="1">
        <f t="array" ref="BE172">AQ172*AVERAGE(TableP6to59[[#This Row],[Jan-23]:[Dec-23]]/100*(Burden!$F$21+1))</f>
        <v>8139.6787377163009</v>
      </c>
      <c r="BF172" s="86">
        <f t="shared" si="27"/>
        <v>7882.8052469796921</v>
      </c>
      <c r="BG172" s="20"/>
      <c r="BH172" s="88">
        <f t="shared" si="23"/>
        <v>8139.6787377163018</v>
      </c>
      <c r="BI172" s="20"/>
      <c r="BJ172" s="20"/>
      <c r="BK172" s="20"/>
      <c r="BL172" s="20"/>
      <c r="BM172" s="20"/>
      <c r="BN172" s="20"/>
      <c r="BO172" s="20"/>
      <c r="BY172"/>
      <c r="BZ172"/>
      <c r="CF172"/>
      <c r="CG172"/>
    </row>
    <row r="173" spans="6:85" ht="15.5" x14ac:dyDescent="0.35">
      <c r="F173" s="65"/>
      <c r="AA173" s="79"/>
      <c r="AB173" s="20"/>
      <c r="AC173" s="20" t="str">
        <f t="shared" si="24"/>
        <v>Ghazni</v>
      </c>
      <c r="AD173" s="71">
        <f t="shared" si="25"/>
        <v>3.7161290322580638</v>
      </c>
      <c r="AE173" s="71">
        <f t="shared" si="25"/>
        <v>4.0272958363716258</v>
      </c>
      <c r="AF173" s="71">
        <f t="shared" si="25"/>
        <v>4.8774193548387093</v>
      </c>
      <c r="AG173" s="71">
        <f t="shared" si="25"/>
        <v>6.0387096774193543</v>
      </c>
      <c r="AH173" s="71">
        <f t="shared" si="25"/>
        <v>7.1999999999999993</v>
      </c>
      <c r="AI173" s="71">
        <f t="shared" si="25"/>
        <v>8.0501235184670836</v>
      </c>
      <c r="AJ173" s="71">
        <f t="shared" si="25"/>
        <v>8.3612903225806452</v>
      </c>
      <c r="AK173" s="71">
        <f t="shared" si="25"/>
        <v>8.0501235184670836</v>
      </c>
      <c r="AL173" s="71">
        <f t="shared" si="25"/>
        <v>7.1999999999999993</v>
      </c>
      <c r="AM173" s="71">
        <f t="shared" si="25"/>
        <v>6.0387096774193543</v>
      </c>
      <c r="AN173" s="71">
        <f t="shared" si="25"/>
        <v>4.8774193548387093</v>
      </c>
      <c r="AO173" s="71">
        <f t="shared" si="25"/>
        <v>4.0272958363716258</v>
      </c>
      <c r="AP173" s="76"/>
      <c r="AQ173" s="81">
        <f>D54*(Burden!F$20)</f>
        <v>343463.60658696765</v>
      </c>
      <c r="AR173" s="181" t="str">
        <f t="shared" si="21"/>
        <v>Ghazni</v>
      </c>
      <c r="AS173" s="180">
        <f>$AQ173*AD173/100/Burden!F$23</f>
        <v>1701.8067732825232</v>
      </c>
      <c r="AT173" s="180">
        <f t="shared" si="26"/>
        <v>3059.3050018092908</v>
      </c>
      <c r="AU173" s="180">
        <f t="shared" si="26"/>
        <v>3705.0949407339735</v>
      </c>
      <c r="AV173" s="180">
        <f t="shared" si="26"/>
        <v>4587.260402813492</v>
      </c>
      <c r="AW173" s="180">
        <f t="shared" si="26"/>
        <v>5469.425864893009</v>
      </c>
      <c r="AX173" s="180">
        <f t="shared" si="26"/>
        <v>6115.2158038176922</v>
      </c>
      <c r="AY173" s="180">
        <f t="shared" si="26"/>
        <v>6351.591326972527</v>
      </c>
      <c r="AZ173" s="180">
        <f t="shared" si="26"/>
        <v>6115.2158038176922</v>
      </c>
      <c r="BA173" s="180">
        <f t="shared" si="26"/>
        <v>5469.425864893009</v>
      </c>
      <c r="BB173" s="180">
        <f t="shared" si="26"/>
        <v>4587.260402813492</v>
      </c>
      <c r="BC173" s="180">
        <f t="shared" si="26"/>
        <v>3705.0949407339735</v>
      </c>
      <c r="BD173" s="180">
        <f t="shared" si="26"/>
        <v>3059.3050018092908</v>
      </c>
      <c r="BE173" s="81" cm="1">
        <f t="array" ref="BE173">AQ173*AVERAGE(TableP6to59[[#This Row],[Jan-23]:[Dec-23]]/100*(Burden!$F$21+1))</f>
        <v>53926.002128389962</v>
      </c>
      <c r="BF173" s="86">
        <f t="shared" si="27"/>
        <v>52224.19535510744</v>
      </c>
      <c r="BG173" s="20"/>
      <c r="BH173" s="88">
        <f t="shared" si="23"/>
        <v>53926.002128389962</v>
      </c>
      <c r="BI173" s="20"/>
      <c r="BJ173" s="20"/>
      <c r="BK173" s="20"/>
      <c r="BL173" s="20"/>
      <c r="BM173" s="20"/>
      <c r="BN173" s="20"/>
      <c r="BO173" s="20"/>
      <c r="BY173"/>
      <c r="BZ173"/>
      <c r="CF173"/>
    </row>
    <row r="174" spans="6:85" ht="15.5" x14ac:dyDescent="0.35">
      <c r="F174" s="65"/>
      <c r="AA174" s="79"/>
      <c r="AB174" s="20"/>
      <c r="AC174" s="20" t="str">
        <f t="shared" si="24"/>
        <v>Ghor</v>
      </c>
      <c r="AD174" s="71">
        <f t="shared" si="25"/>
        <v>4.2322580645161283</v>
      </c>
      <c r="AE174" s="71">
        <f t="shared" si="25"/>
        <v>4.5866424803121291</v>
      </c>
      <c r="AF174" s="71">
        <f t="shared" si="25"/>
        <v>5.5548387096774192</v>
      </c>
      <c r="AG174" s="71">
        <f t="shared" si="25"/>
        <v>6.8774193548387093</v>
      </c>
      <c r="AH174" s="71">
        <f t="shared" si="25"/>
        <v>8.1999999999999993</v>
      </c>
      <c r="AI174" s="71">
        <f t="shared" si="25"/>
        <v>9.1681962293652894</v>
      </c>
      <c r="AJ174" s="71">
        <f t="shared" si="25"/>
        <v>9.5225806451612911</v>
      </c>
      <c r="AK174" s="71">
        <f t="shared" si="25"/>
        <v>9.1681962293652894</v>
      </c>
      <c r="AL174" s="71">
        <f t="shared" si="25"/>
        <v>8.1999999999999993</v>
      </c>
      <c r="AM174" s="71">
        <f t="shared" si="25"/>
        <v>6.8774193548387093</v>
      </c>
      <c r="AN174" s="71">
        <f t="shared" si="25"/>
        <v>5.5548387096774192</v>
      </c>
      <c r="AO174" s="71">
        <f t="shared" si="25"/>
        <v>4.5866424803121291</v>
      </c>
      <c r="AP174" s="76"/>
      <c r="AQ174" s="81">
        <f>D55*(Burden!F$20)</f>
        <v>192890.10670331877</v>
      </c>
      <c r="AR174" s="181" t="str">
        <f t="shared" si="21"/>
        <v>Ghor</v>
      </c>
      <c r="AS174" s="180">
        <f>$AQ174*AD174/100/Burden!F$23</f>
        <v>1088.4809462139965</v>
      </c>
      <c r="AT174" s="180">
        <f t="shared" si="26"/>
        <v>1956.7410680259197</v>
      </c>
      <c r="AU174" s="180">
        <f t="shared" si="26"/>
        <v>2369.790337080346</v>
      </c>
      <c r="AV174" s="180">
        <f t="shared" si="26"/>
        <v>2934.0261316232859</v>
      </c>
      <c r="AW174" s="180">
        <f t="shared" si="26"/>
        <v>3498.2619261662253</v>
      </c>
      <c r="AX174" s="180">
        <f t="shared" si="26"/>
        <v>3911.3111952206518</v>
      </c>
      <c r="AY174" s="180">
        <f t="shared" si="26"/>
        <v>4062.4977207091652</v>
      </c>
      <c r="AZ174" s="180">
        <f t="shared" si="26"/>
        <v>3911.3111952206518</v>
      </c>
      <c r="BA174" s="180">
        <f t="shared" si="26"/>
        <v>3498.2619261662253</v>
      </c>
      <c r="BB174" s="180">
        <f t="shared" si="26"/>
        <v>2934.0261316232859</v>
      </c>
      <c r="BC174" s="180">
        <f t="shared" si="26"/>
        <v>2369.790337080346</v>
      </c>
      <c r="BD174" s="180">
        <f t="shared" si="26"/>
        <v>1956.7410680259197</v>
      </c>
      <c r="BE174" s="81" cm="1">
        <f t="array" ref="BE174">AQ174*AVERAGE(TableP6to59[[#This Row],[Jan-23]:[Dec-23]]/100*(Burden!$F$21+1))</f>
        <v>34491.239983156018</v>
      </c>
      <c r="BF174" s="86">
        <f t="shared" si="27"/>
        <v>33402.759036942021</v>
      </c>
      <c r="BG174" s="20"/>
      <c r="BH174" s="88">
        <f t="shared" si="23"/>
        <v>34491.239983156018</v>
      </c>
      <c r="BI174" s="20"/>
      <c r="BJ174" s="20"/>
      <c r="BK174" s="20"/>
      <c r="BL174" s="20"/>
      <c r="BM174" s="20"/>
      <c r="BN174" s="20"/>
      <c r="BO174" s="20"/>
      <c r="BY174"/>
      <c r="BZ174"/>
      <c r="CF174"/>
      <c r="CG174"/>
    </row>
    <row r="175" spans="6:85" ht="15.5" x14ac:dyDescent="0.35">
      <c r="F175" s="65"/>
      <c r="AA175" s="79"/>
      <c r="AB175" s="20"/>
      <c r="AC175" s="20" t="str">
        <f t="shared" si="24"/>
        <v>Helmand</v>
      </c>
      <c r="AD175" s="71">
        <f t="shared" si="25"/>
        <v>1.5483870967741931</v>
      </c>
      <c r="AE175" s="71">
        <f t="shared" si="25"/>
        <v>1.6780399318215102</v>
      </c>
      <c r="AF175" s="71">
        <f t="shared" si="25"/>
        <v>2.0322580645161286</v>
      </c>
      <c r="AG175" s="71">
        <f t="shared" si="25"/>
        <v>2.5161290322580641</v>
      </c>
      <c r="AH175" s="71">
        <f t="shared" si="25"/>
        <v>2.9999999999999996</v>
      </c>
      <c r="AI175" s="71">
        <f t="shared" si="25"/>
        <v>3.3542181326946174</v>
      </c>
      <c r="AJ175" s="71">
        <f t="shared" si="25"/>
        <v>3.4838709677419351</v>
      </c>
      <c r="AK175" s="71">
        <f t="shared" si="25"/>
        <v>3.3542181326946174</v>
      </c>
      <c r="AL175" s="71">
        <f t="shared" si="25"/>
        <v>2.9999999999999996</v>
      </c>
      <c r="AM175" s="71">
        <f t="shared" si="25"/>
        <v>2.5161290322580641</v>
      </c>
      <c r="AN175" s="71">
        <f t="shared" si="25"/>
        <v>2.0322580645161286</v>
      </c>
      <c r="AO175" s="71">
        <f t="shared" si="25"/>
        <v>1.6780399318215102</v>
      </c>
      <c r="AP175" s="76"/>
      <c r="AQ175" s="81">
        <f>D56*(Burden!F$20)</f>
        <v>258478.78546291162</v>
      </c>
      <c r="AR175" s="181" t="str">
        <f t="shared" si="21"/>
        <v>Helmand</v>
      </c>
      <c r="AS175" s="180">
        <f>$AQ175*AD175/100/Burden!F$23</f>
        <v>533.63362160084966</v>
      </c>
      <c r="AT175" s="180">
        <f t="shared" ref="AT175:BD184" si="28">$BF175*AT$161</f>
        <v>959.30280295462194</v>
      </c>
      <c r="AU175" s="180">
        <f t="shared" si="28"/>
        <v>1161.8024223662078</v>
      </c>
      <c r="AV175" s="180">
        <f t="shared" si="28"/>
        <v>1438.4220467391146</v>
      </c>
      <c r="AW175" s="180">
        <f t="shared" si="28"/>
        <v>1715.0416711120213</v>
      </c>
      <c r="AX175" s="180">
        <f t="shared" si="28"/>
        <v>1917.5412905236074</v>
      </c>
      <c r="AY175" s="180">
        <f t="shared" si="28"/>
        <v>1991.6612954849279</v>
      </c>
      <c r="AZ175" s="180">
        <f t="shared" si="28"/>
        <v>1917.5412905236074</v>
      </c>
      <c r="BA175" s="180">
        <f t="shared" si="28"/>
        <v>1715.0416711120213</v>
      </c>
      <c r="BB175" s="180">
        <f t="shared" si="28"/>
        <v>1438.4220467391146</v>
      </c>
      <c r="BC175" s="180">
        <f t="shared" si="28"/>
        <v>1161.8024223662078</v>
      </c>
      <c r="BD175" s="180">
        <f t="shared" si="28"/>
        <v>959.30280295462194</v>
      </c>
      <c r="BE175" s="81" cm="1">
        <f t="array" ref="BE175">AQ175*AVERAGE(TableP6to59[[#This Row],[Jan-23]:[Dec-23]]/100*(Burden!$F$21+1))</f>
        <v>16909.515384476923</v>
      </c>
      <c r="BF175" s="86">
        <f t="shared" si="27"/>
        <v>16375.881762876073</v>
      </c>
      <c r="BG175" s="20"/>
      <c r="BH175" s="88">
        <f t="shared" si="23"/>
        <v>16909.515384476923</v>
      </c>
      <c r="BI175" s="20"/>
      <c r="BJ175" s="20"/>
      <c r="BK175" s="20"/>
      <c r="BL175" s="20"/>
      <c r="BM175" s="20"/>
      <c r="BN175" s="20"/>
      <c r="BO175" s="20"/>
      <c r="BP175" s="20"/>
      <c r="BQ175" s="20"/>
      <c r="BR175" s="20"/>
      <c r="BY175"/>
      <c r="BZ175"/>
      <c r="CF175"/>
      <c r="CG175"/>
    </row>
    <row r="176" spans="6:85" ht="15.5" x14ac:dyDescent="0.35">
      <c r="F176" s="65"/>
      <c r="AA176" s="79"/>
      <c r="AB176" s="20"/>
      <c r="AC176" s="20" t="str">
        <f t="shared" si="24"/>
        <v>Hirat</v>
      </c>
      <c r="AD176" s="71">
        <f t="shared" si="25"/>
        <v>1.7548387096774192</v>
      </c>
      <c r="AE176" s="71">
        <f t="shared" si="25"/>
        <v>1.9017785893977122</v>
      </c>
      <c r="AF176" s="71">
        <f t="shared" si="25"/>
        <v>2.3032258064516129</v>
      </c>
      <c r="AG176" s="71">
        <f t="shared" si="25"/>
        <v>2.8516129032258064</v>
      </c>
      <c r="AH176" s="71">
        <f t="shared" si="25"/>
        <v>3.4</v>
      </c>
      <c r="AI176" s="71">
        <f t="shared" si="25"/>
        <v>3.8014472170539007</v>
      </c>
      <c r="AJ176" s="71">
        <f t="shared" si="25"/>
        <v>3.9483870967741939</v>
      </c>
      <c r="AK176" s="71">
        <f t="shared" si="25"/>
        <v>3.8014472170539007</v>
      </c>
      <c r="AL176" s="71">
        <f t="shared" si="25"/>
        <v>3.4</v>
      </c>
      <c r="AM176" s="71">
        <f t="shared" si="25"/>
        <v>2.8516129032258064</v>
      </c>
      <c r="AN176" s="71">
        <f t="shared" si="25"/>
        <v>2.3032258064516129</v>
      </c>
      <c r="AO176" s="71">
        <f t="shared" si="25"/>
        <v>1.9017785893977122</v>
      </c>
      <c r="AP176" s="76"/>
      <c r="AQ176" s="81">
        <f>D57*(Burden!F$20)</f>
        <v>530112.74916360446</v>
      </c>
      <c r="AR176" s="181" t="str">
        <f t="shared" si="21"/>
        <v>Hirat</v>
      </c>
      <c r="AS176" s="180">
        <f>$AQ176*AD176/100/Burden!F$23</f>
        <v>1240.3498303010786</v>
      </c>
      <c r="AT176" s="180">
        <f t="shared" si="28"/>
        <v>2229.7528129554803</v>
      </c>
      <c r="AU176" s="180">
        <f t="shared" si="28"/>
        <v>2700.432242448147</v>
      </c>
      <c r="AV176" s="180">
        <f t="shared" si="28"/>
        <v>3343.3923001738967</v>
      </c>
      <c r="AW176" s="180">
        <f t="shared" si="28"/>
        <v>3986.352357899646</v>
      </c>
      <c r="AX176" s="180">
        <f t="shared" si="28"/>
        <v>4457.0317873923132</v>
      </c>
      <c r="AY176" s="180">
        <f t="shared" si="28"/>
        <v>4629.3124156253953</v>
      </c>
      <c r="AZ176" s="180">
        <f t="shared" si="28"/>
        <v>4457.0317873923132</v>
      </c>
      <c r="BA176" s="180">
        <f t="shared" si="28"/>
        <v>3986.352357899646</v>
      </c>
      <c r="BB176" s="180">
        <f t="shared" si="28"/>
        <v>3343.3923001738967</v>
      </c>
      <c r="BC176" s="180">
        <f t="shared" si="28"/>
        <v>2700.432242448147</v>
      </c>
      <c r="BD176" s="180">
        <f t="shared" si="28"/>
        <v>2229.7528129554803</v>
      </c>
      <c r="BE176" s="81" cm="1">
        <f t="array" ref="BE176">AQ176*AVERAGE(TableP6to59[[#This Row],[Jan-23]:[Dec-23]]/100*(Burden!$F$21+1))</f>
        <v>39303.58524766544</v>
      </c>
      <c r="BF176" s="86">
        <f t="shared" si="27"/>
        <v>38063.235417364362</v>
      </c>
      <c r="BG176" s="20"/>
      <c r="BH176" s="88">
        <f t="shared" si="23"/>
        <v>39303.585247665433</v>
      </c>
      <c r="BI176" s="20"/>
      <c r="BJ176" s="20"/>
      <c r="BK176" s="20"/>
      <c r="BL176" s="20"/>
      <c r="BM176" s="20"/>
      <c r="BN176" s="20"/>
      <c r="BO176" s="20"/>
      <c r="BP176" s="20"/>
      <c r="BQ176" s="20"/>
      <c r="BR176" s="20"/>
      <c r="BY176"/>
      <c r="BZ176"/>
      <c r="CF176"/>
      <c r="CG176"/>
    </row>
    <row r="177" spans="6:85" ht="15.5" x14ac:dyDescent="0.35">
      <c r="F177" s="65"/>
      <c r="AA177" s="79"/>
      <c r="AB177" s="20"/>
      <c r="AC177" s="20" t="str">
        <f t="shared" si="24"/>
        <v>Jawzjan</v>
      </c>
      <c r="AD177" s="71">
        <f t="shared" si="25"/>
        <v>0.9573060113113987</v>
      </c>
      <c r="AE177" s="71">
        <f t="shared" si="25"/>
        <v>1.0374651902615075</v>
      </c>
      <c r="AF177" s="71">
        <f t="shared" si="25"/>
        <v>1.2564641398462109</v>
      </c>
      <c r="AG177" s="71">
        <f t="shared" si="25"/>
        <v>1.555622268381023</v>
      </c>
      <c r="AH177" s="71">
        <f t="shared" si="25"/>
        <v>1.8547803969158352</v>
      </c>
      <c r="AI177" s="71">
        <f t="shared" si="25"/>
        <v>2.0737793465005385</v>
      </c>
      <c r="AJ177" s="71">
        <f t="shared" si="25"/>
        <v>2.1539385254506476</v>
      </c>
      <c r="AK177" s="71">
        <f t="shared" si="25"/>
        <v>2.0737793465005385</v>
      </c>
      <c r="AL177" s="71">
        <f t="shared" si="25"/>
        <v>1.8547803969158352</v>
      </c>
      <c r="AM177" s="71">
        <f t="shared" si="25"/>
        <v>1.555622268381023</v>
      </c>
      <c r="AN177" s="71">
        <f t="shared" si="25"/>
        <v>1.2564641398462109</v>
      </c>
      <c r="AO177" s="71">
        <f t="shared" si="25"/>
        <v>1.0374651902615075</v>
      </c>
      <c r="AP177" s="76"/>
      <c r="AQ177" s="81">
        <f>D58*(Burden!F$20)</f>
        <v>151171.97485958872</v>
      </c>
      <c r="AR177" s="181" t="str">
        <f t="shared" si="21"/>
        <v>Jawzjan</v>
      </c>
      <c r="AS177" s="180">
        <f>$AQ177*AD177/100/Burden!F$23</f>
        <v>192.95712036653322</v>
      </c>
      <c r="AT177" s="180">
        <f t="shared" si="28"/>
        <v>346.87526970728084</v>
      </c>
      <c r="AU177" s="180">
        <f t="shared" si="28"/>
        <v>420.09731167637767</v>
      </c>
      <c r="AV177" s="180">
        <f t="shared" si="28"/>
        <v>520.12048112313425</v>
      </c>
      <c r="AW177" s="180">
        <f t="shared" si="28"/>
        <v>620.14365056989084</v>
      </c>
      <c r="AX177" s="180">
        <f t="shared" si="28"/>
        <v>693.36569253898779</v>
      </c>
      <c r="AY177" s="180">
        <f t="shared" si="28"/>
        <v>720.16682001664753</v>
      </c>
      <c r="AZ177" s="180">
        <f t="shared" si="28"/>
        <v>693.36569253898779</v>
      </c>
      <c r="BA177" s="180">
        <f t="shared" si="28"/>
        <v>620.14365056989084</v>
      </c>
      <c r="BB177" s="180">
        <f t="shared" si="28"/>
        <v>520.12048112313425</v>
      </c>
      <c r="BC177" s="180">
        <f t="shared" si="28"/>
        <v>420.09731167637767</v>
      </c>
      <c r="BD177" s="180">
        <f t="shared" si="28"/>
        <v>346.87526970728084</v>
      </c>
      <c r="BE177" s="81" cm="1">
        <f t="array" ref="BE177">AQ177*AVERAGE(TableP6to59[[#This Row],[Jan-23]:[Dec-23]]/100*(Burden!$F$21+1))</f>
        <v>6114.3287516145238</v>
      </c>
      <c r="BF177" s="86">
        <f t="shared" si="27"/>
        <v>5921.3716312479901</v>
      </c>
      <c r="BG177" s="20"/>
      <c r="BH177" s="88">
        <f t="shared" si="23"/>
        <v>6114.3287516145238</v>
      </c>
      <c r="BI177" s="20"/>
      <c r="BJ177" s="20"/>
      <c r="BK177" s="20"/>
      <c r="BL177" s="20"/>
      <c r="BM177" s="20"/>
      <c r="BN177" s="20"/>
      <c r="BO177" s="20"/>
      <c r="BP177" s="20"/>
      <c r="BQ177" s="20"/>
      <c r="BR177" s="20"/>
      <c r="BY177"/>
      <c r="BZ177"/>
      <c r="CF177"/>
      <c r="CG177"/>
    </row>
    <row r="178" spans="6:85" ht="15.5" x14ac:dyDescent="0.35">
      <c r="F178" s="65"/>
      <c r="AA178" s="66"/>
      <c r="AB178" s="20"/>
      <c r="AC178" s="20" t="str">
        <f t="shared" si="24"/>
        <v>Kabul</v>
      </c>
      <c r="AD178" s="71">
        <f t="shared" si="25"/>
        <v>0.93272044087650663</v>
      </c>
      <c r="AE178" s="71">
        <f t="shared" si="25"/>
        <v>1.0108209686567755</v>
      </c>
      <c r="AF178" s="71">
        <f t="shared" si="25"/>
        <v>1.2241955786504151</v>
      </c>
      <c r="AG178" s="71">
        <f t="shared" si="25"/>
        <v>1.5156707164243233</v>
      </c>
      <c r="AH178" s="71">
        <f t="shared" si="25"/>
        <v>1.8071458541982317</v>
      </c>
      <c r="AI178" s="71">
        <f t="shared" si="25"/>
        <v>2.020520464191871</v>
      </c>
      <c r="AJ178" s="71">
        <f t="shared" si="25"/>
        <v>2.0986209919721399</v>
      </c>
      <c r="AK178" s="71">
        <f t="shared" si="25"/>
        <v>2.020520464191871</v>
      </c>
      <c r="AL178" s="71">
        <f t="shared" si="25"/>
        <v>1.8071458541982317</v>
      </c>
      <c r="AM178" s="71">
        <f t="shared" si="25"/>
        <v>1.5156707164243233</v>
      </c>
      <c r="AN178" s="71">
        <f t="shared" si="25"/>
        <v>1.2241955786504151</v>
      </c>
      <c r="AO178" s="71">
        <f t="shared" si="25"/>
        <v>1.0108209686567755</v>
      </c>
      <c r="AP178" s="76"/>
      <c r="AQ178" s="81">
        <f>D59*(Burden!F$20)</f>
        <v>1243606.8080885049</v>
      </c>
      <c r="AR178" s="181" t="str">
        <f t="shared" si="21"/>
        <v>Kabul</v>
      </c>
      <c r="AS178" s="180">
        <f>$AQ178*AD178/100/Burden!F$23</f>
        <v>1546.5833204231139</v>
      </c>
      <c r="AT178" s="180">
        <f t="shared" si="28"/>
        <v>2780.2628137147294</v>
      </c>
      <c r="AU178" s="180">
        <f t="shared" si="28"/>
        <v>3367.1496234971978</v>
      </c>
      <c r="AV178" s="180">
        <f t="shared" si="28"/>
        <v>4168.851914806055</v>
      </c>
      <c r="AW178" s="180">
        <f t="shared" si="28"/>
        <v>4970.5542061149108</v>
      </c>
      <c r="AX178" s="180">
        <f t="shared" si="28"/>
        <v>5557.4410158973797</v>
      </c>
      <c r="AY178" s="180">
        <f t="shared" si="28"/>
        <v>5772.2564974237675</v>
      </c>
      <c r="AZ178" s="180">
        <f t="shared" si="28"/>
        <v>5557.4410158973797</v>
      </c>
      <c r="BA178" s="180">
        <f t="shared" si="28"/>
        <v>4970.5542061149108</v>
      </c>
      <c r="BB178" s="180">
        <f t="shared" si="28"/>
        <v>4168.851914806055</v>
      </c>
      <c r="BC178" s="180">
        <f t="shared" si="28"/>
        <v>3367.1496234971978</v>
      </c>
      <c r="BD178" s="180">
        <f t="shared" si="28"/>
        <v>2780.2628137147294</v>
      </c>
      <c r="BE178" s="81" cm="1">
        <f t="array" ref="BE178">AQ178*AVERAGE(TableP6to59[[#This Row],[Jan-23]:[Dec-23]]/100*(Burden!$F$21+1))</f>
        <v>49007.358965907428</v>
      </c>
      <c r="BF178" s="86">
        <f t="shared" si="27"/>
        <v>47460.775645484311</v>
      </c>
      <c r="BG178" s="20"/>
      <c r="BH178" s="88">
        <f t="shared" si="23"/>
        <v>49007.35896590742</v>
      </c>
      <c r="BI178" s="20"/>
      <c r="BJ178" s="20"/>
      <c r="BK178" s="20"/>
      <c r="BL178" s="20"/>
      <c r="BM178" s="20"/>
      <c r="BN178" s="20"/>
      <c r="BP178" s="20"/>
      <c r="BQ178" s="20"/>
      <c r="BR178" s="20"/>
      <c r="BY178"/>
      <c r="BZ178"/>
      <c r="CF178"/>
      <c r="CG178"/>
    </row>
    <row r="179" spans="6:85" ht="15.5" x14ac:dyDescent="0.35">
      <c r="F179" s="65"/>
      <c r="AA179" s="66"/>
      <c r="AB179" s="20"/>
      <c r="AC179" s="20" t="str">
        <f t="shared" si="24"/>
        <v>Kandahar</v>
      </c>
      <c r="AD179" s="71">
        <f t="shared" si="25"/>
        <v>3.0967741935483861</v>
      </c>
      <c r="AE179" s="71">
        <f t="shared" si="25"/>
        <v>3.3560798636430205</v>
      </c>
      <c r="AF179" s="71">
        <f t="shared" si="25"/>
        <v>4.0645161290322571</v>
      </c>
      <c r="AG179" s="71">
        <f t="shared" si="25"/>
        <v>5.0322580645161281</v>
      </c>
      <c r="AH179" s="71">
        <f t="shared" si="25"/>
        <v>5.9999999999999991</v>
      </c>
      <c r="AI179" s="71">
        <f t="shared" si="25"/>
        <v>6.7084362653892349</v>
      </c>
      <c r="AJ179" s="71">
        <f t="shared" si="25"/>
        <v>6.9677419354838701</v>
      </c>
      <c r="AK179" s="71">
        <f t="shared" si="25"/>
        <v>6.7084362653892349</v>
      </c>
      <c r="AL179" s="71">
        <f t="shared" si="25"/>
        <v>5.9999999999999991</v>
      </c>
      <c r="AM179" s="71">
        <f t="shared" si="25"/>
        <v>5.0322580645161281</v>
      </c>
      <c r="AN179" s="71">
        <f t="shared" si="25"/>
        <v>4.0645161290322571</v>
      </c>
      <c r="AO179" s="71">
        <f t="shared" si="25"/>
        <v>3.3560798636430205</v>
      </c>
      <c r="AP179" s="76"/>
      <c r="AQ179" s="81">
        <f>D60*(Burden!F$20)</f>
        <v>344401.04327413108</v>
      </c>
      <c r="AR179" s="181" t="str">
        <f t="shared" si="21"/>
        <v>Kandahar</v>
      </c>
      <c r="AS179" s="180">
        <f>$AQ179*AD179/100/Burden!F$23</f>
        <v>1422.0430173899601</v>
      </c>
      <c r="AT179" s="180">
        <f t="shared" si="28"/>
        <v>2556.379128458695</v>
      </c>
      <c r="AU179" s="180">
        <f t="shared" si="28"/>
        <v>3096.0062399298731</v>
      </c>
      <c r="AV179" s="180">
        <f t="shared" si="28"/>
        <v>3833.1505827703195</v>
      </c>
      <c r="AW179" s="180">
        <f t="shared" si="28"/>
        <v>4570.2949256107659</v>
      </c>
      <c r="AX179" s="180">
        <f t="shared" si="28"/>
        <v>5109.9220370819439</v>
      </c>
      <c r="AY179" s="180">
        <f t="shared" si="28"/>
        <v>5307.4392684512122</v>
      </c>
      <c r="AZ179" s="180">
        <f t="shared" si="28"/>
        <v>5109.9220370819439</v>
      </c>
      <c r="BA179" s="180">
        <f t="shared" si="28"/>
        <v>4570.2949256107659</v>
      </c>
      <c r="BB179" s="180">
        <f t="shared" si="28"/>
        <v>3833.1505827703195</v>
      </c>
      <c r="BC179" s="180">
        <f t="shared" si="28"/>
        <v>3096.0062399298731</v>
      </c>
      <c r="BD179" s="180">
        <f t="shared" si="28"/>
        <v>2556.379128458695</v>
      </c>
      <c r="BE179" s="81" cm="1">
        <f t="array" ref="BE179">AQ179*AVERAGE(TableP6to59[[#This Row],[Jan-23]:[Dec-23]]/100*(Burden!$F$21+1))</f>
        <v>45060.988113544365</v>
      </c>
      <c r="BF179" s="86">
        <f t="shared" si="27"/>
        <v>43638.945096154406</v>
      </c>
      <c r="BG179" s="20"/>
      <c r="BH179" s="88">
        <f t="shared" si="23"/>
        <v>45060.988113544372</v>
      </c>
      <c r="BI179" s="20"/>
      <c r="BJ179" s="20"/>
      <c r="BK179" s="20"/>
      <c r="BL179" s="20"/>
      <c r="BM179" s="20"/>
      <c r="BN179" s="20"/>
      <c r="BP179" s="20"/>
      <c r="BQ179" s="20"/>
      <c r="BR179" s="20"/>
      <c r="BY179"/>
      <c r="BZ179"/>
      <c r="CF179"/>
      <c r="CG179"/>
    </row>
    <row r="180" spans="6:85" ht="15.5" x14ac:dyDescent="0.35">
      <c r="F180" s="65"/>
      <c r="AA180" s="66"/>
      <c r="AB180" s="20"/>
      <c r="AC180" s="20" t="str">
        <f t="shared" si="24"/>
        <v>Kapisa</v>
      </c>
      <c r="AD180" s="71">
        <f t="shared" si="25"/>
        <v>1.0250803360597456</v>
      </c>
      <c r="AE180" s="71">
        <f t="shared" si="25"/>
        <v>1.110914538629818</v>
      </c>
      <c r="AF180" s="71">
        <f t="shared" si="25"/>
        <v>1.3454179410784159</v>
      </c>
      <c r="AG180" s="71">
        <f t="shared" si="25"/>
        <v>1.6657555460970865</v>
      </c>
      <c r="AH180" s="71">
        <f t="shared" si="25"/>
        <v>1.9860931511157571</v>
      </c>
      <c r="AI180" s="71">
        <f t="shared" si="25"/>
        <v>2.2205965535643548</v>
      </c>
      <c r="AJ180" s="71">
        <f t="shared" si="25"/>
        <v>2.3064307561344277</v>
      </c>
      <c r="AK180" s="71">
        <f t="shared" si="25"/>
        <v>2.2205965535643548</v>
      </c>
      <c r="AL180" s="71">
        <f t="shared" si="25"/>
        <v>1.9860931511157571</v>
      </c>
      <c r="AM180" s="71">
        <f t="shared" si="25"/>
        <v>1.6657555460970865</v>
      </c>
      <c r="AN180" s="71">
        <f t="shared" si="25"/>
        <v>1.3454179410784159</v>
      </c>
      <c r="AO180" s="71">
        <f t="shared" si="25"/>
        <v>1.110914538629818</v>
      </c>
      <c r="AP180" s="76"/>
      <c r="AQ180" s="81">
        <f>D61*(Burden!F$20)</f>
        <v>123226.18998169911</v>
      </c>
      <c r="AR180" s="181" t="str">
        <f t="shared" si="21"/>
        <v>Kapisa</v>
      </c>
      <c r="AS180" s="180">
        <f>$AQ180*AD180/100/Burden!F$23</f>
        <v>168.42232565040291</v>
      </c>
      <c r="AT180" s="180">
        <f t="shared" si="28"/>
        <v>302.76954550179789</v>
      </c>
      <c r="AU180" s="180">
        <f t="shared" si="28"/>
        <v>366.68129218355244</v>
      </c>
      <c r="AV180" s="180">
        <f t="shared" si="28"/>
        <v>453.98636175106498</v>
      </c>
      <c r="AW180" s="180">
        <f t="shared" si="28"/>
        <v>541.29143131857745</v>
      </c>
      <c r="AX180" s="180">
        <f t="shared" si="28"/>
        <v>605.20317800033206</v>
      </c>
      <c r="AY180" s="180">
        <f t="shared" si="28"/>
        <v>628.59650088608998</v>
      </c>
      <c r="AZ180" s="180">
        <f t="shared" si="28"/>
        <v>605.20317800033206</v>
      </c>
      <c r="BA180" s="180">
        <f t="shared" si="28"/>
        <v>541.29143131857745</v>
      </c>
      <c r="BB180" s="180">
        <f t="shared" si="28"/>
        <v>453.98636175106498</v>
      </c>
      <c r="BC180" s="180">
        <f t="shared" si="28"/>
        <v>366.68129218355244</v>
      </c>
      <c r="BD180" s="180">
        <f t="shared" si="28"/>
        <v>302.76954550179789</v>
      </c>
      <c r="BE180" s="81" cm="1">
        <f t="array" ref="BE180">AQ180*AVERAGE(TableP6to59[[#This Row],[Jan-23]:[Dec-23]]/100*(Burden!$F$21+1))</f>
        <v>5336.8824440471426</v>
      </c>
      <c r="BF180" s="86">
        <f t="shared" si="27"/>
        <v>5168.4601183967397</v>
      </c>
      <c r="BG180" s="20"/>
      <c r="BH180" s="88">
        <f t="shared" si="23"/>
        <v>5336.8824440471417</v>
      </c>
      <c r="BI180"/>
      <c r="BJ180"/>
      <c r="BK180"/>
      <c r="BL180" s="20"/>
      <c r="BM180" s="20"/>
      <c r="BN180" s="20"/>
      <c r="BP180" s="20"/>
      <c r="BQ180" s="20"/>
      <c r="BR180" s="20"/>
      <c r="BY180"/>
      <c r="BZ180"/>
      <c r="CF180"/>
      <c r="CG180"/>
    </row>
    <row r="181" spans="6:85" ht="15.5" x14ac:dyDescent="0.35">
      <c r="F181" s="65"/>
      <c r="AA181" s="66"/>
      <c r="AB181" s="20"/>
      <c r="AC181" s="20" t="str">
        <f t="shared" si="24"/>
        <v>Khost</v>
      </c>
      <c r="AD181" s="71">
        <f t="shared" si="25"/>
        <v>1.5483870967741931</v>
      </c>
      <c r="AE181" s="71">
        <f t="shared" si="25"/>
        <v>1.6780399318215102</v>
      </c>
      <c r="AF181" s="71">
        <f t="shared" si="25"/>
        <v>2.0322580645161286</v>
      </c>
      <c r="AG181" s="71">
        <f t="shared" si="25"/>
        <v>2.5161290322580641</v>
      </c>
      <c r="AH181" s="71">
        <f t="shared" si="25"/>
        <v>2.9999999999999996</v>
      </c>
      <c r="AI181" s="71">
        <f t="shared" si="25"/>
        <v>3.3542181326946174</v>
      </c>
      <c r="AJ181" s="71">
        <f t="shared" si="25"/>
        <v>3.4838709677419351</v>
      </c>
      <c r="AK181" s="71">
        <f t="shared" si="25"/>
        <v>3.3542181326946174</v>
      </c>
      <c r="AL181" s="71">
        <f t="shared" si="25"/>
        <v>2.9999999999999996</v>
      </c>
      <c r="AM181" s="71">
        <f t="shared" si="25"/>
        <v>2.5161290322580641</v>
      </c>
      <c r="AN181" s="71">
        <f t="shared" si="25"/>
        <v>2.0322580645161286</v>
      </c>
      <c r="AO181" s="71">
        <f t="shared" si="25"/>
        <v>1.6780399318215102</v>
      </c>
      <c r="AP181" s="76"/>
      <c r="AQ181" s="81">
        <f>D62*(Burden!F$20)</f>
        <v>160566.95984017872</v>
      </c>
      <c r="AR181" s="181" t="str">
        <f t="shared" si="21"/>
        <v>Khost</v>
      </c>
      <c r="AS181" s="180">
        <f>$AQ181*AD181/100/Burden!F$23</f>
        <v>331.49307837972373</v>
      </c>
      <c r="AT181" s="180">
        <f t="shared" si="28"/>
        <v>595.91867224510509</v>
      </c>
      <c r="AU181" s="180">
        <f t="shared" si="28"/>
        <v>721.71138749436886</v>
      </c>
      <c r="AV181" s="180">
        <f t="shared" si="28"/>
        <v>893.5474321358854</v>
      </c>
      <c r="AW181" s="180">
        <f t="shared" si="28"/>
        <v>1065.3834767774017</v>
      </c>
      <c r="AX181" s="180">
        <f t="shared" si="28"/>
        <v>1191.1761920266656</v>
      </c>
      <c r="AY181" s="180">
        <f t="shared" si="28"/>
        <v>1237.2195214189182</v>
      </c>
      <c r="AZ181" s="180">
        <f t="shared" si="28"/>
        <v>1191.1761920266656</v>
      </c>
      <c r="BA181" s="180">
        <f t="shared" si="28"/>
        <v>1065.3834767774017</v>
      </c>
      <c r="BB181" s="180">
        <f t="shared" si="28"/>
        <v>893.5474321358854</v>
      </c>
      <c r="BC181" s="180">
        <f t="shared" si="28"/>
        <v>721.71138749436886</v>
      </c>
      <c r="BD181" s="180">
        <f t="shared" si="28"/>
        <v>595.91867224510509</v>
      </c>
      <c r="BE181" s="81" cm="1">
        <f t="array" ref="BE181">AQ181*AVERAGE(TableP6to59[[#This Row],[Jan-23]:[Dec-23]]/100*(Burden!$F$21+1))</f>
        <v>10504.186921157496</v>
      </c>
      <c r="BF181" s="86">
        <f t="shared" si="27"/>
        <v>10172.693842777771</v>
      </c>
      <c r="BG181" s="20"/>
      <c r="BH181" s="88">
        <f t="shared" si="23"/>
        <v>10504.186921157496</v>
      </c>
      <c r="BI181"/>
      <c r="BJ181"/>
      <c r="BK181"/>
      <c r="BL181" s="20"/>
      <c r="BM181" s="20"/>
      <c r="BN181" s="20"/>
      <c r="BP181" s="20"/>
      <c r="BQ181" s="20"/>
      <c r="BR181" s="20"/>
      <c r="BY181"/>
      <c r="BZ181"/>
      <c r="CF181"/>
      <c r="CG181"/>
    </row>
    <row r="182" spans="6:85" ht="15.5" x14ac:dyDescent="0.35">
      <c r="F182" s="65"/>
      <c r="AB182" s="20"/>
      <c r="AC182" s="20" t="str">
        <f t="shared" si="24"/>
        <v>Kunar</v>
      </c>
      <c r="AD182" s="71">
        <f t="shared" si="25"/>
        <v>2.012903225806451</v>
      </c>
      <c r="AE182" s="71">
        <f t="shared" si="25"/>
        <v>2.1814519113679633</v>
      </c>
      <c r="AF182" s="71">
        <f t="shared" ref="AE182:AO197" si="29">AF$163*($H63/$H$44)</f>
        <v>2.641935483870967</v>
      </c>
      <c r="AG182" s="71">
        <f t="shared" si="29"/>
        <v>3.270967741935483</v>
      </c>
      <c r="AH182" s="71">
        <f t="shared" si="29"/>
        <v>3.899999999999999</v>
      </c>
      <c r="AI182" s="71">
        <f t="shared" si="29"/>
        <v>4.3604835725030027</v>
      </c>
      <c r="AJ182" s="71">
        <f t="shared" si="29"/>
        <v>4.5290322580645146</v>
      </c>
      <c r="AK182" s="71">
        <f t="shared" si="29"/>
        <v>4.3604835725030027</v>
      </c>
      <c r="AL182" s="71">
        <f t="shared" si="29"/>
        <v>3.899999999999999</v>
      </c>
      <c r="AM182" s="71">
        <f t="shared" si="29"/>
        <v>3.270967741935483</v>
      </c>
      <c r="AN182" s="71">
        <f t="shared" si="29"/>
        <v>2.641935483870967</v>
      </c>
      <c r="AO182" s="71">
        <f t="shared" si="29"/>
        <v>2.1814519113679633</v>
      </c>
      <c r="AP182" s="76"/>
      <c r="AQ182" s="81">
        <f>D63*(Burden!F$20)</f>
        <v>125943.6567419956</v>
      </c>
      <c r="AR182" s="181" t="str">
        <f t="shared" si="21"/>
        <v>Kunar</v>
      </c>
      <c r="AS182" s="180">
        <f>$AQ182*AD182/100/Burden!F$23</f>
        <v>338.01652390109774</v>
      </c>
      <c r="AT182" s="180">
        <f t="shared" si="28"/>
        <v>607.6457436294055</v>
      </c>
      <c r="AU182" s="180">
        <f t="shared" si="28"/>
        <v>735.91393115376241</v>
      </c>
      <c r="AV182" s="180">
        <f t="shared" si="28"/>
        <v>911.13153380942026</v>
      </c>
      <c r="AW182" s="180">
        <f t="shared" si="28"/>
        <v>1086.3491364650779</v>
      </c>
      <c r="AX182" s="180">
        <f t="shared" si="28"/>
        <v>1214.6173239894349</v>
      </c>
      <c r="AY182" s="180">
        <f t="shared" si="28"/>
        <v>1261.5667391207357</v>
      </c>
      <c r="AZ182" s="180">
        <f t="shared" si="28"/>
        <v>1214.6173239894349</v>
      </c>
      <c r="BA182" s="180">
        <f t="shared" si="28"/>
        <v>1086.3491364650779</v>
      </c>
      <c r="BB182" s="180">
        <f t="shared" si="28"/>
        <v>911.13153380942026</v>
      </c>
      <c r="BC182" s="180">
        <f t="shared" si="28"/>
        <v>735.91393115376241</v>
      </c>
      <c r="BD182" s="180">
        <f t="shared" si="28"/>
        <v>607.6457436294055</v>
      </c>
      <c r="BE182" s="81" cm="1">
        <f t="array" ref="BE182">AQ182*AVERAGE(TableP6to59[[#This Row],[Jan-23]:[Dec-23]]/100*(Burden!$F$21+1))</f>
        <v>10710.898601116036</v>
      </c>
      <c r="BF182" s="86">
        <f t="shared" si="27"/>
        <v>10372.882077214937</v>
      </c>
      <c r="BG182" s="20"/>
      <c r="BH182" s="88">
        <f t="shared" si="23"/>
        <v>10710.898601116036</v>
      </c>
      <c r="BI182"/>
      <c r="BJ182"/>
      <c r="BK182"/>
      <c r="BL182" s="20"/>
      <c r="BM182" s="20"/>
      <c r="BN182" s="20"/>
      <c r="BP182" s="20"/>
      <c r="BQ182" s="20"/>
      <c r="BR182" s="20"/>
      <c r="BY182"/>
      <c r="BZ182"/>
      <c r="CF182"/>
      <c r="CG182"/>
    </row>
    <row r="183" spans="6:85" ht="15.5" x14ac:dyDescent="0.35">
      <c r="AB183" s="20"/>
      <c r="AC183" s="20" t="str">
        <f t="shared" si="24"/>
        <v>Kunduz</v>
      </c>
      <c r="AD183" s="71">
        <f t="shared" si="25"/>
        <v>1.3012648951516577</v>
      </c>
      <c r="AE183" s="71">
        <f t="shared" si="29"/>
        <v>1.4102251694625501</v>
      </c>
      <c r="AF183" s="71">
        <f t="shared" si="29"/>
        <v>1.7079101748865508</v>
      </c>
      <c r="AG183" s="71">
        <f t="shared" si="29"/>
        <v>2.1145554546214438</v>
      </c>
      <c r="AH183" s="71">
        <f t="shared" si="29"/>
        <v>2.521200734356337</v>
      </c>
      <c r="AI183" s="71">
        <f t="shared" si="29"/>
        <v>2.8188857397803377</v>
      </c>
      <c r="AJ183" s="71">
        <f t="shared" si="29"/>
        <v>2.9278460140912301</v>
      </c>
      <c r="AK183" s="71">
        <f t="shared" si="29"/>
        <v>2.8188857397803377</v>
      </c>
      <c r="AL183" s="71">
        <f t="shared" si="29"/>
        <v>2.521200734356337</v>
      </c>
      <c r="AM183" s="71">
        <f t="shared" si="29"/>
        <v>2.1145554546214438</v>
      </c>
      <c r="AN183" s="71">
        <f t="shared" si="29"/>
        <v>1.7079101748865508</v>
      </c>
      <c r="AO183" s="71">
        <f t="shared" si="29"/>
        <v>1.4102251694625501</v>
      </c>
      <c r="AP183" s="76"/>
      <c r="AQ183" s="81">
        <f>D64*(Burden!F$20)</f>
        <v>283010.48640593817</v>
      </c>
      <c r="AR183" s="181" t="str">
        <f t="shared" si="21"/>
        <v>Kunduz</v>
      </c>
      <c r="AS183" s="180">
        <f>$AQ183*AD183/100/Burden!F$23</f>
        <v>491.02881455979042</v>
      </c>
      <c r="AT183" s="180">
        <f t="shared" si="28"/>
        <v>882.71296835758119</v>
      </c>
      <c r="AU183" s="180">
        <f t="shared" si="28"/>
        <v>1069.0452083880909</v>
      </c>
      <c r="AV183" s="180">
        <f t="shared" si="28"/>
        <v>1323.5797818138271</v>
      </c>
      <c r="AW183" s="180">
        <f t="shared" si="28"/>
        <v>1578.1143552395629</v>
      </c>
      <c r="AX183" s="180">
        <f t="shared" si="28"/>
        <v>1764.446595270073</v>
      </c>
      <c r="AY183" s="180">
        <f t="shared" si="28"/>
        <v>1832.6489286652991</v>
      </c>
      <c r="AZ183" s="180">
        <f t="shared" si="28"/>
        <v>1764.446595270073</v>
      </c>
      <c r="BA183" s="180">
        <f t="shared" si="28"/>
        <v>1578.1143552395629</v>
      </c>
      <c r="BB183" s="180">
        <f t="shared" si="28"/>
        <v>1323.5797818138271</v>
      </c>
      <c r="BC183" s="180">
        <f t="shared" si="28"/>
        <v>1069.0452083880909</v>
      </c>
      <c r="BD183" s="180">
        <f t="shared" si="28"/>
        <v>882.71296835758119</v>
      </c>
      <c r="BE183" s="81" cm="1">
        <f t="array" ref="BE183">AQ183*AVERAGE(TableP6to59[[#This Row],[Jan-23]:[Dec-23]]/100*(Burden!$F$21+1))</f>
        <v>15559.475561363359</v>
      </c>
      <c r="BF183" s="86">
        <f t="shared" si="27"/>
        <v>15068.446746803569</v>
      </c>
      <c r="BG183" s="20"/>
      <c r="BH183" s="88">
        <f t="shared" si="23"/>
        <v>15559.475561363361</v>
      </c>
      <c r="BL183" s="20"/>
      <c r="BM183" s="20"/>
      <c r="BN183" s="20"/>
      <c r="BP183" s="20"/>
      <c r="BQ183" s="20"/>
      <c r="BR183" s="20"/>
      <c r="BY183"/>
      <c r="BZ183"/>
      <c r="CF183"/>
      <c r="CG183"/>
    </row>
    <row r="184" spans="6:85" ht="15.5" x14ac:dyDescent="0.35">
      <c r="AB184" s="20"/>
      <c r="AC184" s="20" t="str">
        <f t="shared" si="24"/>
        <v>Laghman</v>
      </c>
      <c r="AD184" s="71">
        <f t="shared" si="25"/>
        <v>2.8387096774193541</v>
      </c>
      <c r="AE184" s="71">
        <f t="shared" si="29"/>
        <v>3.0764065416727693</v>
      </c>
      <c r="AF184" s="71">
        <f t="shared" si="29"/>
        <v>3.7258064516129026</v>
      </c>
      <c r="AG184" s="71">
        <f t="shared" si="29"/>
        <v>4.6129032258064511</v>
      </c>
      <c r="AH184" s="71">
        <f t="shared" si="29"/>
        <v>5.4999999999999991</v>
      </c>
      <c r="AI184" s="71">
        <f t="shared" si="29"/>
        <v>6.1493999099401329</v>
      </c>
      <c r="AJ184" s="71">
        <f t="shared" si="29"/>
        <v>6.387096774193548</v>
      </c>
      <c r="AK184" s="71">
        <f t="shared" si="29"/>
        <v>6.1493999099401329</v>
      </c>
      <c r="AL184" s="71">
        <f t="shared" si="29"/>
        <v>5.4999999999999991</v>
      </c>
      <c r="AM184" s="71">
        <f t="shared" si="29"/>
        <v>4.6129032258064511</v>
      </c>
      <c r="AN184" s="71">
        <f t="shared" si="29"/>
        <v>3.7258064516129026</v>
      </c>
      <c r="AO184" s="71">
        <f t="shared" si="29"/>
        <v>3.0764065416727693</v>
      </c>
      <c r="AP184" s="76"/>
      <c r="AQ184" s="81">
        <f>D65*(Burden!F$20)</f>
        <v>124511.93525614594</v>
      </c>
      <c r="AR184" s="181" t="str">
        <f t="shared" si="21"/>
        <v>Laghman</v>
      </c>
      <c r="AS184" s="180">
        <f>$AQ184*AD184/100/Burden!F$23</f>
        <v>471.27098075444468</v>
      </c>
      <c r="AT184" s="180">
        <f t="shared" si="28"/>
        <v>847.19469405372411</v>
      </c>
      <c r="AU184" s="180">
        <f t="shared" si="28"/>
        <v>1026.0293670944004</v>
      </c>
      <c r="AV184" s="180">
        <f t="shared" si="28"/>
        <v>1270.3220735454481</v>
      </c>
      <c r="AW184" s="180">
        <f t="shared" si="28"/>
        <v>1514.6147799964958</v>
      </c>
      <c r="AX184" s="180">
        <f t="shared" si="28"/>
        <v>1693.4494530371724</v>
      </c>
      <c r="AY184" s="180">
        <f t="shared" si="28"/>
        <v>1758.9074864475438</v>
      </c>
      <c r="AZ184" s="180">
        <f t="shared" si="28"/>
        <v>1693.4494530371724</v>
      </c>
      <c r="BA184" s="180">
        <f t="shared" si="28"/>
        <v>1514.6147799964958</v>
      </c>
      <c r="BB184" s="180">
        <f t="shared" si="28"/>
        <v>1270.3220735454481</v>
      </c>
      <c r="BC184" s="180">
        <f t="shared" si="28"/>
        <v>1026.0293670944004</v>
      </c>
      <c r="BD184" s="180">
        <f t="shared" si="28"/>
        <v>847.19469405372411</v>
      </c>
      <c r="BE184" s="81" cm="1">
        <f t="array" ref="BE184">AQ184*AVERAGE(TableP6to59[[#This Row],[Jan-23]:[Dec-23]]/100*(Burden!$F$21+1))</f>
        <v>14933.39920265647</v>
      </c>
      <c r="BF184" s="86">
        <f t="shared" si="27"/>
        <v>14462.128221902025</v>
      </c>
      <c r="BG184" s="20"/>
      <c r="BH184" s="88">
        <f t="shared" si="23"/>
        <v>14933.39920265647</v>
      </c>
      <c r="BL184" s="20"/>
      <c r="BM184" s="20"/>
      <c r="BN184" s="20"/>
      <c r="BP184"/>
      <c r="BQ184"/>
      <c r="BR184"/>
      <c r="BY184"/>
      <c r="BZ184"/>
      <c r="CF184"/>
      <c r="CG184"/>
    </row>
    <row r="185" spans="6:85" ht="15.5" x14ac:dyDescent="0.35">
      <c r="AB185" s="20"/>
      <c r="AC185" s="20" t="str">
        <f t="shared" si="24"/>
        <v>Logar</v>
      </c>
      <c r="AD185" s="71">
        <f t="shared" si="25"/>
        <v>0.53239011338239917</v>
      </c>
      <c r="AE185" s="71">
        <f t="shared" si="29"/>
        <v>0.57696933242587656</v>
      </c>
      <c r="AF185" s="71">
        <f t="shared" si="29"/>
        <v>0.698762023814399</v>
      </c>
      <c r="AG185" s="71">
        <f t="shared" si="29"/>
        <v>0.86513393424639873</v>
      </c>
      <c r="AH185" s="71">
        <f t="shared" si="29"/>
        <v>1.0315058446783985</v>
      </c>
      <c r="AI185" s="71">
        <f t="shared" si="29"/>
        <v>1.153298536066921</v>
      </c>
      <c r="AJ185" s="71">
        <f t="shared" si="29"/>
        <v>1.1978777551103983</v>
      </c>
      <c r="AK185" s="71">
        <f t="shared" si="29"/>
        <v>1.153298536066921</v>
      </c>
      <c r="AL185" s="71">
        <f t="shared" si="29"/>
        <v>1.0315058446783985</v>
      </c>
      <c r="AM185" s="71">
        <f t="shared" si="29"/>
        <v>0.86513393424639873</v>
      </c>
      <c r="AN185" s="71">
        <f t="shared" si="29"/>
        <v>0.698762023814399</v>
      </c>
      <c r="AO185" s="71">
        <f t="shared" si="29"/>
        <v>0.57696933242587656</v>
      </c>
      <c r="AP185" s="76"/>
      <c r="AQ185" s="81">
        <f>D66*(Burden!F$20)</f>
        <v>109560.50736618691</v>
      </c>
      <c r="AR185" s="181" t="str">
        <f t="shared" si="21"/>
        <v>Logar</v>
      </c>
      <c r="AS185" s="180">
        <f>$AQ185*AD185/100/Burden!F$23</f>
        <v>77.771907918556565</v>
      </c>
      <c r="AT185" s="180">
        <f t="shared" ref="AT185:BD194" si="30">$BF185*AT$161</f>
        <v>139.80904920043611</v>
      </c>
      <c r="AU185" s="180">
        <f t="shared" si="30"/>
        <v>169.32139834211083</v>
      </c>
      <c r="AV185" s="180">
        <f t="shared" si="30"/>
        <v>209.63601699499438</v>
      </c>
      <c r="AW185" s="180">
        <f t="shared" si="30"/>
        <v>249.9506356478779</v>
      </c>
      <c r="AX185" s="180">
        <f t="shared" si="30"/>
        <v>279.46298478955265</v>
      </c>
      <c r="AY185" s="180">
        <f t="shared" si="30"/>
        <v>290.26525430076146</v>
      </c>
      <c r="AZ185" s="180">
        <f t="shared" si="30"/>
        <v>279.46298478955265</v>
      </c>
      <c r="BA185" s="180">
        <f t="shared" si="30"/>
        <v>249.9506356478779</v>
      </c>
      <c r="BB185" s="180">
        <f t="shared" si="30"/>
        <v>209.63601699499438</v>
      </c>
      <c r="BC185" s="180">
        <f t="shared" si="30"/>
        <v>169.32139834211083</v>
      </c>
      <c r="BD185" s="180">
        <f t="shared" si="30"/>
        <v>139.80904920043611</v>
      </c>
      <c r="BE185" s="81" cm="1">
        <f t="array" ref="BE185">AQ185*AVERAGE(TableP6to59[[#This Row],[Jan-23]:[Dec-23]]/100*(Burden!$F$21+1))</f>
        <v>2464.397332169262</v>
      </c>
      <c r="BF185" s="86">
        <f t="shared" si="27"/>
        <v>2386.6254242507052</v>
      </c>
      <c r="BG185" s="20"/>
      <c r="BH185" s="88">
        <f t="shared" si="23"/>
        <v>2464.397332169262</v>
      </c>
      <c r="BI185" s="20"/>
      <c r="BJ185" s="20"/>
      <c r="BK185" s="20"/>
      <c r="BL185" s="20"/>
      <c r="BM185" s="20"/>
      <c r="BN185" s="20"/>
      <c r="BP185"/>
      <c r="BQ185"/>
      <c r="BR185"/>
      <c r="BY185"/>
      <c r="BZ185"/>
      <c r="CF185"/>
      <c r="CG185"/>
    </row>
    <row r="186" spans="6:85" ht="15.5" x14ac:dyDescent="0.35">
      <c r="AB186" s="20"/>
      <c r="AC186" s="20" t="str">
        <f t="shared" si="24"/>
        <v>Nangarhar</v>
      </c>
      <c r="AD186" s="71">
        <f t="shared" si="25"/>
        <v>0.4129032258064515</v>
      </c>
      <c r="AE186" s="71">
        <f t="shared" si="29"/>
        <v>0.4474773151524028</v>
      </c>
      <c r="AF186" s="71">
        <f t="shared" si="29"/>
        <v>0.54193548387096768</v>
      </c>
      <c r="AG186" s="71">
        <f t="shared" si="29"/>
        <v>0.67096774193548381</v>
      </c>
      <c r="AH186" s="71">
        <f t="shared" si="29"/>
        <v>0.79999999999999993</v>
      </c>
      <c r="AI186" s="71">
        <f t="shared" si="29"/>
        <v>0.89445816871856476</v>
      </c>
      <c r="AJ186" s="71">
        <f t="shared" si="29"/>
        <v>0.92903225806451606</v>
      </c>
      <c r="AK186" s="71">
        <f t="shared" si="29"/>
        <v>0.89445816871856476</v>
      </c>
      <c r="AL186" s="71">
        <f t="shared" si="29"/>
        <v>0.79999999999999993</v>
      </c>
      <c r="AM186" s="71">
        <f t="shared" si="29"/>
        <v>0.67096774193548381</v>
      </c>
      <c r="AN186" s="71">
        <f t="shared" si="29"/>
        <v>0.54193548387096768</v>
      </c>
      <c r="AO186" s="71">
        <f t="shared" si="29"/>
        <v>0.4474773151524028</v>
      </c>
      <c r="AP186" s="76"/>
      <c r="AQ186" s="81">
        <f>D67*(Burden!F$20)</f>
        <v>424856.20331478753</v>
      </c>
      <c r="AR186" s="181" t="str">
        <f t="shared" si="21"/>
        <v>Nangarhar</v>
      </c>
      <c r="AS186" s="180">
        <f>$AQ186*AD186/100/Burden!F$23</f>
        <v>233.89932913674318</v>
      </c>
      <c r="AT186" s="180">
        <f t="shared" si="30"/>
        <v>420.47628366624309</v>
      </c>
      <c r="AU186" s="180">
        <f t="shared" si="30"/>
        <v>509.23479365054044</v>
      </c>
      <c r="AV186" s="180">
        <f t="shared" si="30"/>
        <v>630.48117309114537</v>
      </c>
      <c r="AW186" s="180">
        <f t="shared" si="30"/>
        <v>751.72755253175012</v>
      </c>
      <c r="AX186" s="180">
        <f t="shared" si="30"/>
        <v>840.48606251604758</v>
      </c>
      <c r="AY186" s="180">
        <f t="shared" si="30"/>
        <v>872.9739319723551</v>
      </c>
      <c r="AZ186" s="180">
        <f t="shared" si="30"/>
        <v>840.48606251604758</v>
      </c>
      <c r="BA186" s="180">
        <f t="shared" si="30"/>
        <v>751.72755253175012</v>
      </c>
      <c r="BB186" s="180">
        <f t="shared" si="30"/>
        <v>630.48117309114537</v>
      </c>
      <c r="BC186" s="180">
        <f t="shared" si="30"/>
        <v>509.23479365054044</v>
      </c>
      <c r="BD186" s="180">
        <f t="shared" si="30"/>
        <v>420.47628366624309</v>
      </c>
      <c r="BE186" s="81" cm="1">
        <f t="array" ref="BE186">AQ186*AVERAGE(TableP6to59[[#This Row],[Jan-23]:[Dec-23]]/100*(Burden!$F$21+1))</f>
        <v>7411.6849920205514</v>
      </c>
      <c r="BF186" s="86">
        <f t="shared" si="27"/>
        <v>7177.7856628838081</v>
      </c>
      <c r="BG186" s="20"/>
      <c r="BH186" s="88">
        <f t="shared" si="23"/>
        <v>7411.6849920205505</v>
      </c>
      <c r="BL186" s="20"/>
      <c r="BM186" s="20"/>
      <c r="BN186" s="20"/>
      <c r="BP186"/>
      <c r="BQ186"/>
      <c r="BR186"/>
      <c r="BY186"/>
      <c r="BZ186"/>
      <c r="CF186"/>
      <c r="CG186"/>
    </row>
    <row r="187" spans="6:85" ht="15.5" x14ac:dyDescent="0.35">
      <c r="AB187" s="20"/>
      <c r="AC187" s="20" t="str">
        <f t="shared" si="24"/>
        <v>Nimroz</v>
      </c>
      <c r="AD187" s="71">
        <f t="shared" si="25"/>
        <v>1.8231714564809849</v>
      </c>
      <c r="AE187" s="71">
        <f t="shared" si="29"/>
        <v>1.9758331188020952</v>
      </c>
      <c r="AF187" s="71">
        <f t="shared" si="29"/>
        <v>2.3929125366312927</v>
      </c>
      <c r="AG187" s="71">
        <f t="shared" si="29"/>
        <v>2.9626536167816004</v>
      </c>
      <c r="AH187" s="71">
        <f t="shared" si="29"/>
        <v>3.5323946969319087</v>
      </c>
      <c r="AI187" s="71">
        <f t="shared" si="29"/>
        <v>3.9494741147611059</v>
      </c>
      <c r="AJ187" s="71">
        <f t="shared" si="29"/>
        <v>4.102135777082216</v>
      </c>
      <c r="AK187" s="71">
        <f t="shared" si="29"/>
        <v>3.9494741147611059</v>
      </c>
      <c r="AL187" s="71">
        <f t="shared" si="29"/>
        <v>3.5323946969319087</v>
      </c>
      <c r="AM187" s="71">
        <f t="shared" si="29"/>
        <v>2.9626536167816004</v>
      </c>
      <c r="AN187" s="71">
        <f t="shared" si="29"/>
        <v>2.3929125366312927</v>
      </c>
      <c r="AO187" s="71">
        <f t="shared" si="29"/>
        <v>1.9758331188020952</v>
      </c>
      <c r="AP187" s="76"/>
      <c r="AQ187" s="81">
        <f>D68*(Burden!F$20)</f>
        <v>46146.901647308856</v>
      </c>
      <c r="AR187" s="181" t="str">
        <f t="shared" si="21"/>
        <v>Nimroz</v>
      </c>
      <c r="AS187" s="180">
        <f>$AQ187*AD187/100/Burden!F$23</f>
        <v>112.17828518454513</v>
      </c>
      <c r="AT187" s="180">
        <f t="shared" si="30"/>
        <v>201.66072573416307</v>
      </c>
      <c r="AU187" s="180">
        <f t="shared" si="30"/>
        <v>244.22937046829495</v>
      </c>
      <c r="AV187" s="180">
        <f t="shared" si="30"/>
        <v>302.37922057979375</v>
      </c>
      <c r="AW187" s="180">
        <f t="shared" si="30"/>
        <v>360.52907069129253</v>
      </c>
      <c r="AX187" s="180">
        <f t="shared" si="30"/>
        <v>403.0977154254245</v>
      </c>
      <c r="AY187" s="180">
        <f t="shared" si="30"/>
        <v>418.67892080279137</v>
      </c>
      <c r="AZ187" s="180">
        <f t="shared" si="30"/>
        <v>403.0977154254245</v>
      </c>
      <c r="BA187" s="180">
        <f t="shared" si="30"/>
        <v>360.52907069129253</v>
      </c>
      <c r="BB187" s="180">
        <f t="shared" si="30"/>
        <v>302.37922057979375</v>
      </c>
      <c r="BC187" s="180">
        <f t="shared" si="30"/>
        <v>244.22937046829495</v>
      </c>
      <c r="BD187" s="180">
        <f t="shared" si="30"/>
        <v>201.66072573416307</v>
      </c>
      <c r="BE187" s="81" cm="1">
        <f t="array" ref="BE187">AQ187*AVERAGE(TableP6to59[[#This Row],[Jan-23]:[Dec-23]]/100*(Burden!$F$21+1))</f>
        <v>3554.649411785274</v>
      </c>
      <c r="BF187" s="86">
        <f t="shared" si="27"/>
        <v>3442.4711266007289</v>
      </c>
      <c r="BG187" s="20"/>
      <c r="BH187" s="88">
        <f t="shared" si="23"/>
        <v>3554.6494117852735</v>
      </c>
      <c r="BL187" s="20"/>
      <c r="BM187" s="20"/>
      <c r="BN187" s="20"/>
      <c r="BY187"/>
      <c r="BZ187"/>
      <c r="CF187"/>
      <c r="CG187"/>
    </row>
    <row r="188" spans="6:85" ht="15.5" x14ac:dyDescent="0.35">
      <c r="AB188" s="20"/>
      <c r="AC188" s="20" t="str">
        <f t="shared" si="24"/>
        <v>Nuristan</v>
      </c>
      <c r="AD188" s="71">
        <f t="shared" si="25"/>
        <v>4.3870967741935472</v>
      </c>
      <c r="AE188" s="71">
        <f t="shared" si="29"/>
        <v>4.7544464734942791</v>
      </c>
      <c r="AF188" s="71">
        <f t="shared" si="29"/>
        <v>5.7580645161290311</v>
      </c>
      <c r="AG188" s="71">
        <f t="shared" si="29"/>
        <v>7.1290322580645142</v>
      </c>
      <c r="AH188" s="71">
        <f t="shared" si="29"/>
        <v>8.4999999999999982</v>
      </c>
      <c r="AI188" s="71">
        <f t="shared" si="29"/>
        <v>9.5036180426347503</v>
      </c>
      <c r="AJ188" s="71">
        <f t="shared" si="29"/>
        <v>9.8709677419354822</v>
      </c>
      <c r="AK188" s="71">
        <f t="shared" si="29"/>
        <v>9.5036180426347503</v>
      </c>
      <c r="AL188" s="71">
        <f t="shared" si="29"/>
        <v>8.4999999999999982</v>
      </c>
      <c r="AM188" s="71">
        <f t="shared" si="29"/>
        <v>7.1290322580645142</v>
      </c>
      <c r="AN188" s="71">
        <f t="shared" si="29"/>
        <v>5.7580645161290311</v>
      </c>
      <c r="AO188" s="71">
        <f t="shared" si="29"/>
        <v>4.7544464734942791</v>
      </c>
      <c r="AP188" s="76"/>
      <c r="AQ188" s="81">
        <f>D69*(Burden!F$20)</f>
        <v>41343.70698510349</v>
      </c>
      <c r="AR188" s="181" t="str">
        <f t="shared" si="21"/>
        <v>Nuristan</v>
      </c>
      <c r="AS188" s="180">
        <f>$AQ188*AD188/100/Burden!F$23</f>
        <v>241.83845806340102</v>
      </c>
      <c r="AT188" s="180">
        <f t="shared" si="30"/>
        <v>434.74830162776794</v>
      </c>
      <c r="AU188" s="180">
        <f t="shared" si="30"/>
        <v>526.51949769673297</v>
      </c>
      <c r="AV188" s="180">
        <f t="shared" si="30"/>
        <v>651.8812828626219</v>
      </c>
      <c r="AW188" s="180">
        <f t="shared" si="30"/>
        <v>777.24306802851061</v>
      </c>
      <c r="AX188" s="180">
        <f t="shared" si="30"/>
        <v>869.0142640974758</v>
      </c>
      <c r="AY188" s="180">
        <f t="shared" si="30"/>
        <v>902.60485319439954</v>
      </c>
      <c r="AZ188" s="180">
        <f t="shared" si="30"/>
        <v>869.0142640974758</v>
      </c>
      <c r="BA188" s="180">
        <f t="shared" si="30"/>
        <v>777.24306802851061</v>
      </c>
      <c r="BB188" s="180">
        <f t="shared" si="30"/>
        <v>651.8812828626219</v>
      </c>
      <c r="BC188" s="180">
        <f t="shared" si="30"/>
        <v>526.51949769673297</v>
      </c>
      <c r="BD188" s="180">
        <f t="shared" si="30"/>
        <v>434.74830162776794</v>
      </c>
      <c r="BE188" s="81" cm="1">
        <f t="array" ref="BE188">AQ188*AVERAGE(TableP6to59[[#This Row],[Jan-23]:[Dec-23]]/100*(Burden!$F$21+1))</f>
        <v>7663.2561398840189</v>
      </c>
      <c r="BF188" s="86">
        <f t="shared" si="27"/>
        <v>7421.4176818206179</v>
      </c>
      <c r="BG188" s="20"/>
      <c r="BH188" s="88">
        <f t="shared" si="23"/>
        <v>7663.2561398840189</v>
      </c>
      <c r="BI188"/>
      <c r="BJ188"/>
      <c r="BK188"/>
      <c r="BL188" s="20"/>
      <c r="BM188" s="20"/>
      <c r="BN188" s="20"/>
      <c r="BY188"/>
      <c r="BZ188"/>
      <c r="CF188"/>
      <c r="CG188"/>
    </row>
    <row r="189" spans="6:85" ht="15.5" x14ac:dyDescent="0.35">
      <c r="AB189" s="20"/>
      <c r="AC189" s="20" t="str">
        <f t="shared" si="24"/>
        <v>Paktika</v>
      </c>
      <c r="AD189" s="71">
        <f t="shared" si="25"/>
        <v>1.5999999999999996</v>
      </c>
      <c r="AE189" s="71">
        <f t="shared" si="29"/>
        <v>1.7339745962155608</v>
      </c>
      <c r="AF189" s="71">
        <f t="shared" si="29"/>
        <v>2.0999999999999996</v>
      </c>
      <c r="AG189" s="71">
        <f t="shared" si="29"/>
        <v>2.5999999999999996</v>
      </c>
      <c r="AH189" s="71">
        <f t="shared" si="29"/>
        <v>3.0999999999999996</v>
      </c>
      <c r="AI189" s="71">
        <f t="shared" si="29"/>
        <v>3.4660254037844385</v>
      </c>
      <c r="AJ189" s="71">
        <f t="shared" si="29"/>
        <v>3.5999999999999996</v>
      </c>
      <c r="AK189" s="71">
        <f t="shared" si="29"/>
        <v>3.4660254037844385</v>
      </c>
      <c r="AL189" s="71">
        <f t="shared" si="29"/>
        <v>3.0999999999999996</v>
      </c>
      <c r="AM189" s="71">
        <f t="shared" si="29"/>
        <v>2.5999999999999996</v>
      </c>
      <c r="AN189" s="71">
        <f t="shared" si="29"/>
        <v>2.0999999999999996</v>
      </c>
      <c r="AO189" s="71">
        <f t="shared" si="29"/>
        <v>1.7339745962155608</v>
      </c>
      <c r="AP189" s="76"/>
      <c r="AQ189" s="81">
        <f>D70*(Burden!F$20)</f>
        <v>121477.22452605864</v>
      </c>
      <c r="AR189" s="181" t="str">
        <f t="shared" si="21"/>
        <v>Paktika</v>
      </c>
      <c r="AS189" s="180">
        <f>$AQ189*AD189/100/Burden!F$23</f>
        <v>259.15141232225841</v>
      </c>
      <c r="AT189" s="180">
        <f t="shared" si="30"/>
        <v>465.87146342953662</v>
      </c>
      <c r="AU189" s="180">
        <f t="shared" si="30"/>
        <v>564.21246040008566</v>
      </c>
      <c r="AV189" s="180">
        <f t="shared" si="30"/>
        <v>698.54876049534425</v>
      </c>
      <c r="AW189" s="180">
        <f t="shared" si="30"/>
        <v>832.88506059060273</v>
      </c>
      <c r="AX189" s="180">
        <f t="shared" si="30"/>
        <v>931.22605756115195</v>
      </c>
      <c r="AY189" s="180">
        <f t="shared" si="30"/>
        <v>967.22136068586133</v>
      </c>
      <c r="AZ189" s="180">
        <f t="shared" si="30"/>
        <v>931.22605756115195</v>
      </c>
      <c r="BA189" s="180">
        <f t="shared" si="30"/>
        <v>832.88506059060273</v>
      </c>
      <c r="BB189" s="180">
        <f t="shared" si="30"/>
        <v>698.54876049534425</v>
      </c>
      <c r="BC189" s="180">
        <f t="shared" si="30"/>
        <v>564.21246040008566</v>
      </c>
      <c r="BD189" s="180">
        <f t="shared" si="30"/>
        <v>465.87146342953662</v>
      </c>
      <c r="BE189" s="81" cm="1">
        <f t="array" ref="BE189">AQ189*AVERAGE(TableP6to59[[#This Row],[Jan-23]:[Dec-23]]/100*(Burden!$F$21+1))</f>
        <v>8211.8603779615623</v>
      </c>
      <c r="BF189" s="86">
        <f t="shared" si="27"/>
        <v>7952.7089656393036</v>
      </c>
      <c r="BG189" s="20"/>
      <c r="BH189" s="88">
        <f t="shared" si="23"/>
        <v>8211.8603779615623</v>
      </c>
      <c r="BI189"/>
      <c r="BJ189"/>
      <c r="BK189"/>
      <c r="BL189" s="20"/>
      <c r="BM189" s="20"/>
      <c r="BN189" s="20"/>
      <c r="BP189" s="20"/>
      <c r="BQ189" s="20"/>
      <c r="BR189" s="20"/>
      <c r="BY189"/>
      <c r="BZ189"/>
      <c r="CF189"/>
      <c r="CG189"/>
    </row>
    <row r="190" spans="6:85" ht="15.5" x14ac:dyDescent="0.35">
      <c r="AB190" s="20"/>
      <c r="AC190" s="20" t="str">
        <f t="shared" si="24"/>
        <v>Paktya</v>
      </c>
      <c r="AD190" s="71">
        <f t="shared" si="25"/>
        <v>1.1354838709677415</v>
      </c>
      <c r="AE190" s="71">
        <f t="shared" si="29"/>
        <v>1.2305626166691075</v>
      </c>
      <c r="AF190" s="71">
        <f t="shared" si="29"/>
        <v>1.490322580645161</v>
      </c>
      <c r="AG190" s="71">
        <f t="shared" si="29"/>
        <v>1.8451612903225802</v>
      </c>
      <c r="AH190" s="71">
        <f t="shared" si="29"/>
        <v>2.1999999999999997</v>
      </c>
      <c r="AI190" s="71">
        <f t="shared" si="29"/>
        <v>2.4597599639760528</v>
      </c>
      <c r="AJ190" s="71">
        <f t="shared" si="29"/>
        <v>2.5548387096774188</v>
      </c>
      <c r="AK190" s="71">
        <f t="shared" si="29"/>
        <v>2.4597599639760528</v>
      </c>
      <c r="AL190" s="71">
        <f t="shared" si="29"/>
        <v>2.1999999999999997</v>
      </c>
      <c r="AM190" s="71">
        <f t="shared" si="29"/>
        <v>1.8451612903225802</v>
      </c>
      <c r="AN190" s="71">
        <f t="shared" si="29"/>
        <v>1.490322580645161</v>
      </c>
      <c r="AO190" s="71">
        <f t="shared" si="29"/>
        <v>1.2305626166691075</v>
      </c>
      <c r="AP190" s="76"/>
      <c r="AQ190" s="81">
        <f>D71*(Burden!F$20)</f>
        <v>154278.43660884013</v>
      </c>
      <c r="AR190" s="181" t="str">
        <f t="shared" si="21"/>
        <v>Paktya</v>
      </c>
      <c r="AS190" s="180">
        <f>$AQ190*AD190/100/Burden!F$23</f>
        <v>233.57423520994283</v>
      </c>
      <c r="AT190" s="180">
        <f t="shared" si="30"/>
        <v>419.89186862457535</v>
      </c>
      <c r="AU190" s="180">
        <f t="shared" si="30"/>
        <v>508.52701419968759</v>
      </c>
      <c r="AV190" s="180">
        <f t="shared" si="30"/>
        <v>629.60487472342277</v>
      </c>
      <c r="AW190" s="180">
        <f t="shared" si="30"/>
        <v>750.68273524715789</v>
      </c>
      <c r="AX190" s="180">
        <f t="shared" si="30"/>
        <v>839.31788082227024</v>
      </c>
      <c r="AY190" s="180">
        <f t="shared" si="30"/>
        <v>871.76059577089302</v>
      </c>
      <c r="AZ190" s="180">
        <f t="shared" si="30"/>
        <v>839.31788082227024</v>
      </c>
      <c r="BA190" s="180">
        <f t="shared" si="30"/>
        <v>750.68273524715789</v>
      </c>
      <c r="BB190" s="180">
        <f t="shared" si="30"/>
        <v>629.60487472342277</v>
      </c>
      <c r="BC190" s="180">
        <f t="shared" si="30"/>
        <v>508.52701419968759</v>
      </c>
      <c r="BD190" s="180">
        <f t="shared" si="30"/>
        <v>419.89186862457535</v>
      </c>
      <c r="BE190" s="81" cm="1">
        <f t="array" ref="BE190">AQ190*AVERAGE(TableP6to59[[#This Row],[Jan-23]:[Dec-23]]/100*(Burden!$F$21+1))</f>
        <v>7401.3835782150636</v>
      </c>
      <c r="BF190" s="86">
        <f t="shared" si="27"/>
        <v>7167.8093430051204</v>
      </c>
      <c r="BG190" s="20"/>
      <c r="BH190" s="88">
        <f t="shared" si="23"/>
        <v>7401.3835782150636</v>
      </c>
      <c r="BI190"/>
      <c r="BJ190"/>
      <c r="BK190"/>
      <c r="BY190"/>
      <c r="BZ190"/>
      <c r="CF190"/>
      <c r="CG190"/>
    </row>
    <row r="191" spans="6:85" ht="15.5" x14ac:dyDescent="0.35">
      <c r="AB191" s="20"/>
      <c r="AC191" s="20" t="str">
        <f t="shared" si="24"/>
        <v>Panjsher</v>
      </c>
      <c r="AD191" s="71">
        <f t="shared" si="25"/>
        <v>2.7354838709677414</v>
      </c>
      <c r="AE191" s="71">
        <f t="shared" si="29"/>
        <v>2.9645372128846685</v>
      </c>
      <c r="AF191" s="71">
        <f t="shared" si="29"/>
        <v>3.5903225806451609</v>
      </c>
      <c r="AG191" s="71">
        <f t="shared" si="29"/>
        <v>4.4451612903225799</v>
      </c>
      <c r="AH191" s="71">
        <f t="shared" si="29"/>
        <v>5.3</v>
      </c>
      <c r="AI191" s="71">
        <f t="shared" si="29"/>
        <v>5.9257853677604917</v>
      </c>
      <c r="AJ191" s="71">
        <f t="shared" si="29"/>
        <v>6.1548387096774189</v>
      </c>
      <c r="AK191" s="71">
        <f t="shared" si="29"/>
        <v>5.9257853677604917</v>
      </c>
      <c r="AL191" s="71">
        <f t="shared" si="29"/>
        <v>5.3</v>
      </c>
      <c r="AM191" s="71">
        <f t="shared" si="29"/>
        <v>4.4451612903225799</v>
      </c>
      <c r="AN191" s="71">
        <f t="shared" si="29"/>
        <v>3.5903225806451609</v>
      </c>
      <c r="AO191" s="71">
        <f t="shared" si="29"/>
        <v>2.9645372128846685</v>
      </c>
      <c r="AP191" s="76"/>
      <c r="AQ191" s="81">
        <f>D72*(Burden!F$20)</f>
        <v>42885.941534953083</v>
      </c>
      <c r="AR191" s="181" t="str">
        <f t="shared" si="21"/>
        <v>Panjsher</v>
      </c>
      <c r="AS191" s="180">
        <f>$AQ191*AD191/100/Burden!F$23</f>
        <v>156.41840181350625</v>
      </c>
      <c r="AT191" s="180">
        <f t="shared" si="30"/>
        <v>281.19032463366062</v>
      </c>
      <c r="AU191" s="180">
        <f t="shared" si="30"/>
        <v>340.54690479287655</v>
      </c>
      <c r="AV191" s="180">
        <f t="shared" si="30"/>
        <v>421.6295011721329</v>
      </c>
      <c r="AW191" s="180">
        <f t="shared" si="30"/>
        <v>502.71209755138921</v>
      </c>
      <c r="AX191" s="180">
        <f t="shared" si="30"/>
        <v>562.06867771060524</v>
      </c>
      <c r="AY191" s="180">
        <f t="shared" si="30"/>
        <v>583.79469393064551</v>
      </c>
      <c r="AZ191" s="180">
        <f t="shared" si="30"/>
        <v>562.06867771060524</v>
      </c>
      <c r="BA191" s="180">
        <f t="shared" si="30"/>
        <v>502.71209755138921</v>
      </c>
      <c r="BB191" s="180">
        <f t="shared" si="30"/>
        <v>421.6295011721329</v>
      </c>
      <c r="BC191" s="180">
        <f t="shared" si="30"/>
        <v>340.54690479287655</v>
      </c>
      <c r="BD191" s="180">
        <f t="shared" si="30"/>
        <v>281.19032463366062</v>
      </c>
      <c r="BE191" s="81" cm="1">
        <f t="array" ref="BE191">AQ191*AVERAGE(TableP6to59[[#This Row],[Jan-23]:[Dec-23]]/100*(Burden!$F$21+1))</f>
        <v>4956.5081074654809</v>
      </c>
      <c r="BF191" s="86">
        <f t="shared" si="27"/>
        <v>4800.0897056519743</v>
      </c>
      <c r="BG191" s="20"/>
      <c r="BH191" s="88">
        <f t="shared" si="23"/>
        <v>4956.5081074654809</v>
      </c>
      <c r="BI191"/>
      <c r="BJ191"/>
      <c r="BK191"/>
      <c r="BY191"/>
      <c r="BZ191"/>
      <c r="CF191"/>
      <c r="CG191"/>
    </row>
    <row r="192" spans="6:85" ht="15.5" x14ac:dyDescent="0.35">
      <c r="AB192" s="20"/>
      <c r="AC192" s="20" t="str">
        <f t="shared" si="24"/>
        <v>Parwan</v>
      </c>
      <c r="AD192" s="71">
        <f t="shared" si="25"/>
        <v>1.1132036206811526</v>
      </c>
      <c r="AE192" s="71">
        <f t="shared" si="29"/>
        <v>1.2064167491726889</v>
      </c>
      <c r="AF192" s="71">
        <f t="shared" si="29"/>
        <v>1.4610797521440129</v>
      </c>
      <c r="AG192" s="71">
        <f t="shared" si="29"/>
        <v>1.8089558836068733</v>
      </c>
      <c r="AH192" s="71">
        <f t="shared" si="29"/>
        <v>2.1568320150697335</v>
      </c>
      <c r="AI192" s="71">
        <f t="shared" si="29"/>
        <v>2.4114950180410575</v>
      </c>
      <c r="AJ192" s="71">
        <f t="shared" si="29"/>
        <v>2.504708146532594</v>
      </c>
      <c r="AK192" s="71">
        <f t="shared" si="29"/>
        <v>2.4114950180410575</v>
      </c>
      <c r="AL192" s="71">
        <f t="shared" si="29"/>
        <v>2.1568320150697335</v>
      </c>
      <c r="AM192" s="71">
        <f t="shared" si="29"/>
        <v>1.8089558836068733</v>
      </c>
      <c r="AN192" s="71">
        <f t="shared" si="29"/>
        <v>1.4610797521440129</v>
      </c>
      <c r="AO192" s="71">
        <f t="shared" si="29"/>
        <v>1.2064167491726889</v>
      </c>
      <c r="AP192" s="76"/>
      <c r="AQ192" s="81">
        <f>D73*(Burden!F$20)</f>
        <v>185781.53255180173</v>
      </c>
      <c r="AR192" s="181" t="str">
        <f t="shared" si="21"/>
        <v>Parwan</v>
      </c>
      <c r="AS192" s="180">
        <f>$AQ192*AD192/100/Burden!F$23</f>
        <v>275.75023292314552</v>
      </c>
      <c r="AT192" s="180">
        <f t="shared" si="30"/>
        <v>495.71084101673517</v>
      </c>
      <c r="AU192" s="180">
        <f t="shared" si="30"/>
        <v>600.35064435611343</v>
      </c>
      <c r="AV192" s="180">
        <f t="shared" si="30"/>
        <v>743.29127396471199</v>
      </c>
      <c r="AW192" s="180">
        <f t="shared" si="30"/>
        <v>886.23190357331043</v>
      </c>
      <c r="AX192" s="180">
        <f t="shared" si="30"/>
        <v>990.87170691268886</v>
      </c>
      <c r="AY192" s="180">
        <f t="shared" si="30"/>
        <v>1029.1725331819089</v>
      </c>
      <c r="AZ192" s="180">
        <f t="shared" si="30"/>
        <v>990.87170691268886</v>
      </c>
      <c r="BA192" s="180">
        <f t="shared" si="30"/>
        <v>886.23190357331043</v>
      </c>
      <c r="BB192" s="180">
        <f t="shared" si="30"/>
        <v>743.29127396471199</v>
      </c>
      <c r="BC192" s="180">
        <f t="shared" si="30"/>
        <v>600.35064435611343</v>
      </c>
      <c r="BD192" s="180">
        <f t="shared" si="30"/>
        <v>495.71084101673517</v>
      </c>
      <c r="BE192" s="81" cm="1">
        <f t="array" ref="BE192">AQ192*AVERAGE(TableP6to59[[#This Row],[Jan-23]:[Dec-23]]/100*(Burden!$F$21+1))</f>
        <v>8737.835505752173</v>
      </c>
      <c r="BF192" s="86">
        <f t="shared" si="27"/>
        <v>8462.0852728290283</v>
      </c>
      <c r="BG192" s="20"/>
      <c r="BH192" s="88">
        <f t="shared" si="23"/>
        <v>8737.835505752173</v>
      </c>
      <c r="BI192"/>
      <c r="BJ192"/>
      <c r="BK192"/>
      <c r="BP192"/>
      <c r="BQ192"/>
      <c r="BR192"/>
      <c r="BY192"/>
      <c r="BZ192"/>
      <c r="CF192"/>
      <c r="CG192"/>
    </row>
    <row r="193" spans="28:85" ht="15.5" x14ac:dyDescent="0.35">
      <c r="AB193" s="20"/>
      <c r="AC193" s="20" t="str">
        <f t="shared" si="24"/>
        <v>Samangan</v>
      </c>
      <c r="AD193" s="71">
        <f t="shared" si="25"/>
        <v>2.1424788027912167</v>
      </c>
      <c r="AE193" s="71">
        <f t="shared" si="29"/>
        <v>2.3218773856064368</v>
      </c>
      <c r="AF193" s="71">
        <f t="shared" si="29"/>
        <v>2.8120034286634721</v>
      </c>
      <c r="AG193" s="71">
        <f t="shared" si="29"/>
        <v>3.4815280545357274</v>
      </c>
      <c r="AH193" s="71">
        <f t="shared" si="29"/>
        <v>4.1510526804079824</v>
      </c>
      <c r="AI193" s="71">
        <f t="shared" si="29"/>
        <v>4.6411787234650177</v>
      </c>
      <c r="AJ193" s="71">
        <f t="shared" si="29"/>
        <v>4.8205773062802377</v>
      </c>
      <c r="AK193" s="71">
        <f t="shared" si="29"/>
        <v>4.6411787234650177</v>
      </c>
      <c r="AL193" s="71">
        <f t="shared" si="29"/>
        <v>4.1510526804079824</v>
      </c>
      <c r="AM193" s="71">
        <f t="shared" si="29"/>
        <v>3.4815280545357274</v>
      </c>
      <c r="AN193" s="71">
        <f t="shared" si="29"/>
        <v>2.8120034286634721</v>
      </c>
      <c r="AO193" s="71">
        <f t="shared" si="29"/>
        <v>2.3218773856064368</v>
      </c>
      <c r="AP193" s="76"/>
      <c r="AQ193" s="81">
        <f>D74*(Burden!F$20)</f>
        <v>108447.67929884448</v>
      </c>
      <c r="AR193" s="181" t="str">
        <f t="shared" si="21"/>
        <v>Samangan</v>
      </c>
      <c r="AS193" s="180">
        <f>$AQ193*AD193/100/Burden!F$23</f>
        <v>309.7958054795655</v>
      </c>
      <c r="AT193" s="180">
        <f t="shared" si="30"/>
        <v>556.91390592780988</v>
      </c>
      <c r="AU193" s="180">
        <f t="shared" si="30"/>
        <v>674.47308916803206</v>
      </c>
      <c r="AV193" s="180">
        <f t="shared" si="30"/>
        <v>835.0619199223255</v>
      </c>
      <c r="AW193" s="180">
        <f t="shared" si="30"/>
        <v>995.65075067661883</v>
      </c>
      <c r="AX193" s="180">
        <f t="shared" si="30"/>
        <v>1113.2099339168412</v>
      </c>
      <c r="AY193" s="180">
        <f t="shared" si="30"/>
        <v>1156.2395814309123</v>
      </c>
      <c r="AZ193" s="180">
        <f t="shared" si="30"/>
        <v>1113.2099339168412</v>
      </c>
      <c r="BA193" s="180">
        <f t="shared" si="30"/>
        <v>995.65075067661883</v>
      </c>
      <c r="BB193" s="180">
        <f t="shared" si="30"/>
        <v>835.0619199223255</v>
      </c>
      <c r="BC193" s="180">
        <f t="shared" si="30"/>
        <v>674.47308916803206</v>
      </c>
      <c r="BD193" s="180">
        <f t="shared" si="30"/>
        <v>556.91390592780988</v>
      </c>
      <c r="BE193" s="81" cm="1">
        <f t="array" ref="BE193">AQ193*AVERAGE(TableP6to59[[#This Row],[Jan-23]:[Dec-23]]/100*(Burden!$F$21+1))</f>
        <v>9816.6545861337327</v>
      </c>
      <c r="BF193" s="86">
        <f t="shared" si="27"/>
        <v>9506.8587806541673</v>
      </c>
      <c r="BG193" s="20"/>
      <c r="BH193" s="88">
        <f t="shared" si="23"/>
        <v>9816.6545861337327</v>
      </c>
      <c r="BI193"/>
      <c r="BJ193"/>
      <c r="BK193"/>
      <c r="BP193"/>
      <c r="BQ193"/>
      <c r="BR193"/>
      <c r="BY193"/>
      <c r="BZ193"/>
      <c r="CF193"/>
      <c r="CG193"/>
    </row>
    <row r="194" spans="28:85" ht="15.5" x14ac:dyDescent="0.35">
      <c r="AB194" s="20"/>
      <c r="AC194" s="20" t="str">
        <f t="shared" si="24"/>
        <v>Sar-e-Pul</v>
      </c>
      <c r="AD194" s="71">
        <f t="shared" si="25"/>
        <v>0.80332916901841522</v>
      </c>
      <c r="AE194" s="71">
        <f t="shared" si="29"/>
        <v>0.87059523217305546</v>
      </c>
      <c r="AF194" s="71">
        <f t="shared" si="29"/>
        <v>1.0543695343366699</v>
      </c>
      <c r="AG194" s="71">
        <f t="shared" si="29"/>
        <v>1.3054098996549248</v>
      </c>
      <c r="AH194" s="71">
        <f t="shared" si="29"/>
        <v>1.5564502649731795</v>
      </c>
      <c r="AI194" s="71">
        <f t="shared" si="29"/>
        <v>1.740224567136794</v>
      </c>
      <c r="AJ194" s="71">
        <f t="shared" si="29"/>
        <v>1.8074906302914344</v>
      </c>
      <c r="AK194" s="71">
        <f t="shared" si="29"/>
        <v>1.740224567136794</v>
      </c>
      <c r="AL194" s="71">
        <f t="shared" si="29"/>
        <v>1.5564502649731795</v>
      </c>
      <c r="AM194" s="71">
        <f t="shared" si="29"/>
        <v>1.3054098996549248</v>
      </c>
      <c r="AN194" s="71">
        <f t="shared" si="29"/>
        <v>1.0543695343366699</v>
      </c>
      <c r="AO194" s="71">
        <f t="shared" si="29"/>
        <v>0.87059523217305546</v>
      </c>
      <c r="AP194" s="76"/>
      <c r="AQ194" s="81">
        <f>D75*(Burden!F$20)</f>
        <v>156434.54098931613</v>
      </c>
      <c r="AR194" s="181" t="str">
        <f t="shared" si="21"/>
        <v>Sar-e-Pul</v>
      </c>
      <c r="AS194" s="180">
        <f>$AQ194*AD194/100/Burden!F$23</f>
        <v>167.55790642496606</v>
      </c>
      <c r="AT194" s="180">
        <f t="shared" si="30"/>
        <v>301.21559583985237</v>
      </c>
      <c r="AU194" s="180">
        <f t="shared" si="30"/>
        <v>364.79931865452392</v>
      </c>
      <c r="AV194" s="180">
        <f t="shared" si="30"/>
        <v>451.65629928655346</v>
      </c>
      <c r="AW194" s="180">
        <f t="shared" si="30"/>
        <v>538.51327991858295</v>
      </c>
      <c r="AX194" s="180">
        <f t="shared" si="30"/>
        <v>602.09700273325461</v>
      </c>
      <c r="AY194" s="180">
        <f t="shared" si="30"/>
        <v>625.37026055061244</v>
      </c>
      <c r="AZ194" s="180">
        <f t="shared" si="30"/>
        <v>602.09700273325461</v>
      </c>
      <c r="BA194" s="180">
        <f t="shared" si="30"/>
        <v>538.51327991858295</v>
      </c>
      <c r="BB194" s="180">
        <f t="shared" si="30"/>
        <v>451.65629928655346</v>
      </c>
      <c r="BC194" s="180">
        <f t="shared" si="30"/>
        <v>364.79931865452392</v>
      </c>
      <c r="BD194" s="180">
        <f t="shared" si="30"/>
        <v>301.21559583985237</v>
      </c>
      <c r="BE194" s="81" cm="1">
        <f t="array" ref="BE194">AQ194*AVERAGE(TableP6to59[[#This Row],[Jan-23]:[Dec-23]]/100*(Burden!$F$21+1))</f>
        <v>5309.4911598411127</v>
      </c>
      <c r="BF194" s="86">
        <f t="shared" si="27"/>
        <v>5141.9332534161467</v>
      </c>
      <c r="BG194" s="20"/>
      <c r="BH194" s="88">
        <f t="shared" si="23"/>
        <v>5309.4911598411136</v>
      </c>
      <c r="BI194"/>
      <c r="BJ194"/>
      <c r="BK194"/>
      <c r="BP194"/>
      <c r="BQ194"/>
      <c r="BR194"/>
      <c r="BY194"/>
      <c r="BZ194"/>
      <c r="CF194"/>
      <c r="CG194"/>
    </row>
    <row r="195" spans="28:85" ht="15.5" x14ac:dyDescent="0.35">
      <c r="AB195" s="20"/>
      <c r="AC195" s="20" t="str">
        <f t="shared" si="24"/>
        <v>Takhar</v>
      </c>
      <c r="AD195" s="71">
        <f t="shared" si="25"/>
        <v>1.2447880454697344</v>
      </c>
      <c r="AE195" s="71">
        <f t="shared" si="29"/>
        <v>1.3490192803233378</v>
      </c>
      <c r="AF195" s="71">
        <f t="shared" si="29"/>
        <v>1.6337843096790265</v>
      </c>
      <c r="AG195" s="71">
        <f t="shared" si="29"/>
        <v>2.0227805738883187</v>
      </c>
      <c r="AH195" s="71">
        <f t="shared" si="29"/>
        <v>2.411776838097611</v>
      </c>
      <c r="AI195" s="71">
        <f t="shared" si="29"/>
        <v>2.6965418674532997</v>
      </c>
      <c r="AJ195" s="71">
        <f t="shared" si="29"/>
        <v>2.8007731023069029</v>
      </c>
      <c r="AK195" s="71">
        <f t="shared" si="29"/>
        <v>2.6965418674532997</v>
      </c>
      <c r="AL195" s="71">
        <f t="shared" si="29"/>
        <v>2.411776838097611</v>
      </c>
      <c r="AM195" s="71">
        <f t="shared" si="29"/>
        <v>2.0227805738883187</v>
      </c>
      <c r="AN195" s="71">
        <f t="shared" si="29"/>
        <v>1.6337843096790265</v>
      </c>
      <c r="AO195" s="71">
        <f t="shared" si="29"/>
        <v>1.3490192803233378</v>
      </c>
      <c r="AP195" s="76"/>
      <c r="AQ195" s="81">
        <f>D76*(Burden!F$20)</f>
        <v>275000.48853089928</v>
      </c>
      <c r="AR195" s="181" t="str">
        <f t="shared" si="21"/>
        <v>Takhar</v>
      </c>
      <c r="AS195" s="180">
        <f>$AQ195*AD195/100/Burden!F$23</f>
        <v>456.42309416213368</v>
      </c>
      <c r="AT195" s="180">
        <f t="shared" ref="AT195:BD206" si="31">$BF195*AT$161</f>
        <v>820.50293654559198</v>
      </c>
      <c r="AU195" s="180">
        <f t="shared" si="31"/>
        <v>993.7032356219936</v>
      </c>
      <c r="AV195" s="180">
        <f t="shared" si="31"/>
        <v>1230.2992441034207</v>
      </c>
      <c r="AW195" s="180">
        <f t="shared" si="31"/>
        <v>1466.8952525848479</v>
      </c>
      <c r="AX195" s="180">
        <f t="shared" si="31"/>
        <v>1640.0955516612496</v>
      </c>
      <c r="AY195" s="180">
        <f t="shared" si="31"/>
        <v>1703.491261066275</v>
      </c>
      <c r="AZ195" s="180">
        <f t="shared" si="31"/>
        <v>1640.0955516612496</v>
      </c>
      <c r="BA195" s="180">
        <f t="shared" si="31"/>
        <v>1466.8952525848479</v>
      </c>
      <c r="BB195" s="180">
        <f t="shared" si="31"/>
        <v>1230.2992441034207</v>
      </c>
      <c r="BC195" s="180">
        <f t="shared" si="31"/>
        <v>993.7032356219936</v>
      </c>
      <c r="BD195" s="180">
        <f t="shared" si="31"/>
        <v>820.50293654559198</v>
      </c>
      <c r="BE195" s="81" cm="1">
        <f t="array" ref="BE195">AQ195*AVERAGE(TableP6to59[[#This Row],[Jan-23]:[Dec-23]]/100*(Burden!$F$21+1))</f>
        <v>14462.906796262616</v>
      </c>
      <c r="BF195" s="86">
        <f t="shared" si="27"/>
        <v>14006.483702100482</v>
      </c>
      <c r="BG195" s="20"/>
      <c r="BH195" s="88">
        <f t="shared" si="23"/>
        <v>14462.906796262614</v>
      </c>
      <c r="BI195"/>
      <c r="BJ195"/>
      <c r="BK195"/>
      <c r="BP195"/>
      <c r="BQ195"/>
      <c r="BR195"/>
      <c r="BY195"/>
      <c r="BZ195"/>
      <c r="CF195"/>
      <c r="CG195"/>
    </row>
    <row r="196" spans="28:85" ht="15.5" x14ac:dyDescent="0.35">
      <c r="AB196" s="20"/>
      <c r="AC196" s="20" t="str">
        <f t="shared" si="24"/>
        <v>Urozgan</v>
      </c>
      <c r="AD196" s="71">
        <f t="shared" si="25"/>
        <v>5.684174981843662</v>
      </c>
      <c r="AE196" s="71">
        <f t="shared" si="29"/>
        <v>6.1601343868505989</v>
      </c>
      <c r="AF196" s="71">
        <f t="shared" si="29"/>
        <v>7.4604796636698065</v>
      </c>
      <c r="AG196" s="71">
        <f t="shared" si="29"/>
        <v>9.236784345495952</v>
      </c>
      <c r="AH196" s="71">
        <f t="shared" si="29"/>
        <v>11.013089027322096</v>
      </c>
      <c r="AI196" s="71">
        <f t="shared" si="29"/>
        <v>12.313434304141303</v>
      </c>
      <c r="AJ196" s="71">
        <f t="shared" si="29"/>
        <v>12.789393709148241</v>
      </c>
      <c r="AK196" s="71">
        <f t="shared" si="29"/>
        <v>12.313434304141303</v>
      </c>
      <c r="AL196" s="71">
        <f t="shared" si="29"/>
        <v>11.013089027322096</v>
      </c>
      <c r="AM196" s="71">
        <f t="shared" si="29"/>
        <v>9.236784345495952</v>
      </c>
      <c r="AN196" s="71">
        <f t="shared" si="29"/>
        <v>7.4604796636698065</v>
      </c>
      <c r="AO196" s="71">
        <f t="shared" si="29"/>
        <v>6.1601343868505989</v>
      </c>
      <c r="AP196" s="76"/>
      <c r="AQ196" s="81">
        <f>D77*(Burden!F$20)</f>
        <v>97967.357062852301</v>
      </c>
      <c r="AR196" s="181" t="str">
        <f t="shared" si="21"/>
        <v>Urozgan</v>
      </c>
      <c r="AS196" s="180">
        <f>$AQ196*AD196/100/Burden!F$23</f>
        <v>742.4848000720134</v>
      </c>
      <c r="AT196" s="180">
        <f t="shared" si="31"/>
        <v>1334.7505123900364</v>
      </c>
      <c r="AU196" s="180">
        <f t="shared" si="31"/>
        <v>1616.5035417108388</v>
      </c>
      <c r="AV196" s="180">
        <f t="shared" si="31"/>
        <v>2001.3853373562768</v>
      </c>
      <c r="AW196" s="180">
        <f t="shared" si="31"/>
        <v>2386.2671330017147</v>
      </c>
      <c r="AX196" s="180">
        <f t="shared" si="31"/>
        <v>2668.0201623225171</v>
      </c>
      <c r="AY196" s="180">
        <f t="shared" si="31"/>
        <v>2771.1489286471524</v>
      </c>
      <c r="AZ196" s="180">
        <f t="shared" si="31"/>
        <v>2668.0201623225171</v>
      </c>
      <c r="BA196" s="180">
        <f t="shared" si="31"/>
        <v>2386.2671330017147</v>
      </c>
      <c r="BB196" s="180">
        <f t="shared" si="31"/>
        <v>2001.3853373562768</v>
      </c>
      <c r="BC196" s="180">
        <f t="shared" si="31"/>
        <v>1616.5035417108388</v>
      </c>
      <c r="BD196" s="180">
        <f t="shared" si="31"/>
        <v>1334.7505123900364</v>
      </c>
      <c r="BE196" s="81" cm="1">
        <f t="array" ref="BE196">AQ196*AVERAGE(TableP6to59[[#This Row],[Jan-23]:[Dec-23]]/100*(Burden!$F$21+1))</f>
        <v>23527.487102281932</v>
      </c>
      <c r="BF196" s="86">
        <f t="shared" si="27"/>
        <v>22785.002302209919</v>
      </c>
      <c r="BG196" s="20"/>
      <c r="BH196" s="88">
        <f t="shared" si="23"/>
        <v>23527.487102281935</v>
      </c>
      <c r="BI196"/>
      <c r="BJ196"/>
      <c r="BK196"/>
      <c r="BP196"/>
      <c r="BQ196"/>
      <c r="BR196"/>
      <c r="BY196"/>
      <c r="BZ196"/>
      <c r="CF196"/>
      <c r="CG196"/>
    </row>
    <row r="197" spans="28:85" ht="15.5" x14ac:dyDescent="0.35">
      <c r="AB197" s="20"/>
      <c r="AC197" s="20" t="str">
        <f t="shared" si="24"/>
        <v>Wardak</v>
      </c>
      <c r="AD197" s="71">
        <f t="shared" si="25"/>
        <v>4.4255571864560403</v>
      </c>
      <c r="AE197" s="71">
        <f t="shared" si="29"/>
        <v>4.7961273346337423</v>
      </c>
      <c r="AF197" s="71">
        <f t="shared" si="29"/>
        <v>5.808543807223554</v>
      </c>
      <c r="AG197" s="71">
        <f t="shared" si="29"/>
        <v>7.1915304279910668</v>
      </c>
      <c r="AH197" s="71">
        <f t="shared" si="29"/>
        <v>8.5745170487585796</v>
      </c>
      <c r="AI197" s="71">
        <f t="shared" si="29"/>
        <v>9.5869335213483904</v>
      </c>
      <c r="AJ197" s="71">
        <f t="shared" si="29"/>
        <v>9.9575036695260923</v>
      </c>
      <c r="AK197" s="71">
        <f t="shared" si="29"/>
        <v>9.5869335213483904</v>
      </c>
      <c r="AL197" s="71">
        <f t="shared" si="29"/>
        <v>8.5745170487585796</v>
      </c>
      <c r="AM197" s="71">
        <f t="shared" si="29"/>
        <v>7.1915304279910668</v>
      </c>
      <c r="AN197" s="71">
        <f t="shared" si="29"/>
        <v>5.808543807223554</v>
      </c>
      <c r="AO197" s="71">
        <f t="shared" si="29"/>
        <v>4.7961273346337423</v>
      </c>
      <c r="AP197" s="76"/>
      <c r="AQ197" s="81">
        <f>D78*(Burden!F$20)</f>
        <v>166615.48828327868</v>
      </c>
      <c r="AR197" s="181" t="str">
        <f t="shared" si="21"/>
        <v>Wardak</v>
      </c>
      <c r="AS197" s="180">
        <f>$AQ197*AD197/100/Burden!F$23</f>
        <v>983.15516206259474</v>
      </c>
      <c r="AT197" s="180">
        <f t="shared" si="31"/>
        <v>1767.398950382124</v>
      </c>
      <c r="AU197" s="180">
        <f t="shared" si="31"/>
        <v>2140.4799147017352</v>
      </c>
      <c r="AV197" s="180">
        <f t="shared" si="31"/>
        <v>2650.1179896307203</v>
      </c>
      <c r="AW197" s="180">
        <f t="shared" si="31"/>
        <v>3159.7560645597046</v>
      </c>
      <c r="AX197" s="180">
        <f t="shared" si="31"/>
        <v>3532.8370288793162</v>
      </c>
      <c r="AY197" s="180">
        <f t="shared" si="31"/>
        <v>3669.3941394886892</v>
      </c>
      <c r="AZ197" s="180">
        <f t="shared" si="31"/>
        <v>3532.8370288793162</v>
      </c>
      <c r="BA197" s="180">
        <f t="shared" si="31"/>
        <v>3159.7560645597046</v>
      </c>
      <c r="BB197" s="180">
        <f t="shared" si="31"/>
        <v>2650.1179896307203</v>
      </c>
      <c r="BC197" s="180">
        <f t="shared" si="31"/>
        <v>2140.4799147017352</v>
      </c>
      <c r="BD197" s="180">
        <f t="shared" si="31"/>
        <v>1767.398950382124</v>
      </c>
      <c r="BE197" s="81" cm="1">
        <f t="array" ref="BE197">AQ197*AVERAGE(TableP6to59[[#This Row],[Jan-23]:[Dec-23]]/100*(Burden!$F$21+1))</f>
        <v>31153.729197858484</v>
      </c>
      <c r="BF197" s="86">
        <f t="shared" si="27"/>
        <v>30170.574035795889</v>
      </c>
      <c r="BG197" s="20"/>
      <c r="BH197" s="88">
        <f t="shared" si="23"/>
        <v>31153.729197858484</v>
      </c>
      <c r="BI197"/>
      <c r="BJ197"/>
      <c r="BK197"/>
      <c r="BP197"/>
      <c r="BQ197"/>
      <c r="BR197"/>
      <c r="BY197"/>
      <c r="BZ197"/>
      <c r="CF197"/>
      <c r="CG197"/>
    </row>
    <row r="198" spans="28:85" ht="15.5" x14ac:dyDescent="0.35">
      <c r="AB198" s="20"/>
      <c r="AC198" s="20" t="str">
        <f t="shared" si="24"/>
        <v>Zabul</v>
      </c>
      <c r="AD198" s="71">
        <f t="shared" si="25"/>
        <v>2.2568757175515795</v>
      </c>
      <c r="AE198" s="71">
        <f t="shared" ref="AE198:AO198" si="32">AE$163*($H79/$H$44)</f>
        <v>2.4458532256563781</v>
      </c>
      <c r="AF198" s="71">
        <f t="shared" si="32"/>
        <v>2.9621493792864482</v>
      </c>
      <c r="AG198" s="71">
        <f t="shared" si="32"/>
        <v>3.6674230410213169</v>
      </c>
      <c r="AH198" s="71">
        <f t="shared" si="32"/>
        <v>4.3726967027561852</v>
      </c>
      <c r="AI198" s="71">
        <f t="shared" si="32"/>
        <v>4.8889928563862552</v>
      </c>
      <c r="AJ198" s="71">
        <f t="shared" si="32"/>
        <v>5.0779703644910539</v>
      </c>
      <c r="AK198" s="71">
        <f t="shared" si="32"/>
        <v>4.8889928563862552</v>
      </c>
      <c r="AL198" s="71">
        <f t="shared" si="32"/>
        <v>4.3726967027561852</v>
      </c>
      <c r="AM198" s="71">
        <f t="shared" si="32"/>
        <v>3.6674230410213169</v>
      </c>
      <c r="AN198" s="71">
        <f t="shared" si="32"/>
        <v>2.9621493792864482</v>
      </c>
      <c r="AO198" s="71">
        <f t="shared" si="32"/>
        <v>2.4458532256563781</v>
      </c>
      <c r="AP198" s="76"/>
      <c r="AQ198" s="81">
        <f>D79*(Burden!F$20)</f>
        <v>84999.391254384362</v>
      </c>
      <c r="AR198" s="181" t="str">
        <f t="shared" si="21"/>
        <v>Zabul</v>
      </c>
      <c r="AS198" s="180">
        <f>$AQ198*AD198/100/Burden!F$23</f>
        <v>255.77741617158154</v>
      </c>
      <c r="AT198" s="180">
        <f t="shared" si="31"/>
        <v>459.80609604359</v>
      </c>
      <c r="AU198" s="180">
        <f t="shared" si="31"/>
        <v>556.86675214214051</v>
      </c>
      <c r="AV198" s="180">
        <f t="shared" si="31"/>
        <v>689.45407408074539</v>
      </c>
      <c r="AW198" s="180">
        <f t="shared" si="31"/>
        <v>822.04139601935026</v>
      </c>
      <c r="AX198" s="180">
        <f t="shared" si="31"/>
        <v>919.10205211790083</v>
      </c>
      <c r="AY198" s="180">
        <f t="shared" si="31"/>
        <v>954.62871795795525</v>
      </c>
      <c r="AZ198" s="180">
        <f t="shared" si="31"/>
        <v>919.10205211790083</v>
      </c>
      <c r="BA198" s="180">
        <f t="shared" si="31"/>
        <v>822.04139601935026</v>
      </c>
      <c r="BB198" s="180">
        <f t="shared" si="31"/>
        <v>689.45407408074539</v>
      </c>
      <c r="BC198" s="180">
        <f t="shared" si="31"/>
        <v>556.86675214214051</v>
      </c>
      <c r="BD198" s="180">
        <f t="shared" si="31"/>
        <v>459.80609604359</v>
      </c>
      <c r="BE198" s="81" cm="1">
        <f t="array" ref="BE198">AQ198*AVERAGE(TableP6to59[[#This Row],[Jan-23]:[Dec-23]]/100*(Burden!$F$21+1))</f>
        <v>8104.9468749369908</v>
      </c>
      <c r="BF198" s="86">
        <f t="shared" si="27"/>
        <v>7849.1694587654092</v>
      </c>
      <c r="BG198" s="20"/>
      <c r="BH198" s="88">
        <f t="shared" si="23"/>
        <v>8104.9468749369889</v>
      </c>
      <c r="BI198"/>
      <c r="BJ198"/>
      <c r="BK198"/>
      <c r="BP198"/>
      <c r="BQ198"/>
      <c r="BR198"/>
      <c r="BY198"/>
      <c r="BZ198"/>
      <c r="CF198"/>
      <c r="CG198"/>
    </row>
    <row r="199" spans="28:85" ht="15.5" x14ac:dyDescent="0.35">
      <c r="AB199" s="20"/>
      <c r="AC199" s="20"/>
      <c r="AD199" s="71"/>
      <c r="AE199" s="71"/>
      <c r="AF199" s="71"/>
      <c r="AG199" s="71"/>
      <c r="AH199" s="71"/>
      <c r="AI199" s="71"/>
      <c r="AJ199" s="71"/>
      <c r="AK199" s="71"/>
      <c r="AL199" s="71"/>
      <c r="AM199" s="71"/>
      <c r="AN199" s="71"/>
      <c r="AO199" s="71"/>
      <c r="AP199" s="76"/>
      <c r="AQ199" s="81" t="e">
        <f>D80*(Burden!F$20)</f>
        <v>#VALUE!</v>
      </c>
      <c r="AR199" s="20">
        <f t="shared" si="21"/>
        <v>0</v>
      </c>
      <c r="AS199" s="81" t="e">
        <f>$AQ199*AD199/100/Burden!F$23</f>
        <v>#VALUE!</v>
      </c>
      <c r="AT199" s="180" t="e">
        <f t="shared" si="31"/>
        <v>#VALUE!</v>
      </c>
      <c r="AU199" s="180" t="e">
        <f t="shared" si="31"/>
        <v>#VALUE!</v>
      </c>
      <c r="AV199" s="180" t="e">
        <f t="shared" si="31"/>
        <v>#VALUE!</v>
      </c>
      <c r="AW199" s="180" t="e">
        <f t="shared" si="31"/>
        <v>#VALUE!</v>
      </c>
      <c r="AX199" s="180" t="e">
        <f t="shared" si="31"/>
        <v>#VALUE!</v>
      </c>
      <c r="AY199" s="180" t="e">
        <f t="shared" si="31"/>
        <v>#VALUE!</v>
      </c>
      <c r="AZ199" s="180" t="e">
        <f t="shared" si="31"/>
        <v>#VALUE!</v>
      </c>
      <c r="BA199" s="180" t="e">
        <f t="shared" si="31"/>
        <v>#VALUE!</v>
      </c>
      <c r="BB199" s="180" t="e">
        <f t="shared" si="31"/>
        <v>#VALUE!</v>
      </c>
      <c r="BC199" s="180" t="e">
        <f t="shared" si="31"/>
        <v>#VALUE!</v>
      </c>
      <c r="BD199" s="180" t="e">
        <f t="shared" si="31"/>
        <v>#VALUE!</v>
      </c>
      <c r="BE199" s="81" t="e" cm="1">
        <f t="array" ref="BE199">AQ199*AVERAGE(TableP6to59[[#This Row],[Jan-23]:[Dec-23]]/100*(Burden!$F$21+1))</f>
        <v>#VALUE!</v>
      </c>
      <c r="BF199" s="86" t="e">
        <f t="shared" ref="BF199:BF206" si="33">BE199-AS199</f>
        <v>#VALUE!</v>
      </c>
      <c r="BG199" s="20"/>
      <c r="BH199" s="88" t="e">
        <f t="shared" si="23"/>
        <v>#VALUE!</v>
      </c>
      <c r="BI199"/>
      <c r="BJ199"/>
      <c r="BK199"/>
      <c r="BL199"/>
      <c r="BP199"/>
      <c r="BQ199"/>
      <c r="BR199"/>
      <c r="BY199"/>
      <c r="BZ199"/>
      <c r="CF199"/>
      <c r="CG199"/>
    </row>
    <row r="200" spans="28:85" ht="15.5" x14ac:dyDescent="0.35">
      <c r="AB200" s="20"/>
      <c r="AC200" s="20"/>
      <c r="AD200" s="71"/>
      <c r="AE200" s="71"/>
      <c r="AF200" s="71"/>
      <c r="AG200" s="71"/>
      <c r="AH200" s="71"/>
      <c r="AI200" s="71"/>
      <c r="AJ200" s="71"/>
      <c r="AK200" s="71"/>
      <c r="AL200" s="71"/>
      <c r="AM200" s="71"/>
      <c r="AN200" s="71"/>
      <c r="AO200" s="71"/>
      <c r="AP200" s="76"/>
      <c r="AQ200" s="81" t="e">
        <f>D81*(Burden!F$20)</f>
        <v>#VALUE!</v>
      </c>
      <c r="AR200" s="20">
        <f t="shared" si="21"/>
        <v>0</v>
      </c>
      <c r="AS200" s="81" t="e">
        <f>$AQ200*AD200/100/Burden!F$23</f>
        <v>#VALUE!</v>
      </c>
      <c r="AT200" s="180" t="e">
        <f t="shared" si="31"/>
        <v>#VALUE!</v>
      </c>
      <c r="AU200" s="180" t="e">
        <f t="shared" si="31"/>
        <v>#VALUE!</v>
      </c>
      <c r="AV200" s="180" t="e">
        <f t="shared" si="31"/>
        <v>#VALUE!</v>
      </c>
      <c r="AW200" s="180" t="e">
        <f t="shared" si="31"/>
        <v>#VALUE!</v>
      </c>
      <c r="AX200" s="180" t="e">
        <f t="shared" si="31"/>
        <v>#VALUE!</v>
      </c>
      <c r="AY200" s="180" t="e">
        <f t="shared" si="31"/>
        <v>#VALUE!</v>
      </c>
      <c r="AZ200" s="180" t="e">
        <f t="shared" si="31"/>
        <v>#VALUE!</v>
      </c>
      <c r="BA200" s="180" t="e">
        <f t="shared" si="31"/>
        <v>#VALUE!</v>
      </c>
      <c r="BB200" s="180" t="e">
        <f t="shared" si="31"/>
        <v>#VALUE!</v>
      </c>
      <c r="BC200" s="180" t="e">
        <f t="shared" si="31"/>
        <v>#VALUE!</v>
      </c>
      <c r="BD200" s="180" t="e">
        <f t="shared" si="31"/>
        <v>#VALUE!</v>
      </c>
      <c r="BE200" s="81" t="e" cm="1">
        <f t="array" ref="BE200">AQ200*AVERAGE(TableP6to59[[#This Row],[Jan-23]:[Dec-23]]/100*(Burden!$F$21+1))</f>
        <v>#VALUE!</v>
      </c>
      <c r="BF200" s="86" t="e">
        <f t="shared" si="33"/>
        <v>#VALUE!</v>
      </c>
      <c r="BG200" s="20"/>
      <c r="BH200" s="88" t="e">
        <f t="shared" si="23"/>
        <v>#VALUE!</v>
      </c>
      <c r="BI200"/>
      <c r="BJ200"/>
      <c r="BK200"/>
      <c r="BL200"/>
      <c r="BP200"/>
      <c r="BQ200"/>
      <c r="BR200"/>
      <c r="BY200"/>
      <c r="BZ200"/>
      <c r="CF200"/>
      <c r="CG200"/>
    </row>
    <row r="201" spans="28:85" ht="15.5" x14ac:dyDescent="0.35">
      <c r="AB201" s="20"/>
      <c r="AD201" s="71"/>
      <c r="AE201" s="71"/>
      <c r="AF201" s="71"/>
      <c r="AG201" s="71"/>
      <c r="AH201" s="71"/>
      <c r="AI201" s="71"/>
      <c r="AJ201" s="71"/>
      <c r="AK201" s="71"/>
      <c r="AL201" s="71"/>
      <c r="AM201" s="71"/>
      <c r="AN201" s="71"/>
      <c r="AO201" s="71"/>
      <c r="AP201" s="76"/>
      <c r="AQ201" s="81" t="e">
        <f>D82*(Burden!F$20)</f>
        <v>#VALUE!</v>
      </c>
      <c r="AR201" s="20">
        <f t="shared" si="21"/>
        <v>0</v>
      </c>
      <c r="AS201" s="81" t="e">
        <f>$AQ201*AD201/100/Burden!F$23</f>
        <v>#VALUE!</v>
      </c>
      <c r="AT201" s="180" t="e">
        <f t="shared" si="31"/>
        <v>#VALUE!</v>
      </c>
      <c r="AU201" s="180" t="e">
        <f t="shared" si="31"/>
        <v>#VALUE!</v>
      </c>
      <c r="AV201" s="180" t="e">
        <f t="shared" si="31"/>
        <v>#VALUE!</v>
      </c>
      <c r="AW201" s="180" t="e">
        <f t="shared" si="31"/>
        <v>#VALUE!</v>
      </c>
      <c r="AX201" s="180" t="e">
        <f t="shared" si="31"/>
        <v>#VALUE!</v>
      </c>
      <c r="AY201" s="180" t="e">
        <f t="shared" si="31"/>
        <v>#VALUE!</v>
      </c>
      <c r="AZ201" s="180" t="e">
        <f t="shared" si="31"/>
        <v>#VALUE!</v>
      </c>
      <c r="BA201" s="180" t="e">
        <f t="shared" si="31"/>
        <v>#VALUE!</v>
      </c>
      <c r="BB201" s="180" t="e">
        <f t="shared" si="31"/>
        <v>#VALUE!</v>
      </c>
      <c r="BC201" s="180" t="e">
        <f t="shared" si="31"/>
        <v>#VALUE!</v>
      </c>
      <c r="BD201" s="180" t="e">
        <f t="shared" si="31"/>
        <v>#VALUE!</v>
      </c>
      <c r="BE201" s="81" t="e" cm="1">
        <f t="array" ref="BE201">AQ201*AVERAGE(TableP6to59[[#This Row],[Jan-23]:[Dec-23]]/100*(Burden!$F$21+1))</f>
        <v>#VALUE!</v>
      </c>
      <c r="BF201" s="86" t="e">
        <f t="shared" si="33"/>
        <v>#VALUE!</v>
      </c>
      <c r="BG201" s="20"/>
      <c r="BH201" s="88" t="e">
        <f t="shared" si="23"/>
        <v>#VALUE!</v>
      </c>
      <c r="BI201"/>
      <c r="BJ201"/>
      <c r="BK201"/>
      <c r="BL201"/>
      <c r="BP201"/>
      <c r="BQ201"/>
      <c r="BR201"/>
      <c r="BY201"/>
      <c r="BZ201"/>
      <c r="CF201"/>
      <c r="CG201"/>
    </row>
    <row r="202" spans="28:85" ht="15.5" x14ac:dyDescent="0.35">
      <c r="AB202" s="20"/>
      <c r="AD202" s="71"/>
      <c r="AE202" s="71"/>
      <c r="AF202" s="71"/>
      <c r="AG202" s="71"/>
      <c r="AH202" s="71"/>
      <c r="AI202" s="71"/>
      <c r="AJ202" s="71"/>
      <c r="AK202" s="71"/>
      <c r="AL202" s="71"/>
      <c r="AM202" s="71"/>
      <c r="AN202" s="71"/>
      <c r="AO202" s="71"/>
      <c r="AP202" s="76"/>
      <c r="AQ202" s="81" t="e">
        <f>D83*(Burden!F$20)</f>
        <v>#VALUE!</v>
      </c>
      <c r="AR202" s="20">
        <f t="shared" si="21"/>
        <v>0</v>
      </c>
      <c r="AS202" s="81" t="e">
        <f>$AQ202*AD202/100/Burden!F$23</f>
        <v>#VALUE!</v>
      </c>
      <c r="AT202" s="180" t="e">
        <f t="shared" si="31"/>
        <v>#VALUE!</v>
      </c>
      <c r="AU202" s="180" t="e">
        <f t="shared" si="31"/>
        <v>#VALUE!</v>
      </c>
      <c r="AV202" s="180" t="e">
        <f t="shared" si="31"/>
        <v>#VALUE!</v>
      </c>
      <c r="AW202" s="180" t="e">
        <f t="shared" si="31"/>
        <v>#VALUE!</v>
      </c>
      <c r="AX202" s="180" t="e">
        <f t="shared" si="31"/>
        <v>#VALUE!</v>
      </c>
      <c r="AY202" s="180" t="e">
        <f t="shared" si="31"/>
        <v>#VALUE!</v>
      </c>
      <c r="AZ202" s="180" t="e">
        <f t="shared" si="31"/>
        <v>#VALUE!</v>
      </c>
      <c r="BA202" s="180" t="e">
        <f t="shared" si="31"/>
        <v>#VALUE!</v>
      </c>
      <c r="BB202" s="180" t="e">
        <f t="shared" si="31"/>
        <v>#VALUE!</v>
      </c>
      <c r="BC202" s="180" t="e">
        <f t="shared" si="31"/>
        <v>#VALUE!</v>
      </c>
      <c r="BD202" s="180" t="e">
        <f t="shared" si="31"/>
        <v>#VALUE!</v>
      </c>
      <c r="BE202" s="81" t="e" cm="1">
        <f t="array" ref="BE202">AQ202*AVERAGE(TableP6to59[[#This Row],[Jan-23]:[Dec-23]]/100*(Burden!$F$21+1))</f>
        <v>#VALUE!</v>
      </c>
      <c r="BF202" s="86" t="e">
        <f t="shared" si="33"/>
        <v>#VALUE!</v>
      </c>
      <c r="BG202" s="20"/>
      <c r="BH202" s="88" t="e">
        <f t="shared" si="23"/>
        <v>#VALUE!</v>
      </c>
      <c r="BP202"/>
      <c r="BQ202"/>
      <c r="BR202"/>
      <c r="BY202"/>
      <c r="BZ202"/>
      <c r="CF202"/>
      <c r="CG202"/>
    </row>
    <row r="203" spans="28:85" ht="15.5" x14ac:dyDescent="0.35">
      <c r="AB203" s="20"/>
      <c r="AD203" s="71"/>
      <c r="AE203" s="71"/>
      <c r="AF203" s="71"/>
      <c r="AG203" s="71"/>
      <c r="AH203" s="71"/>
      <c r="AI203" s="71"/>
      <c r="AJ203" s="71"/>
      <c r="AK203" s="71"/>
      <c r="AL203" s="71"/>
      <c r="AM203" s="71"/>
      <c r="AN203" s="71"/>
      <c r="AO203" s="71"/>
      <c r="AP203" s="76"/>
      <c r="AQ203" s="81" t="e">
        <f>D84*(Burden!F$20)</f>
        <v>#VALUE!</v>
      </c>
      <c r="AR203" s="20">
        <f t="shared" si="21"/>
        <v>0</v>
      </c>
      <c r="AS203" s="81" t="e">
        <f>$AQ203*AD203/100/Burden!F$23</f>
        <v>#VALUE!</v>
      </c>
      <c r="AT203" s="180" t="e">
        <f t="shared" si="31"/>
        <v>#VALUE!</v>
      </c>
      <c r="AU203" s="180" t="e">
        <f t="shared" si="31"/>
        <v>#VALUE!</v>
      </c>
      <c r="AV203" s="180" t="e">
        <f t="shared" si="31"/>
        <v>#VALUE!</v>
      </c>
      <c r="AW203" s="180" t="e">
        <f t="shared" si="31"/>
        <v>#VALUE!</v>
      </c>
      <c r="AX203" s="180" t="e">
        <f t="shared" si="31"/>
        <v>#VALUE!</v>
      </c>
      <c r="AY203" s="180" t="e">
        <f t="shared" si="31"/>
        <v>#VALUE!</v>
      </c>
      <c r="AZ203" s="180" t="e">
        <f t="shared" si="31"/>
        <v>#VALUE!</v>
      </c>
      <c r="BA203" s="180" t="e">
        <f t="shared" si="31"/>
        <v>#VALUE!</v>
      </c>
      <c r="BB203" s="180" t="e">
        <f t="shared" si="31"/>
        <v>#VALUE!</v>
      </c>
      <c r="BC203" s="180" t="e">
        <f t="shared" si="31"/>
        <v>#VALUE!</v>
      </c>
      <c r="BD203" s="180" t="e">
        <f t="shared" si="31"/>
        <v>#VALUE!</v>
      </c>
      <c r="BE203" s="81" t="e" cm="1">
        <f t="array" ref="BE203">AQ203*AVERAGE(TableP6to59[[#This Row],[Jan-23]:[Dec-23]]/100*(Burden!$F$21+1))</f>
        <v>#VALUE!</v>
      </c>
      <c r="BF203" s="86" t="e">
        <f t="shared" si="33"/>
        <v>#VALUE!</v>
      </c>
      <c r="BG203" s="20"/>
      <c r="BH203" s="88" t="e">
        <f t="shared" si="23"/>
        <v>#VALUE!</v>
      </c>
      <c r="BP203"/>
      <c r="BQ203"/>
      <c r="BR203"/>
      <c r="BY203"/>
      <c r="BZ203"/>
      <c r="CF203"/>
      <c r="CG203"/>
    </row>
    <row r="204" spans="28:85" ht="15.5" x14ac:dyDescent="0.35">
      <c r="AB204" s="20"/>
      <c r="AC204" s="20"/>
      <c r="AD204" s="71"/>
      <c r="AE204" s="71"/>
      <c r="AF204" s="71"/>
      <c r="AG204" s="71"/>
      <c r="AH204" s="71"/>
      <c r="AI204" s="71"/>
      <c r="AJ204" s="71"/>
      <c r="AK204" s="71"/>
      <c r="AL204" s="71"/>
      <c r="AM204" s="71"/>
      <c r="AN204" s="71"/>
      <c r="AO204" s="71"/>
      <c r="AP204" s="76"/>
      <c r="AQ204" s="81" t="e">
        <f>D85*(Burden!F$20)</f>
        <v>#VALUE!</v>
      </c>
      <c r="AR204" s="20">
        <f t="shared" si="21"/>
        <v>0</v>
      </c>
      <c r="AS204" s="81" t="e">
        <f>$AQ204*AD204/100/Burden!F$23</f>
        <v>#VALUE!</v>
      </c>
      <c r="AT204" s="180" t="e">
        <f t="shared" si="31"/>
        <v>#VALUE!</v>
      </c>
      <c r="AU204" s="180" t="e">
        <f t="shared" si="31"/>
        <v>#VALUE!</v>
      </c>
      <c r="AV204" s="180" t="e">
        <f t="shared" si="31"/>
        <v>#VALUE!</v>
      </c>
      <c r="AW204" s="180" t="e">
        <f t="shared" si="31"/>
        <v>#VALUE!</v>
      </c>
      <c r="AX204" s="180" t="e">
        <f t="shared" si="31"/>
        <v>#VALUE!</v>
      </c>
      <c r="AY204" s="180" t="e">
        <f t="shared" si="31"/>
        <v>#VALUE!</v>
      </c>
      <c r="AZ204" s="180" t="e">
        <f t="shared" si="31"/>
        <v>#VALUE!</v>
      </c>
      <c r="BA204" s="180" t="e">
        <f t="shared" si="31"/>
        <v>#VALUE!</v>
      </c>
      <c r="BB204" s="180" t="e">
        <f t="shared" si="31"/>
        <v>#VALUE!</v>
      </c>
      <c r="BC204" s="180" t="e">
        <f t="shared" si="31"/>
        <v>#VALUE!</v>
      </c>
      <c r="BD204" s="180" t="e">
        <f t="shared" si="31"/>
        <v>#VALUE!</v>
      </c>
      <c r="BE204" s="81" t="e" cm="1">
        <f t="array" ref="BE204">AQ204*AVERAGE(TableP6to59[[#This Row],[Jan-23]:[Dec-23]]/100*(Burden!$F$21+1))</f>
        <v>#VALUE!</v>
      </c>
      <c r="BF204" s="86" t="e">
        <f t="shared" si="33"/>
        <v>#VALUE!</v>
      </c>
      <c r="BG204" s="20"/>
      <c r="BH204" s="88" t="e">
        <f t="shared" si="23"/>
        <v>#VALUE!</v>
      </c>
      <c r="BP204"/>
      <c r="BQ204"/>
      <c r="BR204"/>
      <c r="BY204"/>
      <c r="BZ204"/>
      <c r="CF204"/>
      <c r="CG204"/>
    </row>
    <row r="205" spans="28:85" ht="15.5" x14ac:dyDescent="0.35">
      <c r="AB205" s="20"/>
      <c r="AC205" s="20"/>
      <c r="AD205" s="71"/>
      <c r="AE205" s="71"/>
      <c r="AF205" s="71"/>
      <c r="AG205" s="71"/>
      <c r="AH205" s="71"/>
      <c r="AI205" s="71"/>
      <c r="AJ205" s="71"/>
      <c r="AK205" s="71"/>
      <c r="AL205" s="71"/>
      <c r="AM205" s="71"/>
      <c r="AN205" s="71"/>
      <c r="AO205" s="71"/>
      <c r="AP205" s="76"/>
      <c r="AQ205" s="81" t="e">
        <f>D86*(Burden!F$20)</f>
        <v>#VALUE!</v>
      </c>
      <c r="AR205" s="20">
        <f t="shared" si="21"/>
        <v>0</v>
      </c>
      <c r="AS205" s="81" t="e">
        <f>$AQ205*AD205/100/Burden!F$23</f>
        <v>#VALUE!</v>
      </c>
      <c r="AT205" s="180" t="e">
        <f t="shared" si="31"/>
        <v>#VALUE!</v>
      </c>
      <c r="AU205" s="180" t="e">
        <f t="shared" si="31"/>
        <v>#VALUE!</v>
      </c>
      <c r="AV205" s="180" t="e">
        <f t="shared" si="31"/>
        <v>#VALUE!</v>
      </c>
      <c r="AW205" s="180" t="e">
        <f t="shared" si="31"/>
        <v>#VALUE!</v>
      </c>
      <c r="AX205" s="180" t="e">
        <f t="shared" si="31"/>
        <v>#VALUE!</v>
      </c>
      <c r="AY205" s="180" t="e">
        <f t="shared" si="31"/>
        <v>#VALUE!</v>
      </c>
      <c r="AZ205" s="180" t="e">
        <f t="shared" si="31"/>
        <v>#VALUE!</v>
      </c>
      <c r="BA205" s="180" t="e">
        <f t="shared" si="31"/>
        <v>#VALUE!</v>
      </c>
      <c r="BB205" s="180" t="e">
        <f t="shared" si="31"/>
        <v>#VALUE!</v>
      </c>
      <c r="BC205" s="180" t="e">
        <f t="shared" si="31"/>
        <v>#VALUE!</v>
      </c>
      <c r="BD205" s="180" t="e">
        <f t="shared" si="31"/>
        <v>#VALUE!</v>
      </c>
      <c r="BE205" s="81" t="e" cm="1">
        <f t="array" ref="BE205">AQ205*AVERAGE(TableP6to59[[#This Row],[Jan-23]:[Dec-23]]/100*(Burden!$F$21+1))</f>
        <v>#VALUE!</v>
      </c>
      <c r="BF205" s="86" t="e">
        <f t="shared" si="33"/>
        <v>#VALUE!</v>
      </c>
      <c r="BG205" s="20"/>
      <c r="BH205" s="88" t="e">
        <f t="shared" si="23"/>
        <v>#VALUE!</v>
      </c>
      <c r="BP205"/>
      <c r="BQ205"/>
      <c r="BR205"/>
      <c r="BY205"/>
      <c r="BZ205"/>
      <c r="CF205"/>
      <c r="CG205"/>
    </row>
    <row r="206" spans="28:85" ht="15.5" x14ac:dyDescent="0.35">
      <c r="AB206" s="20"/>
      <c r="AC206" s="20"/>
      <c r="AD206" s="71"/>
      <c r="AE206" s="71"/>
      <c r="AF206" s="71"/>
      <c r="AG206" s="71"/>
      <c r="AH206" s="71"/>
      <c r="AI206" s="71"/>
      <c r="AJ206" s="71"/>
      <c r="AK206" s="71"/>
      <c r="AL206" s="71"/>
      <c r="AM206" s="71"/>
      <c r="AN206" s="71"/>
      <c r="AO206" s="71"/>
      <c r="AP206" s="76"/>
      <c r="AQ206" s="81" t="e">
        <f>D87*(Burden!F$20)</f>
        <v>#VALUE!</v>
      </c>
      <c r="AR206" s="20">
        <f t="shared" si="21"/>
        <v>0</v>
      </c>
      <c r="AS206" s="81" t="e">
        <f>$AQ206*AD206/100/Burden!F$23</f>
        <v>#VALUE!</v>
      </c>
      <c r="AT206" s="180" t="e">
        <f t="shared" si="31"/>
        <v>#VALUE!</v>
      </c>
      <c r="AU206" s="180" t="e">
        <f t="shared" si="31"/>
        <v>#VALUE!</v>
      </c>
      <c r="AV206" s="180" t="e">
        <f t="shared" si="31"/>
        <v>#VALUE!</v>
      </c>
      <c r="AW206" s="180" t="e">
        <f t="shared" si="31"/>
        <v>#VALUE!</v>
      </c>
      <c r="AX206" s="180" t="e">
        <f t="shared" si="31"/>
        <v>#VALUE!</v>
      </c>
      <c r="AY206" s="180" t="e">
        <f t="shared" si="31"/>
        <v>#VALUE!</v>
      </c>
      <c r="AZ206" s="180" t="e">
        <f t="shared" si="31"/>
        <v>#VALUE!</v>
      </c>
      <c r="BA206" s="180" t="e">
        <f t="shared" si="31"/>
        <v>#VALUE!</v>
      </c>
      <c r="BB206" s="180" t="e">
        <f t="shared" si="31"/>
        <v>#VALUE!</v>
      </c>
      <c r="BC206" s="180" t="e">
        <f t="shared" si="31"/>
        <v>#VALUE!</v>
      </c>
      <c r="BD206" s="180" t="e">
        <f t="shared" si="31"/>
        <v>#VALUE!</v>
      </c>
      <c r="BE206" s="81" t="e" cm="1">
        <f t="array" ref="BE206">AQ206*AVERAGE(TableP6to59[[#This Row],[Jan-23]:[Dec-23]]/100*(Burden!$F$21+1))</f>
        <v>#VALUE!</v>
      </c>
      <c r="BF206" s="86" t="e">
        <f t="shared" si="33"/>
        <v>#VALUE!</v>
      </c>
      <c r="BG206" s="20"/>
      <c r="BH206" s="88" t="e">
        <f t="shared" si="23"/>
        <v>#VALUE!</v>
      </c>
      <c r="BY206"/>
      <c r="BZ206"/>
      <c r="CF206"/>
      <c r="CG206"/>
    </row>
    <row r="207" spans="28:85" ht="15.5" x14ac:dyDescent="0.35">
      <c r="AB207" s="20"/>
      <c r="AC207" s="20"/>
      <c r="AD207" s="71"/>
      <c r="AE207" s="71"/>
      <c r="AF207" s="71"/>
      <c r="AG207" s="71"/>
      <c r="AH207" s="71"/>
      <c r="AI207" s="71"/>
      <c r="AJ207" s="71"/>
      <c r="AK207" s="71"/>
      <c r="AL207" s="71"/>
      <c r="AM207" s="71"/>
      <c r="AN207" s="71"/>
      <c r="AO207" s="71"/>
      <c r="AP207" s="76"/>
      <c r="AQ207" s="71"/>
      <c r="AR207" s="20"/>
      <c r="BY207"/>
      <c r="BZ207"/>
      <c r="CF207"/>
      <c r="CG207"/>
    </row>
    <row r="208" spans="28:85" ht="15.5" x14ac:dyDescent="0.35">
      <c r="AB208" s="20"/>
      <c r="AC208" s="20"/>
      <c r="AD208" s="71"/>
      <c r="AE208" s="71"/>
      <c r="AF208" s="71"/>
      <c r="AG208" s="71"/>
      <c r="AH208" s="71"/>
      <c r="AI208" s="71"/>
      <c r="AJ208" s="20"/>
      <c r="AK208" s="20"/>
      <c r="AL208" s="20"/>
      <c r="AM208" s="20"/>
      <c r="AN208" s="20"/>
      <c r="AO208" s="20"/>
      <c r="AP208" s="20"/>
      <c r="AQ208" s="20"/>
      <c r="AR208" s="20"/>
      <c r="AS208" s="81"/>
      <c r="AT208" s="81"/>
      <c r="AU208" s="81"/>
      <c r="AV208" s="81"/>
      <c r="AW208" s="81"/>
      <c r="AX208" s="81"/>
      <c r="AY208" s="81"/>
      <c r="AZ208" s="81"/>
      <c r="BA208" s="81"/>
      <c r="BB208" s="81"/>
      <c r="BC208" s="81"/>
      <c r="BD208" s="81"/>
      <c r="BE208" s="81"/>
      <c r="BF208" s="20"/>
      <c r="BG208" s="20"/>
      <c r="BH208" s="20"/>
      <c r="BY208"/>
      <c r="BZ208"/>
      <c r="CF208"/>
      <c r="CG208"/>
    </row>
    <row r="209" spans="28:85" ht="15.5" x14ac:dyDescent="0.35">
      <c r="AB209" s="20"/>
      <c r="AC209" s="20"/>
      <c r="AD209" s="71"/>
      <c r="AE209" s="71"/>
      <c r="AF209" s="71"/>
      <c r="AG209" s="71"/>
      <c r="AH209" s="71"/>
      <c r="AI209" s="71"/>
      <c r="AJ209" s="71"/>
      <c r="AK209" s="71"/>
      <c r="AL209" s="71"/>
      <c r="AM209" s="71"/>
      <c r="AN209" s="71"/>
      <c r="AO209" s="71"/>
      <c r="AP209" s="76"/>
      <c r="AQ209" s="71"/>
      <c r="AR209" s="71"/>
      <c r="AS209" s="88">
        <f t="shared" ref="AS209:BD209" si="34">AS163</f>
        <v>16220.103935999998</v>
      </c>
      <c r="AT209" s="88">
        <f t="shared" si="34"/>
        <v>29158.565990166844</v>
      </c>
      <c r="AU209" s="88">
        <f t="shared" si="34"/>
        <v>35313.659561675675</v>
      </c>
      <c r="AV209" s="88">
        <f t="shared" si="34"/>
        <v>43721.67374302703</v>
      </c>
      <c r="AW209" s="88">
        <f t="shared" si="34"/>
        <v>52129.687924378377</v>
      </c>
      <c r="AX209" s="88">
        <f t="shared" si="34"/>
        <v>58284.781495887219</v>
      </c>
      <c r="AY209" s="88">
        <f t="shared" si="34"/>
        <v>60537.702105729739</v>
      </c>
      <c r="AZ209" s="88">
        <f t="shared" si="34"/>
        <v>58284.781495887219</v>
      </c>
      <c r="BA209" s="88">
        <f t="shared" si="34"/>
        <v>52129.687924378377</v>
      </c>
      <c r="BB209" s="88">
        <f t="shared" si="34"/>
        <v>43721.67374302703</v>
      </c>
      <c r="BC209" s="88">
        <f t="shared" si="34"/>
        <v>35313.659561675675</v>
      </c>
      <c r="BD209" s="88">
        <f t="shared" si="34"/>
        <v>29158.565990166844</v>
      </c>
      <c r="BE209" s="81">
        <f>SUM(AS209:BD209)</f>
        <v>513974.54347199999</v>
      </c>
      <c r="BF209" s="20" t="s">
        <v>225</v>
      </c>
      <c r="BG209" s="20"/>
      <c r="BH209" s="20"/>
      <c r="BY209"/>
      <c r="BZ209"/>
      <c r="CF209"/>
      <c r="CG209"/>
    </row>
    <row r="210" spans="28:85" ht="15.5" x14ac:dyDescent="0.35">
      <c r="AB210" s="20"/>
      <c r="AC210" s="20"/>
      <c r="AD210" s="71"/>
      <c r="AE210" s="71"/>
      <c r="AF210" s="71"/>
      <c r="AG210" s="71"/>
      <c r="AH210" s="71"/>
      <c r="AI210" s="71"/>
      <c r="AJ210" s="71"/>
      <c r="AK210" s="71"/>
      <c r="AL210" s="71"/>
      <c r="AM210" s="71"/>
      <c r="AN210" s="71"/>
      <c r="AO210" s="71"/>
      <c r="AP210" s="76"/>
      <c r="AQ210" s="71"/>
      <c r="AR210" s="71"/>
      <c r="AS210" s="81">
        <f t="shared" ref="AS210:BD210" si="35">SUM(AS165:AS198)</f>
        <v>16201.828612710586</v>
      </c>
      <c r="AT210" s="81">
        <f t="shared" si="35"/>
        <v>29125.712796239812</v>
      </c>
      <c r="AU210" s="81">
        <f t="shared" si="35"/>
        <v>35273.871373661066</v>
      </c>
      <c r="AV210" s="81">
        <f t="shared" si="35"/>
        <v>43672.412176913713</v>
      </c>
      <c r="AW210" s="81">
        <f t="shared" si="35"/>
        <v>52070.952980166359</v>
      </c>
      <c r="AX210" s="81">
        <f t="shared" si="35"/>
        <v>58219.11155758761</v>
      </c>
      <c r="AY210" s="81">
        <f t="shared" si="35"/>
        <v>60469.493783418977</v>
      </c>
      <c r="AZ210" s="81">
        <f t="shared" si="35"/>
        <v>58219.11155758761</v>
      </c>
      <c r="BA210" s="81">
        <f t="shared" si="35"/>
        <v>52070.952980166359</v>
      </c>
      <c r="BB210" s="81">
        <f t="shared" si="35"/>
        <v>43672.412176913713</v>
      </c>
      <c r="BC210" s="81">
        <f t="shared" si="35"/>
        <v>35273.871373661066</v>
      </c>
      <c r="BD210" s="81">
        <f t="shared" si="35"/>
        <v>29125.712796239812</v>
      </c>
      <c r="BE210" s="81">
        <f>SUM(AS210:BD210)</f>
        <v>513395.44416526676</v>
      </c>
      <c r="BF210" s="20" t="s">
        <v>226</v>
      </c>
      <c r="BG210" s="20"/>
      <c r="BH210" s="20"/>
      <c r="BY210"/>
      <c r="BZ210"/>
      <c r="CF210"/>
      <c r="CG210"/>
    </row>
    <row r="211" spans="28:85" ht="15.5" x14ac:dyDescent="0.35">
      <c r="AJ211" s="71"/>
      <c r="AK211" s="71"/>
      <c r="AL211" s="71"/>
      <c r="AM211" s="71"/>
      <c r="AN211" s="71"/>
      <c r="AO211" s="71"/>
      <c r="AP211" s="76"/>
      <c r="AQ211" s="71"/>
      <c r="AR211" s="71"/>
      <c r="AS211" s="81"/>
      <c r="AT211" s="81"/>
      <c r="AU211" s="81"/>
      <c r="AV211" s="81"/>
      <c r="AW211" s="81"/>
      <c r="AX211" s="81"/>
      <c r="AY211" s="81"/>
      <c r="AZ211" s="81"/>
      <c r="BA211" s="81"/>
      <c r="BB211" s="81"/>
      <c r="BC211" s="81"/>
      <c r="BD211" s="81"/>
      <c r="BE211" s="86">
        <f>BE210-BE209</f>
        <v>-579.09930673323106</v>
      </c>
      <c r="BF211" s="20" t="s">
        <v>227</v>
      </c>
      <c r="BG211" s="20"/>
      <c r="BH211" s="20"/>
      <c r="BO211" s="20"/>
      <c r="BY211"/>
      <c r="BZ211"/>
      <c r="CF211"/>
      <c r="CG211"/>
    </row>
    <row r="212" spans="28:85" ht="15.5" x14ac:dyDescent="0.35">
      <c r="AJ212" s="71"/>
      <c r="AK212" s="71"/>
      <c r="AL212" s="71"/>
      <c r="AM212" s="71"/>
      <c r="AN212" s="71"/>
      <c r="AO212" s="71"/>
      <c r="AP212" s="76"/>
      <c r="AQ212" s="71"/>
      <c r="AR212" s="71"/>
      <c r="AS212" s="81"/>
      <c r="AT212" s="81"/>
      <c r="AU212" s="81"/>
      <c r="AV212" s="81"/>
      <c r="AW212" s="81"/>
      <c r="AX212" s="81"/>
      <c r="AY212" s="81"/>
      <c r="AZ212" s="81"/>
      <c r="BA212" s="81"/>
      <c r="BB212" s="81"/>
      <c r="BC212" s="81"/>
      <c r="BD212" s="81"/>
      <c r="BE212" s="170">
        <f>ABS(BE211)/BE209*100</f>
        <v>0.1126708149437325</v>
      </c>
      <c r="BF212" s="20" t="s">
        <v>228</v>
      </c>
      <c r="BG212" s="20"/>
      <c r="BH212" s="20"/>
      <c r="BO212" s="20"/>
      <c r="BY212"/>
      <c r="BZ212"/>
      <c r="CF212"/>
      <c r="CG212"/>
    </row>
    <row r="213" spans="28:85" ht="15.5" x14ac:dyDescent="0.35">
      <c r="AS213" s="89"/>
      <c r="AT213" s="89"/>
      <c r="AU213" s="89"/>
      <c r="AV213" s="89"/>
      <c r="AW213" s="89"/>
      <c r="AX213" s="89"/>
      <c r="AY213" s="89"/>
      <c r="AZ213" s="89"/>
      <c r="BA213" s="89"/>
      <c r="BB213" s="89"/>
      <c r="BC213" s="89"/>
      <c r="BD213" s="89"/>
      <c r="BF213" s="20"/>
      <c r="BG213" s="20"/>
      <c r="BH213" s="20"/>
      <c r="BO213" s="20"/>
      <c r="BY213"/>
      <c r="BZ213"/>
      <c r="CF213"/>
      <c r="CG213"/>
    </row>
    <row r="214" spans="28:85" ht="15.5" x14ac:dyDescent="0.35">
      <c r="BE214" s="20" t="s">
        <v>229</v>
      </c>
      <c r="BO214" s="20"/>
      <c r="BY214"/>
      <c r="BZ214"/>
      <c r="CF214"/>
      <c r="CG214"/>
    </row>
    <row r="215" spans="28:85" ht="15.5" x14ac:dyDescent="0.35">
      <c r="AS215" s="89"/>
      <c r="BO215" s="20"/>
      <c r="BY215"/>
      <c r="BZ215"/>
      <c r="CF215"/>
      <c r="CG215"/>
    </row>
    <row r="216" spans="28:85" ht="15.5" x14ac:dyDescent="0.35">
      <c r="BO216" s="20"/>
      <c r="BY216"/>
      <c r="BZ216"/>
      <c r="CF216"/>
      <c r="CG216"/>
    </row>
    <row r="217" spans="28:85" ht="15.5" x14ac:dyDescent="0.35">
      <c r="AJ217" s="70">
        <f>AJ226-AD226</f>
        <v>4.0238709677419351</v>
      </c>
      <c r="AS217" s="89"/>
      <c r="BO217" s="20"/>
      <c r="BY217"/>
      <c r="BZ217"/>
      <c r="CF217"/>
      <c r="CG217"/>
    </row>
    <row r="218" spans="28:85" ht="15.5" x14ac:dyDescent="0.35">
      <c r="AS218" s="89"/>
      <c r="BO218" s="20"/>
      <c r="BY218"/>
      <c r="BZ218"/>
      <c r="CF218"/>
      <c r="CG218"/>
    </row>
    <row r="219" spans="28:85" ht="15.5" x14ac:dyDescent="0.35">
      <c r="AS219" s="230"/>
      <c r="AT219" s="230"/>
      <c r="AU219" s="230"/>
      <c r="AV219" s="230"/>
      <c r="AW219" s="230"/>
      <c r="AX219" s="230"/>
      <c r="AY219" s="230"/>
      <c r="AZ219" s="230"/>
      <c r="BA219" s="230"/>
      <c r="BB219" s="230"/>
      <c r="BC219" s="230"/>
      <c r="BD219" s="230"/>
      <c r="BO219" s="20"/>
      <c r="BY219"/>
      <c r="BZ219"/>
      <c r="CF219"/>
      <c r="CG219"/>
    </row>
    <row r="220" spans="28:85" ht="15.5" x14ac:dyDescent="0.35">
      <c r="AB220" s="79"/>
      <c r="AC220" s="20" t="s">
        <v>230</v>
      </c>
      <c r="AD220" s="79"/>
      <c r="AE220" s="79"/>
      <c r="AF220" s="79"/>
      <c r="AG220" s="79"/>
      <c r="AH220" s="79"/>
      <c r="AI220" s="79"/>
      <c r="AJ220" s="79"/>
      <c r="AK220" s="79"/>
      <c r="AM220" s="20"/>
      <c r="AN220" s="20"/>
      <c r="AO220" s="20"/>
      <c r="AQ220" s="20" t="s">
        <v>231</v>
      </c>
      <c r="AR220" s="20"/>
      <c r="AS220" s="20"/>
      <c r="AT220" s="20"/>
      <c r="AU220" s="20"/>
      <c r="AV220" s="20"/>
      <c r="AW220" s="20"/>
      <c r="AX220" s="20"/>
      <c r="AY220" s="20"/>
      <c r="AZ220" s="20"/>
      <c r="BA220" s="20"/>
      <c r="BB220" s="20"/>
      <c r="BC220" s="20"/>
      <c r="BD220" s="20"/>
      <c r="BJ220"/>
      <c r="BK220"/>
      <c r="BL220"/>
      <c r="BM220"/>
      <c r="BN220"/>
      <c r="BO220"/>
      <c r="BY220"/>
      <c r="BZ220"/>
      <c r="CF220"/>
      <c r="CG220"/>
    </row>
    <row r="221" spans="28:85" ht="15.5" x14ac:dyDescent="0.35">
      <c r="AB221" s="79"/>
      <c r="AC221" s="80" t="s">
        <v>232</v>
      </c>
      <c r="AD221" s="20"/>
      <c r="AE221" s="20"/>
      <c r="AF221" s="20"/>
      <c r="AG221" s="20"/>
      <c r="AH221" s="20"/>
      <c r="AI221" s="20"/>
      <c r="AJ221" s="20"/>
      <c r="AK221" s="20"/>
      <c r="AL221" s="20"/>
      <c r="AM221" s="20"/>
      <c r="AN221" s="20"/>
      <c r="AO221" s="20"/>
      <c r="AQ221" s="80" t="s">
        <v>233</v>
      </c>
      <c r="BE221" s="20"/>
      <c r="BF221" s="20"/>
      <c r="BG221" s="81"/>
      <c r="BJ221"/>
      <c r="BK221"/>
      <c r="BL221"/>
      <c r="BM221"/>
      <c r="BN221"/>
      <c r="BO221"/>
      <c r="BY221"/>
      <c r="BZ221"/>
      <c r="CF221"/>
      <c r="CG221"/>
    </row>
    <row r="222" spans="28:85" ht="15.5" x14ac:dyDescent="0.35">
      <c r="AB222" s="20"/>
      <c r="AC222" s="20"/>
      <c r="AD222" s="71"/>
      <c r="AE222" s="71"/>
      <c r="AF222" s="71"/>
      <c r="AG222" s="71"/>
      <c r="AH222" s="71"/>
      <c r="AI222" s="71"/>
      <c r="AJ222" s="71"/>
      <c r="AK222" s="71"/>
      <c r="AL222" s="71"/>
      <c r="AM222" s="71"/>
      <c r="AN222" s="71"/>
      <c r="AO222" s="71"/>
      <c r="AP222" s="20"/>
      <c r="AQ222" s="20" t="s">
        <v>204</v>
      </c>
      <c r="AR222" s="15"/>
      <c r="AS222" s="96">
        <f>AD226/$BD143</f>
        <v>0.56111151720298891</v>
      </c>
      <c r="AT222" s="96">
        <f t="shared" ref="AT222:BD222" si="36">AE226/$BD143</f>
        <v>0.60809569779622097</v>
      </c>
      <c r="AU222" s="96">
        <f t="shared" si="36"/>
        <v>0.73645886632892288</v>
      </c>
      <c r="AV222" s="96">
        <f t="shared" si="36"/>
        <v>0.91180621545485696</v>
      </c>
      <c r="AW222" s="96">
        <f t="shared" si="36"/>
        <v>1.087153564580791</v>
      </c>
      <c r="AX222" s="96">
        <f t="shared" si="36"/>
        <v>1.2155167331134931</v>
      </c>
      <c r="AY222" s="96">
        <f t="shared" si="36"/>
        <v>1.2625009137067251</v>
      </c>
      <c r="AZ222" s="96">
        <f t="shared" si="36"/>
        <v>1.2155167331134931</v>
      </c>
      <c r="BA222" s="96">
        <f t="shared" si="36"/>
        <v>1.087153564580791</v>
      </c>
      <c r="BB222" s="96">
        <f t="shared" si="36"/>
        <v>0.91180621545485696</v>
      </c>
      <c r="BC222" s="96">
        <f t="shared" si="36"/>
        <v>0.73645886632892288</v>
      </c>
      <c r="BD222" s="96">
        <f t="shared" si="36"/>
        <v>0.60809569779622097</v>
      </c>
      <c r="BH222" s="20"/>
      <c r="BI222" s="81"/>
      <c r="BJ222"/>
      <c r="BK222"/>
      <c r="BL222"/>
      <c r="BM222"/>
      <c r="BN222"/>
      <c r="BO222"/>
      <c r="BY222"/>
      <c r="BZ222"/>
      <c r="CF222"/>
      <c r="CG222"/>
    </row>
    <row r="223" spans="28:85" ht="15.5" x14ac:dyDescent="0.35">
      <c r="AC223" s="20"/>
      <c r="AQ223" s="20" t="s">
        <v>205</v>
      </c>
      <c r="AR223" s="20"/>
      <c r="AS223" s="20"/>
      <c r="AT223" s="86">
        <f t="shared" ref="AT223:BD223" si="37">$BF$226/11*AT222</f>
        <v>6151.2861271519614</v>
      </c>
      <c r="AU223" s="86">
        <f t="shared" si="37"/>
        <v>7449.7636212273774</v>
      </c>
      <c r="AV223" s="86">
        <f t="shared" si="37"/>
        <v>9223.5168643767538</v>
      </c>
      <c r="AW223" s="86">
        <f t="shared" si="37"/>
        <v>10997.270107526128</v>
      </c>
      <c r="AX223" s="86">
        <f t="shared" si="37"/>
        <v>12295.747601601546</v>
      </c>
      <c r="AY223" s="86">
        <f t="shared" si="37"/>
        <v>12771.023350675505</v>
      </c>
      <c r="AZ223" s="86">
        <f t="shared" si="37"/>
        <v>12295.747601601546</v>
      </c>
      <c r="BA223" s="86">
        <f t="shared" si="37"/>
        <v>10997.270107526128</v>
      </c>
      <c r="BB223" s="86">
        <f t="shared" si="37"/>
        <v>9223.5168643767538</v>
      </c>
      <c r="BC223" s="86">
        <f t="shared" si="37"/>
        <v>7449.7636212273774</v>
      </c>
      <c r="BD223" s="86">
        <f t="shared" si="37"/>
        <v>6151.2861271519614</v>
      </c>
      <c r="BE223" s="15"/>
      <c r="BF223" s="182">
        <f>SUM(AT223:BD223)</f>
        <v>105006.19199444304</v>
      </c>
      <c r="BG223" s="20" t="s">
        <v>205</v>
      </c>
      <c r="BH223" s="20"/>
      <c r="BI223" s="20"/>
      <c r="BY223"/>
      <c r="BZ223"/>
      <c r="CF223"/>
      <c r="CG223"/>
    </row>
    <row r="224" spans="28:85" ht="15.5" x14ac:dyDescent="0.35">
      <c r="AB224" s="15"/>
      <c r="AC224" s="20"/>
      <c r="AD224" s="15"/>
      <c r="AE224" s="15"/>
      <c r="AF224" s="15"/>
      <c r="AG224" s="15"/>
      <c r="AH224" s="15"/>
      <c r="AI224" s="15"/>
      <c r="AJ224" s="15"/>
      <c r="AK224" s="15"/>
      <c r="AL224" s="15"/>
      <c r="AM224" s="15"/>
      <c r="AN224" s="15"/>
      <c r="AO224" s="15"/>
      <c r="AP224" s="15"/>
      <c r="AQ224" s="20" t="s">
        <v>206</v>
      </c>
      <c r="AR224" s="20"/>
      <c r="AS224" s="20"/>
      <c r="AT224" s="179">
        <f t="shared" ref="AT224:BD224" si="38">AT223/$BF$223</f>
        <v>5.8580222845120308E-2</v>
      </c>
      <c r="AU224" s="179">
        <f t="shared" si="38"/>
        <v>7.0945945945945943E-2</v>
      </c>
      <c r="AV224" s="179">
        <f t="shared" si="38"/>
        <v>8.7837837837837843E-2</v>
      </c>
      <c r="AW224" s="179">
        <f t="shared" si="38"/>
        <v>0.10472972972972971</v>
      </c>
      <c r="AX224" s="179">
        <f t="shared" si="38"/>
        <v>0.11709545283055538</v>
      </c>
      <c r="AY224" s="179">
        <f t="shared" si="38"/>
        <v>0.12162162162162161</v>
      </c>
      <c r="AZ224" s="179">
        <f t="shared" si="38"/>
        <v>0.11709545283055538</v>
      </c>
      <c r="BA224" s="179">
        <f t="shared" si="38"/>
        <v>0.10472972972972971</v>
      </c>
      <c r="BB224" s="179">
        <f t="shared" si="38"/>
        <v>8.7837837837837843E-2</v>
      </c>
      <c r="BC224" s="179">
        <f t="shared" si="38"/>
        <v>7.0945945945945943E-2</v>
      </c>
      <c r="BD224" s="179">
        <f t="shared" si="38"/>
        <v>5.8580222845120308E-2</v>
      </c>
      <c r="BE224" s="20"/>
      <c r="BF224" s="20"/>
      <c r="BG224" s="20"/>
      <c r="BH224" s="15"/>
      <c r="BI224" s="20"/>
      <c r="BY224"/>
      <c r="BZ224"/>
      <c r="CF224"/>
      <c r="CG224"/>
    </row>
    <row r="225" spans="28:85" ht="15.5" x14ac:dyDescent="0.35">
      <c r="AB225" s="13" t="s">
        <v>190</v>
      </c>
      <c r="AC225" s="16"/>
      <c r="AD225" s="68">
        <f t="shared" ref="AD225:AO225" si="39">AP135</f>
        <v>44941</v>
      </c>
      <c r="AE225" s="68">
        <f t="shared" si="39"/>
        <v>44972</v>
      </c>
      <c r="AF225" s="68">
        <f t="shared" si="39"/>
        <v>45000</v>
      </c>
      <c r="AG225" s="68">
        <f t="shared" si="39"/>
        <v>45031</v>
      </c>
      <c r="AH225" s="68">
        <f t="shared" si="39"/>
        <v>45061</v>
      </c>
      <c r="AI225" s="68">
        <f t="shared" si="39"/>
        <v>45092</v>
      </c>
      <c r="AJ225" s="68">
        <f t="shared" si="39"/>
        <v>45122</v>
      </c>
      <c r="AK225" s="68">
        <f t="shared" si="39"/>
        <v>45153</v>
      </c>
      <c r="AL225" s="68">
        <f t="shared" si="39"/>
        <v>45184</v>
      </c>
      <c r="AM225" s="68">
        <f t="shared" si="39"/>
        <v>45214</v>
      </c>
      <c r="AN225" s="68">
        <f t="shared" si="39"/>
        <v>45245</v>
      </c>
      <c r="AO225" s="68">
        <f t="shared" si="39"/>
        <v>45275</v>
      </c>
      <c r="AP225" s="68"/>
      <c r="AQ225" s="68" t="s">
        <v>207</v>
      </c>
      <c r="AR225" s="16"/>
      <c r="AS225" s="16"/>
      <c r="AT225" s="16"/>
      <c r="AU225" s="16"/>
      <c r="AV225" s="16"/>
      <c r="AW225" s="16"/>
      <c r="AX225" s="16"/>
      <c r="AY225" s="16"/>
      <c r="AZ225" s="16"/>
      <c r="BA225" s="16"/>
      <c r="BB225" s="16"/>
      <c r="BC225" s="16"/>
      <c r="BD225" s="16"/>
      <c r="BE225" s="178"/>
      <c r="BF225" s="16"/>
      <c r="BG225" s="16"/>
      <c r="BH225" s="177" t="s">
        <v>208</v>
      </c>
      <c r="BI225" s="20"/>
      <c r="BJ225" s="20"/>
      <c r="BK225" s="20"/>
      <c r="BL225" s="20"/>
      <c r="BM225" s="20"/>
      <c r="BN225" s="20"/>
      <c r="BO225" s="20"/>
      <c r="BY225"/>
      <c r="BZ225"/>
      <c r="CF225"/>
      <c r="CG225"/>
    </row>
    <row r="226" spans="28:85" ht="15.5" x14ac:dyDescent="0.35">
      <c r="AB226" s="20" t="s">
        <v>209</v>
      </c>
      <c r="AC226" s="20" t="s">
        <v>104</v>
      </c>
      <c r="AD226" s="71">
        <f>AP141*((AVERAGE($AP142:$BA142)/AVERAGE($AP139:$BA139)))</f>
        <v>3.2190967741935474</v>
      </c>
      <c r="AE226" s="71">
        <f t="shared" ref="AE226:AO226" si="40">AQ141*((AVERAGE($AP142:$BA142)/AVERAGE($AP139:$BA139)))</f>
        <v>3.48864501825692</v>
      </c>
      <c r="AF226" s="71">
        <f t="shared" si="40"/>
        <v>4.2250645161290308</v>
      </c>
      <c r="AG226" s="71">
        <f t="shared" si="40"/>
        <v>5.2310322580645146</v>
      </c>
      <c r="AH226" s="71">
        <f t="shared" si="40"/>
        <v>6.2369999999999983</v>
      </c>
      <c r="AI226" s="71">
        <f t="shared" si="40"/>
        <v>6.9734194978721096</v>
      </c>
      <c r="AJ226" s="71">
        <f t="shared" si="40"/>
        <v>7.2429677419354821</v>
      </c>
      <c r="AK226" s="71">
        <f t="shared" si="40"/>
        <v>6.9734194978721096</v>
      </c>
      <c r="AL226" s="71">
        <f t="shared" si="40"/>
        <v>6.2369999999999983</v>
      </c>
      <c r="AM226" s="71">
        <f t="shared" si="40"/>
        <v>5.2310322580645146</v>
      </c>
      <c r="AN226" s="71">
        <f t="shared" si="40"/>
        <v>4.2250645161290308</v>
      </c>
      <c r="AO226" s="71">
        <f t="shared" si="40"/>
        <v>3.48864501825692</v>
      </c>
      <c r="AP226" s="71"/>
      <c r="AQ226" s="81">
        <f>D44*(Burden!F$17)</f>
        <v>844797.08000000007</v>
      </c>
      <c r="AR226" s="20" t="str">
        <f t="shared" ref="AR226:AR269" si="41">AC226</f>
        <v>National</v>
      </c>
      <c r="AS226" s="81">
        <f>$AQ226*AD226/100/Burden!F$23</f>
        <v>3625.9780734348378</v>
      </c>
      <c r="AT226" s="81">
        <f t="shared" ref="AT226:BD226" si="42">$BF$226*AT224</f>
        <v>6518.3503971566515</v>
      </c>
      <c r="AU226" s="81">
        <f t="shared" si="42"/>
        <v>7894.3116374971742</v>
      </c>
      <c r="AV226" s="81">
        <f t="shared" si="42"/>
        <v>9773.9096464250742</v>
      </c>
      <c r="AW226" s="81">
        <f t="shared" si="42"/>
        <v>11653.507655352971</v>
      </c>
      <c r="AX226" s="81">
        <f t="shared" si="42"/>
        <v>13029.468895693495</v>
      </c>
      <c r="AY226" s="81">
        <f t="shared" si="42"/>
        <v>13533.105664280869</v>
      </c>
      <c r="AZ226" s="81">
        <f t="shared" si="42"/>
        <v>13029.468895693495</v>
      </c>
      <c r="BA226" s="81">
        <f t="shared" si="42"/>
        <v>11653.507655352971</v>
      </c>
      <c r="BB226" s="81">
        <f t="shared" si="42"/>
        <v>9773.9096464250742</v>
      </c>
      <c r="BC226" s="81">
        <f t="shared" si="42"/>
        <v>7894.3116374971742</v>
      </c>
      <c r="BD226" s="81">
        <f t="shared" si="42"/>
        <v>6518.3503971566515</v>
      </c>
      <c r="BE226" s="81">
        <f>AQ226*AVERAGE(AD226:AO226)/100*(Burden!F18+1)</f>
        <v>114898.18020196643</v>
      </c>
      <c r="BF226" s="86">
        <f>BE226-AS226</f>
        <v>111272.2021285316</v>
      </c>
      <c r="BG226" s="20"/>
      <c r="BH226" s="88">
        <f>SUM(AS226:BD226)</f>
        <v>114898.18020196645</v>
      </c>
      <c r="BI226" s="20"/>
      <c r="BY226"/>
      <c r="BZ226"/>
      <c r="CF226"/>
      <c r="CG226"/>
    </row>
    <row r="227" spans="28:85" ht="15.5" x14ac:dyDescent="0.35">
      <c r="AB227" s="20"/>
      <c r="AC227" s="20" t="s">
        <v>210</v>
      </c>
      <c r="AD227" s="68" t="s">
        <v>211</v>
      </c>
      <c r="AE227" s="68" t="s">
        <v>212</v>
      </c>
      <c r="AF227" s="68" t="s">
        <v>213</v>
      </c>
      <c r="AG227" s="68" t="s">
        <v>214</v>
      </c>
      <c r="AH227" s="68" t="s">
        <v>215</v>
      </c>
      <c r="AI227" s="68" t="s">
        <v>216</v>
      </c>
      <c r="AJ227" s="68" t="s">
        <v>217</v>
      </c>
      <c r="AK227" s="68" t="s">
        <v>218</v>
      </c>
      <c r="AL227" s="68" t="s">
        <v>219</v>
      </c>
      <c r="AM227" s="68" t="s">
        <v>220</v>
      </c>
      <c r="AN227" s="68" t="s">
        <v>221</v>
      </c>
      <c r="AO227" s="68" t="s">
        <v>222</v>
      </c>
      <c r="AP227" s="71"/>
      <c r="AQ227" s="81">
        <f>D45*(Burden!F$17)</f>
        <v>0</v>
      </c>
      <c r="AR227" s="82" t="str">
        <f t="shared" si="41"/>
        <v>Admin 1</v>
      </c>
      <c r="AS227" s="83" t="s">
        <v>211</v>
      </c>
      <c r="AT227" s="83" t="s">
        <v>212</v>
      </c>
      <c r="AU227" s="83" t="s">
        <v>213</v>
      </c>
      <c r="AV227" s="83" t="s">
        <v>214</v>
      </c>
      <c r="AW227" s="83" t="s">
        <v>215</v>
      </c>
      <c r="AX227" s="83" t="s">
        <v>216</v>
      </c>
      <c r="AY227" s="83" t="s">
        <v>217</v>
      </c>
      <c r="AZ227" s="83" t="s">
        <v>218</v>
      </c>
      <c r="BA227" s="83" t="s">
        <v>219</v>
      </c>
      <c r="BB227" s="83" t="s">
        <v>220</v>
      </c>
      <c r="BC227" s="83" t="s">
        <v>221</v>
      </c>
      <c r="BD227" s="84" t="s">
        <v>222</v>
      </c>
      <c r="BE227" s="20" t="s">
        <v>223</v>
      </c>
      <c r="BF227" s="20" t="s">
        <v>224</v>
      </c>
      <c r="BG227" s="20"/>
      <c r="BH227" s="88">
        <f t="shared" ref="BH227" si="43">SUM(AS227:BD227)</f>
        <v>0</v>
      </c>
      <c r="BI227" s="20"/>
      <c r="BY227"/>
      <c r="BZ227"/>
      <c r="CF227"/>
      <c r="CG227"/>
    </row>
    <row r="228" spans="28:85" ht="15.5" x14ac:dyDescent="0.35">
      <c r="AB228" s="20"/>
      <c r="AC228" s="198" t="str">
        <f t="shared" ref="AC228:AC261" si="44">IF(ISBLANK(C46), " ",C46)</f>
        <v>Badakhshan</v>
      </c>
      <c r="AD228" s="71">
        <f t="shared" ref="AD228:AO261" si="45">AD$226*($I46/$I$44)</f>
        <v>3.1269572944448458</v>
      </c>
      <c r="AE228" s="71">
        <f t="shared" si="45"/>
        <v>3.3887903200114411</v>
      </c>
      <c r="AF228" s="71">
        <f t="shared" si="45"/>
        <v>4.1041314489588601</v>
      </c>
      <c r="AG228" s="71">
        <f t="shared" si="45"/>
        <v>5.0813056034728747</v>
      </c>
      <c r="AH228" s="71">
        <f t="shared" si="45"/>
        <v>6.0584797579868894</v>
      </c>
      <c r="AI228" s="71">
        <f t="shared" si="45"/>
        <v>6.7738208869343088</v>
      </c>
      <c r="AJ228" s="71">
        <f t="shared" si="45"/>
        <v>7.0356539125009041</v>
      </c>
      <c r="AK228" s="71">
        <f t="shared" si="45"/>
        <v>6.7738208869343088</v>
      </c>
      <c r="AL228" s="71">
        <f t="shared" si="45"/>
        <v>6.0584797579868894</v>
      </c>
      <c r="AM228" s="71">
        <f t="shared" si="45"/>
        <v>5.0813056034728747</v>
      </c>
      <c r="AN228" s="71">
        <f t="shared" si="45"/>
        <v>4.1041314489588601</v>
      </c>
      <c r="AO228" s="71">
        <f t="shared" si="45"/>
        <v>3.3887903200114411</v>
      </c>
      <c r="AP228" s="76"/>
      <c r="AQ228" s="81">
        <f>D46*(Burden!F$17)</f>
        <v>29530.905094366033</v>
      </c>
      <c r="AR228" s="181" t="str">
        <f t="shared" si="41"/>
        <v>Badakhshan</v>
      </c>
      <c r="AS228" s="180">
        <f>$AQ228*AD228/100/Burden!F$23</f>
        <v>123.12250546184845</v>
      </c>
      <c r="AT228" s="180">
        <f t="shared" ref="AT228:BD237" si="46">$BF228*AT$161</f>
        <v>221.33493808359191</v>
      </c>
      <c r="AU228" s="180">
        <f t="shared" si="46"/>
        <v>268.05662031611473</v>
      </c>
      <c r="AV228" s="180">
        <f t="shared" si="46"/>
        <v>331.87962515328491</v>
      </c>
      <c r="AW228" s="180">
        <f t="shared" si="46"/>
        <v>395.70262999045508</v>
      </c>
      <c r="AX228" s="180">
        <f t="shared" si="46"/>
        <v>442.42431222297796</v>
      </c>
      <c r="AY228" s="180">
        <f t="shared" si="46"/>
        <v>459.52563482762525</v>
      </c>
      <c r="AZ228" s="180">
        <f t="shared" si="46"/>
        <v>442.42431222297796</v>
      </c>
      <c r="BA228" s="180">
        <f t="shared" si="46"/>
        <v>395.70262999045508</v>
      </c>
      <c r="BB228" s="180">
        <f t="shared" si="46"/>
        <v>331.87962515328491</v>
      </c>
      <c r="BC228" s="180">
        <f t="shared" si="46"/>
        <v>268.05662031611473</v>
      </c>
      <c r="BD228" s="180">
        <f t="shared" si="46"/>
        <v>221.33493808359191</v>
      </c>
      <c r="BE228" s="81" cm="1">
        <f t="array" ref="BE228">AQ228*AVERAGE(TableP0to5[[#This Row],[Jan-23]:[Dec-23]]/100*(Burden!$F$18+1))</f>
        <v>3901.4443918223228</v>
      </c>
      <c r="BF228" s="86">
        <f>BE228-AS228</f>
        <v>3778.3218863604743</v>
      </c>
      <c r="BG228" s="20"/>
      <c r="BH228" s="88">
        <f>SUM(AS228:BD228)</f>
        <v>3901.4443918223228</v>
      </c>
      <c r="BI228" s="20"/>
      <c r="BJ228"/>
      <c r="BK228"/>
      <c r="BL228"/>
      <c r="BM228"/>
      <c r="BN228"/>
      <c r="BO228"/>
      <c r="BY228"/>
      <c r="BZ228"/>
      <c r="CF228"/>
      <c r="CG228"/>
    </row>
    <row r="229" spans="28:85" ht="15.5" x14ac:dyDescent="0.35">
      <c r="AB229" s="20"/>
      <c r="AC229" s="20" t="str">
        <f t="shared" si="44"/>
        <v>Badghis</v>
      </c>
      <c r="AD229" s="71">
        <f t="shared" si="45"/>
        <v>3.1215483870967731</v>
      </c>
      <c r="AE229" s="71">
        <f t="shared" si="45"/>
        <v>3.3829285025521645</v>
      </c>
      <c r="AF229" s="71">
        <f t="shared" si="45"/>
        <v>4.0970322580645142</v>
      </c>
      <c r="AG229" s="71">
        <f t="shared" si="45"/>
        <v>5.0725161290322562</v>
      </c>
      <c r="AH229" s="71">
        <f t="shared" si="45"/>
        <v>6.0479999999999983</v>
      </c>
      <c r="AI229" s="71">
        <f t="shared" si="45"/>
        <v>6.7621037555123484</v>
      </c>
      <c r="AJ229" s="71">
        <f t="shared" si="45"/>
        <v>7.0234838709677394</v>
      </c>
      <c r="AK229" s="71">
        <f t="shared" si="45"/>
        <v>6.7621037555123484</v>
      </c>
      <c r="AL229" s="71">
        <f t="shared" si="45"/>
        <v>6.0479999999999983</v>
      </c>
      <c r="AM229" s="71">
        <f t="shared" si="45"/>
        <v>5.0725161290322562</v>
      </c>
      <c r="AN229" s="71">
        <f t="shared" si="45"/>
        <v>4.0970322580645142</v>
      </c>
      <c r="AO229" s="71">
        <f t="shared" si="45"/>
        <v>3.3829285025521645</v>
      </c>
      <c r="AP229" s="76"/>
      <c r="AQ229" s="81">
        <f>D47*(Burden!F$17)</f>
        <v>15400.505575676738</v>
      </c>
      <c r="AR229" s="181" t="str">
        <f t="shared" si="41"/>
        <v>Badghis</v>
      </c>
      <c r="AS229" s="180">
        <f>$AQ229*AD229/100/Burden!F$23</f>
        <v>64.097897786971444</v>
      </c>
      <c r="AT229" s="180">
        <f t="shared" si="46"/>
        <v>115.22754661911779</v>
      </c>
      <c r="AU229" s="180">
        <f t="shared" si="46"/>
        <v>139.55097636855206</v>
      </c>
      <c r="AV229" s="180">
        <f t="shared" si="46"/>
        <v>172.77739931344541</v>
      </c>
      <c r="AW229" s="180">
        <f t="shared" si="46"/>
        <v>206.00382225833874</v>
      </c>
      <c r="AX229" s="180">
        <f t="shared" si="46"/>
        <v>230.32725200777301</v>
      </c>
      <c r="AY229" s="180">
        <f t="shared" si="46"/>
        <v>239.2302452032321</v>
      </c>
      <c r="AZ229" s="180">
        <f t="shared" si="46"/>
        <v>230.32725200777301</v>
      </c>
      <c r="BA229" s="180">
        <f t="shared" si="46"/>
        <v>206.00382225833874</v>
      </c>
      <c r="BB229" s="180">
        <f t="shared" si="46"/>
        <v>172.77739931344541</v>
      </c>
      <c r="BC229" s="180">
        <f t="shared" si="46"/>
        <v>139.55097636855206</v>
      </c>
      <c r="BD229" s="180">
        <f t="shared" si="46"/>
        <v>115.22754661911779</v>
      </c>
      <c r="BE229" s="81" cm="1">
        <f t="array" ref="BE229">AQ229*AVERAGE(TableP0to5[[#This Row],[Jan-23]:[Dec-23]]/100*(Burden!$F$18+1))</f>
        <v>2031.1021361246576</v>
      </c>
      <c r="BF229" s="86">
        <f t="shared" ref="BF229:BF269" si="47">BE229-AS229</f>
        <v>1967.004238337686</v>
      </c>
      <c r="BG229" s="20"/>
      <c r="BH229" s="88">
        <f t="shared" ref="BH229:BH269" si="48">SUM(AS229:BD229)</f>
        <v>2031.1021361246576</v>
      </c>
      <c r="BI229" s="20"/>
      <c r="BJ229"/>
      <c r="BK229"/>
      <c r="BL229"/>
      <c r="BM229"/>
      <c r="BN229"/>
      <c r="BO229"/>
      <c r="BY229"/>
      <c r="BZ229"/>
      <c r="CF229"/>
      <c r="CG229"/>
    </row>
    <row r="230" spans="28:85" ht="15.5" x14ac:dyDescent="0.35">
      <c r="AB230" s="20"/>
      <c r="AC230" s="20" t="str">
        <f t="shared" si="44"/>
        <v>Baghlan</v>
      </c>
      <c r="AD230" s="71">
        <f t="shared" si="45"/>
        <v>2.6800875435436811</v>
      </c>
      <c r="AE230" s="71">
        <f t="shared" si="45"/>
        <v>2.9045023225865685</v>
      </c>
      <c r="AF230" s="71">
        <f t="shared" si="45"/>
        <v>3.5176149009010809</v>
      </c>
      <c r="AG230" s="71">
        <f t="shared" si="45"/>
        <v>4.3551422582584811</v>
      </c>
      <c r="AH230" s="71">
        <f t="shared" si="45"/>
        <v>5.1926696156158823</v>
      </c>
      <c r="AI230" s="71">
        <f t="shared" si="45"/>
        <v>5.8057821939303951</v>
      </c>
      <c r="AJ230" s="71">
        <f t="shared" si="45"/>
        <v>6.0301969729732825</v>
      </c>
      <c r="AK230" s="71">
        <f t="shared" si="45"/>
        <v>5.8057821939303951</v>
      </c>
      <c r="AL230" s="71">
        <f t="shared" si="45"/>
        <v>5.1926696156158823</v>
      </c>
      <c r="AM230" s="71">
        <f t="shared" si="45"/>
        <v>4.3551422582584811</v>
      </c>
      <c r="AN230" s="71">
        <f t="shared" si="45"/>
        <v>3.5176149009010809</v>
      </c>
      <c r="AO230" s="71">
        <f t="shared" si="45"/>
        <v>2.9045023225865685</v>
      </c>
      <c r="AP230" s="76"/>
      <c r="AQ230" s="81">
        <f>D48*(Burden!F$17)</f>
        <v>28314.589392741735</v>
      </c>
      <c r="AR230" s="181" t="str">
        <f t="shared" si="41"/>
        <v>Baghlan</v>
      </c>
      <c r="AS230" s="180">
        <f>$AQ230*AD230/100/Burden!F$23</f>
        <v>101.1807711093882</v>
      </c>
      <c r="AT230" s="180">
        <f t="shared" si="46"/>
        <v>181.89070815884213</v>
      </c>
      <c r="AU230" s="180">
        <f t="shared" si="46"/>
        <v>220.2860918304269</v>
      </c>
      <c r="AV230" s="180">
        <f t="shared" si="46"/>
        <v>272.73516131386191</v>
      </c>
      <c r="AW230" s="180">
        <f t="shared" si="46"/>
        <v>325.18423079729683</v>
      </c>
      <c r="AX230" s="180">
        <f t="shared" si="46"/>
        <v>363.57961446888163</v>
      </c>
      <c r="AY230" s="180">
        <f t="shared" si="46"/>
        <v>377.63330028073182</v>
      </c>
      <c r="AZ230" s="180">
        <f t="shared" si="46"/>
        <v>363.57961446888163</v>
      </c>
      <c r="BA230" s="180">
        <f t="shared" si="46"/>
        <v>325.18423079729683</v>
      </c>
      <c r="BB230" s="180">
        <f t="shared" si="46"/>
        <v>272.73516131386191</v>
      </c>
      <c r="BC230" s="180">
        <f t="shared" si="46"/>
        <v>220.2860918304269</v>
      </c>
      <c r="BD230" s="180">
        <f t="shared" si="46"/>
        <v>181.89070815884213</v>
      </c>
      <c r="BE230" s="81" cm="1">
        <f t="array" ref="BE230">AQ230*AVERAGE(TableP0to5[[#This Row],[Jan-23]:[Dec-23]]/100*(Burden!$F$18+1))</f>
        <v>3206.1656845287389</v>
      </c>
      <c r="BF230" s="86">
        <f t="shared" si="47"/>
        <v>3104.9849134193505</v>
      </c>
      <c r="BG230" s="20"/>
      <c r="BH230" s="88">
        <f t="shared" si="48"/>
        <v>3206.1656845287389</v>
      </c>
      <c r="BI230" s="20"/>
      <c r="BJ230"/>
      <c r="BK230"/>
      <c r="BL230"/>
      <c r="BM230"/>
      <c r="BN230"/>
      <c r="BO230"/>
      <c r="BY230"/>
      <c r="BZ230"/>
      <c r="CF230"/>
      <c r="CG230"/>
    </row>
    <row r="231" spans="28:85" ht="15.5" x14ac:dyDescent="0.35">
      <c r="AB231" s="20"/>
      <c r="AC231" s="20" t="str">
        <f t="shared" si="44"/>
        <v>Balkh</v>
      </c>
      <c r="AD231" s="71">
        <f t="shared" si="45"/>
        <v>1.3634422273609692</v>
      </c>
      <c r="AE231" s="71">
        <f t="shared" si="45"/>
        <v>1.4776088660321762</v>
      </c>
      <c r="AF231" s="71">
        <f t="shared" si="45"/>
        <v>1.7895179234112721</v>
      </c>
      <c r="AG231" s="71">
        <f t="shared" si="45"/>
        <v>2.2155936194615751</v>
      </c>
      <c r="AH231" s="71">
        <f t="shared" si="45"/>
        <v>2.6416693155118782</v>
      </c>
      <c r="AI231" s="71">
        <f t="shared" si="45"/>
        <v>2.9535783728909739</v>
      </c>
      <c r="AJ231" s="71">
        <f t="shared" si="45"/>
        <v>3.0677450115621809</v>
      </c>
      <c r="AK231" s="71">
        <f t="shared" si="45"/>
        <v>2.9535783728909739</v>
      </c>
      <c r="AL231" s="71">
        <f t="shared" si="45"/>
        <v>2.6416693155118782</v>
      </c>
      <c r="AM231" s="71">
        <f t="shared" si="45"/>
        <v>2.2155936194615751</v>
      </c>
      <c r="AN231" s="71">
        <f t="shared" si="45"/>
        <v>1.7895179234112721</v>
      </c>
      <c r="AO231" s="71">
        <f t="shared" si="45"/>
        <v>1.4776088660321762</v>
      </c>
      <c r="AP231" s="76"/>
      <c r="AQ231" s="81">
        <f>D49*(Burden!F$17)</f>
        <v>41346.975337189724</v>
      </c>
      <c r="AR231" s="181" t="str">
        <f t="shared" si="41"/>
        <v>Balkh</v>
      </c>
      <c r="AS231" s="180">
        <f>$AQ231*AD231/100/Burden!F$23</f>
        <v>75.165616197836016</v>
      </c>
      <c r="AT231" s="180">
        <f t="shared" si="46"/>
        <v>135.12376916597307</v>
      </c>
      <c r="AU231" s="180">
        <f t="shared" si="46"/>
        <v>163.6471006368005</v>
      </c>
      <c r="AV231" s="180">
        <f t="shared" si="46"/>
        <v>202.61069602651494</v>
      </c>
      <c r="AW231" s="180">
        <f t="shared" si="46"/>
        <v>241.57429141622933</v>
      </c>
      <c r="AX231" s="180">
        <f t="shared" si="46"/>
        <v>270.09762288705679</v>
      </c>
      <c r="AY231" s="180">
        <f t="shared" si="46"/>
        <v>280.53788680594374</v>
      </c>
      <c r="AZ231" s="180">
        <f t="shared" si="46"/>
        <v>270.09762288705679</v>
      </c>
      <c r="BA231" s="180">
        <f t="shared" si="46"/>
        <v>241.57429141622933</v>
      </c>
      <c r="BB231" s="180">
        <f t="shared" si="46"/>
        <v>202.61069602651494</v>
      </c>
      <c r="BC231" s="180">
        <f t="shared" si="46"/>
        <v>163.6471006368005</v>
      </c>
      <c r="BD231" s="180">
        <f t="shared" si="46"/>
        <v>135.12376916597307</v>
      </c>
      <c r="BE231" s="81" cm="1">
        <f t="array" ref="BE231">AQ231*AVERAGE(TableP0to5[[#This Row],[Jan-23]:[Dec-23]]/100*(Burden!$F$18+1))</f>
        <v>2381.8104632689292</v>
      </c>
      <c r="BF231" s="86">
        <f t="shared" si="47"/>
        <v>2306.644847071093</v>
      </c>
      <c r="BG231" s="20"/>
      <c r="BH231" s="88">
        <f t="shared" si="48"/>
        <v>2381.8104632689292</v>
      </c>
      <c r="BI231" s="20"/>
      <c r="BJ231"/>
      <c r="BK231"/>
      <c r="BL231"/>
      <c r="BM231"/>
      <c r="BN231"/>
      <c r="BO231"/>
      <c r="BY231"/>
      <c r="BZ231"/>
      <c r="CF231"/>
      <c r="CG231"/>
    </row>
    <row r="232" spans="28:85" ht="15.5" x14ac:dyDescent="0.35">
      <c r="AB232" s="20"/>
      <c r="AC232" s="20" t="str">
        <f t="shared" si="44"/>
        <v>Bamyan</v>
      </c>
      <c r="AD232" s="71">
        <f t="shared" si="45"/>
        <v>1.3313263734741934</v>
      </c>
      <c r="AE232" s="71">
        <f t="shared" si="45"/>
        <v>1.4428038192975261</v>
      </c>
      <c r="AF232" s="71">
        <f t="shared" si="45"/>
        <v>1.7473658651848787</v>
      </c>
      <c r="AG232" s="71">
        <f t="shared" si="45"/>
        <v>2.1634053568955642</v>
      </c>
      <c r="AH232" s="71">
        <f t="shared" si="45"/>
        <v>2.5794448486062498</v>
      </c>
      <c r="AI232" s="71">
        <f t="shared" si="45"/>
        <v>2.8840068944936021</v>
      </c>
      <c r="AJ232" s="71">
        <f t="shared" si="45"/>
        <v>2.9954843403169349</v>
      </c>
      <c r="AK232" s="71">
        <f t="shared" si="45"/>
        <v>2.8840068944936021</v>
      </c>
      <c r="AL232" s="71">
        <f t="shared" si="45"/>
        <v>2.5794448486062498</v>
      </c>
      <c r="AM232" s="71">
        <f t="shared" si="45"/>
        <v>2.1634053568955642</v>
      </c>
      <c r="AN232" s="71">
        <f t="shared" si="45"/>
        <v>1.7473658651848787</v>
      </c>
      <c r="AO232" s="71">
        <f t="shared" si="45"/>
        <v>1.4428038192975261</v>
      </c>
      <c r="AP232" s="76"/>
      <c r="AQ232" s="81">
        <f>D50*(Burden!F$17)</f>
        <v>13886.922560938232</v>
      </c>
      <c r="AR232" s="181" t="str">
        <f t="shared" si="41"/>
        <v>Bamyan</v>
      </c>
      <c r="AS232" s="180">
        <f>$AQ232*AD232/100/Burden!F$23</f>
        <v>24.650701669027804</v>
      </c>
      <c r="AT232" s="180">
        <f t="shared" si="46"/>
        <v>44.314087884785735</v>
      </c>
      <c r="AU232" s="180">
        <f t="shared" si="46"/>
        <v>53.668366746061153</v>
      </c>
      <c r="AV232" s="180">
        <f t="shared" si="46"/>
        <v>66.446549304647149</v>
      </c>
      <c r="AW232" s="180">
        <f t="shared" si="46"/>
        <v>79.224731863233131</v>
      </c>
      <c r="AX232" s="180">
        <f t="shared" si="46"/>
        <v>88.579010724508564</v>
      </c>
      <c r="AY232" s="180">
        <f t="shared" si="46"/>
        <v>92.002914421819128</v>
      </c>
      <c r="AZ232" s="180">
        <f t="shared" si="46"/>
        <v>88.579010724508564</v>
      </c>
      <c r="BA232" s="180">
        <f t="shared" si="46"/>
        <v>79.224731863233131</v>
      </c>
      <c r="BB232" s="180">
        <f t="shared" si="46"/>
        <v>66.446549304647149</v>
      </c>
      <c r="BC232" s="180">
        <f t="shared" si="46"/>
        <v>53.668366746061153</v>
      </c>
      <c r="BD232" s="180">
        <f t="shared" si="46"/>
        <v>44.314087884785735</v>
      </c>
      <c r="BE232" s="81" cm="1">
        <f t="array" ref="BE232">AQ232*AVERAGE(TableP0to5[[#This Row],[Jan-23]:[Dec-23]]/100*(Burden!$F$18+1))</f>
        <v>781.11910913731845</v>
      </c>
      <c r="BF232" s="86">
        <f t="shared" si="47"/>
        <v>756.46840746829059</v>
      </c>
      <c r="BG232" s="20"/>
      <c r="BH232" s="88">
        <f t="shared" si="48"/>
        <v>781.11910913731845</v>
      </c>
      <c r="BI232" s="20"/>
      <c r="BJ232"/>
      <c r="BK232"/>
      <c r="BL232"/>
      <c r="BM232"/>
      <c r="BN232"/>
      <c r="BO232"/>
      <c r="BY232"/>
      <c r="BZ232"/>
      <c r="CF232"/>
      <c r="CG232"/>
    </row>
    <row r="233" spans="28:85" ht="15.5" x14ac:dyDescent="0.35">
      <c r="AB233" s="20"/>
      <c r="AC233" s="20" t="str">
        <f t="shared" si="44"/>
        <v>Dykundi</v>
      </c>
      <c r="AD233" s="71">
        <f t="shared" si="45"/>
        <v>1.2043389275788285</v>
      </c>
      <c r="AE233" s="71">
        <f t="shared" si="45"/>
        <v>1.3051831910344882</v>
      </c>
      <c r="AF233" s="71">
        <f t="shared" si="45"/>
        <v>1.5806948424472123</v>
      </c>
      <c r="AG233" s="71">
        <f t="shared" si="45"/>
        <v>1.9570507573155964</v>
      </c>
      <c r="AH233" s="71">
        <f t="shared" si="45"/>
        <v>2.3334066721839801</v>
      </c>
      <c r="AI233" s="71">
        <f t="shared" si="45"/>
        <v>2.6089183235967046</v>
      </c>
      <c r="AJ233" s="71">
        <f t="shared" si="45"/>
        <v>2.7097625870523645</v>
      </c>
      <c r="AK233" s="71">
        <f t="shared" si="45"/>
        <v>2.6089183235967046</v>
      </c>
      <c r="AL233" s="71">
        <f t="shared" si="45"/>
        <v>2.3334066721839801</v>
      </c>
      <c r="AM233" s="71">
        <f t="shared" si="45"/>
        <v>1.9570507573155964</v>
      </c>
      <c r="AN233" s="71">
        <f t="shared" si="45"/>
        <v>1.5806948424472123</v>
      </c>
      <c r="AO233" s="71">
        <f t="shared" si="45"/>
        <v>1.3051831910344882</v>
      </c>
      <c r="AP233" s="76"/>
      <c r="AQ233" s="81">
        <f>D51*(Burden!F$17)</f>
        <v>14300.659280639415</v>
      </c>
      <c r="AR233" s="181" t="str">
        <f t="shared" si="41"/>
        <v>Dykundi</v>
      </c>
      <c r="AS233" s="180">
        <f>$AQ233*AD233/100/Burden!F$23</f>
        <v>22.963787548953992</v>
      </c>
      <c r="AT233" s="180">
        <f t="shared" si="46"/>
        <v>41.281555116561904</v>
      </c>
      <c r="AU233" s="180">
        <f t="shared" si="46"/>
        <v>49.995695400604859</v>
      </c>
      <c r="AV233" s="180">
        <f t="shared" si="46"/>
        <v>61.899432400748886</v>
      </c>
      <c r="AW233" s="180">
        <f t="shared" si="46"/>
        <v>73.803169400892898</v>
      </c>
      <c r="AX233" s="180">
        <f t="shared" si="46"/>
        <v>82.517309684935853</v>
      </c>
      <c r="AY233" s="180">
        <f t="shared" si="46"/>
        <v>85.706906401036917</v>
      </c>
      <c r="AZ233" s="180">
        <f t="shared" si="46"/>
        <v>82.517309684935853</v>
      </c>
      <c r="BA233" s="180">
        <f t="shared" si="46"/>
        <v>73.803169400892898</v>
      </c>
      <c r="BB233" s="180">
        <f t="shared" si="46"/>
        <v>61.899432400748886</v>
      </c>
      <c r="BC233" s="180">
        <f t="shared" si="46"/>
        <v>49.995695400604859</v>
      </c>
      <c r="BD233" s="180">
        <f t="shared" si="46"/>
        <v>41.281555116561904</v>
      </c>
      <c r="BE233" s="81" cm="1">
        <f t="array" ref="BE233">AQ233*AVERAGE(TableP0to5[[#This Row],[Jan-23]:[Dec-23]]/100*(Burden!$F$18+1))</f>
        <v>727.66501795747968</v>
      </c>
      <c r="BF233" s="86">
        <f t="shared" si="47"/>
        <v>704.7012304085257</v>
      </c>
      <c r="BG233" s="20"/>
      <c r="BH233" s="88">
        <f t="shared" si="48"/>
        <v>727.66501795747968</v>
      </c>
      <c r="BI233" s="20"/>
      <c r="BJ233"/>
      <c r="BK233"/>
      <c r="BL233"/>
      <c r="BM233"/>
      <c r="BN233"/>
      <c r="BO233"/>
      <c r="BY233"/>
      <c r="BZ233"/>
      <c r="CF233"/>
      <c r="CG233"/>
    </row>
    <row r="234" spans="28:85" ht="15.5" x14ac:dyDescent="0.35">
      <c r="AB234" s="20"/>
      <c r="AC234" s="20" t="str">
        <f t="shared" si="44"/>
        <v>Farah</v>
      </c>
      <c r="AD234" s="71">
        <f t="shared" si="45"/>
        <v>1.5137103533785763</v>
      </c>
      <c r="AE234" s="71">
        <f t="shared" si="45"/>
        <v>1.6404595617418321</v>
      </c>
      <c r="AF234" s="71">
        <f t="shared" si="45"/>
        <v>1.9867448388093811</v>
      </c>
      <c r="AG234" s="71">
        <f t="shared" si="45"/>
        <v>2.4597793242401864</v>
      </c>
      <c r="AH234" s="71">
        <f t="shared" si="45"/>
        <v>2.9328138096709915</v>
      </c>
      <c r="AI234" s="71">
        <f t="shared" si="45"/>
        <v>3.2790990867385412</v>
      </c>
      <c r="AJ234" s="71">
        <f t="shared" si="45"/>
        <v>3.405848295101797</v>
      </c>
      <c r="AK234" s="71">
        <f t="shared" si="45"/>
        <v>3.2790990867385412</v>
      </c>
      <c r="AL234" s="71">
        <f t="shared" si="45"/>
        <v>2.9328138096709915</v>
      </c>
      <c r="AM234" s="71">
        <f t="shared" si="45"/>
        <v>2.4597793242401864</v>
      </c>
      <c r="AN234" s="71">
        <f t="shared" si="45"/>
        <v>1.9867448388093811</v>
      </c>
      <c r="AO234" s="71">
        <f t="shared" si="45"/>
        <v>1.6404595617418321</v>
      </c>
      <c r="AP234" s="76"/>
      <c r="AQ234" s="81">
        <f>D52*(Burden!F$17)</f>
        <v>15760.574121401178</v>
      </c>
      <c r="AR234" s="181" t="str">
        <f t="shared" si="41"/>
        <v>Farah</v>
      </c>
      <c r="AS234" s="180">
        <f>$AQ234*AD234/100/Burden!F$23</f>
        <v>31.809258963673894</v>
      </c>
      <c r="AT234" s="180">
        <f t="shared" si="46"/>
        <v>57.182887375462961</v>
      </c>
      <c r="AU234" s="180">
        <f t="shared" si="46"/>
        <v>69.253646362846609</v>
      </c>
      <c r="AV234" s="180">
        <f t="shared" si="46"/>
        <v>85.742609782572003</v>
      </c>
      <c r="AW234" s="180">
        <f t="shared" si="46"/>
        <v>102.23157320229738</v>
      </c>
      <c r="AX234" s="180">
        <f t="shared" si="46"/>
        <v>114.30233218968104</v>
      </c>
      <c r="AY234" s="180">
        <f t="shared" si="46"/>
        <v>118.72053662202276</v>
      </c>
      <c r="AZ234" s="180">
        <f t="shared" si="46"/>
        <v>114.30233218968104</v>
      </c>
      <c r="BA234" s="180">
        <f t="shared" si="46"/>
        <v>102.23157320229738</v>
      </c>
      <c r="BB234" s="180">
        <f t="shared" si="46"/>
        <v>85.742609782572003</v>
      </c>
      <c r="BC234" s="180">
        <f t="shared" si="46"/>
        <v>69.253646362846609</v>
      </c>
      <c r="BD234" s="180">
        <f t="shared" si="46"/>
        <v>57.182887375462961</v>
      </c>
      <c r="BE234" s="81" cm="1">
        <f t="array" ref="BE234">AQ234*AVERAGE(TableP0to5[[#This Row],[Jan-23]:[Dec-23]]/100*(Burden!$F$18+1))</f>
        <v>1007.9558934114166</v>
      </c>
      <c r="BF234" s="86">
        <f t="shared" si="47"/>
        <v>976.14663444774271</v>
      </c>
      <c r="BG234" s="20"/>
      <c r="BH234" s="88">
        <f t="shared" si="48"/>
        <v>1007.9558934114166</v>
      </c>
      <c r="BI234" s="20"/>
      <c r="BJ234"/>
      <c r="BK234"/>
      <c r="BL234"/>
      <c r="BM234"/>
      <c r="BN234"/>
      <c r="BO234"/>
      <c r="BY234"/>
      <c r="BZ234"/>
      <c r="CF234"/>
      <c r="CG234"/>
    </row>
    <row r="235" spans="28:85" ht="15.5" x14ac:dyDescent="0.35">
      <c r="AB235" s="20"/>
      <c r="AC235" s="20" t="str">
        <f t="shared" si="44"/>
        <v>Faryab</v>
      </c>
      <c r="AD235" s="71">
        <f t="shared" si="45"/>
        <v>1.4996008219374874</v>
      </c>
      <c r="AE235" s="71">
        <f t="shared" si="45"/>
        <v>1.6251685810647365</v>
      </c>
      <c r="AF235" s="71">
        <f t="shared" si="45"/>
        <v>1.968226078792952</v>
      </c>
      <c r="AG235" s="71">
        <f t="shared" si="45"/>
        <v>2.4368513356484169</v>
      </c>
      <c r="AH235" s="71">
        <f t="shared" si="45"/>
        <v>2.9054765925038817</v>
      </c>
      <c r="AI235" s="71">
        <f t="shared" si="45"/>
        <v>3.2485340902320976</v>
      </c>
      <c r="AJ235" s="71">
        <f t="shared" si="45"/>
        <v>3.3741018493593469</v>
      </c>
      <c r="AK235" s="71">
        <f t="shared" si="45"/>
        <v>3.2485340902320976</v>
      </c>
      <c r="AL235" s="71">
        <f t="shared" si="45"/>
        <v>2.9054765925038817</v>
      </c>
      <c r="AM235" s="71">
        <f t="shared" si="45"/>
        <v>2.4368513356484169</v>
      </c>
      <c r="AN235" s="71">
        <f t="shared" si="45"/>
        <v>1.968226078792952</v>
      </c>
      <c r="AO235" s="71">
        <f t="shared" si="45"/>
        <v>1.6251685810647365</v>
      </c>
      <c r="AP235" s="76"/>
      <c r="AQ235" s="81">
        <f>D53*(Burden!F$17)</f>
        <v>31013.759490424629</v>
      </c>
      <c r="AR235" s="181" t="str">
        <f t="shared" si="41"/>
        <v>Faryab</v>
      </c>
      <c r="AS235" s="180">
        <f>$AQ235*AD235/100/Burden!F$23</f>
        <v>62.011012297616432</v>
      </c>
      <c r="AT235" s="180">
        <f t="shared" si="46"/>
        <v>111.47599308435751</v>
      </c>
      <c r="AU235" s="180">
        <f t="shared" si="46"/>
        <v>135.00750587008505</v>
      </c>
      <c r="AV235" s="180">
        <f t="shared" si="46"/>
        <v>167.15215012486723</v>
      </c>
      <c r="AW235" s="180">
        <f t="shared" si="46"/>
        <v>199.29679437964938</v>
      </c>
      <c r="AX235" s="180">
        <f t="shared" si="46"/>
        <v>222.82830716537697</v>
      </c>
      <c r="AY235" s="180">
        <f t="shared" si="46"/>
        <v>231.44143863443156</v>
      </c>
      <c r="AZ235" s="180">
        <f t="shared" si="46"/>
        <v>222.82830716537697</v>
      </c>
      <c r="BA235" s="180">
        <f t="shared" si="46"/>
        <v>199.29679437964938</v>
      </c>
      <c r="BB235" s="180">
        <f t="shared" si="46"/>
        <v>167.15215012486723</v>
      </c>
      <c r="BC235" s="180">
        <f t="shared" si="46"/>
        <v>135.00750587008505</v>
      </c>
      <c r="BD235" s="180">
        <f t="shared" si="46"/>
        <v>111.47599308435751</v>
      </c>
      <c r="BE235" s="81" cm="1">
        <f t="array" ref="BE235">AQ235*AVERAGE(TableP0to5[[#This Row],[Jan-23]:[Dec-23]]/100*(Burden!$F$18+1))</f>
        <v>1964.9739521807203</v>
      </c>
      <c r="BF235" s="86">
        <f t="shared" si="47"/>
        <v>1902.9629398831039</v>
      </c>
      <c r="BG235" s="20"/>
      <c r="BH235" s="88">
        <f t="shared" si="48"/>
        <v>1964.9739521807201</v>
      </c>
      <c r="BI235" s="20"/>
      <c r="BJ235"/>
      <c r="BK235"/>
      <c r="BL235"/>
      <c r="BM235"/>
      <c r="BN235"/>
      <c r="BO235"/>
      <c r="BY235"/>
      <c r="BZ235"/>
      <c r="CF235"/>
      <c r="CG235"/>
    </row>
    <row r="236" spans="28:85" ht="15.5" x14ac:dyDescent="0.35">
      <c r="AB236" s="20"/>
      <c r="AC236" s="20" t="str">
        <f t="shared" si="44"/>
        <v>Ghazni</v>
      </c>
      <c r="AD236" s="71">
        <f t="shared" si="45"/>
        <v>7.2185806451612891</v>
      </c>
      <c r="AE236" s="71">
        <f t="shared" si="45"/>
        <v>7.8230221621518821</v>
      </c>
      <c r="AF236" s="71">
        <f t="shared" si="45"/>
        <v>9.4743870967741906</v>
      </c>
      <c r="AG236" s="71">
        <f t="shared" si="45"/>
        <v>11.730193548387094</v>
      </c>
      <c r="AH236" s="71">
        <f t="shared" si="45"/>
        <v>13.985999999999997</v>
      </c>
      <c r="AI236" s="71">
        <f t="shared" si="45"/>
        <v>15.637364934622308</v>
      </c>
      <c r="AJ236" s="71">
        <f t="shared" si="45"/>
        <v>16.241806451612902</v>
      </c>
      <c r="AK236" s="71">
        <f t="shared" si="45"/>
        <v>15.637364934622308</v>
      </c>
      <c r="AL236" s="71">
        <f t="shared" si="45"/>
        <v>13.985999999999997</v>
      </c>
      <c r="AM236" s="71">
        <f t="shared" si="45"/>
        <v>11.730193548387094</v>
      </c>
      <c r="AN236" s="71">
        <f t="shared" si="45"/>
        <v>9.4743870967741906</v>
      </c>
      <c r="AO236" s="71">
        <f t="shared" si="45"/>
        <v>7.8230221621518821</v>
      </c>
      <c r="AP236" s="76"/>
      <c r="AQ236" s="81">
        <f>D54*(Burden!F$17)</f>
        <v>38162.622954107523</v>
      </c>
      <c r="AR236" s="181" t="str">
        <f t="shared" si="41"/>
        <v>Ghazni</v>
      </c>
      <c r="AS236" s="180">
        <f>$AQ236*AD236/100/Burden!F$23</f>
        <v>367.3066285668113</v>
      </c>
      <c r="AT236" s="180">
        <f t="shared" si="46"/>
        <v>660.29999622383866</v>
      </c>
      <c r="AU236" s="180">
        <f t="shared" si="46"/>
        <v>799.68299137508279</v>
      </c>
      <c r="AV236" s="180">
        <f t="shared" si="46"/>
        <v>990.08370360724541</v>
      </c>
      <c r="AW236" s="180">
        <f t="shared" si="46"/>
        <v>1180.484415839408</v>
      </c>
      <c r="AX236" s="180">
        <f t="shared" si="46"/>
        <v>1319.8674109906522</v>
      </c>
      <c r="AY236" s="180">
        <f t="shared" si="46"/>
        <v>1370.8851280715705</v>
      </c>
      <c r="AZ236" s="180">
        <f t="shared" si="46"/>
        <v>1319.8674109906522</v>
      </c>
      <c r="BA236" s="180">
        <f t="shared" si="46"/>
        <v>1180.484415839408</v>
      </c>
      <c r="BB236" s="180">
        <f t="shared" si="46"/>
        <v>990.08370360724541</v>
      </c>
      <c r="BC236" s="180">
        <f t="shared" si="46"/>
        <v>799.68299137508279</v>
      </c>
      <c r="BD236" s="180">
        <f t="shared" si="46"/>
        <v>660.29999622383866</v>
      </c>
      <c r="BE236" s="81" cm="1">
        <f t="array" ref="BE236">AQ236*AVERAGE(TableP0to5[[#This Row],[Jan-23]:[Dec-23]]/100*(Burden!$F$18+1))</f>
        <v>11639.028792710837</v>
      </c>
      <c r="BF236" s="86">
        <f t="shared" si="47"/>
        <v>11271.722164144025</v>
      </c>
      <c r="BG236" s="20"/>
      <c r="BH236" s="88">
        <f t="shared" si="48"/>
        <v>11639.028792710837</v>
      </c>
      <c r="BI236" s="20"/>
      <c r="BJ236"/>
      <c r="BK236"/>
      <c r="BL236"/>
      <c r="BM236"/>
      <c r="BN236"/>
      <c r="BO236"/>
      <c r="BY236"/>
      <c r="BZ236"/>
      <c r="CF236"/>
      <c r="CG236"/>
    </row>
    <row r="237" spans="28:85" ht="15.5" x14ac:dyDescent="0.35">
      <c r="AB237" s="20"/>
      <c r="AC237" s="20" t="str">
        <f t="shared" si="44"/>
        <v>Ghor</v>
      </c>
      <c r="AD237" s="71">
        <f t="shared" si="45"/>
        <v>8.1940645161290302</v>
      </c>
      <c r="AE237" s="71">
        <f t="shared" si="45"/>
        <v>8.8801873191994325</v>
      </c>
      <c r="AF237" s="71">
        <f t="shared" si="45"/>
        <v>10.754709677419351</v>
      </c>
      <c r="AG237" s="71">
        <f t="shared" si="45"/>
        <v>13.315354838709673</v>
      </c>
      <c r="AH237" s="71">
        <f t="shared" si="45"/>
        <v>15.875999999999996</v>
      </c>
      <c r="AI237" s="71">
        <f t="shared" si="45"/>
        <v>17.750522358219914</v>
      </c>
      <c r="AJ237" s="71">
        <f t="shared" si="45"/>
        <v>18.436645161290318</v>
      </c>
      <c r="AK237" s="71">
        <f t="shared" si="45"/>
        <v>17.750522358219914</v>
      </c>
      <c r="AL237" s="71">
        <f t="shared" si="45"/>
        <v>15.875999999999996</v>
      </c>
      <c r="AM237" s="71">
        <f t="shared" si="45"/>
        <v>13.315354838709673</v>
      </c>
      <c r="AN237" s="71">
        <f t="shared" si="45"/>
        <v>10.754709677419351</v>
      </c>
      <c r="AO237" s="71">
        <f t="shared" si="45"/>
        <v>8.8801873191994325</v>
      </c>
      <c r="AP237" s="76"/>
      <c r="AQ237" s="81">
        <f>D55*(Burden!F$17)</f>
        <v>21432.234078146532</v>
      </c>
      <c r="AR237" s="181" t="str">
        <f t="shared" si="41"/>
        <v>Ghor</v>
      </c>
      <c r="AS237" s="180">
        <f>$AQ237*AD237/100/Burden!F$23</f>
        <v>234.15614501481585</v>
      </c>
      <c r="AT237" s="180">
        <f t="shared" si="46"/>
        <v>420.9379565850881</v>
      </c>
      <c r="AU237" s="180">
        <f t="shared" si="46"/>
        <v>509.79392129386952</v>
      </c>
      <c r="AV237" s="180">
        <f t="shared" si="46"/>
        <v>631.17342636383853</v>
      </c>
      <c r="AW237" s="180">
        <f t="shared" si="46"/>
        <v>752.55293143380743</v>
      </c>
      <c r="AX237" s="180">
        <f t="shared" si="46"/>
        <v>841.4088961425889</v>
      </c>
      <c r="AY237" s="180">
        <f t="shared" si="46"/>
        <v>873.93243650377644</v>
      </c>
      <c r="AZ237" s="180">
        <f t="shared" si="46"/>
        <v>841.4088961425889</v>
      </c>
      <c r="BA237" s="180">
        <f t="shared" si="46"/>
        <v>752.55293143380743</v>
      </c>
      <c r="BB237" s="180">
        <f t="shared" si="46"/>
        <v>631.17342636383853</v>
      </c>
      <c r="BC237" s="180">
        <f t="shared" si="46"/>
        <v>509.79392129386952</v>
      </c>
      <c r="BD237" s="180">
        <f t="shared" si="46"/>
        <v>420.9379565850881</v>
      </c>
      <c r="BE237" s="81" cm="1">
        <f t="array" ref="BE237">AQ237*AVERAGE(TableP0to5[[#This Row],[Jan-23]:[Dec-23]]/100*(Burden!$F$18+1))</f>
        <v>7419.8228451569767</v>
      </c>
      <c r="BF237" s="86">
        <f t="shared" si="47"/>
        <v>7185.6667001421611</v>
      </c>
      <c r="BG237" s="20"/>
      <c r="BH237" s="88">
        <f t="shared" si="48"/>
        <v>7419.8228451569767</v>
      </c>
      <c r="BI237" s="20"/>
      <c r="BJ237"/>
      <c r="BK237"/>
      <c r="BL237"/>
      <c r="BM237"/>
      <c r="BN237"/>
      <c r="BO237"/>
      <c r="BY237"/>
      <c r="BZ237"/>
      <c r="CF237"/>
      <c r="CG237"/>
    </row>
    <row r="238" spans="28:85" ht="15.5" x14ac:dyDescent="0.35">
      <c r="AB238" s="20"/>
      <c r="AC238" s="20" t="str">
        <f t="shared" si="44"/>
        <v>Helmand</v>
      </c>
      <c r="AD238" s="71">
        <f t="shared" si="45"/>
        <v>3.1215483870967731</v>
      </c>
      <c r="AE238" s="71">
        <f t="shared" si="45"/>
        <v>3.3829285025521645</v>
      </c>
      <c r="AF238" s="71">
        <f t="shared" si="45"/>
        <v>4.0970322580645142</v>
      </c>
      <c r="AG238" s="71">
        <f t="shared" si="45"/>
        <v>5.0725161290322562</v>
      </c>
      <c r="AH238" s="71">
        <f t="shared" si="45"/>
        <v>6.0479999999999983</v>
      </c>
      <c r="AI238" s="71">
        <f t="shared" si="45"/>
        <v>6.7621037555123484</v>
      </c>
      <c r="AJ238" s="71">
        <f t="shared" si="45"/>
        <v>7.0234838709677394</v>
      </c>
      <c r="AK238" s="71">
        <f t="shared" si="45"/>
        <v>6.7621037555123484</v>
      </c>
      <c r="AL238" s="71">
        <f t="shared" si="45"/>
        <v>6.0479999999999983</v>
      </c>
      <c r="AM238" s="71">
        <f t="shared" si="45"/>
        <v>5.0725161290322562</v>
      </c>
      <c r="AN238" s="71">
        <f t="shared" si="45"/>
        <v>4.0970322580645142</v>
      </c>
      <c r="AO238" s="71">
        <f t="shared" si="45"/>
        <v>3.3829285025521645</v>
      </c>
      <c r="AP238" s="76"/>
      <c r="AQ238" s="81">
        <f>D56*(Burden!F$17)</f>
        <v>28719.865051434626</v>
      </c>
      <c r="AR238" s="181" t="str">
        <f t="shared" si="41"/>
        <v>Helmand</v>
      </c>
      <c r="AS238" s="180">
        <f>$AQ238*AD238/100/Burden!F$23</f>
        <v>119.53393123859031</v>
      </c>
      <c r="AT238" s="180">
        <f t="shared" ref="AT238:BD247" si="49">$BF238*AT$161</f>
        <v>214.8838278618353</v>
      </c>
      <c r="AU238" s="180">
        <f t="shared" si="49"/>
        <v>260.24374261003055</v>
      </c>
      <c r="AV238" s="180">
        <f t="shared" si="49"/>
        <v>322.20653846956168</v>
      </c>
      <c r="AW238" s="180">
        <f t="shared" si="49"/>
        <v>384.16933432909275</v>
      </c>
      <c r="AX238" s="180">
        <f t="shared" si="49"/>
        <v>429.529249077288</v>
      </c>
      <c r="AY238" s="180">
        <f t="shared" si="49"/>
        <v>446.13213018862382</v>
      </c>
      <c r="AZ238" s="180">
        <f t="shared" si="49"/>
        <v>429.529249077288</v>
      </c>
      <c r="BA238" s="180">
        <f t="shared" si="49"/>
        <v>384.16933432909275</v>
      </c>
      <c r="BB238" s="180">
        <f t="shared" si="49"/>
        <v>322.20653846956168</v>
      </c>
      <c r="BC238" s="180">
        <f t="shared" si="49"/>
        <v>260.24374261003055</v>
      </c>
      <c r="BD238" s="180">
        <f t="shared" si="49"/>
        <v>214.8838278618353</v>
      </c>
      <c r="BE238" s="81" cm="1">
        <f t="array" ref="BE238">AQ238*AVERAGE(TableP0to5[[#This Row],[Jan-23]:[Dec-23]]/100*(Burden!$F$18+1))</f>
        <v>3787.7314461228307</v>
      </c>
      <c r="BF238" s="86">
        <f t="shared" si="47"/>
        <v>3668.1975148842403</v>
      </c>
      <c r="BG238" s="20"/>
      <c r="BH238" s="88">
        <f t="shared" si="48"/>
        <v>3787.7314461228307</v>
      </c>
      <c r="BI238" s="20"/>
      <c r="BJ238"/>
      <c r="BK238"/>
      <c r="BL238"/>
      <c r="BM238"/>
      <c r="BN238"/>
      <c r="BO238"/>
      <c r="BY238"/>
      <c r="BZ238"/>
      <c r="CF238"/>
      <c r="CG238"/>
    </row>
    <row r="239" spans="28:85" ht="15.5" x14ac:dyDescent="0.35">
      <c r="AB239" s="20"/>
      <c r="AC239" s="20" t="str">
        <f t="shared" si="44"/>
        <v>Hirat</v>
      </c>
      <c r="AD239" s="71">
        <f t="shared" si="45"/>
        <v>3.5117419354838697</v>
      </c>
      <c r="AE239" s="71">
        <f t="shared" si="45"/>
        <v>3.8057945653711851</v>
      </c>
      <c r="AF239" s="71">
        <f t="shared" si="45"/>
        <v>4.6091612903225787</v>
      </c>
      <c r="AG239" s="71">
        <f t="shared" si="45"/>
        <v>5.7065806451612886</v>
      </c>
      <c r="AH239" s="71">
        <f t="shared" si="45"/>
        <v>6.8039999999999976</v>
      </c>
      <c r="AI239" s="71">
        <f t="shared" si="45"/>
        <v>7.6073667249513921</v>
      </c>
      <c r="AJ239" s="71">
        <f t="shared" si="45"/>
        <v>7.9014193548387075</v>
      </c>
      <c r="AK239" s="71">
        <f t="shared" si="45"/>
        <v>7.6073667249513921</v>
      </c>
      <c r="AL239" s="71">
        <f t="shared" si="45"/>
        <v>6.8039999999999976</v>
      </c>
      <c r="AM239" s="71">
        <f t="shared" si="45"/>
        <v>5.7065806451612886</v>
      </c>
      <c r="AN239" s="71">
        <f t="shared" si="45"/>
        <v>4.6091612903225787</v>
      </c>
      <c r="AO239" s="71">
        <f t="shared" si="45"/>
        <v>3.8057945653711851</v>
      </c>
      <c r="AP239" s="76"/>
      <c r="AQ239" s="81">
        <f>D57*(Burden!F$17)</f>
        <v>58901.416573733841</v>
      </c>
      <c r="AR239" s="181" t="str">
        <f t="shared" si="41"/>
        <v>Hirat</v>
      </c>
      <c r="AS239" s="180">
        <f>$AQ239*AD239/100/Burden!F$23</f>
        <v>275.79543285518105</v>
      </c>
      <c r="AT239" s="180">
        <f t="shared" si="49"/>
        <v>495.79209605715971</v>
      </c>
      <c r="AU239" s="180">
        <f t="shared" si="49"/>
        <v>600.44905155611741</v>
      </c>
      <c r="AV239" s="180">
        <f t="shared" si="49"/>
        <v>743.41311145043119</v>
      </c>
      <c r="AW239" s="180">
        <f t="shared" si="49"/>
        <v>886.37717134474485</v>
      </c>
      <c r="AX239" s="180">
        <f t="shared" si="49"/>
        <v>991.03412684370267</v>
      </c>
      <c r="AY239" s="180">
        <f t="shared" si="49"/>
        <v>1029.3412312390585</v>
      </c>
      <c r="AZ239" s="180">
        <f t="shared" si="49"/>
        <v>991.03412684370267</v>
      </c>
      <c r="BA239" s="180">
        <f t="shared" si="49"/>
        <v>886.37717134474485</v>
      </c>
      <c r="BB239" s="180">
        <f t="shared" si="49"/>
        <v>743.41311145043119</v>
      </c>
      <c r="BC239" s="180">
        <f t="shared" si="49"/>
        <v>600.44905155611741</v>
      </c>
      <c r="BD239" s="180">
        <f t="shared" si="49"/>
        <v>495.79209605715971</v>
      </c>
      <c r="BE239" s="81" cm="1">
        <f t="array" ref="BE239">AQ239*AVERAGE(TableP0to5[[#This Row],[Jan-23]:[Dec-23]]/100*(Burden!$F$18+1))</f>
        <v>8739.2677785985506</v>
      </c>
      <c r="BF239" s="86">
        <f t="shared" si="47"/>
        <v>8463.4723457433702</v>
      </c>
      <c r="BG239" s="20"/>
      <c r="BH239" s="88">
        <f t="shared" si="48"/>
        <v>8739.2677785985506</v>
      </c>
      <c r="BI239" s="20"/>
      <c r="BJ239"/>
      <c r="BK239"/>
      <c r="BL239"/>
      <c r="BM239"/>
      <c r="BN239"/>
      <c r="BO239"/>
      <c r="BY239"/>
      <c r="BZ239"/>
      <c r="CF239"/>
      <c r="CG239"/>
    </row>
    <row r="240" spans="28:85" ht="15.5" x14ac:dyDescent="0.35">
      <c r="AB240" s="20"/>
      <c r="AC240" s="20" t="str">
        <f t="shared" si="44"/>
        <v>Jawzjan</v>
      </c>
      <c r="AD240" s="71">
        <f t="shared" si="45"/>
        <v>2.004405135572092</v>
      </c>
      <c r="AE240" s="71">
        <f t="shared" si="45"/>
        <v>2.1722422410037594</v>
      </c>
      <c r="AF240" s="71">
        <f t="shared" si="45"/>
        <v>2.6307817404383704</v>
      </c>
      <c r="AG240" s="71">
        <f t="shared" si="45"/>
        <v>3.2571583453046493</v>
      </c>
      <c r="AH240" s="71">
        <f t="shared" si="45"/>
        <v>3.8835349501709282</v>
      </c>
      <c r="AI240" s="71">
        <f t="shared" si="45"/>
        <v>4.3420744496055397</v>
      </c>
      <c r="AJ240" s="71">
        <f t="shared" si="45"/>
        <v>4.5099115550372071</v>
      </c>
      <c r="AK240" s="71">
        <f t="shared" si="45"/>
        <v>4.3420744496055397</v>
      </c>
      <c r="AL240" s="71">
        <f t="shared" si="45"/>
        <v>3.8835349501709282</v>
      </c>
      <c r="AM240" s="71">
        <f t="shared" si="45"/>
        <v>3.2571583453046493</v>
      </c>
      <c r="AN240" s="71">
        <f t="shared" si="45"/>
        <v>2.6307817404383704</v>
      </c>
      <c r="AO240" s="71">
        <f t="shared" si="45"/>
        <v>2.1722422410037594</v>
      </c>
      <c r="AP240" s="76"/>
      <c r="AQ240" s="81">
        <f>D58*(Burden!F$17)</f>
        <v>16796.886095509861</v>
      </c>
      <c r="AR240" s="181" t="str">
        <f t="shared" si="41"/>
        <v>Jawzjan</v>
      </c>
      <c r="AS240" s="180">
        <f>$AQ240*AD240/100/Burden!F$23</f>
        <v>44.890353001945904</v>
      </c>
      <c r="AT240" s="180">
        <f t="shared" si="49"/>
        <v>80.698516205187644</v>
      </c>
      <c r="AU240" s="180">
        <f t="shared" si="49"/>
        <v>97.733198860444304</v>
      </c>
      <c r="AV240" s="180">
        <f t="shared" si="49"/>
        <v>121.00300811293106</v>
      </c>
      <c r="AW240" s="180">
        <f t="shared" si="49"/>
        <v>144.27281736541778</v>
      </c>
      <c r="AX240" s="180">
        <f t="shared" si="49"/>
        <v>161.30750002067447</v>
      </c>
      <c r="AY240" s="180">
        <f t="shared" si="49"/>
        <v>167.54262661790455</v>
      </c>
      <c r="AZ240" s="180">
        <f t="shared" si="49"/>
        <v>161.30750002067447</v>
      </c>
      <c r="BA240" s="180">
        <f t="shared" si="49"/>
        <v>144.27281736541778</v>
      </c>
      <c r="BB240" s="180">
        <f t="shared" si="49"/>
        <v>121.00300811293106</v>
      </c>
      <c r="BC240" s="180">
        <f t="shared" si="49"/>
        <v>97.733198860444304</v>
      </c>
      <c r="BD240" s="180">
        <f t="shared" si="49"/>
        <v>80.698516205187644</v>
      </c>
      <c r="BE240" s="81" cm="1">
        <f t="array" ref="BE240">AQ240*AVERAGE(TableP0to5[[#This Row],[Jan-23]:[Dec-23]]/100*(Burden!$F$18+1))</f>
        <v>1422.4630607491608</v>
      </c>
      <c r="BF240" s="86">
        <f t="shared" si="47"/>
        <v>1377.572707747215</v>
      </c>
      <c r="BG240" s="20"/>
      <c r="BH240" s="88">
        <f t="shared" si="48"/>
        <v>1422.4630607491606</v>
      </c>
      <c r="BI240" s="20"/>
      <c r="BJ240"/>
      <c r="BK240"/>
      <c r="BL240"/>
      <c r="BM240"/>
      <c r="BN240"/>
      <c r="BO240"/>
      <c r="BY240"/>
      <c r="BZ240"/>
      <c r="CF240"/>
      <c r="CG240"/>
    </row>
    <row r="241" spans="28:85" ht="15.5" x14ac:dyDescent="0.35">
      <c r="AB241" s="20"/>
      <c r="AC241" s="20" t="str">
        <f t="shared" si="44"/>
        <v>Kabul</v>
      </c>
      <c r="AD241" s="71">
        <f t="shared" si="45"/>
        <v>1.9579384074501458</v>
      </c>
      <c r="AE241" s="71">
        <f t="shared" si="45"/>
        <v>2.1218846621708156</v>
      </c>
      <c r="AF241" s="71">
        <f t="shared" si="45"/>
        <v>2.5697941597783163</v>
      </c>
      <c r="AG241" s="71">
        <f t="shared" si="45"/>
        <v>3.181649912106487</v>
      </c>
      <c r="AH241" s="71">
        <f t="shared" si="45"/>
        <v>3.7935056644346576</v>
      </c>
      <c r="AI241" s="71">
        <f t="shared" si="45"/>
        <v>4.2414151620421583</v>
      </c>
      <c r="AJ241" s="71">
        <f t="shared" si="45"/>
        <v>4.4053614167628279</v>
      </c>
      <c r="AK241" s="71">
        <f t="shared" si="45"/>
        <v>4.2414151620421583</v>
      </c>
      <c r="AL241" s="71">
        <f t="shared" si="45"/>
        <v>3.7935056644346576</v>
      </c>
      <c r="AM241" s="71">
        <f t="shared" si="45"/>
        <v>3.181649912106487</v>
      </c>
      <c r="AN241" s="71">
        <f t="shared" si="45"/>
        <v>2.5697941597783163</v>
      </c>
      <c r="AO241" s="71">
        <f t="shared" si="45"/>
        <v>2.1218846621708156</v>
      </c>
      <c r="AP241" s="76"/>
      <c r="AQ241" s="81">
        <f>D59*(Burden!F$17)</f>
        <v>138178.53423205612</v>
      </c>
      <c r="AR241" s="181" t="str">
        <f t="shared" si="41"/>
        <v>Kabul</v>
      </c>
      <c r="AS241" s="180">
        <f>$AQ241*AD241/100/Burden!F$23</f>
        <v>360.72674567747652</v>
      </c>
      <c r="AT241" s="180">
        <f t="shared" si="49"/>
        <v>648.47146847868578</v>
      </c>
      <c r="AU241" s="180">
        <f t="shared" si="49"/>
        <v>785.35757489029993</v>
      </c>
      <c r="AV241" s="180">
        <f t="shared" si="49"/>
        <v>972.34747367370483</v>
      </c>
      <c r="AW241" s="180">
        <f t="shared" si="49"/>
        <v>1159.3373724571095</v>
      </c>
      <c r="AX241" s="180">
        <f t="shared" si="49"/>
        <v>1296.2234788687238</v>
      </c>
      <c r="AY241" s="180">
        <f t="shared" si="49"/>
        <v>1346.3272712405144</v>
      </c>
      <c r="AZ241" s="180">
        <f t="shared" si="49"/>
        <v>1296.2234788687238</v>
      </c>
      <c r="BA241" s="180">
        <f t="shared" si="49"/>
        <v>1159.3373724571095</v>
      </c>
      <c r="BB241" s="180">
        <f t="shared" si="49"/>
        <v>972.34747367370483</v>
      </c>
      <c r="BC241" s="180">
        <f t="shared" si="49"/>
        <v>785.35757489029993</v>
      </c>
      <c r="BD241" s="180">
        <f t="shared" si="49"/>
        <v>648.47146847868578</v>
      </c>
      <c r="BE241" s="81" cm="1">
        <f t="array" ref="BE241">AQ241*AVERAGE(TableP0to5[[#This Row],[Jan-23]:[Dec-23]]/100*(Burden!$F$18+1))</f>
        <v>11430.528753655039</v>
      </c>
      <c r="BF241" s="86">
        <f t="shared" si="47"/>
        <v>11069.802007977562</v>
      </c>
      <c r="BG241" s="20"/>
      <c r="BH241" s="88">
        <f t="shared" si="48"/>
        <v>11430.528753655037</v>
      </c>
      <c r="BI241" s="20"/>
      <c r="BJ241"/>
      <c r="BK241"/>
      <c r="BL241"/>
      <c r="BM241"/>
      <c r="BN241"/>
      <c r="BO241"/>
      <c r="BY241"/>
      <c r="BZ241"/>
      <c r="CF241"/>
      <c r="CG241"/>
    </row>
    <row r="242" spans="28:85" ht="15.5" x14ac:dyDescent="0.35">
      <c r="AB242" s="20"/>
      <c r="AC242" s="20" t="str">
        <f t="shared" si="44"/>
        <v>Kandahar</v>
      </c>
      <c r="AD242" s="71">
        <f t="shared" si="45"/>
        <v>6.0479999999999983</v>
      </c>
      <c r="AE242" s="71">
        <f t="shared" si="45"/>
        <v>6.5544239736948189</v>
      </c>
      <c r="AF242" s="71">
        <f t="shared" si="45"/>
        <v>7.9379999999999971</v>
      </c>
      <c r="AG242" s="71">
        <f t="shared" si="45"/>
        <v>9.8279999999999959</v>
      </c>
      <c r="AH242" s="71">
        <f t="shared" si="45"/>
        <v>11.717999999999996</v>
      </c>
      <c r="AI242" s="71">
        <f t="shared" si="45"/>
        <v>13.101576026305175</v>
      </c>
      <c r="AJ242" s="71">
        <f t="shared" si="45"/>
        <v>13.607999999999995</v>
      </c>
      <c r="AK242" s="71">
        <f t="shared" si="45"/>
        <v>13.101576026305175</v>
      </c>
      <c r="AL242" s="71">
        <f t="shared" si="45"/>
        <v>11.717999999999996</v>
      </c>
      <c r="AM242" s="71">
        <f t="shared" si="45"/>
        <v>9.8279999999999959</v>
      </c>
      <c r="AN242" s="71">
        <f t="shared" si="45"/>
        <v>7.9379999999999971</v>
      </c>
      <c r="AO242" s="71">
        <f t="shared" si="45"/>
        <v>6.5544239736948189</v>
      </c>
      <c r="AP242" s="76"/>
      <c r="AQ242" s="81">
        <f>D60*(Burden!F$17)</f>
        <v>38266.782586014568</v>
      </c>
      <c r="AR242" s="181" t="str">
        <f t="shared" si="41"/>
        <v>Kandahar</v>
      </c>
      <c r="AS242" s="180">
        <f>$AQ242*AD242/100/Burden!F$23</f>
        <v>308.5833347736214</v>
      </c>
      <c r="AT242" s="180">
        <f t="shared" si="49"/>
        <v>554.73427087553694</v>
      </c>
      <c r="AU242" s="180">
        <f t="shared" si="49"/>
        <v>671.83335406478261</v>
      </c>
      <c r="AV242" s="180">
        <f t="shared" si="49"/>
        <v>831.79367646115952</v>
      </c>
      <c r="AW242" s="180">
        <f t="shared" si="49"/>
        <v>991.7539988575362</v>
      </c>
      <c r="AX242" s="180">
        <f t="shared" si="49"/>
        <v>1108.853082046782</v>
      </c>
      <c r="AY242" s="180">
        <f t="shared" si="49"/>
        <v>1151.7143212539131</v>
      </c>
      <c r="AZ242" s="180">
        <f t="shared" si="49"/>
        <v>1108.853082046782</v>
      </c>
      <c r="BA242" s="180">
        <f t="shared" si="49"/>
        <v>991.7539988575362</v>
      </c>
      <c r="BB242" s="180">
        <f t="shared" si="49"/>
        <v>831.79367646115952</v>
      </c>
      <c r="BC242" s="180">
        <f t="shared" si="49"/>
        <v>671.83335406478261</v>
      </c>
      <c r="BD242" s="180">
        <f t="shared" si="49"/>
        <v>554.73427087553694</v>
      </c>
      <c r="BE242" s="81" cm="1">
        <f t="array" ref="BE242">AQ242*AVERAGE(TableP0to5[[#This Row],[Jan-23]:[Dec-23]]/100*(Burden!$F$18+1))</f>
        <v>9778.2344206391281</v>
      </c>
      <c r="BF242" s="86">
        <f t="shared" si="47"/>
        <v>9469.6510858655074</v>
      </c>
      <c r="BG242" s="20"/>
      <c r="BH242" s="88">
        <f t="shared" si="48"/>
        <v>9778.2344206391281</v>
      </c>
      <c r="BI242" s="20"/>
      <c r="BY242"/>
      <c r="BZ242"/>
      <c r="CF242"/>
      <c r="CG242"/>
    </row>
    <row r="243" spans="28:85" ht="15.5" x14ac:dyDescent="0.35">
      <c r="AB243" s="20"/>
      <c r="AC243" s="20" t="str">
        <f t="shared" si="44"/>
        <v>Kapisa</v>
      </c>
      <c r="AD243" s="71">
        <f t="shared" si="45"/>
        <v>2.1324986093464671</v>
      </c>
      <c r="AE243" s="71">
        <f t="shared" si="45"/>
        <v>2.3110615094198659</v>
      </c>
      <c r="AF243" s="71">
        <f t="shared" si="45"/>
        <v>2.7989044247672377</v>
      </c>
      <c r="AG243" s="71">
        <f t="shared" si="45"/>
        <v>3.4653102401880087</v>
      </c>
      <c r="AH243" s="71">
        <f t="shared" si="45"/>
        <v>4.1317160556087797</v>
      </c>
      <c r="AI243" s="71">
        <f t="shared" si="45"/>
        <v>4.6195589709561515</v>
      </c>
      <c r="AJ243" s="71">
        <f t="shared" si="45"/>
        <v>4.7981218710295508</v>
      </c>
      <c r="AK243" s="71">
        <f t="shared" si="45"/>
        <v>4.6195589709561515</v>
      </c>
      <c r="AL243" s="71">
        <f t="shared" si="45"/>
        <v>4.1317160556087797</v>
      </c>
      <c r="AM243" s="71">
        <f t="shared" si="45"/>
        <v>3.4653102401880087</v>
      </c>
      <c r="AN243" s="71">
        <f t="shared" si="45"/>
        <v>2.7989044247672377</v>
      </c>
      <c r="AO243" s="71">
        <f t="shared" si="45"/>
        <v>2.3110615094198659</v>
      </c>
      <c r="AP243" s="76"/>
      <c r="AQ243" s="81">
        <f>D61*(Burden!F$17)</f>
        <v>13691.798886855457</v>
      </c>
      <c r="AR243" s="181" t="str">
        <f t="shared" si="41"/>
        <v>Kapisa</v>
      </c>
      <c r="AS243" s="180">
        <f>$AQ243*AD243/100/Burden!F$23</f>
        <v>38.930322780894357</v>
      </c>
      <c r="AT243" s="180">
        <f t="shared" si="49"/>
        <v>69.98428556957451</v>
      </c>
      <c r="AU243" s="180">
        <f t="shared" si="49"/>
        <v>84.757296915920961</v>
      </c>
      <c r="AV243" s="180">
        <f t="shared" si="49"/>
        <v>104.93760570542597</v>
      </c>
      <c r="AW243" s="180">
        <f t="shared" si="49"/>
        <v>125.11791449493096</v>
      </c>
      <c r="AX243" s="180">
        <f t="shared" si="49"/>
        <v>139.89092584127741</v>
      </c>
      <c r="AY243" s="180">
        <f t="shared" si="49"/>
        <v>145.29822328443595</v>
      </c>
      <c r="AZ243" s="180">
        <f t="shared" si="49"/>
        <v>139.89092584127741</v>
      </c>
      <c r="BA243" s="180">
        <f t="shared" si="49"/>
        <v>125.11791449493096</v>
      </c>
      <c r="BB243" s="180">
        <f t="shared" si="49"/>
        <v>104.93760570542597</v>
      </c>
      <c r="BC243" s="180">
        <f t="shared" si="49"/>
        <v>84.757296915920961</v>
      </c>
      <c r="BD243" s="180">
        <f t="shared" si="49"/>
        <v>69.98428556957451</v>
      </c>
      <c r="BE243" s="81" cm="1">
        <f t="array" ref="BE243">AQ243*AVERAGE(TableP0to5[[#This Row],[Jan-23]:[Dec-23]]/100*(Burden!$F$18+1))</f>
        <v>1233.6046031195899</v>
      </c>
      <c r="BF243" s="86">
        <f t="shared" si="47"/>
        <v>1194.6742803386956</v>
      </c>
      <c r="BG243" s="20"/>
      <c r="BH243" s="88">
        <f t="shared" si="48"/>
        <v>1233.6046031195897</v>
      </c>
      <c r="BI243"/>
      <c r="BY243"/>
      <c r="BZ243"/>
      <c r="CF243"/>
      <c r="CG243"/>
    </row>
    <row r="244" spans="28:85" ht="15.5" x14ac:dyDescent="0.35">
      <c r="AB244" s="20"/>
      <c r="AC244" s="20" t="str">
        <f t="shared" si="44"/>
        <v>Khost</v>
      </c>
      <c r="AD244" s="71">
        <f t="shared" si="45"/>
        <v>3.1215483870967731</v>
      </c>
      <c r="AE244" s="71">
        <f t="shared" si="45"/>
        <v>3.3829285025521645</v>
      </c>
      <c r="AF244" s="71">
        <f t="shared" si="45"/>
        <v>4.0970322580645142</v>
      </c>
      <c r="AG244" s="71">
        <f t="shared" si="45"/>
        <v>5.0725161290322562</v>
      </c>
      <c r="AH244" s="71">
        <f t="shared" si="45"/>
        <v>6.0479999999999983</v>
      </c>
      <c r="AI244" s="71">
        <f t="shared" si="45"/>
        <v>6.7621037555123484</v>
      </c>
      <c r="AJ244" s="71">
        <f t="shared" si="45"/>
        <v>7.0234838709677394</v>
      </c>
      <c r="AK244" s="71">
        <f t="shared" si="45"/>
        <v>6.7621037555123484</v>
      </c>
      <c r="AL244" s="71">
        <f t="shared" si="45"/>
        <v>6.0479999999999983</v>
      </c>
      <c r="AM244" s="71">
        <f t="shared" si="45"/>
        <v>5.0725161290322562</v>
      </c>
      <c r="AN244" s="71">
        <f t="shared" si="45"/>
        <v>4.0970322580645142</v>
      </c>
      <c r="AO244" s="71">
        <f t="shared" si="45"/>
        <v>3.3829285025521645</v>
      </c>
      <c r="AP244" s="76"/>
      <c r="AQ244" s="81">
        <f>D62*(Burden!F$17)</f>
        <v>17840.773315575414</v>
      </c>
      <c r="AR244" s="181" t="str">
        <f t="shared" si="41"/>
        <v>Khost</v>
      </c>
      <c r="AS244" s="180">
        <f>$AQ244*AD244/100/Burden!F$23</f>
        <v>74.254449557058095</v>
      </c>
      <c r="AT244" s="180">
        <f t="shared" si="49"/>
        <v>133.48578258290354</v>
      </c>
      <c r="AU244" s="180">
        <f t="shared" si="49"/>
        <v>161.66335079873863</v>
      </c>
      <c r="AV244" s="180">
        <f t="shared" si="49"/>
        <v>200.15462479843833</v>
      </c>
      <c r="AW244" s="180">
        <f t="shared" si="49"/>
        <v>238.64589879813798</v>
      </c>
      <c r="AX244" s="180">
        <f t="shared" si="49"/>
        <v>266.82346701397313</v>
      </c>
      <c r="AY244" s="180">
        <f t="shared" si="49"/>
        <v>277.13717279783765</v>
      </c>
      <c r="AZ244" s="180">
        <f t="shared" si="49"/>
        <v>266.82346701397313</v>
      </c>
      <c r="BA244" s="180">
        <f t="shared" si="49"/>
        <v>238.64589879813798</v>
      </c>
      <c r="BB244" s="180">
        <f t="shared" si="49"/>
        <v>200.15462479843833</v>
      </c>
      <c r="BC244" s="180">
        <f t="shared" si="49"/>
        <v>161.66335079873863</v>
      </c>
      <c r="BD244" s="180">
        <f t="shared" si="49"/>
        <v>133.48578258290354</v>
      </c>
      <c r="BE244" s="81" cm="1">
        <f t="array" ref="BE244">AQ244*AVERAGE(TableP0to5[[#This Row],[Jan-23]:[Dec-23]]/100*(Burden!$F$18+1))</f>
        <v>2352.937870339279</v>
      </c>
      <c r="BF244" s="86">
        <f t="shared" si="47"/>
        <v>2278.6834207822208</v>
      </c>
      <c r="BG244" s="20"/>
      <c r="BH244" s="88">
        <f t="shared" si="48"/>
        <v>2352.9378703392786</v>
      </c>
      <c r="BI244"/>
      <c r="BY244"/>
      <c r="BZ244"/>
      <c r="CF244"/>
      <c r="CG244"/>
    </row>
    <row r="245" spans="28:85" ht="15.5" x14ac:dyDescent="0.35">
      <c r="AB245" s="20"/>
      <c r="AC245" s="20" t="str">
        <f t="shared" si="44"/>
        <v>Kunar</v>
      </c>
      <c r="AD245" s="71">
        <f t="shared" si="45"/>
        <v>3.9994838709677403</v>
      </c>
      <c r="AE245" s="71">
        <f t="shared" si="45"/>
        <v>4.3343771438949608</v>
      </c>
      <c r="AF245" s="71">
        <f t="shared" ref="AE245:AO260" si="50">AF$226*($I63/$I$44)</f>
        <v>5.2493225806451589</v>
      </c>
      <c r="AG245" s="71">
        <f t="shared" si="50"/>
        <v>6.4991612903225775</v>
      </c>
      <c r="AH245" s="71">
        <f t="shared" si="50"/>
        <v>7.748999999999997</v>
      </c>
      <c r="AI245" s="71">
        <f t="shared" si="50"/>
        <v>8.6639454367501951</v>
      </c>
      <c r="AJ245" s="71">
        <f t="shared" si="50"/>
        <v>8.9988387096774147</v>
      </c>
      <c r="AK245" s="71">
        <f t="shared" si="50"/>
        <v>8.6639454367501951</v>
      </c>
      <c r="AL245" s="71">
        <f t="shared" si="50"/>
        <v>7.748999999999997</v>
      </c>
      <c r="AM245" s="71">
        <f t="shared" si="50"/>
        <v>6.4991612903225775</v>
      </c>
      <c r="AN245" s="71">
        <f t="shared" si="50"/>
        <v>5.2493225806451589</v>
      </c>
      <c r="AO245" s="71">
        <f t="shared" si="50"/>
        <v>4.3343771438949608</v>
      </c>
      <c r="AP245" s="76"/>
      <c r="AQ245" s="81">
        <f>D63*(Burden!F$17)</f>
        <v>13993.739637999512</v>
      </c>
      <c r="AR245" s="181" t="str">
        <f t="shared" si="41"/>
        <v>Kunar</v>
      </c>
      <c r="AS245" s="180">
        <f>$AQ245*AD245/100/Burden!F$23</f>
        <v>74.623647968934648</v>
      </c>
      <c r="AT245" s="180">
        <f t="shared" si="49"/>
        <v>134.14948340126105</v>
      </c>
      <c r="AU245" s="180">
        <f t="shared" si="49"/>
        <v>162.46715249317677</v>
      </c>
      <c r="AV245" s="180">
        <f t="shared" si="49"/>
        <v>201.14980784869508</v>
      </c>
      <c r="AW245" s="180">
        <f t="shared" si="49"/>
        <v>239.83246320421335</v>
      </c>
      <c r="AX245" s="180">
        <f t="shared" si="49"/>
        <v>268.15013229612913</v>
      </c>
      <c r="AY245" s="180">
        <f t="shared" si="49"/>
        <v>278.51511855973166</v>
      </c>
      <c r="AZ245" s="180">
        <f t="shared" si="49"/>
        <v>268.15013229612913</v>
      </c>
      <c r="BA245" s="180">
        <f t="shared" si="49"/>
        <v>239.83246320421335</v>
      </c>
      <c r="BB245" s="180">
        <f t="shared" si="49"/>
        <v>201.14980784869508</v>
      </c>
      <c r="BC245" s="180">
        <f t="shared" si="49"/>
        <v>162.46715249317677</v>
      </c>
      <c r="BD245" s="180">
        <f t="shared" si="49"/>
        <v>134.14948340126105</v>
      </c>
      <c r="BE245" s="81" cm="1">
        <f t="array" ref="BE245">AQ245*AVERAGE(TableP0to5[[#This Row],[Jan-23]:[Dec-23]]/100*(Burden!$F$18+1))</f>
        <v>2364.6368450156169</v>
      </c>
      <c r="BF245" s="86">
        <f t="shared" si="47"/>
        <v>2290.0131970466823</v>
      </c>
      <c r="BG245" s="20"/>
      <c r="BH245" s="88">
        <f t="shared" si="48"/>
        <v>2364.6368450156174</v>
      </c>
      <c r="BI245"/>
      <c r="BY245"/>
      <c r="BZ245"/>
      <c r="CF245"/>
      <c r="CG245"/>
    </row>
    <row r="246" spans="28:85" ht="15.5" x14ac:dyDescent="0.35">
      <c r="AB246" s="20"/>
      <c r="AC246" s="20" t="str">
        <f t="shared" si="44"/>
        <v>Kunduz</v>
      </c>
      <c r="AD246" s="71">
        <f t="shared" si="45"/>
        <v>2.6544874260301814</v>
      </c>
      <c r="AE246" s="71">
        <f t="shared" si="50"/>
        <v>2.8767586016937301</v>
      </c>
      <c r="AF246" s="71">
        <f t="shared" si="50"/>
        <v>3.484014746664613</v>
      </c>
      <c r="AG246" s="71">
        <f t="shared" si="50"/>
        <v>4.3135420672990445</v>
      </c>
      <c r="AH246" s="71">
        <f t="shared" si="50"/>
        <v>5.1430693879334761</v>
      </c>
      <c r="AI246" s="71">
        <f t="shared" si="50"/>
        <v>5.7503255329043599</v>
      </c>
      <c r="AJ246" s="71">
        <f t="shared" si="50"/>
        <v>5.9725967085679086</v>
      </c>
      <c r="AK246" s="71">
        <f t="shared" si="50"/>
        <v>5.7503255329043599</v>
      </c>
      <c r="AL246" s="71">
        <f t="shared" si="50"/>
        <v>5.1430693879334761</v>
      </c>
      <c r="AM246" s="71">
        <f t="shared" si="50"/>
        <v>4.3135420672990445</v>
      </c>
      <c r="AN246" s="71">
        <f t="shared" si="50"/>
        <v>3.484014746664613</v>
      </c>
      <c r="AO246" s="71">
        <f t="shared" si="50"/>
        <v>2.8767586016937301</v>
      </c>
      <c r="AP246" s="76"/>
      <c r="AQ246" s="81">
        <f>D64*(Burden!F$17)</f>
        <v>31445.609600659795</v>
      </c>
      <c r="AR246" s="181" t="str">
        <f t="shared" si="41"/>
        <v>Kunduz</v>
      </c>
      <c r="AS246" s="180">
        <f>$AQ246*AD246/100/Burden!F$23</f>
        <v>111.2959670517405</v>
      </c>
      <c r="AT246" s="180">
        <f t="shared" si="49"/>
        <v>200.074599553886</v>
      </c>
      <c r="AU246" s="180">
        <f t="shared" si="49"/>
        <v>242.3084282665744</v>
      </c>
      <c r="AV246" s="180">
        <f t="shared" si="49"/>
        <v>300.0009111871874</v>
      </c>
      <c r="AW246" s="180">
        <f t="shared" si="49"/>
        <v>357.69339410780032</v>
      </c>
      <c r="AX246" s="180">
        <f t="shared" si="49"/>
        <v>399.92722282048874</v>
      </c>
      <c r="AY246" s="180">
        <f t="shared" si="49"/>
        <v>415.38587702841329</v>
      </c>
      <c r="AZ246" s="180">
        <f t="shared" si="49"/>
        <v>399.92722282048874</v>
      </c>
      <c r="BA246" s="180">
        <f t="shared" si="49"/>
        <v>357.69339410780032</v>
      </c>
      <c r="BB246" s="180">
        <f t="shared" si="49"/>
        <v>300.0009111871874</v>
      </c>
      <c r="BC246" s="180">
        <f t="shared" si="49"/>
        <v>242.3084282665744</v>
      </c>
      <c r="BD246" s="180">
        <f t="shared" si="49"/>
        <v>200.074599553886</v>
      </c>
      <c r="BE246" s="81" cm="1">
        <f t="array" ref="BE246">AQ246*AVERAGE(TableP0to5[[#This Row],[Jan-23]:[Dec-23]]/100*(Burden!$F$18+1))</f>
        <v>3526.6909559520277</v>
      </c>
      <c r="BF246" s="86">
        <f t="shared" si="47"/>
        <v>3415.394988900287</v>
      </c>
      <c r="BG246" s="20"/>
      <c r="BH246" s="88">
        <f t="shared" si="48"/>
        <v>3526.6909559520273</v>
      </c>
      <c r="BY246"/>
      <c r="BZ246"/>
      <c r="CF246"/>
      <c r="CG246"/>
    </row>
    <row r="247" spans="28:85" ht="15.5" x14ac:dyDescent="0.35">
      <c r="AB247" s="20"/>
      <c r="AC247" s="20" t="str">
        <f t="shared" si="44"/>
        <v>Laghman</v>
      </c>
      <c r="AD247" s="71">
        <f t="shared" si="45"/>
        <v>5.5602580645161268</v>
      </c>
      <c r="AE247" s="71">
        <f t="shared" si="50"/>
        <v>6.0258413951710432</v>
      </c>
      <c r="AF247" s="71">
        <f t="shared" si="50"/>
        <v>7.297838709677416</v>
      </c>
      <c r="AG247" s="71">
        <f t="shared" si="50"/>
        <v>9.0354193548387052</v>
      </c>
      <c r="AH247" s="71">
        <f t="shared" si="50"/>
        <v>10.772999999999996</v>
      </c>
      <c r="AI247" s="71">
        <f t="shared" si="50"/>
        <v>12.04499731450637</v>
      </c>
      <c r="AJ247" s="71">
        <f t="shared" si="50"/>
        <v>12.510580645161285</v>
      </c>
      <c r="AK247" s="71">
        <f t="shared" si="50"/>
        <v>12.04499731450637</v>
      </c>
      <c r="AL247" s="71">
        <f t="shared" si="50"/>
        <v>10.772999999999996</v>
      </c>
      <c r="AM247" s="71">
        <f t="shared" si="50"/>
        <v>9.0354193548387052</v>
      </c>
      <c r="AN247" s="71">
        <f t="shared" si="50"/>
        <v>7.297838709677416</v>
      </c>
      <c r="AO247" s="71">
        <f t="shared" si="50"/>
        <v>6.0258413951710432</v>
      </c>
      <c r="AP247" s="76"/>
      <c r="AQ247" s="81">
        <f>D65*(Burden!F$17)</f>
        <v>13834.659472905105</v>
      </c>
      <c r="AR247" s="181" t="str">
        <f t="shared" si="41"/>
        <v>Laghman</v>
      </c>
      <c r="AS247" s="180">
        <f>$AQ247*AD247/100/Burden!F$23</f>
        <v>102.56570253874004</v>
      </c>
      <c r="AT247" s="180">
        <f t="shared" si="49"/>
        <v>184.38037250587411</v>
      </c>
      <c r="AU247" s="180">
        <f t="shared" si="49"/>
        <v>223.30130043854493</v>
      </c>
      <c r="AV247" s="180">
        <f t="shared" si="49"/>
        <v>276.4682767334366</v>
      </c>
      <c r="AW247" s="180">
        <f t="shared" si="49"/>
        <v>329.63525302832824</v>
      </c>
      <c r="AX247" s="180">
        <f t="shared" si="49"/>
        <v>368.55618096099909</v>
      </c>
      <c r="AY247" s="180">
        <f t="shared" si="49"/>
        <v>382.80222932321993</v>
      </c>
      <c r="AZ247" s="180">
        <f t="shared" si="49"/>
        <v>368.55618096099909</v>
      </c>
      <c r="BA247" s="180">
        <f t="shared" si="49"/>
        <v>329.63525302832824</v>
      </c>
      <c r="BB247" s="180">
        <f t="shared" si="49"/>
        <v>276.4682767334366</v>
      </c>
      <c r="BC247" s="180">
        <f t="shared" si="49"/>
        <v>223.30130043854493</v>
      </c>
      <c r="BD247" s="180">
        <f t="shared" si="49"/>
        <v>184.38037250587411</v>
      </c>
      <c r="BE247" s="81" cm="1">
        <f t="array" ref="BE247">AQ247*AVERAGE(TableP0to5[[#This Row],[Jan-23]:[Dec-23]]/100*(Burden!$F$18+1))</f>
        <v>3250.0506991963257</v>
      </c>
      <c r="BF247" s="86">
        <f t="shared" si="47"/>
        <v>3147.4849966575857</v>
      </c>
      <c r="BG247" s="20"/>
      <c r="BH247" s="88">
        <f t="shared" si="48"/>
        <v>3250.0506991963261</v>
      </c>
      <c r="BY247"/>
      <c r="BZ247"/>
      <c r="CF247"/>
      <c r="CG247"/>
    </row>
    <row r="248" spans="28:85" ht="15.5" x14ac:dyDescent="0.35">
      <c r="AB248" s="20"/>
      <c r="AC248" s="20" t="str">
        <f t="shared" si="44"/>
        <v>Logar</v>
      </c>
      <c r="AD248" s="71">
        <f t="shared" si="45"/>
        <v>1.2013140884862827</v>
      </c>
      <c r="AE248" s="71">
        <f t="shared" si="50"/>
        <v>1.3019050696944168</v>
      </c>
      <c r="AF248" s="71">
        <f t="shared" si="50"/>
        <v>1.5767247411382459</v>
      </c>
      <c r="AG248" s="71">
        <f t="shared" si="50"/>
        <v>1.9521353937902093</v>
      </c>
      <c r="AH248" s="71">
        <f t="shared" si="50"/>
        <v>2.3275460464421727</v>
      </c>
      <c r="AI248" s="71">
        <f t="shared" si="50"/>
        <v>2.602365717886002</v>
      </c>
      <c r="AJ248" s="71">
        <f t="shared" si="50"/>
        <v>2.7029566990941363</v>
      </c>
      <c r="AK248" s="71">
        <f t="shared" si="50"/>
        <v>2.602365717886002</v>
      </c>
      <c r="AL248" s="71">
        <f t="shared" si="50"/>
        <v>2.3275460464421727</v>
      </c>
      <c r="AM248" s="71">
        <f t="shared" si="50"/>
        <v>1.9521353937902093</v>
      </c>
      <c r="AN248" s="71">
        <f t="shared" si="50"/>
        <v>1.5767247411382459</v>
      </c>
      <c r="AO248" s="71">
        <f t="shared" si="50"/>
        <v>1.3019050696944168</v>
      </c>
      <c r="AP248" s="76"/>
      <c r="AQ248" s="81">
        <f>D66*(Burden!F$17)</f>
        <v>12173.389707354103</v>
      </c>
      <c r="AR248" s="181" t="str">
        <f t="shared" si="41"/>
        <v>Logar</v>
      </c>
      <c r="AS248" s="180">
        <f>$AQ248*AD248/100/Burden!F$23</f>
        <v>19.498752746771185</v>
      </c>
      <c r="AT248" s="180">
        <f t="shared" ref="AT248:BD257" si="51">$BF248*AT$161</f>
        <v>35.05252931399432</v>
      </c>
      <c r="AU248" s="180">
        <f t="shared" si="51"/>
        <v>42.451782004214039</v>
      </c>
      <c r="AV248" s="180">
        <f t="shared" si="51"/>
        <v>52.559349148074531</v>
      </c>
      <c r="AW248" s="180">
        <f t="shared" si="51"/>
        <v>62.666916291935017</v>
      </c>
      <c r="AX248" s="180">
        <f t="shared" si="51"/>
        <v>70.06616898215475</v>
      </c>
      <c r="AY248" s="180">
        <f t="shared" si="51"/>
        <v>72.774483435795503</v>
      </c>
      <c r="AZ248" s="180">
        <f t="shared" si="51"/>
        <v>70.06616898215475</v>
      </c>
      <c r="BA248" s="180">
        <f t="shared" si="51"/>
        <v>62.666916291935017</v>
      </c>
      <c r="BB248" s="180">
        <f t="shared" si="51"/>
        <v>52.559349148074531</v>
      </c>
      <c r="BC248" s="180">
        <f t="shared" si="51"/>
        <v>42.451782004214039</v>
      </c>
      <c r="BD248" s="180">
        <f t="shared" si="51"/>
        <v>35.05252931399432</v>
      </c>
      <c r="BE248" s="81" cm="1">
        <f t="array" ref="BE248">AQ248*AVERAGE(TableP0to5[[#This Row],[Jan-23]:[Dec-23]]/100*(Burden!$F$18+1))</f>
        <v>617.86672766331196</v>
      </c>
      <c r="BF248" s="86">
        <f t="shared" si="47"/>
        <v>598.36797491654079</v>
      </c>
      <c r="BG248" s="20"/>
      <c r="BH248" s="88">
        <f t="shared" si="48"/>
        <v>617.86672766331196</v>
      </c>
      <c r="BI248" s="20"/>
      <c r="BY248"/>
      <c r="BZ248"/>
      <c r="CF248"/>
      <c r="CG248"/>
    </row>
    <row r="249" spans="28:85" ht="15.5" x14ac:dyDescent="0.35">
      <c r="AB249" s="20"/>
      <c r="AC249" s="20" t="str">
        <f t="shared" si="44"/>
        <v>Nangarhar</v>
      </c>
      <c r="AD249" s="71">
        <f t="shared" si="45"/>
        <v>0.9754838709677417</v>
      </c>
      <c r="AE249" s="71">
        <f t="shared" si="50"/>
        <v>1.0571651570475515</v>
      </c>
      <c r="AF249" s="71">
        <f t="shared" si="50"/>
        <v>1.2803225806451608</v>
      </c>
      <c r="AG249" s="71">
        <f t="shared" si="50"/>
        <v>1.5851612903225802</v>
      </c>
      <c r="AH249" s="71">
        <f t="shared" si="50"/>
        <v>1.8899999999999995</v>
      </c>
      <c r="AI249" s="71">
        <f t="shared" si="50"/>
        <v>2.1131574235976092</v>
      </c>
      <c r="AJ249" s="71">
        <f t="shared" si="50"/>
        <v>2.1948387096774189</v>
      </c>
      <c r="AK249" s="71">
        <f t="shared" si="50"/>
        <v>2.1131574235976092</v>
      </c>
      <c r="AL249" s="71">
        <f t="shared" si="50"/>
        <v>1.8899999999999995</v>
      </c>
      <c r="AM249" s="71">
        <f t="shared" si="50"/>
        <v>1.5851612903225802</v>
      </c>
      <c r="AN249" s="71">
        <f t="shared" si="50"/>
        <v>1.2803225806451608</v>
      </c>
      <c r="AO249" s="71">
        <f t="shared" si="50"/>
        <v>1.0571651570475515</v>
      </c>
      <c r="AP249" s="76"/>
      <c r="AQ249" s="81">
        <f>D67*(Burden!F$17)</f>
        <v>47206.244812754172</v>
      </c>
      <c r="AR249" s="181" t="str">
        <f t="shared" si="41"/>
        <v>Nangarhar</v>
      </c>
      <c r="AS249" s="180">
        <f>$AQ249*AD249/100/Burden!F$23</f>
        <v>61.398573898395085</v>
      </c>
      <c r="AT249" s="180">
        <f t="shared" si="51"/>
        <v>110.37502446238878</v>
      </c>
      <c r="AU249" s="180">
        <f t="shared" si="51"/>
        <v>133.67413333326684</v>
      </c>
      <c r="AV249" s="180">
        <f t="shared" si="51"/>
        <v>165.50130793642563</v>
      </c>
      <c r="AW249" s="180">
        <f t="shared" si="51"/>
        <v>197.32848253958437</v>
      </c>
      <c r="AX249" s="180">
        <f t="shared" si="51"/>
        <v>220.62759141046246</v>
      </c>
      <c r="AY249" s="180">
        <f t="shared" si="51"/>
        <v>229.15565714274317</v>
      </c>
      <c r="AZ249" s="180">
        <f t="shared" si="51"/>
        <v>220.62759141046246</v>
      </c>
      <c r="BA249" s="180">
        <f t="shared" si="51"/>
        <v>197.32848253958437</v>
      </c>
      <c r="BB249" s="180">
        <f t="shared" si="51"/>
        <v>165.50130793642563</v>
      </c>
      <c r="BC249" s="180">
        <f t="shared" si="51"/>
        <v>133.67413333326684</v>
      </c>
      <c r="BD249" s="180">
        <f t="shared" si="51"/>
        <v>110.37502446238878</v>
      </c>
      <c r="BE249" s="81" cm="1">
        <f t="array" ref="BE249">AQ249*AVERAGE(TableP0to5[[#This Row],[Jan-23]:[Dec-23]]/100*(Burden!$F$18+1))</f>
        <v>1945.5673104053944</v>
      </c>
      <c r="BF249" s="86">
        <f t="shared" si="47"/>
        <v>1884.1687365069993</v>
      </c>
      <c r="BG249" s="20"/>
      <c r="BH249" s="88">
        <f t="shared" si="48"/>
        <v>1945.5673104053947</v>
      </c>
      <c r="BY249"/>
      <c r="BZ249"/>
      <c r="CF249"/>
      <c r="CG249"/>
    </row>
    <row r="250" spans="28:85" ht="15.5" x14ac:dyDescent="0.35">
      <c r="AB250" s="20"/>
      <c r="AC250" s="20" t="str">
        <f t="shared" si="44"/>
        <v>Nimroz</v>
      </c>
      <c r="AD250" s="71">
        <f t="shared" si="45"/>
        <v>3.6408908269426097</v>
      </c>
      <c r="AE250" s="71">
        <f t="shared" si="50"/>
        <v>3.9457576259454701</v>
      </c>
      <c r="AF250" s="71">
        <f t="shared" si="50"/>
        <v>4.7786692103621746</v>
      </c>
      <c r="AG250" s="71">
        <f t="shared" si="50"/>
        <v>5.9164475937817409</v>
      </c>
      <c r="AH250" s="71">
        <f t="shared" si="50"/>
        <v>7.0542259772013063</v>
      </c>
      <c r="AI250" s="71">
        <f t="shared" si="50"/>
        <v>7.8871375616180117</v>
      </c>
      <c r="AJ250" s="71">
        <f t="shared" si="50"/>
        <v>8.1920043606208726</v>
      </c>
      <c r="AK250" s="71">
        <f t="shared" si="50"/>
        <v>7.8871375616180117</v>
      </c>
      <c r="AL250" s="71">
        <f t="shared" si="50"/>
        <v>7.0542259772013063</v>
      </c>
      <c r="AM250" s="71">
        <f t="shared" si="50"/>
        <v>5.9164475937817409</v>
      </c>
      <c r="AN250" s="71">
        <f t="shared" si="50"/>
        <v>4.7786692103621746</v>
      </c>
      <c r="AO250" s="71">
        <f t="shared" si="50"/>
        <v>3.9457576259454701</v>
      </c>
      <c r="AP250" s="76"/>
      <c r="AQ250" s="81">
        <f>D68*(Burden!F$17)</f>
        <v>5127.4335163676515</v>
      </c>
      <c r="AR250" s="181" t="str">
        <f t="shared" si="41"/>
        <v>Nimroz</v>
      </c>
      <c r="AS250" s="180">
        <f>$AQ250*AD250/100/Burden!F$23</f>
        <v>24.891234207334765</v>
      </c>
      <c r="AT250" s="180">
        <f t="shared" si="51"/>
        <v>44.746488559817138</v>
      </c>
      <c r="AU250" s="180">
        <f t="shared" si="51"/>
        <v>54.192043055707074</v>
      </c>
      <c r="AV250" s="180">
        <f t="shared" si="51"/>
        <v>67.094910449923049</v>
      </c>
      <c r="AW250" s="180">
        <f t="shared" si="51"/>
        <v>79.997777844139023</v>
      </c>
      <c r="AX250" s="180">
        <f t="shared" si="51"/>
        <v>89.443332340028974</v>
      </c>
      <c r="AY250" s="180">
        <f t="shared" si="51"/>
        <v>92.900645238354997</v>
      </c>
      <c r="AZ250" s="180">
        <f t="shared" si="51"/>
        <v>89.443332340028974</v>
      </c>
      <c r="BA250" s="180">
        <f t="shared" si="51"/>
        <v>79.997777844139023</v>
      </c>
      <c r="BB250" s="180">
        <f t="shared" si="51"/>
        <v>67.094910449923049</v>
      </c>
      <c r="BC250" s="180">
        <f t="shared" si="51"/>
        <v>54.192043055707074</v>
      </c>
      <c r="BD250" s="180">
        <f t="shared" si="51"/>
        <v>44.746488559817138</v>
      </c>
      <c r="BE250" s="81" cm="1">
        <f t="array" ref="BE250">AQ250*AVERAGE(TableP0to5[[#This Row],[Jan-23]:[Dec-23]]/100*(Burden!$F$18+1))</f>
        <v>788.74098394492023</v>
      </c>
      <c r="BF250" s="86">
        <f t="shared" si="47"/>
        <v>763.84974973758551</v>
      </c>
      <c r="BG250" s="20"/>
      <c r="BH250" s="88">
        <f t="shared" si="48"/>
        <v>788.74098394492034</v>
      </c>
      <c r="BY250"/>
      <c r="BZ250"/>
      <c r="CF250"/>
      <c r="CG250"/>
    </row>
    <row r="251" spans="28:85" ht="15.5" x14ac:dyDescent="0.35">
      <c r="AB251" s="20"/>
      <c r="AC251" s="20" t="str">
        <f t="shared" si="44"/>
        <v>Nuristan</v>
      </c>
      <c r="AD251" s="71">
        <f t="shared" si="45"/>
        <v>8.486709677419352</v>
      </c>
      <c r="AE251" s="71">
        <f t="shared" si="50"/>
        <v>9.1973368663136981</v>
      </c>
      <c r="AF251" s="71">
        <f t="shared" si="50"/>
        <v>11.138806451612899</v>
      </c>
      <c r="AG251" s="71">
        <f t="shared" si="50"/>
        <v>13.790903225806447</v>
      </c>
      <c r="AH251" s="71">
        <f t="shared" si="50"/>
        <v>16.442999999999994</v>
      </c>
      <c r="AI251" s="71">
        <f t="shared" si="50"/>
        <v>18.384469585299197</v>
      </c>
      <c r="AJ251" s="71">
        <f t="shared" si="50"/>
        <v>19.095096774193543</v>
      </c>
      <c r="AK251" s="71">
        <f t="shared" si="50"/>
        <v>18.384469585299197</v>
      </c>
      <c r="AL251" s="71">
        <f t="shared" si="50"/>
        <v>16.442999999999994</v>
      </c>
      <c r="AM251" s="71">
        <f t="shared" si="50"/>
        <v>13.790903225806447</v>
      </c>
      <c r="AN251" s="71">
        <f t="shared" si="50"/>
        <v>11.138806451612899</v>
      </c>
      <c r="AO251" s="71">
        <f t="shared" si="50"/>
        <v>9.1973368663136981</v>
      </c>
      <c r="AP251" s="76"/>
      <c r="AQ251" s="81">
        <f>D69*(Burden!F$17)</f>
        <v>4593.7452205670543</v>
      </c>
      <c r="AR251" s="181" t="str">
        <f t="shared" si="41"/>
        <v>Nuristan</v>
      </c>
      <c r="AS251" s="180">
        <f>$AQ251*AD251/100/Burden!F$23</f>
        <v>51.98104269198042</v>
      </c>
      <c r="AT251" s="180">
        <f t="shared" si="51"/>
        <v>93.445311420462559</v>
      </c>
      <c r="AU251" s="180">
        <f t="shared" si="51"/>
        <v>113.17072026963892</v>
      </c>
      <c r="AV251" s="180">
        <f t="shared" si="51"/>
        <v>140.11612985764819</v>
      </c>
      <c r="AW251" s="180">
        <f t="shared" si="51"/>
        <v>167.06153944565747</v>
      </c>
      <c r="AX251" s="180">
        <f t="shared" si="51"/>
        <v>186.78694829483385</v>
      </c>
      <c r="AY251" s="180">
        <f t="shared" si="51"/>
        <v>194.00694903366673</v>
      </c>
      <c r="AZ251" s="180">
        <f t="shared" si="51"/>
        <v>186.78694829483385</v>
      </c>
      <c r="BA251" s="180">
        <f t="shared" si="51"/>
        <v>167.06153944565747</v>
      </c>
      <c r="BB251" s="180">
        <f t="shared" si="51"/>
        <v>140.11612985764819</v>
      </c>
      <c r="BC251" s="180">
        <f t="shared" si="51"/>
        <v>113.17072026963892</v>
      </c>
      <c r="BD251" s="180">
        <f t="shared" si="51"/>
        <v>93.445311420462559</v>
      </c>
      <c r="BE251" s="81" cm="1">
        <f t="array" ref="BE251">AQ251*AVERAGE(TableP0to5[[#This Row],[Jan-23]:[Dec-23]]/100*(Burden!$F$18+1))</f>
        <v>1647.1492903021292</v>
      </c>
      <c r="BF251" s="86">
        <f t="shared" si="47"/>
        <v>1595.1682476101487</v>
      </c>
      <c r="BG251" s="20"/>
      <c r="BH251" s="88">
        <f t="shared" si="48"/>
        <v>1647.1492903021292</v>
      </c>
      <c r="BI251"/>
      <c r="BY251"/>
      <c r="BZ251"/>
      <c r="CF251"/>
      <c r="CG251"/>
    </row>
    <row r="252" spans="28:85" ht="15.5" x14ac:dyDescent="0.35">
      <c r="AB252" s="20"/>
      <c r="AC252" s="20" t="str">
        <f t="shared" si="44"/>
        <v>Paktika</v>
      </c>
      <c r="AD252" s="71">
        <f t="shared" si="45"/>
        <v>3.2190967741935474</v>
      </c>
      <c r="AE252" s="71">
        <f t="shared" si="50"/>
        <v>3.48864501825692</v>
      </c>
      <c r="AF252" s="71">
        <f t="shared" si="50"/>
        <v>4.2250645161290308</v>
      </c>
      <c r="AG252" s="71">
        <f t="shared" si="50"/>
        <v>5.2310322580645146</v>
      </c>
      <c r="AH252" s="71">
        <f t="shared" si="50"/>
        <v>6.2369999999999983</v>
      </c>
      <c r="AI252" s="71">
        <f t="shared" si="50"/>
        <v>6.9734194978721096</v>
      </c>
      <c r="AJ252" s="71">
        <f t="shared" si="50"/>
        <v>7.2429677419354821</v>
      </c>
      <c r="AK252" s="71">
        <f t="shared" si="50"/>
        <v>6.9734194978721096</v>
      </c>
      <c r="AL252" s="71">
        <f t="shared" si="50"/>
        <v>6.2369999999999983</v>
      </c>
      <c r="AM252" s="71">
        <f t="shared" si="50"/>
        <v>5.2310322580645146</v>
      </c>
      <c r="AN252" s="71">
        <f t="shared" si="50"/>
        <v>4.2250645161290308</v>
      </c>
      <c r="AO252" s="71">
        <f t="shared" si="50"/>
        <v>3.48864501825692</v>
      </c>
      <c r="AP252" s="76"/>
      <c r="AQ252" s="81">
        <f>D70*(Burden!F$17)</f>
        <v>13497.469391784294</v>
      </c>
      <c r="AR252" s="181" t="str">
        <f t="shared" si="41"/>
        <v>Paktika</v>
      </c>
      <c r="AS252" s="180">
        <f>$AQ252*AD252/100/Burden!F$23</f>
        <v>57.932880238491954</v>
      </c>
      <c r="AT252" s="180">
        <f t="shared" si="51"/>
        <v>104.14481424408673</v>
      </c>
      <c r="AU252" s="180">
        <f t="shared" si="51"/>
        <v>126.12878550234173</v>
      </c>
      <c r="AV252" s="180">
        <f t="shared" si="51"/>
        <v>156.159448717185</v>
      </c>
      <c r="AW252" s="180">
        <f t="shared" si="51"/>
        <v>186.19011193202826</v>
      </c>
      <c r="AX252" s="180">
        <f t="shared" si="51"/>
        <v>208.17408319028328</v>
      </c>
      <c r="AY252" s="180">
        <f t="shared" si="51"/>
        <v>216.22077514687155</v>
      </c>
      <c r="AZ252" s="180">
        <f t="shared" si="51"/>
        <v>208.17408319028328</v>
      </c>
      <c r="BA252" s="180">
        <f t="shared" si="51"/>
        <v>186.19011193202826</v>
      </c>
      <c r="BB252" s="180">
        <f t="shared" si="51"/>
        <v>156.159448717185</v>
      </c>
      <c r="BC252" s="180">
        <f t="shared" si="51"/>
        <v>126.12878550234173</v>
      </c>
      <c r="BD252" s="180">
        <f t="shared" si="51"/>
        <v>104.14481424408673</v>
      </c>
      <c r="BE252" s="81" cm="1">
        <f t="array" ref="BE252">AQ252*AVERAGE(TableP0to5[[#This Row],[Jan-23]:[Dec-23]]/100*(Burden!$F$18+1))</f>
        <v>1835.7481425572134</v>
      </c>
      <c r="BF252" s="86">
        <f t="shared" si="47"/>
        <v>1777.8152623187216</v>
      </c>
      <c r="BG252" s="20"/>
      <c r="BH252" s="88">
        <f t="shared" si="48"/>
        <v>1835.7481425572134</v>
      </c>
      <c r="BI252"/>
      <c r="BY252"/>
      <c r="BZ252"/>
      <c r="CF252"/>
      <c r="CG252"/>
    </row>
    <row r="253" spans="28:85" ht="15.5" x14ac:dyDescent="0.35">
      <c r="AB253" s="20"/>
      <c r="AC253" s="20" t="str">
        <f t="shared" si="44"/>
        <v>Paktya</v>
      </c>
      <c r="AD253" s="71">
        <f t="shared" si="45"/>
        <v>2.3411612903225798</v>
      </c>
      <c r="AE253" s="71">
        <f t="shared" si="50"/>
        <v>2.5371963769141233</v>
      </c>
      <c r="AF253" s="71">
        <f t="shared" si="50"/>
        <v>3.0727741935483857</v>
      </c>
      <c r="AG253" s="71">
        <f t="shared" si="50"/>
        <v>3.804387096774192</v>
      </c>
      <c r="AH253" s="71">
        <f t="shared" si="50"/>
        <v>4.5359999999999978</v>
      </c>
      <c r="AI253" s="71">
        <f t="shared" si="50"/>
        <v>5.0715778166342611</v>
      </c>
      <c r="AJ253" s="71">
        <f t="shared" si="50"/>
        <v>5.2676129032258041</v>
      </c>
      <c r="AK253" s="71">
        <f t="shared" si="50"/>
        <v>5.0715778166342611</v>
      </c>
      <c r="AL253" s="71">
        <f t="shared" si="50"/>
        <v>4.5359999999999978</v>
      </c>
      <c r="AM253" s="71">
        <f t="shared" si="50"/>
        <v>3.804387096774192</v>
      </c>
      <c r="AN253" s="71">
        <f t="shared" si="50"/>
        <v>3.0727741935483857</v>
      </c>
      <c r="AO253" s="71">
        <f t="shared" si="50"/>
        <v>2.5371963769141233</v>
      </c>
      <c r="AP253" s="76"/>
      <c r="AQ253" s="81">
        <f>D71*(Burden!F$17)</f>
        <v>17142.048512093348</v>
      </c>
      <c r="AR253" s="181" t="str">
        <f t="shared" si="41"/>
        <v>Paktya</v>
      </c>
      <c r="AS253" s="180">
        <f>$AQ253*AD253/100/Burden!F$23</f>
        <v>53.509733884459628</v>
      </c>
      <c r="AT253" s="180">
        <f t="shared" si="51"/>
        <v>96.193409903084557</v>
      </c>
      <c r="AU253" s="180">
        <f t="shared" si="51"/>
        <v>116.49891598029208</v>
      </c>
      <c r="AV253" s="180">
        <f t="shared" si="51"/>
        <v>144.23675311845687</v>
      </c>
      <c r="AW253" s="180">
        <f t="shared" si="51"/>
        <v>171.97459025662167</v>
      </c>
      <c r="AX253" s="180">
        <f t="shared" si="51"/>
        <v>192.28009633382922</v>
      </c>
      <c r="AY253" s="180">
        <f t="shared" si="51"/>
        <v>199.71242739478646</v>
      </c>
      <c r="AZ253" s="180">
        <f t="shared" si="51"/>
        <v>192.28009633382922</v>
      </c>
      <c r="BA253" s="180">
        <f t="shared" si="51"/>
        <v>171.97459025662167</v>
      </c>
      <c r="BB253" s="180">
        <f t="shared" si="51"/>
        <v>144.23675311845687</v>
      </c>
      <c r="BC253" s="180">
        <f t="shared" si="51"/>
        <v>116.49891598029208</v>
      </c>
      <c r="BD253" s="180">
        <f t="shared" si="51"/>
        <v>96.193409903084557</v>
      </c>
      <c r="BE253" s="81" cm="1">
        <f t="array" ref="BE253">AQ253*AVERAGE(TableP0to5[[#This Row],[Jan-23]:[Dec-23]]/100*(Burden!$F$18+1))</f>
        <v>1695.5896924638148</v>
      </c>
      <c r="BF253" s="86">
        <f t="shared" si="47"/>
        <v>1642.0799585793552</v>
      </c>
      <c r="BG253" s="20"/>
      <c r="BH253" s="88">
        <f t="shared" si="48"/>
        <v>1695.589692463815</v>
      </c>
      <c r="BI253"/>
      <c r="BY253"/>
      <c r="BZ253"/>
      <c r="CF253"/>
      <c r="CG253"/>
    </row>
    <row r="254" spans="28:85" ht="15.5" x14ac:dyDescent="0.35">
      <c r="AB254" s="20"/>
      <c r="AC254" s="20" t="str">
        <f t="shared" si="44"/>
        <v>Panjsher</v>
      </c>
      <c r="AD254" s="71">
        <f t="shared" si="45"/>
        <v>5.3651612903225789</v>
      </c>
      <c r="AE254" s="71">
        <f t="shared" si="50"/>
        <v>5.8144083637615331</v>
      </c>
      <c r="AF254" s="71">
        <f t="shared" si="50"/>
        <v>7.0417741935483837</v>
      </c>
      <c r="AG254" s="71">
        <f t="shared" si="50"/>
        <v>8.7183870967741903</v>
      </c>
      <c r="AH254" s="71">
        <f t="shared" si="50"/>
        <v>10.394999999999996</v>
      </c>
      <c r="AI254" s="71">
        <f t="shared" si="50"/>
        <v>11.622365829786848</v>
      </c>
      <c r="AJ254" s="71">
        <f t="shared" si="50"/>
        <v>12.071612903225802</v>
      </c>
      <c r="AK254" s="71">
        <f t="shared" si="50"/>
        <v>11.622365829786848</v>
      </c>
      <c r="AL254" s="71">
        <f t="shared" si="50"/>
        <v>10.394999999999996</v>
      </c>
      <c r="AM254" s="71">
        <f t="shared" si="50"/>
        <v>8.7183870967741903</v>
      </c>
      <c r="AN254" s="71">
        <f t="shared" si="50"/>
        <v>7.0417741935483837</v>
      </c>
      <c r="AO254" s="71">
        <f t="shared" si="50"/>
        <v>5.8144083637615331</v>
      </c>
      <c r="AP254" s="76"/>
      <c r="AQ254" s="81">
        <f>D72*(Burden!F$17)</f>
        <v>4765.104614994787</v>
      </c>
      <c r="AR254" s="181" t="str">
        <f t="shared" si="41"/>
        <v>Panjsher</v>
      </c>
      <c r="AS254" s="180">
        <f>$AQ254*AD254/100/Burden!F$23</f>
        <v>34.087406432943339</v>
      </c>
      <c r="AT254" s="180">
        <f t="shared" si="51"/>
        <v>61.278268858844896</v>
      </c>
      <c r="AU254" s="180">
        <f t="shared" si="51"/>
        <v>74.213523591655161</v>
      </c>
      <c r="AV254" s="180">
        <f t="shared" si="51"/>
        <v>91.883410161096876</v>
      </c>
      <c r="AW254" s="180">
        <f t="shared" si="51"/>
        <v>109.55329673053858</v>
      </c>
      <c r="AX254" s="180">
        <f t="shared" si="51"/>
        <v>122.48855146334886</v>
      </c>
      <c r="AY254" s="180">
        <f t="shared" si="51"/>
        <v>127.22318329998029</v>
      </c>
      <c r="AZ254" s="180">
        <f t="shared" si="51"/>
        <v>122.48855146334886</v>
      </c>
      <c r="BA254" s="180">
        <f t="shared" si="51"/>
        <v>109.55329673053858</v>
      </c>
      <c r="BB254" s="180">
        <f t="shared" si="51"/>
        <v>91.883410161096876</v>
      </c>
      <c r="BC254" s="180">
        <f t="shared" si="51"/>
        <v>74.213523591655161</v>
      </c>
      <c r="BD254" s="180">
        <f t="shared" si="51"/>
        <v>61.278268858844896</v>
      </c>
      <c r="BE254" s="81" cm="1">
        <f t="array" ref="BE254">AQ254*AVERAGE(TableP0to5[[#This Row],[Jan-23]:[Dec-23]]/100*(Burden!$F$18+1))</f>
        <v>1080.1446913438922</v>
      </c>
      <c r="BF254" s="86">
        <f t="shared" si="47"/>
        <v>1046.057284910949</v>
      </c>
      <c r="BG254" s="20"/>
      <c r="BH254" s="88">
        <f t="shared" si="48"/>
        <v>1080.1446913438924</v>
      </c>
      <c r="BI254"/>
      <c r="BY254"/>
      <c r="BZ254"/>
      <c r="CF254"/>
      <c r="CG254"/>
    </row>
    <row r="255" spans="28:85" ht="15.5" x14ac:dyDescent="0.35">
      <c r="AB255" s="20"/>
      <c r="AC255" s="20" t="str">
        <f t="shared" si="44"/>
        <v>Parwan</v>
      </c>
      <c r="AD255" s="71">
        <f t="shared" si="45"/>
        <v>2.2990516172809263</v>
      </c>
      <c r="AE255" s="71">
        <f t="shared" si="50"/>
        <v>2.491560687345892</v>
      </c>
      <c r="AF255" s="71">
        <f t="shared" si="50"/>
        <v>3.0175052476812154</v>
      </c>
      <c r="AG255" s="71">
        <f t="shared" si="50"/>
        <v>3.7359588780815054</v>
      </c>
      <c r="AH255" s="71">
        <f t="shared" si="50"/>
        <v>4.4544125084817949</v>
      </c>
      <c r="AI255" s="71">
        <f t="shared" si="50"/>
        <v>4.9803570688171188</v>
      </c>
      <c r="AJ255" s="71">
        <f t="shared" si="50"/>
        <v>5.1728661388820845</v>
      </c>
      <c r="AK255" s="71">
        <f t="shared" si="50"/>
        <v>4.9803570688171188</v>
      </c>
      <c r="AL255" s="71">
        <f t="shared" si="50"/>
        <v>4.4544125084817949</v>
      </c>
      <c r="AM255" s="71">
        <f t="shared" si="50"/>
        <v>3.7359588780815054</v>
      </c>
      <c r="AN255" s="71">
        <f t="shared" si="50"/>
        <v>3.0175052476812154</v>
      </c>
      <c r="AO255" s="71">
        <f t="shared" si="50"/>
        <v>2.491560687345892</v>
      </c>
      <c r="AP255" s="76"/>
      <c r="AQ255" s="81">
        <f>D73*(Burden!F$17)</f>
        <v>20642.39250575575</v>
      </c>
      <c r="AR255" s="181" t="str">
        <f t="shared" si="41"/>
        <v>Parwan</v>
      </c>
      <c r="AS255" s="180">
        <f>$AQ255*AD255/100/Burden!F$23</f>
        <v>63.277234499873906</v>
      </c>
      <c r="AT255" s="180">
        <f t="shared" si="51"/>
        <v>113.75225615815901</v>
      </c>
      <c r="AU255" s="180">
        <f t="shared" si="51"/>
        <v>137.76426624328545</v>
      </c>
      <c r="AV255" s="180">
        <f t="shared" si="51"/>
        <v>170.56528201549628</v>
      </c>
      <c r="AW255" s="180">
        <f t="shared" si="51"/>
        <v>203.36629778770708</v>
      </c>
      <c r="AX255" s="180">
        <f t="shared" si="51"/>
        <v>227.37830787283352</v>
      </c>
      <c r="AY255" s="180">
        <f t="shared" si="51"/>
        <v>236.16731355991791</v>
      </c>
      <c r="AZ255" s="180">
        <f t="shared" si="51"/>
        <v>227.37830787283352</v>
      </c>
      <c r="BA255" s="180">
        <f t="shared" si="51"/>
        <v>203.36629778770708</v>
      </c>
      <c r="BB255" s="180">
        <f t="shared" si="51"/>
        <v>170.56528201549628</v>
      </c>
      <c r="BC255" s="180">
        <f t="shared" si="51"/>
        <v>137.76426624328545</v>
      </c>
      <c r="BD255" s="180">
        <f t="shared" si="51"/>
        <v>113.75225615815901</v>
      </c>
      <c r="BE255" s="81" cm="1">
        <f t="array" ref="BE255">AQ255*AVERAGE(TableP0to5[[#This Row],[Jan-23]:[Dec-23]]/100*(Burden!$F$18+1))</f>
        <v>2005.0973682147544</v>
      </c>
      <c r="BF255" s="86">
        <f t="shared" si="47"/>
        <v>1941.8201337148805</v>
      </c>
      <c r="BG255" s="20"/>
      <c r="BH255" s="88">
        <f t="shared" si="48"/>
        <v>2005.0973682147544</v>
      </c>
      <c r="BI255"/>
      <c r="BY255"/>
      <c r="BZ255"/>
      <c r="CF255"/>
      <c r="CG255"/>
    </row>
    <row r="256" spans="28:85" ht="15.5" x14ac:dyDescent="0.35">
      <c r="AB256" s="20"/>
      <c r="AC256" s="20" t="str">
        <f t="shared" si="44"/>
        <v>Samangan</v>
      </c>
      <c r="AD256" s="71">
        <f t="shared" si="45"/>
        <v>4.2443817114689466</v>
      </c>
      <c r="AE256" s="71">
        <f t="shared" si="50"/>
        <v>4.5997812902056747</v>
      </c>
      <c r="AF256" s="71">
        <f t="shared" si="50"/>
        <v>5.5707509963029924</v>
      </c>
      <c r="AG256" s="71">
        <f t="shared" si="50"/>
        <v>6.8971202811370382</v>
      </c>
      <c r="AH256" s="71">
        <f t="shared" si="50"/>
        <v>8.223489565971084</v>
      </c>
      <c r="AI256" s="71">
        <f t="shared" si="50"/>
        <v>9.1944592720684035</v>
      </c>
      <c r="AJ256" s="71">
        <f t="shared" si="50"/>
        <v>9.5498588508051316</v>
      </c>
      <c r="AK256" s="71">
        <f t="shared" si="50"/>
        <v>9.1944592720684035</v>
      </c>
      <c r="AL256" s="71">
        <f t="shared" si="50"/>
        <v>8.223489565971084</v>
      </c>
      <c r="AM256" s="71">
        <f t="shared" si="50"/>
        <v>6.8971202811370382</v>
      </c>
      <c r="AN256" s="71">
        <f t="shared" si="50"/>
        <v>5.5707509963029924</v>
      </c>
      <c r="AO256" s="71">
        <f t="shared" si="50"/>
        <v>4.5997812902056747</v>
      </c>
      <c r="AP256" s="76"/>
      <c r="AQ256" s="81">
        <f>D74*(Burden!F$17)</f>
        <v>12049.742144316053</v>
      </c>
      <c r="AR256" s="181" t="str">
        <f t="shared" si="41"/>
        <v>Samangan</v>
      </c>
      <c r="AS256" s="180">
        <f>$AQ256*AD256/100/Burden!F$23</f>
        <v>68.191606913668878</v>
      </c>
      <c r="AT256" s="180">
        <f t="shared" si="51"/>
        <v>122.5867280513912</v>
      </c>
      <c r="AU256" s="180">
        <f t="shared" si="51"/>
        <v>148.46361040684965</v>
      </c>
      <c r="AV256" s="180">
        <f t="shared" si="51"/>
        <v>183.81208907514721</v>
      </c>
      <c r="AW256" s="180">
        <f t="shared" si="51"/>
        <v>219.16056774344474</v>
      </c>
      <c r="AX256" s="180">
        <f t="shared" si="51"/>
        <v>245.03745009890324</v>
      </c>
      <c r="AY256" s="180">
        <f t="shared" si="51"/>
        <v>254.5090464117423</v>
      </c>
      <c r="AZ256" s="180">
        <f t="shared" si="51"/>
        <v>245.03745009890324</v>
      </c>
      <c r="BA256" s="180">
        <f t="shared" si="51"/>
        <v>219.16056774344474</v>
      </c>
      <c r="BB256" s="180">
        <f t="shared" si="51"/>
        <v>183.81208907514721</v>
      </c>
      <c r="BC256" s="180">
        <f t="shared" si="51"/>
        <v>148.46361040684965</v>
      </c>
      <c r="BD256" s="180">
        <f t="shared" si="51"/>
        <v>122.5867280513912</v>
      </c>
      <c r="BE256" s="81" cm="1">
        <f t="array" ref="BE256">AQ256*AVERAGE(TableP0to5[[#This Row],[Jan-23]:[Dec-23]]/100*(Burden!$F$18+1))</f>
        <v>2160.8215440768831</v>
      </c>
      <c r="BF256" s="86">
        <f t="shared" si="47"/>
        <v>2092.6299371632144</v>
      </c>
      <c r="BG256" s="20"/>
      <c r="BH256" s="88">
        <f t="shared" si="48"/>
        <v>2160.8215440768836</v>
      </c>
      <c r="BI256"/>
      <c r="BY256"/>
      <c r="BZ256"/>
      <c r="CF256"/>
      <c r="CG256"/>
    </row>
    <row r="257" spans="28:85" ht="15.5" x14ac:dyDescent="0.35">
      <c r="AB257" s="20"/>
      <c r="AC257" s="20" t="str">
        <f t="shared" si="44"/>
        <v>Sar-e-Pul</v>
      </c>
      <c r="AD257" s="71">
        <f t="shared" si="45"/>
        <v>1.7133889036383527</v>
      </c>
      <c r="AE257" s="71">
        <f t="shared" si="50"/>
        <v>1.8568580202165847</v>
      </c>
      <c r="AF257" s="71">
        <f t="shared" si="50"/>
        <v>2.2488229360253378</v>
      </c>
      <c r="AG257" s="71">
        <f t="shared" si="50"/>
        <v>2.7842569684123233</v>
      </c>
      <c r="AH257" s="71">
        <f t="shared" si="50"/>
        <v>3.3196910007993083</v>
      </c>
      <c r="AI257" s="71">
        <f t="shared" si="50"/>
        <v>3.7116559166080618</v>
      </c>
      <c r="AJ257" s="71">
        <f t="shared" si="50"/>
        <v>3.8551250331862938</v>
      </c>
      <c r="AK257" s="71">
        <f t="shared" si="50"/>
        <v>3.7116559166080618</v>
      </c>
      <c r="AL257" s="71">
        <f t="shared" si="50"/>
        <v>3.3196910007993083</v>
      </c>
      <c r="AM257" s="71">
        <f t="shared" si="50"/>
        <v>2.7842569684123233</v>
      </c>
      <c r="AN257" s="71">
        <f t="shared" si="50"/>
        <v>2.2488229360253378</v>
      </c>
      <c r="AO257" s="71">
        <f t="shared" si="50"/>
        <v>1.8568580202165847</v>
      </c>
      <c r="AP257" s="76"/>
      <c r="AQ257" s="81">
        <f>D75*(Burden!F$17)</f>
        <v>17381.61566547957</v>
      </c>
      <c r="AR257" s="181" t="str">
        <f t="shared" si="41"/>
        <v>Sar-e-Pul</v>
      </c>
      <c r="AS257" s="180">
        <f>$AQ257*AD257/100/Burden!F$23</f>
        <v>39.708623211385678</v>
      </c>
      <c r="AT257" s="180">
        <f t="shared" si="51"/>
        <v>71.38342114553636</v>
      </c>
      <c r="AU257" s="180">
        <f t="shared" si="51"/>
        <v>86.451776590497815</v>
      </c>
      <c r="AV257" s="180">
        <f t="shared" si="51"/>
        <v>107.03553292156873</v>
      </c>
      <c r="AW257" s="180">
        <f t="shared" si="51"/>
        <v>127.61928925263963</v>
      </c>
      <c r="AX257" s="180">
        <f t="shared" si="51"/>
        <v>142.68764469760112</v>
      </c>
      <c r="AY257" s="180">
        <f t="shared" si="51"/>
        <v>148.20304558371055</v>
      </c>
      <c r="AZ257" s="180">
        <f t="shared" si="51"/>
        <v>142.68764469760112</v>
      </c>
      <c r="BA257" s="180">
        <f t="shared" si="51"/>
        <v>127.61928925263963</v>
      </c>
      <c r="BB257" s="180">
        <f t="shared" si="51"/>
        <v>107.03553292156873</v>
      </c>
      <c r="BC257" s="180">
        <f t="shared" si="51"/>
        <v>86.451776590497815</v>
      </c>
      <c r="BD257" s="180">
        <f t="shared" si="51"/>
        <v>71.38342114553636</v>
      </c>
      <c r="BE257" s="81" cm="1">
        <f t="array" ref="BE257">AQ257*AVERAGE(TableP0to5[[#This Row],[Jan-23]:[Dec-23]]/100*(Burden!$F$18+1))</f>
        <v>1258.2669980107835</v>
      </c>
      <c r="BF257" s="86">
        <f t="shared" si="47"/>
        <v>1218.5583747993978</v>
      </c>
      <c r="BG257" s="20"/>
      <c r="BH257" s="88">
        <f t="shared" si="48"/>
        <v>1258.2669980107837</v>
      </c>
      <c r="BI257"/>
      <c r="BY257"/>
      <c r="BZ257"/>
      <c r="CF257"/>
      <c r="CG257"/>
    </row>
    <row r="258" spans="28:85" ht="15.5" x14ac:dyDescent="0.35">
      <c r="AB258" s="20"/>
      <c r="AC258" s="20" t="str">
        <f t="shared" si="44"/>
        <v>Takhar</v>
      </c>
      <c r="AD258" s="71">
        <f t="shared" si="45"/>
        <v>2.5477461801313463</v>
      </c>
      <c r="AE258" s="71">
        <f t="shared" si="50"/>
        <v>2.7610794712206186</v>
      </c>
      <c r="AF258" s="71">
        <f t="shared" si="50"/>
        <v>3.3439168614223918</v>
      </c>
      <c r="AG258" s="71">
        <f t="shared" si="50"/>
        <v>4.1400875427134372</v>
      </c>
      <c r="AH258" s="71">
        <f t="shared" si="50"/>
        <v>4.936258224004483</v>
      </c>
      <c r="AI258" s="71">
        <f t="shared" si="50"/>
        <v>5.5190956142062566</v>
      </c>
      <c r="AJ258" s="71">
        <f t="shared" si="50"/>
        <v>5.7324289052955288</v>
      </c>
      <c r="AK258" s="71">
        <f t="shared" si="50"/>
        <v>5.5190956142062566</v>
      </c>
      <c r="AL258" s="71">
        <f t="shared" si="50"/>
        <v>4.936258224004483</v>
      </c>
      <c r="AM258" s="71">
        <f t="shared" si="50"/>
        <v>4.1400875427134372</v>
      </c>
      <c r="AN258" s="71">
        <f t="shared" si="50"/>
        <v>3.3439168614223918</v>
      </c>
      <c r="AO258" s="71">
        <f t="shared" si="50"/>
        <v>2.7610794712206186</v>
      </c>
      <c r="AP258" s="76"/>
      <c r="AQ258" s="81">
        <f>D76*(Burden!F$17)</f>
        <v>30555.609836766591</v>
      </c>
      <c r="AR258" s="181" t="str">
        <f t="shared" si="41"/>
        <v>Takhar</v>
      </c>
      <c r="AS258" s="180">
        <f>$AQ258*AD258/100/Burden!F$23</f>
        <v>103.79725099094117</v>
      </c>
      <c r="AT258" s="180">
        <f t="shared" ref="AT258:BD269" si="52">$BF258*AT$161</f>
        <v>186.59430325226671</v>
      </c>
      <c r="AU258" s="180">
        <f t="shared" si="52"/>
        <v>225.98257072795491</v>
      </c>
      <c r="AV258" s="180">
        <f t="shared" si="52"/>
        <v>279.78794471080136</v>
      </c>
      <c r="AW258" s="180">
        <f t="shared" si="52"/>
        <v>333.59331869364775</v>
      </c>
      <c r="AX258" s="180">
        <f t="shared" si="52"/>
        <v>372.98158616933597</v>
      </c>
      <c r="AY258" s="180">
        <f t="shared" si="52"/>
        <v>387.39869267649419</v>
      </c>
      <c r="AZ258" s="180">
        <f t="shared" si="52"/>
        <v>372.98158616933597</v>
      </c>
      <c r="BA258" s="180">
        <f t="shared" si="52"/>
        <v>333.59331869364775</v>
      </c>
      <c r="BB258" s="180">
        <f t="shared" si="52"/>
        <v>279.78794471080136</v>
      </c>
      <c r="BC258" s="180">
        <f t="shared" si="52"/>
        <v>225.98257072795491</v>
      </c>
      <c r="BD258" s="180">
        <f t="shared" si="52"/>
        <v>186.59430325226671</v>
      </c>
      <c r="BE258" s="81" cm="1">
        <f t="array" ref="BE258">AQ258*AVERAGE(TableP0to5[[#This Row],[Jan-23]:[Dec-23]]/100*(Burden!$F$18+1))</f>
        <v>3289.0753907754483</v>
      </c>
      <c r="BF258" s="86">
        <f t="shared" si="47"/>
        <v>3185.2781397845074</v>
      </c>
      <c r="BG258" s="20"/>
      <c r="BH258" s="88">
        <f t="shared" si="48"/>
        <v>3289.0753907754483</v>
      </c>
      <c r="BI258"/>
      <c r="BY258"/>
      <c r="BZ258"/>
      <c r="CF258"/>
      <c r="CG258"/>
    </row>
    <row r="259" spans="28:85" ht="15.5" x14ac:dyDescent="0.35">
      <c r="AB259" s="20"/>
      <c r="AC259" s="20" t="str">
        <f t="shared" si="44"/>
        <v>Urozgan</v>
      </c>
      <c r="AD259" s="71">
        <f t="shared" si="45"/>
        <v>10.938187489878068</v>
      </c>
      <c r="AE259" s="71">
        <f t="shared" si="50"/>
        <v>11.85408702255714</v>
      </c>
      <c r="AF259" s="71">
        <f t="shared" si="50"/>
        <v>14.356371080464964</v>
      </c>
      <c r="AG259" s="71">
        <f t="shared" si="50"/>
        <v>17.77455467105186</v>
      </c>
      <c r="AH259" s="71">
        <f t="shared" si="50"/>
        <v>21.192738261638755</v>
      </c>
      <c r="AI259" s="71">
        <f t="shared" si="50"/>
        <v>23.695022319546581</v>
      </c>
      <c r="AJ259" s="71">
        <f t="shared" si="50"/>
        <v>24.610921852225655</v>
      </c>
      <c r="AK259" s="71">
        <f t="shared" si="50"/>
        <v>23.695022319546581</v>
      </c>
      <c r="AL259" s="71">
        <f t="shared" si="50"/>
        <v>21.192738261638755</v>
      </c>
      <c r="AM259" s="71">
        <f t="shared" si="50"/>
        <v>17.77455467105186</v>
      </c>
      <c r="AN259" s="71">
        <f t="shared" si="50"/>
        <v>14.356371080464964</v>
      </c>
      <c r="AO259" s="71">
        <f t="shared" si="50"/>
        <v>11.85408702255714</v>
      </c>
      <c r="AP259" s="76"/>
      <c r="AQ259" s="81">
        <f>D77*(Burden!F$17)</f>
        <v>10885.261895872478</v>
      </c>
      <c r="AR259" s="181" t="str">
        <f t="shared" si="41"/>
        <v>Urozgan</v>
      </c>
      <c r="AS259" s="180">
        <f>$AQ259*AD259/100/Burden!F$23</f>
        <v>158.75338065797169</v>
      </c>
      <c r="AT259" s="180">
        <f t="shared" si="52"/>
        <v>285.38787077705342</v>
      </c>
      <c r="AU259" s="180">
        <f t="shared" si="52"/>
        <v>345.63051266139058</v>
      </c>
      <c r="AV259" s="180">
        <f t="shared" si="52"/>
        <v>427.92349186648363</v>
      </c>
      <c r="AW259" s="180">
        <f t="shared" si="52"/>
        <v>510.21647107157662</v>
      </c>
      <c r="AX259" s="180">
        <f t="shared" si="52"/>
        <v>570.45911295591384</v>
      </c>
      <c r="AY259" s="180">
        <f t="shared" si="52"/>
        <v>592.50945027666967</v>
      </c>
      <c r="AZ259" s="180">
        <f t="shared" si="52"/>
        <v>570.45911295591384</v>
      </c>
      <c r="BA259" s="180">
        <f t="shared" si="52"/>
        <v>510.21647107157662</v>
      </c>
      <c r="BB259" s="180">
        <f t="shared" si="52"/>
        <v>427.92349186648363</v>
      </c>
      <c r="BC259" s="180">
        <f t="shared" si="52"/>
        <v>345.63051266139058</v>
      </c>
      <c r="BD259" s="180">
        <f t="shared" si="52"/>
        <v>285.38787077705342</v>
      </c>
      <c r="BE259" s="81" cm="1">
        <f t="array" ref="BE259">AQ259*AVERAGE(TableP0to5[[#This Row],[Jan-23]:[Dec-23]]/100*(Burden!$F$18+1))</f>
        <v>5030.4977495994772</v>
      </c>
      <c r="BF259" s="86">
        <f t="shared" si="47"/>
        <v>4871.7443689415059</v>
      </c>
      <c r="BG259" s="20"/>
      <c r="BH259" s="88">
        <f t="shared" si="48"/>
        <v>5030.4977495994781</v>
      </c>
      <c r="BI259"/>
      <c r="BY259"/>
      <c r="BZ259"/>
      <c r="CF259"/>
      <c r="CG259"/>
    </row>
    <row r="260" spans="28:85" ht="15.5" x14ac:dyDescent="0.35">
      <c r="AB260" s="20"/>
      <c r="AC260" s="20" t="str">
        <f t="shared" si="44"/>
        <v>Wardak</v>
      </c>
      <c r="AD260" s="71">
        <f t="shared" si="45"/>
        <v>8.5593998565954639</v>
      </c>
      <c r="AE260" s="71">
        <f t="shared" si="50"/>
        <v>9.2761136938672824</v>
      </c>
      <c r="AF260" s="71">
        <f t="shared" si="50"/>
        <v>11.234212311781546</v>
      </c>
      <c r="AG260" s="71">
        <f t="shared" si="50"/>
        <v>13.909024766967628</v>
      </c>
      <c r="AH260" s="71">
        <f t="shared" si="50"/>
        <v>16.583837222153711</v>
      </c>
      <c r="AI260" s="71">
        <f t="shared" si="50"/>
        <v>18.541935840067975</v>
      </c>
      <c r="AJ260" s="71">
        <f t="shared" si="50"/>
        <v>19.258649677339793</v>
      </c>
      <c r="AK260" s="71">
        <f t="shared" si="50"/>
        <v>18.541935840067975</v>
      </c>
      <c r="AL260" s="71">
        <f t="shared" si="50"/>
        <v>16.583837222153711</v>
      </c>
      <c r="AM260" s="71">
        <f t="shared" si="50"/>
        <v>13.909024766967628</v>
      </c>
      <c r="AN260" s="71">
        <f t="shared" si="50"/>
        <v>11.234212311781546</v>
      </c>
      <c r="AO260" s="71">
        <f t="shared" si="50"/>
        <v>9.2761136938672824</v>
      </c>
      <c r="AP260" s="76"/>
      <c r="AQ260" s="81">
        <f>D78*(Burden!F$17)</f>
        <v>18512.832031475409</v>
      </c>
      <c r="AR260" s="181" t="str">
        <f t="shared" si="41"/>
        <v>Wardak</v>
      </c>
      <c r="AS260" s="180">
        <f>$AQ260*AD260/100/Burden!F$23</f>
        <v>211.27830911384871</v>
      </c>
      <c r="AT260" s="180">
        <f t="shared" si="52"/>
        <v>379.81091507766683</v>
      </c>
      <c r="AU260" s="180">
        <f t="shared" si="52"/>
        <v>459.98535584309411</v>
      </c>
      <c r="AV260" s="180">
        <f t="shared" si="52"/>
        <v>569.50567866287849</v>
      </c>
      <c r="AW260" s="180">
        <f t="shared" si="52"/>
        <v>679.02600148266276</v>
      </c>
      <c r="AX260" s="180">
        <f t="shared" si="52"/>
        <v>759.2004422480901</v>
      </c>
      <c r="AY260" s="180">
        <f t="shared" si="52"/>
        <v>788.54632430244715</v>
      </c>
      <c r="AZ260" s="180">
        <f t="shared" si="52"/>
        <v>759.2004422480901</v>
      </c>
      <c r="BA260" s="180">
        <f t="shared" si="52"/>
        <v>679.02600148266276</v>
      </c>
      <c r="BB260" s="180">
        <f t="shared" si="52"/>
        <v>569.50567866287849</v>
      </c>
      <c r="BC260" s="180">
        <f t="shared" si="52"/>
        <v>459.98535584309411</v>
      </c>
      <c r="BD260" s="180">
        <f t="shared" si="52"/>
        <v>379.81091507766683</v>
      </c>
      <c r="BE260" s="81" cm="1">
        <f t="array" ref="BE260">AQ260*AVERAGE(TableP0to5[[#This Row],[Jan-23]:[Dec-23]]/100*(Burden!$F$18+1))</f>
        <v>6694.8814200450806</v>
      </c>
      <c r="BF260" s="86">
        <f t="shared" si="47"/>
        <v>6483.6031109312316</v>
      </c>
      <c r="BG260" s="20"/>
      <c r="BH260" s="88">
        <f t="shared" si="48"/>
        <v>6694.8814200450806</v>
      </c>
      <c r="BI260"/>
      <c r="BY260"/>
      <c r="BZ260"/>
      <c r="CF260"/>
      <c r="CG260"/>
    </row>
    <row r="261" spans="28:85" ht="15.5" x14ac:dyDescent="0.35">
      <c r="AB261" s="20"/>
      <c r="AC261" s="20" t="str">
        <f t="shared" si="44"/>
        <v>Zabul</v>
      </c>
      <c r="AD261" s="71">
        <f t="shared" si="45"/>
        <v>4.4605918803660334</v>
      </c>
      <c r="AE261" s="71">
        <f t="shared" ref="AE261:AO261" si="53">AE$226*($I79/$I$44)</f>
        <v>4.8340956279000649</v>
      </c>
      <c r="AF261" s="71">
        <f t="shared" si="53"/>
        <v>5.8545268429804178</v>
      </c>
      <c r="AG261" s="71">
        <f t="shared" si="53"/>
        <v>7.248461805594804</v>
      </c>
      <c r="AH261" s="71">
        <f t="shared" si="53"/>
        <v>8.6423967682091902</v>
      </c>
      <c r="AI261" s="71">
        <f t="shared" si="53"/>
        <v>9.6628279832895441</v>
      </c>
      <c r="AJ261" s="71">
        <f t="shared" si="53"/>
        <v>10.036331730823575</v>
      </c>
      <c r="AK261" s="71">
        <f t="shared" si="53"/>
        <v>9.6628279832895441</v>
      </c>
      <c r="AL261" s="71">
        <f t="shared" si="53"/>
        <v>8.6423967682091902</v>
      </c>
      <c r="AM261" s="71">
        <f t="shared" si="53"/>
        <v>7.248461805594804</v>
      </c>
      <c r="AN261" s="71">
        <f t="shared" si="53"/>
        <v>5.8545268429804178</v>
      </c>
      <c r="AO261" s="71">
        <f t="shared" si="53"/>
        <v>4.8340956279000649</v>
      </c>
      <c r="AP261" s="76"/>
      <c r="AQ261" s="81">
        <f>D79*(Burden!F$17)</f>
        <v>9444.3768060427064</v>
      </c>
      <c r="AR261" s="181" t="str">
        <f t="shared" si="41"/>
        <v>Zabul</v>
      </c>
      <c r="AS261" s="180">
        <f>$AQ261*AD261/100/Burden!F$23</f>
        <v>56.170013994868519</v>
      </c>
      <c r="AT261" s="180">
        <f t="shared" si="52"/>
        <v>100.97574381769788</v>
      </c>
      <c r="AU261" s="180">
        <f t="shared" si="52"/>
        <v>122.29075470884487</v>
      </c>
      <c r="AV261" s="180">
        <f t="shared" si="52"/>
        <v>151.40760106809367</v>
      </c>
      <c r="AW261" s="180">
        <f t="shared" si="52"/>
        <v>180.52444742734244</v>
      </c>
      <c r="AX261" s="180">
        <f t="shared" si="52"/>
        <v>201.83945831848948</v>
      </c>
      <c r="AY261" s="180">
        <f t="shared" si="52"/>
        <v>209.64129378659123</v>
      </c>
      <c r="AZ261" s="180">
        <f t="shared" si="52"/>
        <v>201.83945831848948</v>
      </c>
      <c r="BA261" s="180">
        <f t="shared" si="52"/>
        <v>180.52444742734244</v>
      </c>
      <c r="BB261" s="180">
        <f t="shared" si="52"/>
        <v>151.40760106809367</v>
      </c>
      <c r="BC261" s="180">
        <f t="shared" si="52"/>
        <v>122.29075470884487</v>
      </c>
      <c r="BD261" s="180">
        <f t="shared" si="52"/>
        <v>100.97574381769788</v>
      </c>
      <c r="BE261" s="81" cm="1">
        <f t="array" ref="BE261">AQ261*AVERAGE(TableP0to5[[#This Row],[Jan-23]:[Dec-23]]/100*(Burden!$F$18+1))</f>
        <v>1779.8873184623963</v>
      </c>
      <c r="BF261" s="86">
        <f t="shared" si="47"/>
        <v>1723.7173044675278</v>
      </c>
      <c r="BG261" s="20"/>
      <c r="BH261" s="88">
        <f t="shared" si="48"/>
        <v>1779.8873184623965</v>
      </c>
      <c r="BI261"/>
      <c r="BY261"/>
      <c r="BZ261"/>
      <c r="CF261"/>
      <c r="CG261"/>
    </row>
    <row r="262" spans="28:85" ht="15.5" x14ac:dyDescent="0.35">
      <c r="AB262" s="20"/>
      <c r="AC262" s="20"/>
      <c r="AD262" s="71"/>
      <c r="AE262" s="71"/>
      <c r="AF262" s="71"/>
      <c r="AG262" s="71"/>
      <c r="AH262" s="71"/>
      <c r="AI262" s="71"/>
      <c r="AJ262" s="71"/>
      <c r="AK262" s="71"/>
      <c r="AL262" s="71"/>
      <c r="AM262" s="71"/>
      <c r="AN262" s="71"/>
      <c r="AO262" s="71"/>
      <c r="AP262" s="76"/>
      <c r="AQ262" s="81" t="e">
        <f>D80*(Burden!F$17)</f>
        <v>#VALUE!</v>
      </c>
      <c r="AR262" s="20">
        <f t="shared" si="41"/>
        <v>0</v>
      </c>
      <c r="AS262" s="81" t="e">
        <f>$AQ262*AD262/100/Burden!F$23</f>
        <v>#VALUE!</v>
      </c>
      <c r="AT262" s="180" t="e">
        <f t="shared" si="52"/>
        <v>#VALUE!</v>
      </c>
      <c r="AU262" s="180" t="e">
        <f t="shared" si="52"/>
        <v>#VALUE!</v>
      </c>
      <c r="AV262" s="180" t="e">
        <f t="shared" si="52"/>
        <v>#VALUE!</v>
      </c>
      <c r="AW262" s="180" t="e">
        <f t="shared" si="52"/>
        <v>#VALUE!</v>
      </c>
      <c r="AX262" s="180" t="e">
        <f t="shared" si="52"/>
        <v>#VALUE!</v>
      </c>
      <c r="AY262" s="180" t="e">
        <f t="shared" si="52"/>
        <v>#VALUE!</v>
      </c>
      <c r="AZ262" s="180" t="e">
        <f t="shared" si="52"/>
        <v>#VALUE!</v>
      </c>
      <c r="BA262" s="180" t="e">
        <f t="shared" si="52"/>
        <v>#VALUE!</v>
      </c>
      <c r="BB262" s="180" t="e">
        <f t="shared" si="52"/>
        <v>#VALUE!</v>
      </c>
      <c r="BC262" s="180" t="e">
        <f t="shared" si="52"/>
        <v>#VALUE!</v>
      </c>
      <c r="BD262" s="180" t="e">
        <f t="shared" si="52"/>
        <v>#VALUE!</v>
      </c>
      <c r="BE262" s="81" t="e" cm="1">
        <f t="array" ref="BE262">AQ262*AVERAGE(TableP0to5[[#This Row],[Jan-23]:[Dec-23]]/100*(Burden!$F$18+1))</f>
        <v>#VALUE!</v>
      </c>
      <c r="BF262" s="86" t="e">
        <f t="shared" si="47"/>
        <v>#VALUE!</v>
      </c>
      <c r="BG262" s="20"/>
      <c r="BH262" s="88" t="e">
        <f t="shared" si="48"/>
        <v>#VALUE!</v>
      </c>
      <c r="BI262"/>
      <c r="BY262"/>
      <c r="BZ262"/>
      <c r="CF262"/>
      <c r="CG262"/>
    </row>
    <row r="263" spans="28:85" ht="15.5" x14ac:dyDescent="0.35">
      <c r="AB263" s="20"/>
      <c r="AC263" s="20"/>
      <c r="AD263" s="71"/>
      <c r="AE263" s="71"/>
      <c r="AF263" s="71"/>
      <c r="AG263" s="71"/>
      <c r="AH263" s="71"/>
      <c r="AI263" s="71"/>
      <c r="AJ263" s="71"/>
      <c r="AK263" s="71"/>
      <c r="AL263" s="71"/>
      <c r="AM263" s="71"/>
      <c r="AN263" s="71"/>
      <c r="AO263" s="71"/>
      <c r="AP263" s="76"/>
      <c r="AQ263" s="81" t="e">
        <f>D81*(Burden!F$17)</f>
        <v>#VALUE!</v>
      </c>
      <c r="AR263" s="20">
        <f t="shared" si="41"/>
        <v>0</v>
      </c>
      <c r="AS263" s="81" t="e">
        <f>$AQ263*AD263/100/Burden!F$23</f>
        <v>#VALUE!</v>
      </c>
      <c r="AT263" s="180" t="e">
        <f t="shared" si="52"/>
        <v>#VALUE!</v>
      </c>
      <c r="AU263" s="180" t="e">
        <f t="shared" si="52"/>
        <v>#VALUE!</v>
      </c>
      <c r="AV263" s="180" t="e">
        <f t="shared" si="52"/>
        <v>#VALUE!</v>
      </c>
      <c r="AW263" s="180" t="e">
        <f t="shared" si="52"/>
        <v>#VALUE!</v>
      </c>
      <c r="AX263" s="180" t="e">
        <f t="shared" si="52"/>
        <v>#VALUE!</v>
      </c>
      <c r="AY263" s="180" t="e">
        <f t="shared" si="52"/>
        <v>#VALUE!</v>
      </c>
      <c r="AZ263" s="180" t="e">
        <f t="shared" si="52"/>
        <v>#VALUE!</v>
      </c>
      <c r="BA263" s="180" t="e">
        <f t="shared" si="52"/>
        <v>#VALUE!</v>
      </c>
      <c r="BB263" s="180" t="e">
        <f t="shared" si="52"/>
        <v>#VALUE!</v>
      </c>
      <c r="BC263" s="180" t="e">
        <f t="shared" si="52"/>
        <v>#VALUE!</v>
      </c>
      <c r="BD263" s="180" t="e">
        <f t="shared" si="52"/>
        <v>#VALUE!</v>
      </c>
      <c r="BE263" s="81" t="e" cm="1">
        <f t="array" ref="BE263">AQ263*AVERAGE(TableP0to5[[#This Row],[Jan-23]:[Dec-23]]/100*(Burden!$F$18+1))</f>
        <v>#VALUE!</v>
      </c>
      <c r="BF263" s="86" t="e">
        <f t="shared" si="47"/>
        <v>#VALUE!</v>
      </c>
      <c r="BG263" s="20"/>
      <c r="BH263" s="88" t="e">
        <f t="shared" si="48"/>
        <v>#VALUE!</v>
      </c>
      <c r="BI263"/>
      <c r="BY263"/>
      <c r="BZ263"/>
      <c r="CF263"/>
      <c r="CG263"/>
    </row>
    <row r="264" spans="28:85" ht="15.5" x14ac:dyDescent="0.35">
      <c r="AB264" s="20"/>
      <c r="AD264" s="71"/>
      <c r="AE264" s="71"/>
      <c r="AF264" s="71"/>
      <c r="AG264" s="71"/>
      <c r="AH264" s="71"/>
      <c r="AI264" s="71"/>
      <c r="AJ264" s="71"/>
      <c r="AK264" s="71"/>
      <c r="AL264" s="71"/>
      <c r="AM264" s="71"/>
      <c r="AN264" s="71"/>
      <c r="AO264" s="71"/>
      <c r="AP264" s="76"/>
      <c r="AQ264" s="81" t="e">
        <f>D82*(Burden!F$17)</f>
        <v>#VALUE!</v>
      </c>
      <c r="AR264" s="20">
        <f t="shared" si="41"/>
        <v>0</v>
      </c>
      <c r="AS264" s="81" t="e">
        <f>$AQ264*AD264/100/Burden!F$23</f>
        <v>#VALUE!</v>
      </c>
      <c r="AT264" s="180" t="e">
        <f t="shared" si="52"/>
        <v>#VALUE!</v>
      </c>
      <c r="AU264" s="180" t="e">
        <f t="shared" si="52"/>
        <v>#VALUE!</v>
      </c>
      <c r="AV264" s="180" t="e">
        <f t="shared" si="52"/>
        <v>#VALUE!</v>
      </c>
      <c r="AW264" s="180" t="e">
        <f t="shared" si="52"/>
        <v>#VALUE!</v>
      </c>
      <c r="AX264" s="180" t="e">
        <f t="shared" si="52"/>
        <v>#VALUE!</v>
      </c>
      <c r="AY264" s="180" t="e">
        <f t="shared" si="52"/>
        <v>#VALUE!</v>
      </c>
      <c r="AZ264" s="180" t="e">
        <f t="shared" si="52"/>
        <v>#VALUE!</v>
      </c>
      <c r="BA264" s="180" t="e">
        <f t="shared" si="52"/>
        <v>#VALUE!</v>
      </c>
      <c r="BB264" s="180" t="e">
        <f t="shared" si="52"/>
        <v>#VALUE!</v>
      </c>
      <c r="BC264" s="180" t="e">
        <f t="shared" si="52"/>
        <v>#VALUE!</v>
      </c>
      <c r="BD264" s="180" t="e">
        <f t="shared" si="52"/>
        <v>#VALUE!</v>
      </c>
      <c r="BE264" s="81" t="e" cm="1">
        <f t="array" ref="BE264">AQ264*AVERAGE(TableP0to5[[#This Row],[Jan-23]:[Dec-23]]/100*(Burden!$F$18+1))</f>
        <v>#VALUE!</v>
      </c>
      <c r="BF264" s="86" t="e">
        <f t="shared" si="47"/>
        <v>#VALUE!</v>
      </c>
      <c r="BG264" s="20"/>
      <c r="BH264" s="88" t="e">
        <f t="shared" si="48"/>
        <v>#VALUE!</v>
      </c>
      <c r="BI264"/>
      <c r="BY264"/>
      <c r="BZ264"/>
      <c r="CF264"/>
      <c r="CG264"/>
    </row>
    <row r="265" spans="28:85" ht="15.5" x14ac:dyDescent="0.35">
      <c r="AB265" s="20"/>
      <c r="AD265" s="71"/>
      <c r="AE265" s="71"/>
      <c r="AF265" s="71"/>
      <c r="AG265" s="71"/>
      <c r="AH265" s="71"/>
      <c r="AI265" s="71"/>
      <c r="AJ265" s="71"/>
      <c r="AK265" s="71"/>
      <c r="AL265" s="71"/>
      <c r="AM265" s="71"/>
      <c r="AN265" s="71"/>
      <c r="AO265" s="71"/>
      <c r="AP265" s="76"/>
      <c r="AQ265" s="81" t="e">
        <f>D83*(Burden!F$17)</f>
        <v>#VALUE!</v>
      </c>
      <c r="AR265" s="20">
        <f t="shared" si="41"/>
        <v>0</v>
      </c>
      <c r="AS265" s="81" t="e">
        <f>$AQ265*AD265/100/Burden!F$23</f>
        <v>#VALUE!</v>
      </c>
      <c r="AT265" s="180" t="e">
        <f t="shared" si="52"/>
        <v>#VALUE!</v>
      </c>
      <c r="AU265" s="180" t="e">
        <f t="shared" si="52"/>
        <v>#VALUE!</v>
      </c>
      <c r="AV265" s="180" t="e">
        <f t="shared" si="52"/>
        <v>#VALUE!</v>
      </c>
      <c r="AW265" s="180" t="e">
        <f t="shared" si="52"/>
        <v>#VALUE!</v>
      </c>
      <c r="AX265" s="180" t="e">
        <f t="shared" si="52"/>
        <v>#VALUE!</v>
      </c>
      <c r="AY265" s="180" t="e">
        <f t="shared" si="52"/>
        <v>#VALUE!</v>
      </c>
      <c r="AZ265" s="180" t="e">
        <f t="shared" si="52"/>
        <v>#VALUE!</v>
      </c>
      <c r="BA265" s="180" t="e">
        <f t="shared" si="52"/>
        <v>#VALUE!</v>
      </c>
      <c r="BB265" s="180" t="e">
        <f t="shared" si="52"/>
        <v>#VALUE!</v>
      </c>
      <c r="BC265" s="180" t="e">
        <f t="shared" si="52"/>
        <v>#VALUE!</v>
      </c>
      <c r="BD265" s="180" t="e">
        <f t="shared" si="52"/>
        <v>#VALUE!</v>
      </c>
      <c r="BE265" s="81" t="e" cm="1">
        <f t="array" ref="BE265">AQ265*AVERAGE(TableP0to5[[#This Row],[Jan-23]:[Dec-23]]/100*(Burden!$F$18+1))</f>
        <v>#VALUE!</v>
      </c>
      <c r="BF265" s="86" t="e">
        <f t="shared" si="47"/>
        <v>#VALUE!</v>
      </c>
      <c r="BG265" s="20"/>
      <c r="BH265" s="88" t="e">
        <f t="shared" si="48"/>
        <v>#VALUE!</v>
      </c>
      <c r="BY265"/>
      <c r="BZ265"/>
      <c r="CF265"/>
      <c r="CG265"/>
    </row>
    <row r="266" spans="28:85" ht="15.5" x14ac:dyDescent="0.35">
      <c r="AB266" s="20"/>
      <c r="AD266" s="71"/>
      <c r="AE266" s="71"/>
      <c r="AF266" s="71"/>
      <c r="AG266" s="71"/>
      <c r="AH266" s="71"/>
      <c r="AI266" s="71"/>
      <c r="AJ266" s="71"/>
      <c r="AK266" s="71"/>
      <c r="AL266" s="71"/>
      <c r="AM266" s="71"/>
      <c r="AN266" s="71"/>
      <c r="AO266" s="71"/>
      <c r="AP266" s="76"/>
      <c r="AQ266" s="81" t="e">
        <f>D84*(Burden!F$17)</f>
        <v>#VALUE!</v>
      </c>
      <c r="AR266" s="20">
        <f t="shared" si="41"/>
        <v>0</v>
      </c>
      <c r="AS266" s="81" t="e">
        <f>$AQ266*AD266/100/Burden!F$23</f>
        <v>#VALUE!</v>
      </c>
      <c r="AT266" s="180" t="e">
        <f t="shared" si="52"/>
        <v>#VALUE!</v>
      </c>
      <c r="AU266" s="180" t="e">
        <f t="shared" si="52"/>
        <v>#VALUE!</v>
      </c>
      <c r="AV266" s="180" t="e">
        <f t="shared" si="52"/>
        <v>#VALUE!</v>
      </c>
      <c r="AW266" s="180" t="e">
        <f t="shared" si="52"/>
        <v>#VALUE!</v>
      </c>
      <c r="AX266" s="180" t="e">
        <f t="shared" si="52"/>
        <v>#VALUE!</v>
      </c>
      <c r="AY266" s="180" t="e">
        <f t="shared" si="52"/>
        <v>#VALUE!</v>
      </c>
      <c r="AZ266" s="180" t="e">
        <f t="shared" si="52"/>
        <v>#VALUE!</v>
      </c>
      <c r="BA266" s="180" t="e">
        <f t="shared" si="52"/>
        <v>#VALUE!</v>
      </c>
      <c r="BB266" s="180" t="e">
        <f t="shared" si="52"/>
        <v>#VALUE!</v>
      </c>
      <c r="BC266" s="180" t="e">
        <f t="shared" si="52"/>
        <v>#VALUE!</v>
      </c>
      <c r="BD266" s="180" t="e">
        <f t="shared" si="52"/>
        <v>#VALUE!</v>
      </c>
      <c r="BE266" s="81" t="e" cm="1">
        <f t="array" ref="BE266">AQ266*AVERAGE(TableP0to5[[#This Row],[Jan-23]:[Dec-23]]/100*(Burden!$F$18+1))</f>
        <v>#VALUE!</v>
      </c>
      <c r="BF266" s="86" t="e">
        <f t="shared" si="47"/>
        <v>#VALUE!</v>
      </c>
      <c r="BG266" s="20"/>
      <c r="BH266" s="88" t="e">
        <f t="shared" si="48"/>
        <v>#VALUE!</v>
      </c>
      <c r="BY266"/>
      <c r="BZ266"/>
      <c r="CF266"/>
      <c r="CG266"/>
    </row>
    <row r="267" spans="28:85" ht="15.5" x14ac:dyDescent="0.35">
      <c r="AB267" s="20"/>
      <c r="AC267" s="20"/>
      <c r="AD267" s="71"/>
      <c r="AE267" s="71"/>
      <c r="AF267" s="71"/>
      <c r="AG267" s="71"/>
      <c r="AH267" s="71"/>
      <c r="AI267" s="71"/>
      <c r="AJ267" s="71"/>
      <c r="AK267" s="71"/>
      <c r="AL267" s="71"/>
      <c r="AM267" s="71"/>
      <c r="AN267" s="71"/>
      <c r="AO267" s="71"/>
      <c r="AP267" s="76"/>
      <c r="AQ267" s="81" t="e">
        <f>D85*(Burden!F$17)</f>
        <v>#VALUE!</v>
      </c>
      <c r="AR267" s="20">
        <f t="shared" si="41"/>
        <v>0</v>
      </c>
      <c r="AS267" s="81" t="e">
        <f>$AQ267*AD267/100/Burden!F$23</f>
        <v>#VALUE!</v>
      </c>
      <c r="AT267" s="180" t="e">
        <f t="shared" si="52"/>
        <v>#VALUE!</v>
      </c>
      <c r="AU267" s="180" t="e">
        <f t="shared" si="52"/>
        <v>#VALUE!</v>
      </c>
      <c r="AV267" s="180" t="e">
        <f t="shared" si="52"/>
        <v>#VALUE!</v>
      </c>
      <c r="AW267" s="180" t="e">
        <f t="shared" si="52"/>
        <v>#VALUE!</v>
      </c>
      <c r="AX267" s="180" t="e">
        <f t="shared" si="52"/>
        <v>#VALUE!</v>
      </c>
      <c r="AY267" s="180" t="e">
        <f t="shared" si="52"/>
        <v>#VALUE!</v>
      </c>
      <c r="AZ267" s="180" t="e">
        <f t="shared" si="52"/>
        <v>#VALUE!</v>
      </c>
      <c r="BA267" s="180" t="e">
        <f t="shared" si="52"/>
        <v>#VALUE!</v>
      </c>
      <c r="BB267" s="180" t="e">
        <f t="shared" si="52"/>
        <v>#VALUE!</v>
      </c>
      <c r="BC267" s="180" t="e">
        <f t="shared" si="52"/>
        <v>#VALUE!</v>
      </c>
      <c r="BD267" s="180" t="e">
        <f t="shared" si="52"/>
        <v>#VALUE!</v>
      </c>
      <c r="BE267" s="81" t="e" cm="1">
        <f t="array" ref="BE267">AQ267*AVERAGE(TableP0to5[[#This Row],[Jan-23]:[Dec-23]]/100*(Burden!$F$18+1))</f>
        <v>#VALUE!</v>
      </c>
      <c r="BF267" s="86" t="e">
        <f t="shared" si="47"/>
        <v>#VALUE!</v>
      </c>
      <c r="BG267" s="20"/>
      <c r="BH267" s="88" t="e">
        <f t="shared" si="48"/>
        <v>#VALUE!</v>
      </c>
      <c r="BY267"/>
      <c r="BZ267"/>
      <c r="CF267"/>
      <c r="CG267"/>
    </row>
    <row r="268" spans="28:85" ht="15.5" x14ac:dyDescent="0.35">
      <c r="AB268" s="20"/>
      <c r="AC268" s="20"/>
      <c r="AD268" s="71"/>
      <c r="AE268" s="71"/>
      <c r="AF268" s="71"/>
      <c r="AG268" s="71"/>
      <c r="AH268" s="71"/>
      <c r="AI268" s="71"/>
      <c r="AJ268" s="71"/>
      <c r="AK268" s="71"/>
      <c r="AL268" s="71"/>
      <c r="AM268" s="71"/>
      <c r="AN268" s="71"/>
      <c r="AO268" s="71"/>
      <c r="AP268" s="76"/>
      <c r="AQ268" s="81" t="e">
        <f>D86*(Burden!F$17)</f>
        <v>#VALUE!</v>
      </c>
      <c r="AR268" s="20">
        <f t="shared" si="41"/>
        <v>0</v>
      </c>
      <c r="AS268" s="81" t="e">
        <f>$AQ268*AD268/100/Burden!F$23</f>
        <v>#VALUE!</v>
      </c>
      <c r="AT268" s="180" t="e">
        <f t="shared" si="52"/>
        <v>#VALUE!</v>
      </c>
      <c r="AU268" s="180" t="e">
        <f t="shared" si="52"/>
        <v>#VALUE!</v>
      </c>
      <c r="AV268" s="180" t="e">
        <f t="shared" si="52"/>
        <v>#VALUE!</v>
      </c>
      <c r="AW268" s="180" t="e">
        <f t="shared" si="52"/>
        <v>#VALUE!</v>
      </c>
      <c r="AX268" s="180" t="e">
        <f t="shared" si="52"/>
        <v>#VALUE!</v>
      </c>
      <c r="AY268" s="180" t="e">
        <f t="shared" si="52"/>
        <v>#VALUE!</v>
      </c>
      <c r="AZ268" s="180" t="e">
        <f t="shared" si="52"/>
        <v>#VALUE!</v>
      </c>
      <c r="BA268" s="180" t="e">
        <f t="shared" si="52"/>
        <v>#VALUE!</v>
      </c>
      <c r="BB268" s="180" t="e">
        <f t="shared" si="52"/>
        <v>#VALUE!</v>
      </c>
      <c r="BC268" s="180" t="e">
        <f t="shared" si="52"/>
        <v>#VALUE!</v>
      </c>
      <c r="BD268" s="180" t="e">
        <f t="shared" si="52"/>
        <v>#VALUE!</v>
      </c>
      <c r="BE268" s="81" t="e" cm="1">
        <f t="array" ref="BE268">AQ268*AVERAGE(TableP0to5[[#This Row],[Jan-23]:[Dec-23]]/100*(Burden!$F$18+1))</f>
        <v>#VALUE!</v>
      </c>
      <c r="BF268" s="86" t="e">
        <f t="shared" si="47"/>
        <v>#VALUE!</v>
      </c>
      <c r="BG268" s="20"/>
      <c r="BH268" s="88" t="e">
        <f t="shared" si="48"/>
        <v>#VALUE!</v>
      </c>
      <c r="BY268"/>
      <c r="BZ268"/>
      <c r="CF268"/>
      <c r="CG268"/>
    </row>
    <row r="269" spans="28:85" ht="15.5" x14ac:dyDescent="0.35">
      <c r="AB269" s="20"/>
      <c r="AC269" s="20"/>
      <c r="AD269" s="71"/>
      <c r="AE269" s="71"/>
      <c r="AF269" s="71"/>
      <c r="AG269" s="71"/>
      <c r="AH269" s="71"/>
      <c r="AI269" s="71"/>
      <c r="AJ269" s="71"/>
      <c r="AK269" s="71"/>
      <c r="AL269" s="71"/>
      <c r="AM269" s="71"/>
      <c r="AN269" s="71"/>
      <c r="AO269" s="71"/>
      <c r="AP269" s="76"/>
      <c r="AQ269" s="81" t="e">
        <f>D87*(Burden!F$17)</f>
        <v>#VALUE!</v>
      </c>
      <c r="AR269" s="20">
        <f t="shared" si="41"/>
        <v>0</v>
      </c>
      <c r="AS269" s="81" t="e">
        <f>$AQ269*AD269/100/Burden!F$23</f>
        <v>#VALUE!</v>
      </c>
      <c r="AT269" s="180" t="e">
        <f t="shared" si="52"/>
        <v>#VALUE!</v>
      </c>
      <c r="AU269" s="180" t="e">
        <f t="shared" si="52"/>
        <v>#VALUE!</v>
      </c>
      <c r="AV269" s="180" t="e">
        <f t="shared" si="52"/>
        <v>#VALUE!</v>
      </c>
      <c r="AW269" s="180" t="e">
        <f t="shared" si="52"/>
        <v>#VALUE!</v>
      </c>
      <c r="AX269" s="180" t="e">
        <f t="shared" si="52"/>
        <v>#VALUE!</v>
      </c>
      <c r="AY269" s="180" t="e">
        <f t="shared" si="52"/>
        <v>#VALUE!</v>
      </c>
      <c r="AZ269" s="180" t="e">
        <f t="shared" si="52"/>
        <v>#VALUE!</v>
      </c>
      <c r="BA269" s="180" t="e">
        <f t="shared" si="52"/>
        <v>#VALUE!</v>
      </c>
      <c r="BB269" s="180" t="e">
        <f t="shared" si="52"/>
        <v>#VALUE!</v>
      </c>
      <c r="BC269" s="180" t="e">
        <f t="shared" si="52"/>
        <v>#VALUE!</v>
      </c>
      <c r="BD269" s="180" t="e">
        <f t="shared" si="52"/>
        <v>#VALUE!</v>
      </c>
      <c r="BE269" s="81" t="e" cm="1">
        <f t="array" ref="BE269">AQ269*AVERAGE(TableP0to5[[#This Row],[Jan-23]:[Dec-23]]/100*(Burden!$F$18+1))</f>
        <v>#VALUE!</v>
      </c>
      <c r="BF269" s="86" t="e">
        <f t="shared" si="47"/>
        <v>#VALUE!</v>
      </c>
      <c r="BG269" s="20"/>
      <c r="BH269" s="88" t="e">
        <f t="shared" si="48"/>
        <v>#VALUE!</v>
      </c>
      <c r="BY269"/>
      <c r="BZ269"/>
      <c r="CF269"/>
      <c r="CG269"/>
    </row>
    <row r="270" spans="28:85" ht="15.5" x14ac:dyDescent="0.35">
      <c r="AB270" s="20"/>
      <c r="AC270" s="20"/>
      <c r="AD270" s="71"/>
      <c r="AE270" s="71"/>
      <c r="AF270" s="71"/>
      <c r="AG270" s="71"/>
      <c r="AH270" s="71"/>
      <c r="AI270" s="71"/>
      <c r="AJ270" s="71"/>
      <c r="AK270" s="71"/>
      <c r="AL270" s="71"/>
      <c r="AM270" s="71"/>
      <c r="AN270" s="71"/>
      <c r="AO270" s="71"/>
      <c r="AP270" s="76"/>
      <c r="AQ270" s="71"/>
      <c r="AR270" s="20"/>
      <c r="BY270"/>
      <c r="BZ270"/>
      <c r="CF270"/>
      <c r="CG270"/>
    </row>
    <row r="271" spans="28:85" ht="15.5" x14ac:dyDescent="0.35">
      <c r="AB271" s="20"/>
      <c r="AC271" s="20"/>
      <c r="AD271" s="71"/>
      <c r="AE271" s="71"/>
      <c r="AF271" s="71"/>
      <c r="AG271" s="71"/>
      <c r="AH271" s="71"/>
      <c r="AI271" s="71"/>
      <c r="AJ271" s="20"/>
      <c r="AK271" s="20"/>
      <c r="AL271" s="20"/>
      <c r="AM271" s="20"/>
      <c r="AN271" s="20"/>
      <c r="AO271" s="20"/>
      <c r="AP271" s="20"/>
      <c r="AQ271" s="20"/>
      <c r="AR271" s="20"/>
      <c r="AS271" s="81"/>
      <c r="AT271" s="81"/>
      <c r="AU271" s="81"/>
      <c r="AV271" s="81"/>
      <c r="AW271" s="81"/>
      <c r="AX271" s="81"/>
      <c r="AY271" s="81"/>
      <c r="AZ271" s="81"/>
      <c r="BA271" s="81"/>
      <c r="BB271" s="81"/>
      <c r="BC271" s="81"/>
      <c r="BD271" s="81"/>
      <c r="BE271" s="81"/>
      <c r="BF271" s="20"/>
      <c r="BG271" s="20"/>
      <c r="BH271" s="20"/>
      <c r="BY271"/>
      <c r="BZ271"/>
      <c r="CF271"/>
      <c r="CG271"/>
    </row>
    <row r="272" spans="28:85" ht="15.5" x14ac:dyDescent="0.35">
      <c r="AB272" s="20"/>
      <c r="AC272" s="20"/>
      <c r="AD272" s="71"/>
      <c r="AE272" s="71"/>
      <c r="AF272" s="71"/>
      <c r="AG272" s="71"/>
      <c r="AH272" s="71"/>
      <c r="AI272" s="71"/>
      <c r="AJ272" s="71"/>
      <c r="AK272" s="71"/>
      <c r="AL272" s="71"/>
      <c r="AM272" s="71"/>
      <c r="AN272" s="71"/>
      <c r="AO272" s="71"/>
      <c r="AP272" s="76"/>
      <c r="AQ272" s="71"/>
      <c r="AR272" s="71"/>
      <c r="AS272" s="88">
        <f t="shared" ref="AS272:BD272" si="54">AS226</f>
        <v>3625.9780734348378</v>
      </c>
      <c r="AT272" s="88">
        <f t="shared" si="54"/>
        <v>6518.3503971566515</v>
      </c>
      <c r="AU272" s="88">
        <f t="shared" si="54"/>
        <v>7894.3116374971742</v>
      </c>
      <c r="AV272" s="88">
        <f t="shared" si="54"/>
        <v>9773.9096464250742</v>
      </c>
      <c r="AW272" s="88">
        <f t="shared" si="54"/>
        <v>11653.507655352971</v>
      </c>
      <c r="AX272" s="88">
        <f t="shared" si="54"/>
        <v>13029.468895693495</v>
      </c>
      <c r="AY272" s="88">
        <f t="shared" si="54"/>
        <v>13533.105664280869</v>
      </c>
      <c r="AZ272" s="88">
        <f t="shared" si="54"/>
        <v>13029.468895693495</v>
      </c>
      <c r="BA272" s="88">
        <f t="shared" si="54"/>
        <v>11653.507655352971</v>
      </c>
      <c r="BB272" s="88">
        <f t="shared" si="54"/>
        <v>9773.9096464250742</v>
      </c>
      <c r="BC272" s="88">
        <f t="shared" si="54"/>
        <v>7894.3116374971742</v>
      </c>
      <c r="BD272" s="88">
        <f t="shared" si="54"/>
        <v>6518.3503971566515</v>
      </c>
      <c r="BE272" s="81">
        <f>SUM(AS272:BD272)</f>
        <v>114898.18020196645</v>
      </c>
      <c r="BF272" s="20" t="s">
        <v>225</v>
      </c>
      <c r="BG272" s="20"/>
      <c r="BH272" s="20"/>
      <c r="BY272"/>
      <c r="BZ272"/>
      <c r="CF272"/>
      <c r="CG272"/>
    </row>
    <row r="273" spans="28:85" ht="15.5" x14ac:dyDescent="0.35">
      <c r="AB273" s="20"/>
      <c r="AC273" s="20"/>
      <c r="AD273" s="71"/>
      <c r="AE273" s="71"/>
      <c r="AF273" s="71"/>
      <c r="AG273" s="71"/>
      <c r="AH273" s="71"/>
      <c r="AI273" s="71"/>
      <c r="AJ273" s="71"/>
      <c r="AK273" s="71"/>
      <c r="AL273" s="71"/>
      <c r="AM273" s="71"/>
      <c r="AN273" s="71"/>
      <c r="AO273" s="71"/>
      <c r="AP273" s="76"/>
      <c r="AQ273" s="71"/>
      <c r="AR273" s="71"/>
      <c r="AS273" s="81">
        <f t="shared" ref="AS273:BD273" si="55">SUM(AS228:AS261)</f>
        <v>3622.1402555440613</v>
      </c>
      <c r="AT273" s="81">
        <f t="shared" si="55"/>
        <v>6511.4512264319756</v>
      </c>
      <c r="AU273" s="81">
        <f t="shared" si="55"/>
        <v>7885.9561180141072</v>
      </c>
      <c r="AV273" s="81">
        <f t="shared" si="55"/>
        <v>9763.5647175412778</v>
      </c>
      <c r="AW273" s="81">
        <f t="shared" si="55"/>
        <v>11641.173317068446</v>
      </c>
      <c r="AX273" s="81">
        <f t="shared" si="55"/>
        <v>13015.678208650579</v>
      </c>
      <c r="AY273" s="81">
        <f t="shared" si="55"/>
        <v>13518.781916595615</v>
      </c>
      <c r="AZ273" s="81">
        <f t="shared" si="55"/>
        <v>13015.678208650579</v>
      </c>
      <c r="BA273" s="81">
        <f t="shared" si="55"/>
        <v>11641.173317068446</v>
      </c>
      <c r="BB273" s="81">
        <f t="shared" si="55"/>
        <v>9763.5647175412778</v>
      </c>
      <c r="BC273" s="81">
        <f t="shared" si="55"/>
        <v>7885.9561180141072</v>
      </c>
      <c r="BD273" s="81">
        <f t="shared" si="55"/>
        <v>6511.4512264319756</v>
      </c>
      <c r="BE273" s="81">
        <f>SUM(AS273:BD273)</f>
        <v>114776.56934755245</v>
      </c>
      <c r="BF273" s="20" t="s">
        <v>226</v>
      </c>
      <c r="BG273" s="20"/>
      <c r="BH273" s="20"/>
      <c r="BY273"/>
      <c r="BZ273"/>
      <c r="CF273"/>
      <c r="CG273"/>
    </row>
    <row r="274" spans="28:85" ht="15.5" x14ac:dyDescent="0.35">
      <c r="AJ274" s="71"/>
      <c r="AK274" s="71"/>
      <c r="AL274" s="71"/>
      <c r="AM274" s="71"/>
      <c r="AN274" s="71"/>
      <c r="AO274" s="71"/>
      <c r="AP274" s="76"/>
      <c r="AQ274" s="71"/>
      <c r="AR274" s="71"/>
      <c r="AS274" s="81"/>
      <c r="AT274" s="81"/>
      <c r="AU274" s="81"/>
      <c r="AV274" s="81"/>
      <c r="AW274" s="81"/>
      <c r="AX274" s="81"/>
      <c r="AY274" s="81"/>
      <c r="AZ274" s="81"/>
      <c r="BA274" s="81"/>
      <c r="BB274" s="81"/>
      <c r="BC274" s="81"/>
      <c r="BD274" s="81"/>
      <c r="BE274" s="86">
        <f>BE273-BE272</f>
        <v>-121.61085441400064</v>
      </c>
      <c r="BF274" s="20" t="s">
        <v>227</v>
      </c>
      <c r="BG274" s="20"/>
      <c r="BH274" s="20"/>
      <c r="BY274"/>
      <c r="BZ274"/>
      <c r="CF274"/>
      <c r="CG274"/>
    </row>
    <row r="275" spans="28:85" ht="15.5" x14ac:dyDescent="0.35">
      <c r="AJ275" s="71"/>
      <c r="AK275" s="71"/>
      <c r="AL275" s="71"/>
      <c r="AM275" s="71"/>
      <c r="AN275" s="71"/>
      <c r="AO275" s="71"/>
      <c r="AP275" s="76"/>
      <c r="AQ275" s="71"/>
      <c r="AR275" s="71"/>
      <c r="AS275" s="81"/>
      <c r="AT275" s="81"/>
      <c r="AU275" s="81"/>
      <c r="AV275" s="81"/>
      <c r="AW275" s="81"/>
      <c r="AX275" s="81"/>
      <c r="AY275" s="81"/>
      <c r="AZ275" s="81"/>
      <c r="BA275" s="81"/>
      <c r="BB275" s="81"/>
      <c r="BC275" s="81"/>
      <c r="BD275" s="81"/>
      <c r="BE275" s="170">
        <f>ABS(BE274)/BE272*100</f>
        <v>0.10584228070473767</v>
      </c>
      <c r="BF275" s="20" t="s">
        <v>228</v>
      </c>
      <c r="BG275" s="20"/>
      <c r="BH275" s="20"/>
      <c r="BY275"/>
      <c r="BZ275"/>
      <c r="CF275"/>
      <c r="CG275"/>
    </row>
    <row r="276" spans="28:85" ht="15.5" x14ac:dyDescent="0.35">
      <c r="AS276" s="89"/>
      <c r="AT276" s="89"/>
      <c r="AU276" s="89"/>
      <c r="AV276" s="89"/>
      <c r="AW276" s="89"/>
      <c r="AX276" s="89"/>
      <c r="AY276" s="89"/>
      <c r="AZ276" s="89"/>
      <c r="BA276" s="89"/>
      <c r="BB276" s="89"/>
      <c r="BC276" s="89"/>
      <c r="BD276" s="89"/>
      <c r="BF276" s="20"/>
      <c r="BG276" s="20"/>
      <c r="BH276" s="20"/>
      <c r="BY276"/>
      <c r="BZ276"/>
      <c r="CF276"/>
      <c r="CG276"/>
    </row>
    <row r="277" spans="28:85" ht="15.5" x14ac:dyDescent="0.35">
      <c r="BE277" s="20" t="s">
        <v>234</v>
      </c>
      <c r="BY277"/>
      <c r="BZ277"/>
      <c r="CF277"/>
      <c r="CG277"/>
    </row>
    <row r="278" spans="28:85" ht="15.5" x14ac:dyDescent="0.35">
      <c r="AS278" s="89"/>
      <c r="BY278"/>
      <c r="BZ278"/>
      <c r="CF278"/>
      <c r="CG278"/>
    </row>
    <row r="279" spans="28:85" ht="15.5" x14ac:dyDescent="0.35">
      <c r="BY279"/>
      <c r="BZ279"/>
      <c r="CF279"/>
      <c r="CG279"/>
    </row>
    <row r="280" spans="28:85" ht="15.5" x14ac:dyDescent="0.35">
      <c r="BY280"/>
      <c r="BZ280"/>
      <c r="CF280"/>
      <c r="CG280"/>
    </row>
    <row r="281" spans="28:85" ht="15.5" x14ac:dyDescent="0.35">
      <c r="BY281"/>
      <c r="BZ281"/>
      <c r="CF281"/>
      <c r="CG281"/>
    </row>
    <row r="282" spans="28:85" ht="15.5" x14ac:dyDescent="0.35">
      <c r="BY282"/>
      <c r="BZ282"/>
      <c r="CF282"/>
      <c r="CG282"/>
    </row>
    <row r="283" spans="28:85" ht="15.5" x14ac:dyDescent="0.35">
      <c r="BY283"/>
      <c r="BZ283"/>
      <c r="CF283"/>
      <c r="CG283"/>
    </row>
    <row r="284" spans="28:85" ht="15.5" x14ac:dyDescent="0.35">
      <c r="BY284"/>
      <c r="BZ284"/>
      <c r="CF284"/>
      <c r="CG284"/>
    </row>
    <row r="285" spans="28:85" ht="15.5" x14ac:dyDescent="0.35">
      <c r="BY285"/>
      <c r="BZ285"/>
      <c r="CF285"/>
      <c r="CG285"/>
    </row>
    <row r="286" spans="28:85" ht="15.5" x14ac:dyDescent="0.35">
      <c r="BY286"/>
      <c r="BZ286"/>
      <c r="CF286"/>
      <c r="CG286"/>
    </row>
    <row r="287" spans="28:85" ht="15.5" x14ac:dyDescent="0.35">
      <c r="BY287"/>
      <c r="BZ287"/>
      <c r="CF287"/>
      <c r="CG287"/>
    </row>
    <row r="288" spans="28:85" ht="15.5" x14ac:dyDescent="0.35">
      <c r="BY288"/>
      <c r="BZ288"/>
      <c r="CF288"/>
      <c r="CG288"/>
    </row>
    <row r="289" spans="77:85" ht="15.5" x14ac:dyDescent="0.35">
      <c r="BY289"/>
      <c r="BZ289"/>
      <c r="CF289"/>
      <c r="CG289"/>
    </row>
    <row r="290" spans="77:85" ht="15.5" x14ac:dyDescent="0.35">
      <c r="BY290"/>
      <c r="BZ290"/>
      <c r="CF290"/>
      <c r="CG290"/>
    </row>
    <row r="291" spans="77:85" ht="15.5" x14ac:dyDescent="0.35">
      <c r="BY291"/>
      <c r="BZ291"/>
      <c r="CF291"/>
      <c r="CG291"/>
    </row>
    <row r="292" spans="77:85" ht="15.5" x14ac:dyDescent="0.35">
      <c r="BY292"/>
      <c r="BZ292"/>
      <c r="CF292"/>
      <c r="CG292"/>
    </row>
    <row r="293" spans="77:85" ht="15.5" x14ac:dyDescent="0.35">
      <c r="BY293"/>
      <c r="BZ293"/>
      <c r="CF293"/>
      <c r="CG293"/>
    </row>
    <row r="294" spans="77:85" ht="15.5" x14ac:dyDescent="0.35">
      <c r="BY294"/>
      <c r="BZ294"/>
      <c r="CF294"/>
      <c r="CG294"/>
    </row>
    <row r="295" spans="77:85" ht="15.5" x14ac:dyDescent="0.35">
      <c r="BY295"/>
      <c r="BZ295"/>
      <c r="CF295"/>
      <c r="CG295"/>
    </row>
    <row r="296" spans="77:85" ht="15.5" x14ac:dyDescent="0.35">
      <c r="BY296"/>
      <c r="BZ296"/>
      <c r="CF296"/>
      <c r="CG296"/>
    </row>
    <row r="297" spans="77:85" ht="15.5" x14ac:dyDescent="0.35">
      <c r="BY297"/>
      <c r="BZ297"/>
      <c r="CF297"/>
      <c r="CG297"/>
    </row>
    <row r="298" spans="77:85" ht="15.5" x14ac:dyDescent="0.35">
      <c r="BY298"/>
      <c r="BZ298"/>
      <c r="CF298"/>
      <c r="CG298"/>
    </row>
    <row r="299" spans="77:85" ht="15.5" x14ac:dyDescent="0.35">
      <c r="BY299"/>
      <c r="BZ299"/>
      <c r="CF299"/>
      <c r="CG299"/>
    </row>
    <row r="300" spans="77:85" ht="15.5" x14ac:dyDescent="0.35">
      <c r="BY300"/>
      <c r="BZ300"/>
      <c r="CF300"/>
      <c r="CG300"/>
    </row>
    <row r="301" spans="77:85" ht="15.5" x14ac:dyDescent="0.35">
      <c r="BY301"/>
      <c r="BZ301"/>
      <c r="CF301"/>
      <c r="CG301"/>
    </row>
    <row r="302" spans="77:85" ht="15.5" x14ac:dyDescent="0.35">
      <c r="BY302"/>
      <c r="BZ302"/>
      <c r="CF302"/>
      <c r="CG302"/>
    </row>
    <row r="303" spans="77:85" ht="15.5" x14ac:dyDescent="0.35">
      <c r="BY303"/>
      <c r="BZ303"/>
      <c r="CF303"/>
      <c r="CG303"/>
    </row>
    <row r="304" spans="77:85" ht="15.5" x14ac:dyDescent="0.35">
      <c r="BY304"/>
      <c r="BZ304"/>
      <c r="CF304"/>
      <c r="CG304"/>
    </row>
    <row r="305" spans="77:85" ht="15.5" x14ac:dyDescent="0.35">
      <c r="BY305"/>
      <c r="BZ305"/>
      <c r="CF305"/>
      <c r="CG305"/>
    </row>
    <row r="306" spans="77:85" ht="15.5" x14ac:dyDescent="0.35">
      <c r="BY306"/>
      <c r="BZ306"/>
      <c r="CF306"/>
      <c r="CG306"/>
    </row>
    <row r="307" spans="77:85" ht="15.5" x14ac:dyDescent="0.35">
      <c r="BY307"/>
      <c r="BZ307"/>
      <c r="CF307"/>
      <c r="CG307"/>
    </row>
    <row r="308" spans="77:85" ht="15.5" x14ac:dyDescent="0.35">
      <c r="BY308"/>
      <c r="BZ308"/>
      <c r="CF308"/>
      <c r="CG308"/>
    </row>
    <row r="309" spans="77:85" ht="15.5" x14ac:dyDescent="0.35">
      <c r="BY309"/>
      <c r="BZ309"/>
      <c r="CF309"/>
      <c r="CG309"/>
    </row>
    <row r="310" spans="77:85" ht="15.5" x14ac:dyDescent="0.35">
      <c r="BY310"/>
      <c r="BZ310"/>
      <c r="CF310"/>
      <c r="CG310"/>
    </row>
    <row r="311" spans="77:85" ht="15.5" x14ac:dyDescent="0.35">
      <c r="BY311"/>
      <c r="BZ311"/>
      <c r="CF311"/>
      <c r="CG311"/>
    </row>
    <row r="312" spans="77:85" ht="15.5" x14ac:dyDescent="0.35">
      <c r="BY312"/>
      <c r="BZ312"/>
      <c r="CF312"/>
      <c r="CG312"/>
    </row>
    <row r="313" spans="77:85" ht="15.5" x14ac:dyDescent="0.35">
      <c r="BY313"/>
      <c r="BZ313"/>
      <c r="CF313"/>
      <c r="CG313"/>
    </row>
    <row r="314" spans="77:85" ht="15.5" x14ac:dyDescent="0.35">
      <c r="BY314"/>
      <c r="BZ314"/>
      <c r="CF314"/>
      <c r="CG314"/>
    </row>
    <row r="315" spans="77:85" ht="15.5" x14ac:dyDescent="0.35">
      <c r="BY315"/>
      <c r="BZ315"/>
      <c r="CF315"/>
      <c r="CG315"/>
    </row>
    <row r="316" spans="77:85" ht="15.5" x14ac:dyDescent="0.35">
      <c r="BY316"/>
      <c r="BZ316"/>
      <c r="CF316"/>
      <c r="CG316"/>
    </row>
    <row r="317" spans="77:85" ht="15.5" x14ac:dyDescent="0.35">
      <c r="BY317"/>
      <c r="BZ317"/>
      <c r="CF317"/>
      <c r="CG317"/>
    </row>
    <row r="318" spans="77:85" ht="15.5" x14ac:dyDescent="0.35">
      <c r="BY318"/>
      <c r="BZ318"/>
      <c r="CF318"/>
      <c r="CG318"/>
    </row>
    <row r="319" spans="77:85" ht="15.5" x14ac:dyDescent="0.35">
      <c r="BY319"/>
      <c r="BZ319"/>
      <c r="CF319"/>
      <c r="CG319"/>
    </row>
    <row r="320" spans="77:85" ht="15.5" x14ac:dyDescent="0.35">
      <c r="BY320"/>
      <c r="BZ320"/>
      <c r="CF320"/>
      <c r="CG320"/>
    </row>
    <row r="321" spans="77:85" ht="15.5" x14ac:dyDescent="0.35">
      <c r="BY321"/>
      <c r="BZ321"/>
      <c r="CF321"/>
      <c r="CG321"/>
    </row>
    <row r="322" spans="77:85" ht="15.5" x14ac:dyDescent="0.35">
      <c r="BY322"/>
      <c r="BZ322"/>
      <c r="CF322"/>
      <c r="CG322"/>
    </row>
    <row r="323" spans="77:85" ht="15.5" x14ac:dyDescent="0.35">
      <c r="BY323"/>
      <c r="BZ323"/>
      <c r="CF323"/>
      <c r="CG323"/>
    </row>
    <row r="324" spans="77:85" ht="15.5" x14ac:dyDescent="0.35">
      <c r="BY324"/>
      <c r="BZ324"/>
      <c r="CF324"/>
      <c r="CG324"/>
    </row>
    <row r="325" spans="77:85" ht="15.5" x14ac:dyDescent="0.35">
      <c r="BY325"/>
      <c r="BZ325"/>
      <c r="CF325"/>
      <c r="CG325"/>
    </row>
    <row r="326" spans="77:85" ht="15.5" x14ac:dyDescent="0.35">
      <c r="BY326"/>
      <c r="BZ326"/>
      <c r="CF326"/>
      <c r="CG326"/>
    </row>
    <row r="327" spans="77:85" ht="15.5" x14ac:dyDescent="0.35">
      <c r="BY327"/>
      <c r="BZ327"/>
      <c r="CF327"/>
      <c r="CG327"/>
    </row>
    <row r="328" spans="77:85" ht="15.5" x14ac:dyDescent="0.35">
      <c r="BY328"/>
      <c r="BZ328"/>
      <c r="CF328"/>
      <c r="CG328"/>
    </row>
    <row r="329" spans="77:85" ht="15.5" x14ac:dyDescent="0.35">
      <c r="BY329"/>
      <c r="BZ329"/>
      <c r="CF329"/>
      <c r="CG329"/>
    </row>
    <row r="330" spans="77:85" ht="15.5" x14ac:dyDescent="0.35">
      <c r="BY330"/>
      <c r="BZ330"/>
      <c r="CF330"/>
      <c r="CG330"/>
    </row>
    <row r="331" spans="77:85" ht="15.5" x14ac:dyDescent="0.35">
      <c r="BY331"/>
      <c r="BZ331"/>
      <c r="CF331"/>
      <c r="CG331"/>
    </row>
    <row r="332" spans="77:85" ht="15.5" x14ac:dyDescent="0.35">
      <c r="BY332"/>
      <c r="BZ332"/>
      <c r="CF332"/>
      <c r="CG332"/>
    </row>
    <row r="333" spans="77:85" ht="15.5" x14ac:dyDescent="0.35">
      <c r="BY333"/>
      <c r="BZ333"/>
      <c r="CF333"/>
      <c r="CG333"/>
    </row>
    <row r="334" spans="77:85" ht="15.5" x14ac:dyDescent="0.35">
      <c r="BY334"/>
      <c r="BZ334"/>
      <c r="CF334"/>
      <c r="CG334"/>
    </row>
    <row r="335" spans="77:85" ht="15.5" x14ac:dyDescent="0.35">
      <c r="BY335"/>
      <c r="BZ335"/>
      <c r="CF335"/>
      <c r="CG335"/>
    </row>
    <row r="336" spans="77:85" ht="15.5" x14ac:dyDescent="0.35">
      <c r="BY336"/>
      <c r="BZ336"/>
      <c r="CF336"/>
      <c r="CG336"/>
    </row>
    <row r="337" spans="77:85" ht="15.5" x14ac:dyDescent="0.35">
      <c r="BY337"/>
      <c r="BZ337"/>
      <c r="CF337"/>
      <c r="CG337"/>
    </row>
    <row r="338" spans="77:85" ht="15.5" x14ac:dyDescent="0.35">
      <c r="BY338"/>
      <c r="BZ338"/>
      <c r="CF338"/>
      <c r="CG338"/>
    </row>
    <row r="339" spans="77:85" ht="15.5" x14ac:dyDescent="0.35">
      <c r="BY339"/>
      <c r="BZ339"/>
      <c r="CF339"/>
      <c r="CG339"/>
    </row>
    <row r="340" spans="77:85" ht="15.5" x14ac:dyDescent="0.35">
      <c r="BY340"/>
      <c r="BZ340"/>
      <c r="CF340"/>
      <c r="CG340"/>
    </row>
    <row r="341" spans="77:85" ht="15.5" x14ac:dyDescent="0.35">
      <c r="BY341"/>
      <c r="BZ341"/>
      <c r="CF341"/>
      <c r="CG341"/>
    </row>
    <row r="342" spans="77:85" ht="15.5" x14ac:dyDescent="0.35">
      <c r="BY342"/>
      <c r="BZ342"/>
      <c r="CF342"/>
      <c r="CG342"/>
    </row>
    <row r="343" spans="77:85" ht="15.5" x14ac:dyDescent="0.35">
      <c r="BY343"/>
      <c r="BZ343"/>
      <c r="CF343"/>
      <c r="CG343"/>
    </row>
    <row r="344" spans="77:85" ht="15.5" x14ac:dyDescent="0.35">
      <c r="BY344"/>
      <c r="BZ344"/>
      <c r="CF344"/>
      <c r="CG344"/>
    </row>
    <row r="345" spans="77:85" ht="15.5" x14ac:dyDescent="0.35">
      <c r="BY345"/>
      <c r="BZ345"/>
      <c r="CF345"/>
      <c r="CG345"/>
    </row>
    <row r="346" spans="77:85" ht="15.5" x14ac:dyDescent="0.35">
      <c r="BY346"/>
      <c r="BZ346"/>
      <c r="CF346"/>
      <c r="CG346"/>
    </row>
    <row r="347" spans="77:85" ht="15.5" x14ac:dyDescent="0.35">
      <c r="BY347"/>
      <c r="BZ347"/>
      <c r="CF347"/>
      <c r="CG347"/>
    </row>
    <row r="348" spans="77:85" ht="15.5" x14ac:dyDescent="0.35">
      <c r="BY348"/>
      <c r="BZ348"/>
      <c r="CF348"/>
      <c r="CG348"/>
    </row>
    <row r="349" spans="77:85" ht="15.5" x14ac:dyDescent="0.35">
      <c r="BY349"/>
      <c r="BZ349"/>
      <c r="CF349"/>
      <c r="CG349"/>
    </row>
    <row r="350" spans="77:85" ht="15.5" x14ac:dyDescent="0.35">
      <c r="BY350"/>
      <c r="BZ350"/>
      <c r="CF350"/>
      <c r="CG350"/>
    </row>
    <row r="351" spans="77:85" ht="15.5" x14ac:dyDescent="0.35">
      <c r="BY351"/>
      <c r="BZ351"/>
      <c r="CF351"/>
      <c r="CG351"/>
    </row>
    <row r="352" spans="77:85" ht="15.5" x14ac:dyDescent="0.35">
      <c r="BY352"/>
      <c r="BZ352"/>
      <c r="CF352"/>
      <c r="CG352"/>
    </row>
    <row r="353" spans="77:85" ht="15.5" x14ac:dyDescent="0.35">
      <c r="BY353"/>
      <c r="BZ353"/>
      <c r="CF353"/>
      <c r="CG353"/>
    </row>
    <row r="354" spans="77:85" ht="15.5" x14ac:dyDescent="0.35">
      <c r="BY354"/>
      <c r="BZ354"/>
      <c r="CF354"/>
      <c r="CG354"/>
    </row>
    <row r="355" spans="77:85" ht="15.5" x14ac:dyDescent="0.35">
      <c r="BY355"/>
      <c r="BZ355"/>
      <c r="CF355"/>
      <c r="CG355"/>
    </row>
    <row r="356" spans="77:85" ht="15.5" x14ac:dyDescent="0.35">
      <c r="BY356"/>
      <c r="BZ356"/>
      <c r="CF356"/>
      <c r="CG356"/>
    </row>
    <row r="357" spans="77:85" ht="15.5" x14ac:dyDescent="0.35">
      <c r="BY357"/>
      <c r="BZ357"/>
      <c r="CF357"/>
      <c r="CG357"/>
    </row>
    <row r="358" spans="77:85" ht="15.5" x14ac:dyDescent="0.35">
      <c r="BY358"/>
      <c r="BZ358"/>
      <c r="CF358"/>
      <c r="CG358"/>
    </row>
    <row r="359" spans="77:85" ht="15.5" x14ac:dyDescent="0.35">
      <c r="BY359"/>
      <c r="BZ359"/>
      <c r="CF359"/>
      <c r="CG359"/>
    </row>
    <row r="360" spans="77:85" ht="15.5" x14ac:dyDescent="0.35">
      <c r="BY360"/>
      <c r="BZ360"/>
      <c r="CF360"/>
      <c r="CG360"/>
    </row>
    <row r="361" spans="77:85" ht="15.5" x14ac:dyDescent="0.35">
      <c r="BY361"/>
      <c r="BZ361"/>
      <c r="CF361"/>
      <c r="CG361"/>
    </row>
    <row r="362" spans="77:85" ht="15.5" x14ac:dyDescent="0.35">
      <c r="BY362"/>
      <c r="BZ362"/>
      <c r="CF362"/>
      <c r="CG362"/>
    </row>
    <row r="363" spans="77:85" ht="15.5" x14ac:dyDescent="0.35">
      <c r="BY363"/>
      <c r="BZ363"/>
      <c r="CF363"/>
      <c r="CG363"/>
    </row>
    <row r="364" spans="77:85" ht="15.5" x14ac:dyDescent="0.35">
      <c r="BY364"/>
      <c r="BZ364"/>
      <c r="CF364"/>
      <c r="CG364"/>
    </row>
    <row r="365" spans="77:85" ht="15.5" x14ac:dyDescent="0.35">
      <c r="BY365"/>
      <c r="BZ365"/>
      <c r="CF365"/>
      <c r="CG365"/>
    </row>
    <row r="366" spans="77:85" ht="15.5" x14ac:dyDescent="0.35">
      <c r="BY366"/>
      <c r="BZ366"/>
      <c r="CF366"/>
      <c r="CG366"/>
    </row>
    <row r="367" spans="77:85" ht="15.5" x14ac:dyDescent="0.35">
      <c r="BY367"/>
      <c r="BZ367"/>
      <c r="CF367"/>
      <c r="CG367"/>
    </row>
    <row r="368" spans="77:85" ht="15.5" x14ac:dyDescent="0.35">
      <c r="BY368"/>
      <c r="BZ368"/>
      <c r="CF368"/>
      <c r="CG368"/>
    </row>
    <row r="369" spans="77:85" ht="15.5" x14ac:dyDescent="0.35">
      <c r="BY369"/>
      <c r="BZ369"/>
      <c r="CF369"/>
      <c r="CG369"/>
    </row>
    <row r="370" spans="77:85" ht="15.5" x14ac:dyDescent="0.35">
      <c r="BY370"/>
      <c r="BZ370"/>
      <c r="CF370"/>
      <c r="CG370"/>
    </row>
    <row r="371" spans="77:85" ht="15.5" x14ac:dyDescent="0.35">
      <c r="BY371"/>
      <c r="BZ371"/>
      <c r="CF371"/>
      <c r="CG371"/>
    </row>
    <row r="372" spans="77:85" ht="15.5" x14ac:dyDescent="0.35">
      <c r="BY372"/>
      <c r="BZ372"/>
      <c r="CF372"/>
      <c r="CG372"/>
    </row>
    <row r="373" spans="77:85" ht="15.5" x14ac:dyDescent="0.35">
      <c r="BY373"/>
      <c r="BZ373"/>
      <c r="CF373"/>
      <c r="CG373"/>
    </row>
    <row r="374" spans="77:85" ht="15.5" x14ac:dyDescent="0.35">
      <c r="BY374"/>
      <c r="BZ374"/>
      <c r="CF374"/>
      <c r="CG374"/>
    </row>
    <row r="375" spans="77:85" ht="15.5" x14ac:dyDescent="0.35">
      <c r="BY375"/>
      <c r="BZ375"/>
      <c r="CF375"/>
      <c r="CG375"/>
    </row>
    <row r="376" spans="77:85" ht="15.5" x14ac:dyDescent="0.35">
      <c r="BY376"/>
      <c r="BZ376"/>
      <c r="CF376"/>
      <c r="CG376"/>
    </row>
    <row r="377" spans="77:85" ht="15.5" x14ac:dyDescent="0.35">
      <c r="BY377"/>
      <c r="BZ377"/>
      <c r="CF377"/>
      <c r="CG377"/>
    </row>
    <row r="378" spans="77:85" ht="15.5" x14ac:dyDescent="0.35">
      <c r="BY378"/>
      <c r="BZ378"/>
      <c r="CF378"/>
      <c r="CG378"/>
    </row>
    <row r="379" spans="77:85" ht="15.5" x14ac:dyDescent="0.35">
      <c r="BY379"/>
      <c r="BZ379"/>
      <c r="CF379"/>
      <c r="CG379"/>
    </row>
    <row r="380" spans="77:85" ht="15.5" x14ac:dyDescent="0.35">
      <c r="BY380"/>
      <c r="BZ380"/>
      <c r="CF380"/>
      <c r="CG380"/>
    </row>
    <row r="381" spans="77:85" ht="15.5" x14ac:dyDescent="0.35">
      <c r="BY381"/>
      <c r="BZ381"/>
      <c r="CF381"/>
      <c r="CG381"/>
    </row>
    <row r="382" spans="77:85" ht="15.5" x14ac:dyDescent="0.35">
      <c r="BY382"/>
      <c r="BZ382"/>
      <c r="CF382"/>
      <c r="CG382"/>
    </row>
    <row r="383" spans="77:85" ht="15.5" x14ac:dyDescent="0.35">
      <c r="BY383"/>
      <c r="BZ383"/>
      <c r="CF383"/>
      <c r="CG383"/>
    </row>
    <row r="384" spans="77:85" ht="15.5" x14ac:dyDescent="0.35">
      <c r="BY384"/>
      <c r="BZ384"/>
      <c r="CF384"/>
      <c r="CG384"/>
    </row>
    <row r="385" spans="77:85" ht="15.5" x14ac:dyDescent="0.35">
      <c r="BY385"/>
      <c r="BZ385"/>
      <c r="CF385"/>
      <c r="CG385"/>
    </row>
    <row r="386" spans="77:85" ht="15.5" x14ac:dyDescent="0.35">
      <c r="BY386"/>
      <c r="BZ386"/>
      <c r="CF386"/>
      <c r="CG386"/>
    </row>
    <row r="387" spans="77:85" ht="15.5" x14ac:dyDescent="0.35">
      <c r="BY387"/>
      <c r="BZ387"/>
      <c r="CF387"/>
      <c r="CG387"/>
    </row>
    <row r="388" spans="77:85" ht="15.5" x14ac:dyDescent="0.35">
      <c r="BY388"/>
      <c r="BZ388"/>
      <c r="CF388"/>
      <c r="CG388"/>
    </row>
    <row r="389" spans="77:85" ht="15.5" x14ac:dyDescent="0.35">
      <c r="BY389"/>
      <c r="BZ389"/>
      <c r="CF389"/>
      <c r="CG389"/>
    </row>
    <row r="390" spans="77:85" ht="15.5" x14ac:dyDescent="0.35">
      <c r="BY390"/>
      <c r="BZ390"/>
      <c r="CF390"/>
      <c r="CG390"/>
    </row>
    <row r="391" spans="77:85" ht="15.5" x14ac:dyDescent="0.35">
      <c r="BY391"/>
      <c r="BZ391"/>
      <c r="CF391"/>
      <c r="CG391"/>
    </row>
    <row r="392" spans="77:85" ht="15.5" x14ac:dyDescent="0.35">
      <c r="BY392"/>
      <c r="BZ392"/>
      <c r="CF392"/>
      <c r="CG392"/>
    </row>
    <row r="393" spans="77:85" ht="15.5" x14ac:dyDescent="0.35">
      <c r="BY393"/>
      <c r="BZ393"/>
      <c r="CG393"/>
    </row>
    <row r="394" spans="77:85" ht="15.5" x14ac:dyDescent="0.35">
      <c r="BY394"/>
      <c r="BZ394"/>
      <c r="CG394"/>
    </row>
    <row r="395" spans="77:85" ht="15.5" x14ac:dyDescent="0.35">
      <c r="BY395"/>
      <c r="BZ395"/>
      <c r="CG395"/>
    </row>
    <row r="396" spans="77:85" ht="15.5" x14ac:dyDescent="0.35">
      <c r="BY396"/>
      <c r="BZ396"/>
      <c r="CG396"/>
    </row>
    <row r="397" spans="77:85" ht="15.5" x14ac:dyDescent="0.35">
      <c r="BY397"/>
      <c r="BZ397"/>
      <c r="CG397"/>
    </row>
    <row r="398" spans="77:85" ht="15.5" x14ac:dyDescent="0.35">
      <c r="BY398"/>
      <c r="BZ398"/>
      <c r="CG398"/>
    </row>
    <row r="399" spans="77:85" ht="15.5" x14ac:dyDescent="0.35">
      <c r="BY399"/>
      <c r="BZ399"/>
      <c r="CG399"/>
    </row>
    <row r="400" spans="77:85" ht="15.5" x14ac:dyDescent="0.35">
      <c r="BY400"/>
      <c r="BZ400"/>
      <c r="CG400"/>
    </row>
    <row r="401" spans="77:85" ht="15.5" x14ac:dyDescent="0.35">
      <c r="BY401"/>
      <c r="BZ401"/>
      <c r="CG401"/>
    </row>
    <row r="402" spans="77:85" ht="15.5" x14ac:dyDescent="0.35">
      <c r="BY402"/>
      <c r="BZ402"/>
      <c r="CG402"/>
    </row>
    <row r="403" spans="77:85" ht="15.5" x14ac:dyDescent="0.35">
      <c r="BY403"/>
      <c r="BZ403"/>
      <c r="CG403"/>
    </row>
    <row r="404" spans="77:85" ht="15.5" x14ac:dyDescent="0.35">
      <c r="BY404"/>
      <c r="BZ404"/>
      <c r="CG404"/>
    </row>
    <row r="405" spans="77:85" ht="15.5" x14ac:dyDescent="0.35">
      <c r="BY405"/>
      <c r="BZ405"/>
      <c r="CG405"/>
    </row>
    <row r="406" spans="77:85" ht="15.5" x14ac:dyDescent="0.35">
      <c r="BY406"/>
      <c r="BZ406"/>
      <c r="CG406"/>
    </row>
    <row r="407" spans="77:85" ht="15.5" x14ac:dyDescent="0.35">
      <c r="BY407"/>
      <c r="BZ407"/>
      <c r="CG407"/>
    </row>
    <row r="408" spans="77:85" ht="15.5" x14ac:dyDescent="0.35">
      <c r="BY408"/>
      <c r="BZ408"/>
      <c r="CG408"/>
    </row>
    <row r="409" spans="77:85" ht="15.5" x14ac:dyDescent="0.35">
      <c r="BY409"/>
      <c r="BZ409"/>
      <c r="CG409"/>
    </row>
    <row r="410" spans="77:85" ht="15.5" x14ac:dyDescent="0.35">
      <c r="BY410"/>
      <c r="BZ410"/>
      <c r="CG410"/>
    </row>
    <row r="411" spans="77:85" ht="15.5" x14ac:dyDescent="0.35">
      <c r="BY411"/>
      <c r="BZ411"/>
      <c r="CG411"/>
    </row>
    <row r="412" spans="77:85" ht="15.5" x14ac:dyDescent="0.35">
      <c r="BY412"/>
      <c r="BZ412"/>
      <c r="CG412"/>
    </row>
    <row r="413" spans="77:85" ht="15.5" x14ac:dyDescent="0.35">
      <c r="BY413"/>
      <c r="BZ413"/>
      <c r="CG413"/>
    </row>
    <row r="414" spans="77:85" ht="15.5" x14ac:dyDescent="0.35">
      <c r="BY414"/>
      <c r="BZ414"/>
      <c r="CG414"/>
    </row>
    <row r="415" spans="77:85" ht="15.5" x14ac:dyDescent="0.35">
      <c r="BY415"/>
      <c r="BZ415"/>
      <c r="CG415"/>
    </row>
    <row r="416" spans="77:85" ht="15.5" x14ac:dyDescent="0.35">
      <c r="BY416"/>
      <c r="BZ416"/>
      <c r="CG416"/>
    </row>
    <row r="417" spans="77:85" ht="15.5" x14ac:dyDescent="0.35">
      <c r="BY417"/>
      <c r="BZ417"/>
      <c r="CG417"/>
    </row>
    <row r="418" spans="77:85" ht="15.5" x14ac:dyDescent="0.35">
      <c r="BY418"/>
      <c r="BZ418"/>
      <c r="CG418"/>
    </row>
    <row r="419" spans="77:85" ht="15.5" x14ac:dyDescent="0.35">
      <c r="BY419"/>
      <c r="BZ419"/>
      <c r="CG419"/>
    </row>
    <row r="420" spans="77:85" ht="15.5" x14ac:dyDescent="0.35">
      <c r="BY420"/>
      <c r="BZ420"/>
      <c r="CG420"/>
    </row>
    <row r="421" spans="77:85" ht="15.5" x14ac:dyDescent="0.35">
      <c r="BY421"/>
      <c r="BZ421"/>
      <c r="CG421"/>
    </row>
    <row r="422" spans="77:85" ht="15.5" x14ac:dyDescent="0.35">
      <c r="BY422"/>
      <c r="BZ422"/>
      <c r="CG422"/>
    </row>
    <row r="423" spans="77:85" ht="15.5" x14ac:dyDescent="0.35">
      <c r="BY423"/>
      <c r="BZ423"/>
      <c r="CG423"/>
    </row>
    <row r="424" spans="77:85" ht="15.5" x14ac:dyDescent="0.35">
      <c r="BY424"/>
      <c r="BZ424"/>
      <c r="CG424"/>
    </row>
    <row r="425" spans="77:85" ht="15.5" x14ac:dyDescent="0.35">
      <c r="BY425"/>
      <c r="BZ425"/>
      <c r="CG425"/>
    </row>
    <row r="426" spans="77:85" ht="15.5" x14ac:dyDescent="0.35">
      <c r="BY426"/>
      <c r="BZ426"/>
    </row>
    <row r="427" spans="77:85" ht="15.5" x14ac:dyDescent="0.35">
      <c r="BY427"/>
      <c r="BZ427"/>
    </row>
    <row r="428" spans="77:85" ht="15.5" x14ac:dyDescent="0.35">
      <c r="BY428"/>
      <c r="BZ428"/>
    </row>
    <row r="429" spans="77:85" ht="15.5" x14ac:dyDescent="0.35">
      <c r="BY429"/>
      <c r="BZ429"/>
    </row>
  </sheetData>
  <phoneticPr fontId="31" type="noConversion"/>
  <pageMargins left="0.7" right="0.7" top="0.75" bottom="0.75" header="0.3" footer="0.3"/>
  <pageSetup orientation="portrait" r:id="rId5"/>
  <ignoredErrors>
    <ignoredError sqref="AX139:AX140" formula="1"/>
  </ignoredErrors>
  <drawing r:id="rId6"/>
  <tableParts count="2">
    <tablePart r:id="rId7"/>
    <tablePart r:id="rId8"/>
  </tableParts>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tabColor rgb="FFC00000"/>
  </sheetPr>
  <dimension ref="A1:DC417"/>
  <sheetViews>
    <sheetView topLeftCell="A12" zoomScale="80" zoomScaleNormal="80" zoomScalePageLayoutView="80" workbookViewId="0">
      <selection activeCell="I44" sqref="I44"/>
    </sheetView>
  </sheetViews>
  <sheetFormatPr defaultColWidth="7.08203125" defaultRowHeight="13" x14ac:dyDescent="0.3"/>
  <cols>
    <col min="1" max="1" width="1.83203125" style="12" customWidth="1"/>
    <col min="2" max="2" width="17.5" style="12" customWidth="1"/>
    <col min="3" max="3" width="17.08203125" style="12" customWidth="1"/>
    <col min="4" max="4" width="18.75" style="12" customWidth="1"/>
    <col min="5" max="5" width="25.08203125" style="13" customWidth="1"/>
    <col min="6" max="6" width="13.33203125" style="12" customWidth="1"/>
    <col min="7" max="7" width="12.5" style="12" customWidth="1"/>
    <col min="8" max="8" width="6.83203125" style="12" customWidth="1"/>
    <col min="9" max="20" width="9.5" style="12" customWidth="1"/>
    <col min="21" max="21" width="15.58203125" style="12" customWidth="1"/>
    <col min="22" max="24" width="17.58203125" style="12" customWidth="1"/>
    <col min="25" max="25" width="16.58203125" style="12" bestFit="1" customWidth="1"/>
    <col min="26" max="26" width="17.08203125" style="12" bestFit="1" customWidth="1"/>
    <col min="27" max="27" width="11.33203125" style="12" bestFit="1" customWidth="1"/>
    <col min="28" max="28" width="7.83203125" style="12" bestFit="1" customWidth="1"/>
    <col min="29" max="29" width="5.83203125" style="12" bestFit="1" customWidth="1"/>
    <col min="30" max="30" width="7.75" style="12" bestFit="1" customWidth="1"/>
    <col min="31" max="31" width="8.08203125" style="12" bestFit="1" customWidth="1"/>
    <col min="32" max="32" width="6" style="12" bestFit="1" customWidth="1"/>
    <col min="33" max="33" width="7" style="12" bestFit="1" customWidth="1"/>
    <col min="34" max="34" width="6.75" style="12" bestFit="1" customWidth="1"/>
    <col min="35" max="35" width="5.25" style="12" bestFit="1" customWidth="1"/>
    <col min="36" max="36" width="8.58203125" style="12" bestFit="1" customWidth="1"/>
    <col min="37" max="37" width="5.5" style="12" bestFit="1" customWidth="1"/>
    <col min="38" max="38" width="7.58203125" style="12" bestFit="1" customWidth="1"/>
    <col min="39" max="39" width="6.08203125" style="12" bestFit="1" customWidth="1"/>
    <col min="40" max="40" width="9.5" style="12" bestFit="1" customWidth="1"/>
    <col min="41" max="41" width="6.75" style="12" bestFit="1" customWidth="1"/>
    <col min="42" max="42" width="6.08203125" style="12" bestFit="1" customWidth="1"/>
    <col min="43" max="43" width="6.33203125" style="12" bestFit="1" customWidth="1"/>
    <col min="44" max="44" width="7.33203125" style="12" bestFit="1" customWidth="1"/>
    <col min="45" max="45" width="8.83203125" style="12" bestFit="1" customWidth="1"/>
    <col min="46" max="46" width="6" style="12" bestFit="1" customWidth="1"/>
    <col min="47" max="47" width="10.08203125" style="12" bestFit="1" customWidth="1"/>
    <col min="48" max="48" width="7" style="12" bestFit="1" customWidth="1"/>
    <col min="49" max="49" width="8.25" style="12" bestFit="1" customWidth="1"/>
    <col min="50" max="50" width="7.33203125" style="12" bestFit="1" customWidth="1"/>
    <col min="51" max="51" width="6.75" style="12" bestFit="1" customWidth="1"/>
    <col min="52" max="52" width="8.33203125" style="12" bestFit="1" customWidth="1"/>
    <col min="53" max="53" width="7.33203125" style="12" bestFit="1" customWidth="1"/>
    <col min="54" max="54" width="9.58203125" style="12" bestFit="1" customWidth="1"/>
    <col min="55" max="55" width="8.83203125" style="12" bestFit="1" customWidth="1"/>
    <col min="56" max="56" width="7.08203125" style="12" bestFit="1" customWidth="1"/>
    <col min="57" max="57" width="7.83203125" style="12" bestFit="1" customWidth="1"/>
    <col min="58" max="58" width="7.75" style="12" bestFit="1" customWidth="1"/>
    <col min="59" max="59" width="5.75" style="12" bestFit="1" customWidth="1"/>
    <col min="60" max="60" width="11.33203125" style="12" bestFit="1" customWidth="1"/>
    <col min="61" max="61" width="13" style="12" bestFit="1" customWidth="1"/>
    <col min="62" max="62" width="13" style="12" customWidth="1"/>
    <col min="63" max="78" width="13" style="12" bestFit="1" customWidth="1"/>
    <col min="79" max="79" width="8.33203125" style="12" bestFit="1" customWidth="1"/>
    <col min="80" max="80" width="3.5" style="12" bestFit="1" customWidth="1"/>
    <col min="81" max="81" width="7.58203125" style="12" bestFit="1" customWidth="1"/>
    <col min="82" max="82" width="11" style="12" bestFit="1" customWidth="1"/>
    <col min="83" max="83" width="23.08203125" style="12" bestFit="1" customWidth="1"/>
    <col min="84" max="84" width="13.25" style="12" bestFit="1" customWidth="1"/>
    <col min="85" max="115" width="23.08203125" style="12" bestFit="1" customWidth="1"/>
    <col min="116" max="116" width="15.75" style="12" bestFit="1" customWidth="1"/>
    <col min="117" max="119" width="14" style="12" bestFit="1" customWidth="1"/>
    <col min="120" max="120" width="15.75" style="12" bestFit="1" customWidth="1"/>
    <col min="121" max="122" width="8.33203125" style="12" bestFit="1" customWidth="1"/>
    <col min="123" max="123" width="3.5" style="12" bestFit="1" customWidth="1"/>
    <col min="124" max="125" width="8.33203125" style="12" bestFit="1" customWidth="1"/>
    <col min="126" max="126" width="3.5" style="12" bestFit="1" customWidth="1"/>
    <col min="127" max="128" width="8.33203125" style="12" bestFit="1" customWidth="1"/>
    <col min="129" max="129" width="3.5" style="12" bestFit="1" customWidth="1"/>
    <col min="130" max="131" width="8.33203125" style="12" bestFit="1" customWidth="1"/>
    <col min="132" max="132" width="3.5" style="12" bestFit="1" customWidth="1"/>
    <col min="133" max="134" width="8.33203125" style="12" bestFit="1" customWidth="1"/>
    <col min="135" max="135" width="11.33203125" style="12" bestFit="1" customWidth="1"/>
    <col min="136" max="16384" width="7.08203125" style="12"/>
  </cols>
  <sheetData>
    <row r="1" spans="2:77" s="78" customFormat="1" x14ac:dyDescent="0.3">
      <c r="C1" s="78" t="s">
        <v>10</v>
      </c>
      <c r="D1" s="78" t="s">
        <v>10</v>
      </c>
      <c r="E1" s="78" t="s">
        <v>10</v>
      </c>
      <c r="F1" s="78" t="s">
        <v>10</v>
      </c>
      <c r="G1" s="78" t="s">
        <v>10</v>
      </c>
      <c r="I1" s="78" t="s">
        <v>10</v>
      </c>
      <c r="J1" s="78" t="s">
        <v>10</v>
      </c>
      <c r="K1" s="78" t="s">
        <v>10</v>
      </c>
      <c r="L1" s="78" t="s">
        <v>10</v>
      </c>
      <c r="M1" s="78" t="s">
        <v>10</v>
      </c>
      <c r="N1" s="78" t="s">
        <v>10</v>
      </c>
      <c r="V1" s="78" t="s">
        <v>10</v>
      </c>
      <c r="W1" s="78" t="s">
        <v>10</v>
      </c>
      <c r="X1" s="78" t="s">
        <v>10</v>
      </c>
      <c r="Y1" s="78" t="s">
        <v>10</v>
      </c>
      <c r="Z1" s="78" t="s">
        <v>10</v>
      </c>
      <c r="AA1" s="78" t="s">
        <v>10</v>
      </c>
      <c r="AB1" s="78" t="s">
        <v>10</v>
      </c>
      <c r="AC1" s="78" t="s">
        <v>10</v>
      </c>
      <c r="AD1" s="78" t="s">
        <v>10</v>
      </c>
      <c r="AE1" s="78" t="s">
        <v>10</v>
      </c>
      <c r="AF1" s="78" t="s">
        <v>10</v>
      </c>
      <c r="AG1" s="78" t="s">
        <v>10</v>
      </c>
      <c r="AH1" s="78" t="s">
        <v>10</v>
      </c>
      <c r="AI1" s="78" t="s">
        <v>10</v>
      </c>
      <c r="AJ1" s="78" t="s">
        <v>10</v>
      </c>
      <c r="AK1" s="78" t="s">
        <v>10</v>
      </c>
      <c r="AL1" s="78" t="s">
        <v>10</v>
      </c>
      <c r="AM1" s="78" t="s">
        <v>10</v>
      </c>
      <c r="AN1" s="78" t="s">
        <v>10</v>
      </c>
      <c r="AO1" s="78" t="s">
        <v>10</v>
      </c>
      <c r="AP1" s="78" t="s">
        <v>10</v>
      </c>
      <c r="AQ1" s="78" t="s">
        <v>10</v>
      </c>
      <c r="AR1" s="78" t="s">
        <v>10</v>
      </c>
      <c r="AS1" s="78" t="s">
        <v>10</v>
      </c>
      <c r="AT1" s="78" t="s">
        <v>10</v>
      </c>
      <c r="AU1" s="78" t="s">
        <v>10</v>
      </c>
      <c r="AV1" s="78" t="s">
        <v>10</v>
      </c>
      <c r="AW1" s="78" t="s">
        <v>10</v>
      </c>
      <c r="AX1" s="78" t="s">
        <v>10</v>
      </c>
      <c r="AY1" s="78" t="s">
        <v>10</v>
      </c>
      <c r="AZ1" s="78" t="s">
        <v>10</v>
      </c>
      <c r="BA1" s="78" t="s">
        <v>10</v>
      </c>
      <c r="BB1" s="78" t="s">
        <v>10</v>
      </c>
      <c r="BC1" s="78" t="s">
        <v>10</v>
      </c>
      <c r="BD1" s="78" t="s">
        <v>10</v>
      </c>
      <c r="BE1" s="78" t="s">
        <v>10</v>
      </c>
      <c r="BF1" s="78" t="s">
        <v>10</v>
      </c>
      <c r="BG1" s="78" t="s">
        <v>10</v>
      </c>
      <c r="BH1" s="78" t="s">
        <v>10</v>
      </c>
      <c r="BI1" s="78" t="s">
        <v>10</v>
      </c>
      <c r="BJ1" s="78" t="s">
        <v>10</v>
      </c>
      <c r="BK1" s="78" t="s">
        <v>10</v>
      </c>
      <c r="BL1" s="78" t="s">
        <v>10</v>
      </c>
      <c r="BM1" s="78" t="s">
        <v>10</v>
      </c>
      <c r="BN1" s="78" t="s">
        <v>10</v>
      </c>
      <c r="BO1" s="78" t="s">
        <v>10</v>
      </c>
      <c r="BP1" s="78" t="s">
        <v>10</v>
      </c>
      <c r="BQ1" s="78" t="s">
        <v>10</v>
      </c>
      <c r="BR1" s="78" t="s">
        <v>10</v>
      </c>
      <c r="BS1" s="78" t="s">
        <v>10</v>
      </c>
      <c r="BT1" s="78" t="s">
        <v>10</v>
      </c>
      <c r="BU1" s="78" t="s">
        <v>10</v>
      </c>
      <c r="BV1" s="78" t="s">
        <v>10</v>
      </c>
      <c r="BW1" s="78" t="s">
        <v>10</v>
      </c>
      <c r="BX1" s="78" t="s">
        <v>10</v>
      </c>
      <c r="BY1" s="78" t="s">
        <v>10</v>
      </c>
    </row>
    <row r="2" spans="2:77" x14ac:dyDescent="0.3">
      <c r="B2" s="12" t="s">
        <v>11</v>
      </c>
      <c r="E2" s="12"/>
      <c r="F2" s="13"/>
    </row>
    <row r="3" spans="2:77" x14ac:dyDescent="0.3">
      <c r="B3" s="195" t="s">
        <v>235</v>
      </c>
      <c r="E3" s="12"/>
      <c r="F3" s="13"/>
    </row>
    <row r="4" spans="2:77" x14ac:dyDescent="0.3">
      <c r="B4" s="196" t="s">
        <v>426</v>
      </c>
      <c r="E4" s="12"/>
      <c r="F4" s="13"/>
    </row>
    <row r="5" spans="2:77" x14ac:dyDescent="0.3">
      <c r="B5" s="189" t="s">
        <v>237</v>
      </c>
      <c r="E5" s="12"/>
      <c r="F5" s="13"/>
    </row>
    <row r="6" spans="2:77" x14ac:dyDescent="0.3">
      <c r="B6" s="197" t="s">
        <v>235</v>
      </c>
    </row>
    <row r="7" spans="2:77" x14ac:dyDescent="0.3">
      <c r="B7" s="197" t="s">
        <v>426</v>
      </c>
    </row>
    <row r="8" spans="2:77" x14ac:dyDescent="0.3">
      <c r="B8" s="197" t="s">
        <v>238</v>
      </c>
    </row>
    <row r="9" spans="2:77" x14ac:dyDescent="0.3">
      <c r="B9" s="197" t="s">
        <v>427</v>
      </c>
    </row>
    <row r="10" spans="2:77" x14ac:dyDescent="0.3">
      <c r="B10" s="197" t="s">
        <v>240</v>
      </c>
    </row>
    <row r="11" spans="2:77" x14ac:dyDescent="0.3">
      <c r="B11" s="197" t="s">
        <v>426</v>
      </c>
    </row>
    <row r="12" spans="2:77" x14ac:dyDescent="0.3">
      <c r="B12" s="12" t="s">
        <v>428</v>
      </c>
    </row>
    <row r="14" spans="2:77" ht="24.75" customHeight="1" x14ac:dyDescent="0.5">
      <c r="B14" s="21" t="s">
        <v>22</v>
      </c>
      <c r="D14" s="13"/>
      <c r="E14" s="12"/>
      <c r="Z14" s="71"/>
      <c r="AA14" s="71"/>
      <c r="AB14" s="71"/>
      <c r="AC14" s="71"/>
      <c r="AD14" s="71"/>
      <c r="AE14" s="76"/>
    </row>
    <row r="15" spans="2:77" ht="15.65" customHeight="1" x14ac:dyDescent="0.3">
      <c r="B15" s="12" t="s">
        <v>241</v>
      </c>
    </row>
    <row r="16" spans="2:77" ht="15.65" customHeight="1" x14ac:dyDescent="0.3">
      <c r="Z16" s="70"/>
      <c r="AA16" s="70"/>
      <c r="AB16" s="70"/>
      <c r="AC16" s="70"/>
      <c r="AD16" s="70"/>
      <c r="AE16" s="70"/>
    </row>
    <row r="17" spans="2:69" ht="28" customHeight="1" x14ac:dyDescent="0.35">
      <c r="B17" s="200" t="s">
        <v>242</v>
      </c>
      <c r="C17" s="269"/>
      <c r="D17" s="270"/>
      <c r="E17" s="271"/>
      <c r="F17" s="14">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20" t="s">
        <v>29</v>
      </c>
      <c r="BK17" s="20"/>
      <c r="BL17" s="71"/>
      <c r="BM17" s="71"/>
      <c r="BN17" s="71"/>
      <c r="BO17" s="71"/>
      <c r="BP17" s="71"/>
      <c r="BQ17" s="71"/>
    </row>
    <row r="18" spans="2:69" ht="28" customHeight="1" x14ac:dyDescent="0.35">
      <c r="B18" s="200" t="s">
        <v>243</v>
      </c>
      <c r="C18" s="266" t="s">
        <v>235</v>
      </c>
      <c r="D18" s="267"/>
      <c r="E18" s="268"/>
      <c r="F18" s="92">
        <v>1.6</v>
      </c>
      <c r="G18" s="91"/>
      <c r="H18" s="91"/>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20" t="s">
        <v>67</v>
      </c>
      <c r="BK18" s="20"/>
      <c r="BL18" s="71" t="s">
        <v>156</v>
      </c>
      <c r="BM18" s="71"/>
      <c r="BN18" s="71" t="s">
        <v>244</v>
      </c>
      <c r="BO18" s="71"/>
      <c r="BP18" s="71"/>
      <c r="BQ18" s="71"/>
    </row>
    <row r="19" spans="2:69" ht="28" customHeight="1" x14ac:dyDescent="0.35">
      <c r="B19" s="200" t="s">
        <v>245</v>
      </c>
      <c r="C19" s="266" t="s">
        <v>236</v>
      </c>
      <c r="D19" s="267"/>
      <c r="E19" s="268"/>
      <c r="F19" s="93">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20" t="str">
        <f>IF(BJ20="Grand Total", Z18, "National")</f>
        <v>National</v>
      </c>
      <c r="BK19" s="68">
        <v>44941</v>
      </c>
      <c r="BL19" s="71" t="e">
        <f>GETPIVOTDATA("[Measures].[Average of Jan-23]",$Y$17)</f>
        <v>#REF!</v>
      </c>
      <c r="BM19" s="71"/>
      <c r="BN19" s="71">
        <v>2.2999999999999998</v>
      </c>
      <c r="BO19" s="71"/>
      <c r="BP19" s="71"/>
      <c r="BQ19" s="71"/>
    </row>
    <row r="20" spans="2:69" ht="28" customHeight="1" x14ac:dyDescent="0.35">
      <c r="B20" s="157" t="s">
        <v>246</v>
      </c>
      <c r="C20" s="266" t="s">
        <v>237</v>
      </c>
      <c r="D20" s="267"/>
      <c r="E20" s="268"/>
      <c r="F20" s="90">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20">
        <f>AA18</f>
        <v>0</v>
      </c>
      <c r="BK20" s="68">
        <v>44972</v>
      </c>
      <c r="BL20" s="71" t="e">
        <f>GETPIVOTDATA("[Measures].[Average of Feb-23]",$Y$17)</f>
        <v>#REF!</v>
      </c>
      <c r="BM20" s="71"/>
      <c r="BN20" s="71">
        <v>2.433974596215561</v>
      </c>
      <c r="BO20" s="71"/>
      <c r="BP20" s="71"/>
      <c r="BQ20" s="71"/>
    </row>
    <row r="21" spans="2:69" ht="28" customHeight="1" x14ac:dyDescent="0.35">
      <c r="B21" s="157" t="s">
        <v>247</v>
      </c>
      <c r="C21" s="266" t="s">
        <v>235</v>
      </c>
      <c r="D21" s="267"/>
      <c r="E21" s="268"/>
      <c r="F21" s="92">
        <v>1.6</v>
      </c>
      <c r="G21" s="91"/>
      <c r="H21" s="9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20"/>
      <c r="BK21" s="68">
        <v>45000</v>
      </c>
      <c r="BL21" s="71" t="e">
        <f>GETPIVOTDATA("[Measures].[Average of Mar-23]",$Y$17)</f>
        <v>#REF!</v>
      </c>
      <c r="BM21" s="71"/>
      <c r="BN21" s="71">
        <v>2.8</v>
      </c>
      <c r="BO21" s="71"/>
      <c r="BP21" s="71"/>
      <c r="BQ21" s="71"/>
    </row>
    <row r="22" spans="2:69" ht="28" customHeight="1" x14ac:dyDescent="0.35">
      <c r="B22" s="157" t="s">
        <v>248</v>
      </c>
      <c r="C22" s="266" t="s">
        <v>236</v>
      </c>
      <c r="D22" s="267"/>
      <c r="E22" s="268"/>
      <c r="F22" s="93">
        <v>0.75</v>
      </c>
      <c r="G22" s="91"/>
      <c r="H22" s="91"/>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20"/>
      <c r="BK22" s="68">
        <v>45031</v>
      </c>
      <c r="BL22" s="71" t="e">
        <f>GETPIVOTDATA("[Measures].[Average of Apr-23]",$Y$17)</f>
        <v>#REF!</v>
      </c>
      <c r="BM22" s="71"/>
      <c r="BN22" s="71">
        <v>3.3</v>
      </c>
      <c r="BO22" s="71"/>
      <c r="BP22" s="71"/>
      <c r="BQ22" s="71"/>
    </row>
    <row r="23" spans="2:69" ht="28" customHeight="1" x14ac:dyDescent="0.35">
      <c r="B23" s="157" t="s">
        <v>429</v>
      </c>
      <c r="C23" s="105"/>
      <c r="D23" s="105"/>
      <c r="E23" s="105"/>
      <c r="F23" s="105">
        <f>12/(F21)</f>
        <v>7.5</v>
      </c>
      <c r="G23" s="91"/>
      <c r="H23" s="91"/>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20"/>
      <c r="BK23" s="68">
        <v>45061</v>
      </c>
      <c r="BL23" s="71" t="e">
        <f>GETPIVOTDATA("[Measures].[Average of May-23]",$Y$17)</f>
        <v>#REF!</v>
      </c>
      <c r="BM23" s="71"/>
      <c r="BN23" s="71">
        <v>3.8</v>
      </c>
      <c r="BO23" s="71"/>
      <c r="BP23" s="71"/>
      <c r="BQ23" s="71"/>
    </row>
    <row r="24" spans="2:69" ht="28" customHeight="1" x14ac:dyDescent="0.35">
      <c r="B24" s="158" t="s">
        <v>249</v>
      </c>
      <c r="C24" s="266" t="s">
        <v>250</v>
      </c>
      <c r="D24" s="267"/>
      <c r="E24" s="268"/>
      <c r="F24" s="92">
        <v>0.8</v>
      </c>
      <c r="G24" s="91"/>
      <c r="H24" s="91"/>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20"/>
      <c r="BK24" s="68">
        <v>45092</v>
      </c>
      <c r="BL24" s="71" t="e">
        <f>GETPIVOTDATA("[Measures].[Average of Jun-23]",$Y$17)</f>
        <v>#REF!</v>
      </c>
      <c r="BM24" s="71"/>
      <c r="BN24" s="71">
        <v>4.1660254037844382</v>
      </c>
      <c r="BO24" s="71"/>
      <c r="BP24" s="71"/>
      <c r="BQ24" s="71"/>
    </row>
    <row r="25" spans="2:69" ht="28" customHeight="1" x14ac:dyDescent="0.35">
      <c r="B25" s="158" t="s">
        <v>251</v>
      </c>
      <c r="C25" s="266" t="s">
        <v>239</v>
      </c>
      <c r="D25" s="267"/>
      <c r="E25" s="268"/>
      <c r="F25" s="93">
        <v>0.75</v>
      </c>
      <c r="I25" s="13"/>
      <c r="J25" s="13"/>
      <c r="K25" s="13"/>
      <c r="L25" s="13"/>
      <c r="M25" s="13"/>
      <c r="N25" s="13"/>
      <c r="O25" s="13"/>
      <c r="P25" s="13"/>
      <c r="Q25" s="13"/>
      <c r="R25" s="13"/>
      <c r="S25" s="13"/>
      <c r="T25" s="13"/>
      <c r="U25" s="13"/>
      <c r="V25" s="13"/>
      <c r="W25" s="13"/>
      <c r="X25" s="1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20"/>
      <c r="BK25" s="68">
        <v>45122</v>
      </c>
      <c r="BL25" s="71" t="e">
        <f>GETPIVOTDATA("[Measures].[Average of Jul-23]",$Y$17)</f>
        <v>#REF!</v>
      </c>
      <c r="BM25" s="71"/>
      <c r="BN25" s="71">
        <v>4.3</v>
      </c>
      <c r="BO25" s="71"/>
      <c r="BP25" s="71"/>
      <c r="BQ25" s="71"/>
    </row>
    <row r="26" spans="2:69" ht="28" customHeight="1" x14ac:dyDescent="0.35">
      <c r="B26" s="159" t="s">
        <v>252</v>
      </c>
      <c r="C26" s="266" t="s">
        <v>240</v>
      </c>
      <c r="D26" s="267"/>
      <c r="E26" s="268"/>
      <c r="F26" s="93">
        <v>0.05</v>
      </c>
      <c r="I26" s="13"/>
      <c r="J26" s="13"/>
      <c r="K26" s="13"/>
      <c r="L26" s="13"/>
      <c r="M26" s="13"/>
      <c r="N26" s="13"/>
      <c r="O26" s="13"/>
      <c r="P26" s="13"/>
      <c r="Q26" s="13"/>
      <c r="R26" s="13"/>
      <c r="S26" s="13"/>
      <c r="T26" s="13"/>
      <c r="U26" s="13"/>
      <c r="V26" s="13"/>
      <c r="W26" s="13"/>
      <c r="X26" s="1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20"/>
      <c r="BK26" s="68">
        <v>45153</v>
      </c>
      <c r="BL26" s="71" t="e">
        <f>GETPIVOTDATA("[Measures].[Average of Aug-23]",$Y$17)</f>
        <v>#REF!</v>
      </c>
      <c r="BM26" s="71"/>
      <c r="BN26" s="71">
        <v>4.1660254037844382</v>
      </c>
      <c r="BO26" s="71"/>
      <c r="BP26" s="71"/>
      <c r="BQ26" s="71"/>
    </row>
    <row r="27" spans="2:69" ht="26" x14ac:dyDescent="0.35">
      <c r="B27" s="159" t="s">
        <v>253</v>
      </c>
      <c r="C27" s="266" t="s">
        <v>238</v>
      </c>
      <c r="D27" s="267"/>
      <c r="E27" s="268"/>
      <c r="F27" s="92">
        <v>0.5</v>
      </c>
      <c r="I27" s="13"/>
      <c r="J27" s="13"/>
      <c r="K27" s="13"/>
      <c r="L27" s="13"/>
      <c r="M27" s="13"/>
      <c r="N27" s="13"/>
      <c r="O27" s="13"/>
      <c r="P27" s="13"/>
      <c r="Q27" s="13"/>
      <c r="R27" s="13"/>
      <c r="S27" s="13"/>
      <c r="T27" s="13"/>
      <c r="U27" s="13"/>
      <c r="V27" s="13"/>
      <c r="W27" s="13"/>
      <c r="X27" s="1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20"/>
      <c r="BK27" s="68">
        <v>45184</v>
      </c>
      <c r="BL27" s="71" t="e">
        <f>GETPIVOTDATA("[Measures].[Average of Sep-23]",$Y$17)</f>
        <v>#REF!</v>
      </c>
      <c r="BM27" s="71"/>
      <c r="BN27" s="71">
        <v>3.8</v>
      </c>
      <c r="BO27" s="71"/>
      <c r="BP27" s="71"/>
      <c r="BQ27" s="71"/>
    </row>
    <row r="28" spans="2:69" ht="26" x14ac:dyDescent="0.35">
      <c r="B28" s="159" t="s">
        <v>254</v>
      </c>
      <c r="C28" s="266" t="s">
        <v>236</v>
      </c>
      <c r="D28" s="267"/>
      <c r="E28" s="268"/>
      <c r="F28" s="93">
        <v>0.75</v>
      </c>
      <c r="I28" s="13"/>
      <c r="J28" s="13"/>
      <c r="K28" s="13"/>
      <c r="L28" s="13"/>
      <c r="M28" s="13"/>
      <c r="N28" s="13"/>
      <c r="O28" s="13"/>
      <c r="P28" s="13"/>
      <c r="Q28" s="13"/>
      <c r="R28" s="13"/>
      <c r="S28" s="13"/>
      <c r="T28" s="13"/>
      <c r="U28" s="13"/>
      <c r="V28" s="13"/>
      <c r="W28" s="13"/>
      <c r="X28" s="1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66"/>
      <c r="BK28" s="68">
        <v>45214</v>
      </c>
      <c r="BL28" s="70" t="e">
        <f>GETPIVOTDATA("[Measures].[Average of Oct-23]",$Y$17)</f>
        <v>#REF!</v>
      </c>
      <c r="BN28" s="70">
        <v>3.3</v>
      </c>
      <c r="BO28" s="66"/>
      <c r="BQ28"/>
    </row>
    <row r="29" spans="2:69" ht="15.5" x14ac:dyDescent="0.35">
      <c r="I29" s="13"/>
      <c r="J29" s="13"/>
      <c r="K29" s="13"/>
      <c r="L29" s="13"/>
      <c r="M29" s="13"/>
      <c r="N29" s="13"/>
      <c r="O29" s="13"/>
      <c r="P29" s="13"/>
      <c r="Q29" s="13"/>
      <c r="R29" s="13"/>
      <c r="S29" s="13"/>
      <c r="T29" s="13"/>
      <c r="U29" s="13"/>
      <c r="V29" s="13"/>
      <c r="W29" s="13"/>
      <c r="X29" s="1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66"/>
      <c r="BK29" s="68">
        <v>45245</v>
      </c>
      <c r="BL29" s="70" t="e">
        <f>GETPIVOTDATA("[Measures].[Average of Nov-23]",$Y$17)</f>
        <v>#REF!</v>
      </c>
      <c r="BN29" s="70">
        <v>2.8</v>
      </c>
      <c r="BQ29"/>
    </row>
    <row r="30" spans="2:69" ht="15.5" x14ac:dyDescent="0.35">
      <c r="C30" s="13"/>
      <c r="D30" s="173" t="s">
        <v>255</v>
      </c>
      <c r="E30" s="110" t="str">
        <f>Prevalence!BM28</f>
        <v>National</v>
      </c>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66"/>
      <c r="BK30" s="68">
        <v>45275</v>
      </c>
      <c r="BL30" s="70" t="e">
        <f>GETPIVOTDATA("[Measures].[Average of Dec-23]",$Y$17)</f>
        <v>#REF!</v>
      </c>
      <c r="BN30" s="70">
        <v>2.433974596215561</v>
      </c>
      <c r="BQ30"/>
    </row>
    <row r="31" spans="2:69" ht="16" customHeight="1" x14ac:dyDescent="0.35">
      <c r="C31" s="13"/>
      <c r="D31" s="12" t="s">
        <v>256</v>
      </c>
      <c r="E31" s="257">
        <f>_xlfn.XLOOKUP(E30,Prevalence!C44:C79,Prevalence!D44:D79)</f>
        <v>42239854</v>
      </c>
      <c r="I31" s="91"/>
      <c r="Y31"/>
      <c r="Z31"/>
      <c r="AA31"/>
      <c r="AB31"/>
      <c r="AC31"/>
      <c r="AD31"/>
      <c r="AE31"/>
      <c r="BJ31" s="66"/>
      <c r="BK31" s="66"/>
      <c r="BL31" s="66"/>
      <c r="BM31" s="66"/>
      <c r="BP31"/>
      <c r="BQ31"/>
    </row>
    <row r="32" spans="2:69" ht="16" customHeight="1" x14ac:dyDescent="0.35">
      <c r="C32" s="13"/>
      <c r="D32" s="172" t="s">
        <v>257</v>
      </c>
      <c r="E32" s="258">
        <f>F17+F20</f>
        <v>0.19999999999999998</v>
      </c>
      <c r="I32" s="91"/>
      <c r="Y32"/>
      <c r="Z32"/>
      <c r="AA32"/>
      <c r="AB32"/>
      <c r="AC32"/>
      <c r="AD32"/>
      <c r="BK32"/>
      <c r="BL32"/>
      <c r="BM32"/>
      <c r="BN32"/>
      <c r="BO32"/>
      <c r="BP32"/>
      <c r="BQ32"/>
    </row>
    <row r="33" spans="1:69" ht="16" customHeight="1" x14ac:dyDescent="0.35">
      <c r="D33" s="173" t="s">
        <v>258</v>
      </c>
      <c r="E33" s="257">
        <f>E31*E32</f>
        <v>8447970.7999999989</v>
      </c>
      <c r="Z33" s="71"/>
      <c r="AA33" s="71"/>
      <c r="AB33" s="71"/>
      <c r="AC33" s="71"/>
      <c r="AD33" s="71"/>
      <c r="AE33" s="76"/>
      <c r="BO33"/>
      <c r="BP33"/>
      <c r="BQ33" s="71"/>
    </row>
    <row r="34" spans="1:69" ht="16" customHeight="1" x14ac:dyDescent="0.35">
      <c r="D34" s="174" t="s">
        <v>259</v>
      </c>
      <c r="E34" s="259">
        <f>(Prevalence!BO41*0.9) +(Prevalence!BO59*0.1)</f>
        <v>2.8631032258064515</v>
      </c>
      <c r="Z34" s="71"/>
      <c r="AA34" s="71"/>
      <c r="AB34" s="71"/>
      <c r="AC34" s="71"/>
      <c r="AD34" s="71"/>
      <c r="AE34" s="76"/>
      <c r="BO34"/>
      <c r="BP34"/>
      <c r="BQ34" s="71"/>
    </row>
    <row r="35" spans="1:69" ht="16" customHeight="1" x14ac:dyDescent="0.35">
      <c r="D35" s="174" t="s">
        <v>260</v>
      </c>
      <c r="E35" s="171">
        <f>F21</f>
        <v>1.6</v>
      </c>
      <c r="H35" s="12" t="s">
        <v>261</v>
      </c>
      <c r="I35" s="110">
        <v>1</v>
      </c>
      <c r="J35" s="190">
        <v>2</v>
      </c>
      <c r="K35" s="190">
        <v>3</v>
      </c>
      <c r="L35" s="190">
        <v>4</v>
      </c>
      <c r="M35" s="190">
        <v>5</v>
      </c>
      <c r="N35" s="190">
        <v>6</v>
      </c>
      <c r="O35" s="190">
        <v>7</v>
      </c>
      <c r="P35" s="190">
        <v>8</v>
      </c>
      <c r="Q35" s="190">
        <v>9</v>
      </c>
      <c r="R35" s="190">
        <v>10</v>
      </c>
      <c r="S35" s="190">
        <v>11</v>
      </c>
      <c r="T35" s="190">
        <v>12</v>
      </c>
      <c r="U35" s="190" t="s">
        <v>262</v>
      </c>
      <c r="V35" s="13">
        <v>7</v>
      </c>
      <c r="W35" s="13"/>
      <c r="X35" s="13"/>
      <c r="Y35" s="70"/>
      <c r="AF35" s="13"/>
      <c r="AG35" s="13"/>
      <c r="AH35" s="13"/>
      <c r="BK35"/>
      <c r="BM35"/>
      <c r="BN35"/>
      <c r="BO35"/>
      <c r="BP35"/>
    </row>
    <row r="36" spans="1:69" ht="16" customHeight="1" x14ac:dyDescent="0.35">
      <c r="D36" s="175" t="s">
        <v>263</v>
      </c>
      <c r="E36" s="211">
        <f>U36</f>
        <v>639273.69263749931</v>
      </c>
      <c r="F36" s="260"/>
      <c r="G36" s="261"/>
      <c r="H36" s="217" t="s">
        <v>264</v>
      </c>
      <c r="I36" s="13">
        <f>I38+I40</f>
        <v>21531.919502820805</v>
      </c>
      <c r="J36" s="13">
        <f t="shared" ref="J36:T36" si="0">J38+J40</f>
        <v>57719.370233790018</v>
      </c>
      <c r="K36" s="13">
        <f t="shared" si="0"/>
        <v>101545.64467915571</v>
      </c>
      <c r="L36" s="13">
        <f t="shared" si="0"/>
        <v>155806.74637341802</v>
      </c>
      <c r="M36" s="13">
        <f t="shared" si="0"/>
        <v>220502.6753165769</v>
      </c>
      <c r="N36" s="13">
        <f t="shared" si="0"/>
        <v>292837.4279741323</v>
      </c>
      <c r="O36" s="13">
        <f t="shared" si="0"/>
        <v>367968.18416618777</v>
      </c>
      <c r="P36" s="13">
        <f t="shared" si="0"/>
        <v>440302.93682374316</v>
      </c>
      <c r="Q36" s="13">
        <f t="shared" si="0"/>
        <v>504998.86576690205</v>
      </c>
      <c r="R36" s="13">
        <f t="shared" si="0"/>
        <v>559259.96746116434</v>
      </c>
      <c r="S36" s="13">
        <f t="shared" si="0"/>
        <v>603086.24190652999</v>
      </c>
      <c r="T36" s="13">
        <f t="shared" si="0"/>
        <v>639273.69263749931</v>
      </c>
      <c r="U36" s="13">
        <f>T36</f>
        <v>639273.69263749931</v>
      </c>
      <c r="V36" s="13"/>
      <c r="W36" s="13"/>
      <c r="X36" s="13"/>
      <c r="Y36" s="70"/>
      <c r="AF36" s="13"/>
      <c r="AG36" s="13"/>
      <c r="AH36" s="13"/>
      <c r="BK36"/>
      <c r="BM36"/>
      <c r="BN36"/>
      <c r="BO36"/>
      <c r="BP36"/>
    </row>
    <row r="37" spans="1:69" ht="16" customHeight="1" x14ac:dyDescent="0.35">
      <c r="H37" s="209" t="s">
        <v>265</v>
      </c>
      <c r="I37" s="208">
        <f>I39+I41</f>
        <v>16148.939627115604</v>
      </c>
      <c r="J37" s="208">
        <f t="shared" ref="J37:T37" si="1">J39+J41</f>
        <v>43289.527675342513</v>
      </c>
      <c r="K37" s="208">
        <f t="shared" si="1"/>
        <v>76159.233509366779</v>
      </c>
      <c r="L37" s="208">
        <f t="shared" si="1"/>
        <v>116855.0597800635</v>
      </c>
      <c r="M37" s="208">
        <f t="shared" si="1"/>
        <v>165377.00648743269</v>
      </c>
      <c r="N37" s="208">
        <f t="shared" si="1"/>
        <v>219628.07098059921</v>
      </c>
      <c r="O37" s="208">
        <f t="shared" si="1"/>
        <v>275976.1381246408</v>
      </c>
      <c r="P37" s="208">
        <f t="shared" si="1"/>
        <v>330227.20261780737</v>
      </c>
      <c r="Q37" s="208">
        <f t="shared" si="1"/>
        <v>378749.14932517655</v>
      </c>
      <c r="R37" s="208">
        <f t="shared" si="1"/>
        <v>419444.9755958732</v>
      </c>
      <c r="S37" s="208">
        <f t="shared" si="1"/>
        <v>452314.68142989755</v>
      </c>
      <c r="T37" s="208">
        <f t="shared" si="1"/>
        <v>479455.26947812445</v>
      </c>
      <c r="U37" s="13"/>
      <c r="V37" s="13"/>
      <c r="W37" s="13"/>
      <c r="X37" s="13"/>
      <c r="Z37" s="70"/>
      <c r="AA37" s="70"/>
      <c r="AB37" s="70"/>
      <c r="AC37" s="70"/>
      <c r="AD37" s="70"/>
      <c r="AE37" s="70"/>
      <c r="AF37" s="13"/>
      <c r="AG37" s="13"/>
      <c r="AH37" s="13"/>
      <c r="BK37"/>
      <c r="BM37"/>
      <c r="BN37"/>
      <c r="BO37"/>
      <c r="BP37"/>
      <c r="BQ37" s="70"/>
    </row>
    <row r="38" spans="1:69" s="20" customFormat="1" ht="16" customHeight="1" x14ac:dyDescent="0.35">
      <c r="A38" s="12"/>
      <c r="B38" s="12"/>
      <c r="D38" s="210"/>
      <c r="E38" s="13"/>
      <c r="F38" s="262"/>
      <c r="G38" s="263"/>
      <c r="H38" s="191" t="s">
        <v>266</v>
      </c>
      <c r="I38" s="13">
        <f>Prevalence!BO68</f>
        <v>16201.828612710586</v>
      </c>
      <c r="J38" s="13">
        <f>Prevalence!BO69</f>
        <v>45327.541408950397</v>
      </c>
      <c r="K38" s="13">
        <f>Prevalence!BO70</f>
        <v>80601.412782611471</v>
      </c>
      <c r="L38" s="13">
        <f>Prevalence!BO71</f>
        <v>124273.82495952518</v>
      </c>
      <c r="M38" s="13">
        <f>Prevalence!BO72</f>
        <v>176344.77793969156</v>
      </c>
      <c r="N38" s="13">
        <f>Prevalence!BO73</f>
        <v>234563.88949727916</v>
      </c>
      <c r="O38" s="13">
        <f>Prevalence!BO74</f>
        <v>295033.38328069815</v>
      </c>
      <c r="P38" s="13">
        <f>Prevalence!BO75</f>
        <v>353252.49483828578</v>
      </c>
      <c r="Q38" s="13">
        <f>Prevalence!BO76</f>
        <v>405323.44781845214</v>
      </c>
      <c r="R38" s="13">
        <f>Prevalence!BO77</f>
        <v>448995.85999536584</v>
      </c>
      <c r="S38" s="13">
        <f>Prevalence!BO78</f>
        <v>484269.73136902694</v>
      </c>
      <c r="T38" s="13">
        <f>Prevalence!BO79</f>
        <v>513395.44416526676</v>
      </c>
      <c r="U38" s="87">
        <f>T38</f>
        <v>513395.44416526676</v>
      </c>
      <c r="V38" s="63"/>
      <c r="W38" s="63"/>
      <c r="X38" s="63"/>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12"/>
      <c r="BJ38" s="12" t="s">
        <v>153</v>
      </c>
      <c r="BK38"/>
      <c r="BL38" s="12"/>
      <c r="BM38" s="12"/>
      <c r="BN38" s="12"/>
      <c r="BO38" s="12"/>
      <c r="BP38" s="12"/>
      <c r="BQ38"/>
    </row>
    <row r="39" spans="1:69" s="20" customFormat="1" ht="15.5" x14ac:dyDescent="0.35">
      <c r="A39" s="12"/>
      <c r="B39" s="12"/>
      <c r="H39" s="209" t="s">
        <v>267</v>
      </c>
      <c r="I39" s="208">
        <f>I38*$F22</f>
        <v>12151.37145953294</v>
      </c>
      <c r="J39" s="208">
        <f t="shared" ref="J39:T39" si="2">J38*$F22</f>
        <v>33995.656056712796</v>
      </c>
      <c r="K39" s="208">
        <f t="shared" si="2"/>
        <v>60451.059586958603</v>
      </c>
      <c r="L39" s="208">
        <f t="shared" si="2"/>
        <v>93205.368719643884</v>
      </c>
      <c r="M39" s="208">
        <f t="shared" si="2"/>
        <v>132258.58345476867</v>
      </c>
      <c r="N39" s="208">
        <f t="shared" si="2"/>
        <v>175922.91712295936</v>
      </c>
      <c r="O39" s="208">
        <f t="shared" si="2"/>
        <v>221275.0374605236</v>
      </c>
      <c r="P39" s="208">
        <f t="shared" si="2"/>
        <v>264939.37112871435</v>
      </c>
      <c r="Q39" s="208">
        <f t="shared" si="2"/>
        <v>303992.58586383914</v>
      </c>
      <c r="R39" s="208">
        <f t="shared" si="2"/>
        <v>336746.89499652438</v>
      </c>
      <c r="S39" s="208">
        <f t="shared" si="2"/>
        <v>363202.2985267702</v>
      </c>
      <c r="T39" s="208">
        <f t="shared" si="2"/>
        <v>385046.58312395005</v>
      </c>
      <c r="U39" s="13"/>
      <c r="V39" s="63"/>
      <c r="W39" s="63"/>
      <c r="X39" s="63"/>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12"/>
      <c r="BJ39" s="12"/>
      <c r="BK39"/>
      <c r="BL39" s="12" t="s">
        <v>154</v>
      </c>
      <c r="BM39" s="12" t="s">
        <v>155</v>
      </c>
      <c r="BN39" s="12"/>
      <c r="BO39" s="12" t="s">
        <v>156</v>
      </c>
      <c r="BP39" s="12" t="s">
        <v>157</v>
      </c>
      <c r="BQ39"/>
    </row>
    <row r="40" spans="1:69" s="20" customFormat="1" ht="15.5" x14ac:dyDescent="0.35">
      <c r="A40" s="12"/>
      <c r="B40" s="12"/>
      <c r="F40" s="199"/>
      <c r="G40" s="199"/>
      <c r="H40" s="199" t="s">
        <v>268</v>
      </c>
      <c r="I40" s="13">
        <f>Prevalence!BO93</f>
        <v>5330.0908901102193</v>
      </c>
      <c r="J40" s="13">
        <f>Prevalence!BO94</f>
        <v>12391.828824839622</v>
      </c>
      <c r="K40" s="13">
        <f>Prevalence!BO95</f>
        <v>20944.231896544243</v>
      </c>
      <c r="L40" s="13">
        <f>Prevalence!BO96</f>
        <v>31532.921413892822</v>
      </c>
      <c r="M40" s="13">
        <f>Prevalence!BO97</f>
        <v>44157.897376885361</v>
      </c>
      <c r="N40" s="13">
        <f>Prevalence!BO98</f>
        <v>58273.538476853115</v>
      </c>
      <c r="O40" s="13">
        <f>Prevalence!BO99</f>
        <v>72934.800885489603</v>
      </c>
      <c r="P40" s="13">
        <f>Prevalence!BO100</f>
        <v>87050.44198545735</v>
      </c>
      <c r="Q40" s="13">
        <f>Prevalence!BO101</f>
        <v>99675.417948449889</v>
      </c>
      <c r="R40" s="13">
        <f>Prevalence!BO102</f>
        <v>110264.10746579847</v>
      </c>
      <c r="S40" s="13">
        <f>Prevalence!BO103</f>
        <v>118816.5105375031</v>
      </c>
      <c r="T40" s="13">
        <f>Prevalence!BO104</f>
        <v>125878.2484722325</v>
      </c>
      <c r="U40" s="87">
        <f>T40</f>
        <v>125878.2484722325</v>
      </c>
      <c r="V40" s="63"/>
      <c r="W40" s="63"/>
      <c r="X40" s="63"/>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85"/>
      <c r="BJ40" s="85"/>
      <c r="BK40" s="68">
        <v>44941</v>
      </c>
      <c r="BL40" s="85" t="e">
        <f>BO40</f>
        <v>#REF!</v>
      </c>
      <c r="BM40" s="85" t="e">
        <f t="shared" ref="BM40:BM51" si="3">BL40*$F$22</f>
        <v>#REF!</v>
      </c>
      <c r="BN40" s="12"/>
      <c r="BO40" s="85" t="e">
        <f>GETPIVOTDATA("[Measures].[Sum of Jan-23 2]",$Y$38)</f>
        <v>#REF!</v>
      </c>
      <c r="BP40" s="85" t="e">
        <f t="shared" ref="BP40:BP51" si="4">BO40*$F$22</f>
        <v>#REF!</v>
      </c>
      <c r="BQ40"/>
    </row>
    <row r="41" spans="1:69" s="20" customFormat="1" ht="15.5" x14ac:dyDescent="0.35">
      <c r="A41" s="12"/>
      <c r="G41" s="91"/>
      <c r="H41" s="209" t="s">
        <v>269</v>
      </c>
      <c r="I41" s="208">
        <f>I40*$F19</f>
        <v>3997.5681675826645</v>
      </c>
      <c r="J41" s="208">
        <f t="shared" ref="J41:T41" si="5">J40*$F19</f>
        <v>9293.871618629717</v>
      </c>
      <c r="K41" s="208">
        <f t="shared" si="5"/>
        <v>15708.173922408183</v>
      </c>
      <c r="L41" s="208">
        <f t="shared" si="5"/>
        <v>23649.691060419616</v>
      </c>
      <c r="M41" s="208">
        <f t="shared" si="5"/>
        <v>33118.423032664025</v>
      </c>
      <c r="N41" s="208">
        <f t="shared" si="5"/>
        <v>43705.153857639838</v>
      </c>
      <c r="O41" s="208">
        <f t="shared" si="5"/>
        <v>54701.100664117199</v>
      </c>
      <c r="P41" s="208">
        <f t="shared" si="5"/>
        <v>65287.831489093012</v>
      </c>
      <c r="Q41" s="208">
        <f t="shared" si="5"/>
        <v>74756.563461337413</v>
      </c>
      <c r="R41" s="208">
        <f t="shared" si="5"/>
        <v>82698.080599348847</v>
      </c>
      <c r="S41" s="208">
        <f t="shared" si="5"/>
        <v>89112.38290312732</v>
      </c>
      <c r="T41" s="208">
        <f t="shared" si="5"/>
        <v>94408.686354174381</v>
      </c>
      <c r="U41" s="13"/>
      <c r="V41" s="63"/>
      <c r="W41" s="63"/>
      <c r="X41" s="63"/>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85"/>
      <c r="BJ41" s="85"/>
      <c r="BK41" s="68">
        <v>44972</v>
      </c>
      <c r="BL41" s="85" t="e">
        <f t="shared" ref="BL41:BL51" si="6">BL40+BO41</f>
        <v>#REF!</v>
      </c>
      <c r="BM41" s="85" t="e">
        <f t="shared" si="3"/>
        <v>#REF!</v>
      </c>
      <c r="BN41" s="12"/>
      <c r="BO41" s="85" t="e">
        <f>GETPIVOTDATA("[Measures].[Sum of Feb-23 2]",$Y$38)</f>
        <v>#REF!</v>
      </c>
      <c r="BP41" s="85" t="e">
        <f t="shared" si="4"/>
        <v>#REF!</v>
      </c>
      <c r="BQ41"/>
    </row>
    <row r="42" spans="1:69" s="20" customFormat="1" ht="15.5" x14ac:dyDescent="0.35">
      <c r="F42" s="192"/>
      <c r="G42" s="192"/>
      <c r="H42" s="192" t="s">
        <v>109</v>
      </c>
      <c r="I42" s="13">
        <f>$U$42*I36/$U$36</f>
        <v>13828.802944786737</v>
      </c>
      <c r="J42" s="13">
        <f t="shared" ref="J42:T42" si="7">$U$42*J36/$U$36</f>
        <v>37070.071572379034</v>
      </c>
      <c r="K42" s="13">
        <f t="shared" si="7"/>
        <v>65217.34906102591</v>
      </c>
      <c r="L42" s="13">
        <f t="shared" si="7"/>
        <v>100066.35928506493</v>
      </c>
      <c r="M42" s="13">
        <f t="shared" si="7"/>
        <v>141617.10224449603</v>
      </c>
      <c r="N42" s="13">
        <f t="shared" si="7"/>
        <v>188073.85406498174</v>
      </c>
      <c r="O42" s="13">
        <f t="shared" si="7"/>
        <v>236326.329759805</v>
      </c>
      <c r="P42" s="13">
        <f t="shared" si="7"/>
        <v>282783.08158029069</v>
      </c>
      <c r="Q42" s="13">
        <f t="shared" si="7"/>
        <v>324333.82453972177</v>
      </c>
      <c r="R42" s="13">
        <f t="shared" si="7"/>
        <v>359182.83476376079</v>
      </c>
      <c r="S42" s="13">
        <f t="shared" si="7"/>
        <v>387330.11225240765</v>
      </c>
      <c r="T42" s="13">
        <f t="shared" si="7"/>
        <v>410571.38088000001</v>
      </c>
      <c r="U42" s="87">
        <f>$E$31*F20*AVERAGE(Prevalence!AP145:BA145)/100*(1+Burden!F24)</f>
        <v>410571.38088000001</v>
      </c>
      <c r="V42" s="63"/>
      <c r="W42" s="63"/>
      <c r="X42" s="63"/>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85"/>
      <c r="BJ42" s="85"/>
      <c r="BK42" s="68">
        <v>45000</v>
      </c>
      <c r="BL42" s="85" t="e">
        <f t="shared" si="6"/>
        <v>#REF!</v>
      </c>
      <c r="BM42" s="85" t="e">
        <f t="shared" si="3"/>
        <v>#REF!</v>
      </c>
      <c r="BN42" s="12"/>
      <c r="BO42" s="85" t="e">
        <f>GETPIVOTDATA("[Measures].[Sum of Mar-23 2]",$Y$38)</f>
        <v>#REF!</v>
      </c>
      <c r="BP42" s="85" t="e">
        <f t="shared" si="4"/>
        <v>#REF!</v>
      </c>
      <c r="BQ42"/>
    </row>
    <row r="43" spans="1:69" s="20" customFormat="1" ht="15.5" x14ac:dyDescent="0.35">
      <c r="G43" s="106"/>
      <c r="H43" s="106"/>
      <c r="I43" s="13"/>
      <c r="J43" s="13"/>
      <c r="K43" s="13"/>
      <c r="L43" s="13"/>
      <c r="M43" s="13"/>
      <c r="N43" s="13"/>
      <c r="O43" s="13"/>
      <c r="P43" s="13"/>
      <c r="Q43" s="13"/>
      <c r="R43" s="13"/>
      <c r="S43" s="13"/>
      <c r="T43" s="13"/>
      <c r="U43" s="13"/>
      <c r="V43" s="63"/>
      <c r="W43" s="63"/>
      <c r="X43" s="6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85"/>
      <c r="BJ43" s="85"/>
      <c r="BK43" s="68">
        <v>45031</v>
      </c>
      <c r="BL43" s="85" t="e">
        <f t="shared" si="6"/>
        <v>#REF!</v>
      </c>
      <c r="BM43" s="85" t="e">
        <f t="shared" si="3"/>
        <v>#REF!</v>
      </c>
      <c r="BN43" s="12"/>
      <c r="BO43" s="85" t="e">
        <f>GETPIVOTDATA("[Measures].[Sum of Apr-23 2]",$Y$38)</f>
        <v>#REF!</v>
      </c>
      <c r="BP43" s="85" t="e">
        <f t="shared" si="4"/>
        <v>#REF!</v>
      </c>
      <c r="BQ43"/>
    </row>
    <row r="44" spans="1:69" ht="15.5" x14ac:dyDescent="0.35">
      <c r="A44" s="20"/>
      <c r="B44" s="20"/>
      <c r="C44" s="20"/>
      <c r="D44" s="20"/>
      <c r="E44" s="20"/>
      <c r="F44" s="193"/>
      <c r="G44" s="193"/>
      <c r="H44" s="193" t="s">
        <v>111</v>
      </c>
      <c r="I44" s="13">
        <f>$U$44*I36/$U$36</f>
        <v>9496.6316518982985</v>
      </c>
      <c r="J44" s="13">
        <f t="shared" ref="J44:T44" si="8">$U$44*J36/$U$36</f>
        <v>25457.070755723256</v>
      </c>
      <c r="K44" s="13">
        <f t="shared" si="8"/>
        <v>44786.60545085885</v>
      </c>
      <c r="L44" s="13">
        <f t="shared" si="8"/>
        <v>68718.410311502928</v>
      </c>
      <c r="M44" s="13">
        <f t="shared" si="8"/>
        <v>97252.485337655453</v>
      </c>
      <c r="N44" s="13">
        <f t="shared" si="8"/>
        <v>129155.65595511865</v>
      </c>
      <c r="O44" s="13">
        <f t="shared" si="8"/>
        <v>162292.00114677966</v>
      </c>
      <c r="P44" s="13">
        <f t="shared" si="8"/>
        <v>194195.17176424281</v>
      </c>
      <c r="Q44" s="13">
        <f t="shared" si="8"/>
        <v>222729.24679039538</v>
      </c>
      <c r="R44" s="13">
        <f t="shared" si="8"/>
        <v>246661.05165103945</v>
      </c>
      <c r="S44" s="13">
        <f t="shared" si="8"/>
        <v>265990.58634617506</v>
      </c>
      <c r="T44" s="13">
        <f t="shared" si="8"/>
        <v>281951.02545000002</v>
      </c>
      <c r="U44" s="87">
        <f>$E$31*F26*AVERAGE(Prevalence!AP147:BA147)/100*(1+F27)</f>
        <v>281951.02545000002</v>
      </c>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K44" s="68">
        <v>45061</v>
      </c>
      <c r="BL44" s="87" t="e">
        <f t="shared" si="6"/>
        <v>#REF!</v>
      </c>
      <c r="BM44" s="87" t="e">
        <f t="shared" si="3"/>
        <v>#REF!</v>
      </c>
      <c r="BO44" s="89" t="e">
        <f>GETPIVOTDATA("[Measures].[Sum of May-23 2]",$Y$38)</f>
        <v>#REF!</v>
      </c>
      <c r="BP44" s="87" t="e">
        <f t="shared" si="4"/>
        <v>#REF!</v>
      </c>
      <c r="BQ44"/>
    </row>
    <row r="45" spans="1:69" s="15" customFormat="1" ht="15.65" customHeight="1" x14ac:dyDescent="0.35">
      <c r="A45" s="20"/>
      <c r="B45" s="20"/>
      <c r="C45" s="20"/>
      <c r="E45" s="20"/>
      <c r="F45" s="12"/>
      <c r="G45" s="106"/>
      <c r="H45" s="106"/>
      <c r="I45" s="80"/>
      <c r="J45" s="79"/>
      <c r="K45" s="79"/>
      <c r="L45" s="79"/>
      <c r="M45" s="79"/>
      <c r="N45" s="79"/>
      <c r="O45" s="79"/>
      <c r="P45" s="79"/>
      <c r="Q45" s="79"/>
      <c r="R45" s="79"/>
      <c r="S45" s="79"/>
      <c r="T45" s="79"/>
      <c r="U45" s="79"/>
      <c r="V45" s="79"/>
      <c r="W45" s="79"/>
      <c r="X45" s="79"/>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s="12"/>
      <c r="BJ45" s="12"/>
      <c r="BK45" s="68">
        <v>45092</v>
      </c>
      <c r="BL45" s="87" t="e">
        <f t="shared" si="6"/>
        <v>#REF!</v>
      </c>
      <c r="BM45" s="87" t="e">
        <f t="shared" si="3"/>
        <v>#REF!</v>
      </c>
      <c r="BN45" s="12"/>
      <c r="BO45" s="89" t="e">
        <f>GETPIVOTDATA("[Measures].[Sum of Jun-23 2]",$Y$38)</f>
        <v>#REF!</v>
      </c>
      <c r="BP45" s="87" t="e">
        <f t="shared" si="4"/>
        <v>#REF!</v>
      </c>
      <c r="BQ45"/>
    </row>
    <row r="46" spans="1:69" s="16" customFormat="1" ht="15.65" customHeight="1" x14ac:dyDescent="0.35">
      <c r="A46" s="20"/>
      <c r="B46" s="64"/>
      <c r="C46" s="12"/>
      <c r="D46" s="13"/>
      <c r="E46" s="12"/>
      <c r="F46" s="12"/>
      <c r="G46" s="106"/>
      <c r="H46" s="106"/>
      <c r="J46" s="79"/>
      <c r="K46" s="79"/>
      <c r="L46" s="79"/>
      <c r="M46" s="79"/>
      <c r="N46" s="79"/>
      <c r="O46" s="79"/>
      <c r="P46" s="79"/>
      <c r="Q46" s="79"/>
      <c r="R46" s="79"/>
      <c r="S46" s="79"/>
      <c r="T46" s="79"/>
      <c r="U46" s="79"/>
      <c r="V46" s="79"/>
      <c r="W46" s="79"/>
      <c r="X46" s="79"/>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12"/>
      <c r="BJ46" s="12"/>
      <c r="BK46" s="68">
        <v>45122</v>
      </c>
      <c r="BL46" s="87" t="e">
        <f t="shared" si="6"/>
        <v>#REF!</v>
      </c>
      <c r="BM46" s="87" t="e">
        <f t="shared" si="3"/>
        <v>#REF!</v>
      </c>
      <c r="BN46" s="12"/>
      <c r="BO46" s="89" t="e">
        <f>GETPIVOTDATA("[Measures].[Sum of Jul-23 2]",$Y$38)</f>
        <v>#REF!</v>
      </c>
      <c r="BP46" s="87" t="e">
        <f t="shared" si="4"/>
        <v>#REF!</v>
      </c>
      <c r="BQ46"/>
    </row>
    <row r="47" spans="1:69" s="20" customFormat="1" ht="15.5" x14ac:dyDescent="0.35">
      <c r="B47" s="64"/>
      <c r="C47" s="80"/>
      <c r="D47" s="15"/>
      <c r="E47" s="15"/>
      <c r="F47" s="15"/>
      <c r="G47" s="106"/>
      <c r="H47" s="106"/>
      <c r="J47" s="79"/>
      <c r="K47" s="79"/>
      <c r="L47" s="79"/>
      <c r="M47" s="79"/>
      <c r="N47" s="79"/>
      <c r="O47" s="79"/>
      <c r="P47" s="79"/>
      <c r="Q47" s="79"/>
      <c r="R47" s="79"/>
      <c r="S47" s="79"/>
      <c r="T47" s="79"/>
      <c r="U47" s="79"/>
      <c r="V47" s="79"/>
      <c r="W47" s="79"/>
      <c r="X47" s="79"/>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12"/>
      <c r="BJ47" s="12"/>
      <c r="BK47" s="68">
        <v>45153</v>
      </c>
      <c r="BL47" s="87" t="e">
        <f t="shared" si="6"/>
        <v>#REF!</v>
      </c>
      <c r="BM47" s="87" t="e">
        <f t="shared" si="3"/>
        <v>#REF!</v>
      </c>
      <c r="BN47" s="12"/>
      <c r="BO47" s="89" t="e">
        <f>GETPIVOTDATA("[Measures].[Sum of Aug-23 2]",$Y$38)</f>
        <v>#REF!</v>
      </c>
      <c r="BP47" s="87" t="e">
        <f t="shared" si="4"/>
        <v>#REF!</v>
      </c>
      <c r="BQ47"/>
    </row>
    <row r="48" spans="1:69" s="20" customFormat="1" ht="15.5" x14ac:dyDescent="0.35">
      <c r="A48" s="12"/>
      <c r="B48" s="16"/>
      <c r="C48" s="189"/>
      <c r="D48" s="16"/>
      <c r="E48" s="16"/>
      <c r="F48" s="16"/>
      <c r="G48" s="12"/>
      <c r="H48" s="12"/>
      <c r="J48" s="79"/>
      <c r="K48" s="79"/>
      <c r="L48" s="79"/>
      <c r="M48" s="79"/>
      <c r="N48" s="79"/>
      <c r="O48" s="79"/>
      <c r="P48" s="79"/>
      <c r="Q48" s="79"/>
      <c r="R48" s="79"/>
      <c r="S48" s="79"/>
      <c r="T48" s="79"/>
      <c r="U48" s="79"/>
      <c r="V48" s="79"/>
      <c r="W48" s="79"/>
      <c r="X48" s="79"/>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12"/>
      <c r="BJ48" s="12"/>
      <c r="BK48" s="68">
        <v>45184</v>
      </c>
      <c r="BL48" s="87" t="e">
        <f t="shared" si="6"/>
        <v>#REF!</v>
      </c>
      <c r="BM48" s="87" t="e">
        <f t="shared" si="3"/>
        <v>#REF!</v>
      </c>
      <c r="BN48" s="12"/>
      <c r="BO48" s="89" t="e">
        <f>GETPIVOTDATA("[Measures].[Sum of Sep-23 2]",$Y$38)</f>
        <v>#REF!</v>
      </c>
      <c r="BP48" s="87" t="e">
        <f t="shared" si="4"/>
        <v>#REF!</v>
      </c>
      <c r="BQ48"/>
    </row>
    <row r="49" spans="1:69" s="20" customFormat="1" ht="15.5" x14ac:dyDescent="0.35">
      <c r="A49" s="15"/>
      <c r="G49" s="15"/>
      <c r="H49" s="15"/>
      <c r="I49" s="79"/>
      <c r="J49" s="79"/>
      <c r="K49" s="79"/>
      <c r="L49" s="79"/>
      <c r="M49" s="79"/>
      <c r="N49" s="79"/>
      <c r="O49" s="79"/>
      <c r="P49" s="79"/>
      <c r="Q49" s="79"/>
      <c r="R49" s="79"/>
      <c r="S49" s="79"/>
      <c r="T49" s="79"/>
      <c r="U49" s="79"/>
      <c r="V49" s="79"/>
      <c r="W49" s="79"/>
      <c r="X49" s="7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12"/>
      <c r="BJ49" s="12"/>
      <c r="BK49" s="68">
        <v>45214</v>
      </c>
      <c r="BL49" s="87" t="e">
        <f t="shared" si="6"/>
        <v>#REF!</v>
      </c>
      <c r="BM49" s="87" t="e">
        <f t="shared" si="3"/>
        <v>#REF!</v>
      </c>
      <c r="BN49" s="12"/>
      <c r="BO49" s="89" t="e">
        <f>GETPIVOTDATA("[Measures].[Sum of Oct-23 2]",$Y$38)</f>
        <v>#REF!</v>
      </c>
      <c r="BP49" s="87" t="e">
        <f t="shared" si="4"/>
        <v>#REF!</v>
      </c>
      <c r="BQ49"/>
    </row>
    <row r="50" spans="1:69" s="20" customFormat="1" ht="15.5" x14ac:dyDescent="0.35">
      <c r="A50" s="16"/>
      <c r="G50" s="16"/>
      <c r="H50" s="16"/>
      <c r="J50" s="79"/>
      <c r="K50" s="79"/>
      <c r="L50" s="79"/>
      <c r="M50" s="79"/>
      <c r="N50" s="79"/>
      <c r="O50" s="79"/>
      <c r="P50" s="79"/>
      <c r="Q50" s="79"/>
      <c r="R50" s="79"/>
      <c r="T50" s="79"/>
      <c r="U50" s="89"/>
      <c r="V50" s="79"/>
      <c r="W50" s="79"/>
      <c r="X50" s="79"/>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12"/>
      <c r="BJ50" s="12"/>
      <c r="BK50" s="68">
        <v>45245</v>
      </c>
      <c r="BL50" s="87" t="e">
        <f t="shared" si="6"/>
        <v>#REF!</v>
      </c>
      <c r="BM50" s="87" t="e">
        <f t="shared" si="3"/>
        <v>#REF!</v>
      </c>
      <c r="BN50" s="12"/>
      <c r="BO50" s="89" t="e">
        <f>GETPIVOTDATA("[Measures].[Sum of Nov-23 2]",$Y$38)</f>
        <v>#REF!</v>
      </c>
      <c r="BP50" s="87" t="e">
        <f t="shared" si="4"/>
        <v>#REF!</v>
      </c>
      <c r="BQ50"/>
    </row>
    <row r="51" spans="1:69" s="20" customFormat="1" ht="15.5" x14ac:dyDescent="0.35">
      <c r="J51" s="79"/>
      <c r="K51" s="79"/>
      <c r="L51" s="79"/>
      <c r="M51" s="79"/>
      <c r="N51" s="79"/>
      <c r="O51" s="79"/>
      <c r="P51" s="79"/>
      <c r="Q51" s="79"/>
      <c r="R51" s="79"/>
      <c r="S51" s="79"/>
      <c r="T51" s="79"/>
      <c r="U51" s="79"/>
      <c r="V51" s="79"/>
      <c r="W51" s="79"/>
      <c r="X51" s="79"/>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12"/>
      <c r="BJ51" s="12"/>
      <c r="BK51" s="68">
        <v>45275</v>
      </c>
      <c r="BL51" s="87" t="e">
        <f t="shared" si="6"/>
        <v>#REF!</v>
      </c>
      <c r="BM51" s="87" t="e">
        <f t="shared" si="3"/>
        <v>#REF!</v>
      </c>
      <c r="BN51" s="12"/>
      <c r="BO51" s="89" t="e">
        <f>GETPIVOTDATA("[Measures].[Sum of Dec-23 2]",$Y$38)</f>
        <v>#REF!</v>
      </c>
      <c r="BP51" s="87" t="e">
        <f t="shared" si="4"/>
        <v>#REF!</v>
      </c>
      <c r="BQ51"/>
    </row>
    <row r="52" spans="1:69" s="20" customFormat="1" ht="15.5" x14ac:dyDescent="0.35">
      <c r="L52" s="79"/>
      <c r="M52" s="79"/>
      <c r="N52" s="79"/>
      <c r="O52" s="79"/>
      <c r="P52" s="79"/>
      <c r="Q52" s="79"/>
      <c r="R52" s="79"/>
      <c r="S52" s="79"/>
      <c r="T52" s="79"/>
      <c r="U52" s="66"/>
      <c r="V52" s="79"/>
      <c r="W52" s="79"/>
      <c r="X52" s="79"/>
      <c r="Y52"/>
      <c r="Z52"/>
      <c r="AA52"/>
      <c r="AB52"/>
      <c r="AC52"/>
      <c r="AD52"/>
      <c r="AE52"/>
      <c r="AF52" s="79"/>
      <c r="AG52" s="79"/>
      <c r="AH52" s="79"/>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row>
    <row r="53" spans="1:69" s="20" customFormat="1" x14ac:dyDescent="0.3">
      <c r="L53" s="79"/>
      <c r="M53" s="79"/>
      <c r="N53" s="79"/>
      <c r="O53" s="79"/>
      <c r="P53" s="79"/>
      <c r="Q53" s="79"/>
      <c r="R53" s="79"/>
      <c r="S53" s="79"/>
      <c r="T53" s="79"/>
      <c r="U53" s="79"/>
      <c r="V53" s="79"/>
      <c r="W53" s="79"/>
      <c r="X53" s="79"/>
      <c r="Y53" s="70" t="s">
        <v>270</v>
      </c>
      <c r="Z53" s="70"/>
      <c r="AA53" s="70"/>
      <c r="AB53" s="70"/>
      <c r="AC53" s="70"/>
      <c r="AD53" s="70">
        <f>Burden!F23</f>
        <v>7.5</v>
      </c>
      <c r="AE53" s="70" t="s">
        <v>271</v>
      </c>
      <c r="AF53" s="70"/>
      <c r="AG53" s="70"/>
      <c r="AH53" s="70"/>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row>
    <row r="54" spans="1:69" s="20" customFormat="1" x14ac:dyDescent="0.3">
      <c r="L54" s="79"/>
      <c r="M54" s="79"/>
      <c r="N54" s="79"/>
      <c r="O54" s="79"/>
      <c r="P54" s="79"/>
      <c r="Q54" s="79"/>
      <c r="R54" s="79"/>
      <c r="S54" s="79"/>
      <c r="T54" s="79"/>
      <c r="U54" s="79"/>
      <c r="V54" s="79"/>
      <c r="W54" s="79"/>
      <c r="X54" s="79"/>
      <c r="Y54" s="70"/>
      <c r="Z54" s="70" t="s">
        <v>272</v>
      </c>
      <c r="AA54" s="70"/>
      <c r="AB54" s="70"/>
      <c r="AC54" s="70"/>
      <c r="AD54" s="70"/>
      <c r="AE54" s="70"/>
      <c r="AF54" s="70"/>
      <c r="AG54" s="70"/>
      <c r="AH54" s="70"/>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row>
    <row r="55" spans="1:69" s="20" customFormat="1" x14ac:dyDescent="0.3">
      <c r="L55" s="79"/>
      <c r="M55" s="79"/>
      <c r="N55" s="79"/>
      <c r="O55" s="79"/>
      <c r="P55" s="79"/>
      <c r="Q55" s="79"/>
      <c r="R55" s="79"/>
      <c r="S55" s="79"/>
      <c r="T55" s="79"/>
      <c r="U55" s="79"/>
      <c r="V55" s="79"/>
      <c r="W55" s="79"/>
      <c r="X55" s="79"/>
      <c r="Y55" s="70" t="s">
        <v>273</v>
      </c>
      <c r="Z55" s="70"/>
      <c r="AA55" s="70"/>
      <c r="AB55" s="70"/>
      <c r="AC55" s="70"/>
      <c r="AD55" s="70"/>
      <c r="AE55" s="70"/>
      <c r="AF55" s="70"/>
      <c r="AG55" s="70"/>
      <c r="AH55" s="70"/>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row>
    <row r="56" spans="1:69" s="20" customFormat="1" x14ac:dyDescent="0.3">
      <c r="L56" s="79"/>
      <c r="M56" s="79"/>
      <c r="N56" s="79"/>
      <c r="O56" s="79"/>
      <c r="P56" s="79"/>
      <c r="Q56" s="79"/>
      <c r="R56" s="79"/>
      <c r="S56" s="79"/>
      <c r="T56" s="79"/>
      <c r="U56" s="79"/>
      <c r="V56" s="79"/>
      <c r="W56" s="79"/>
      <c r="X56" s="79"/>
      <c r="Y56" s="70" t="s">
        <v>274</v>
      </c>
      <c r="Z56" s="70" t="s">
        <v>275</v>
      </c>
      <c r="AA56" s="70"/>
      <c r="AB56" s="70"/>
      <c r="AC56" s="70"/>
      <c r="AD56" s="70"/>
      <c r="AE56" s="70"/>
      <c r="AF56" s="70"/>
      <c r="AG56" s="70"/>
      <c r="AH56" s="70"/>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row>
    <row r="57" spans="1:69" s="20" customFormat="1" x14ac:dyDescent="0.3">
      <c r="L57" s="79"/>
      <c r="M57" s="79"/>
      <c r="N57" s="79"/>
      <c r="O57" s="79"/>
      <c r="P57" s="79"/>
      <c r="Q57" s="79"/>
      <c r="R57" s="79"/>
      <c r="S57" s="79"/>
      <c r="T57" s="79"/>
      <c r="U57" s="79"/>
      <c r="V57" s="79"/>
      <c r="W57" s="79"/>
      <c r="X57" s="79"/>
      <c r="Y57" s="70" t="s">
        <v>274</v>
      </c>
      <c r="Z57" s="70" t="s">
        <v>9</v>
      </c>
      <c r="AA57" s="70"/>
      <c r="AB57" s="70"/>
      <c r="AC57" s="70"/>
      <c r="AD57" s="70"/>
      <c r="AE57" s="70"/>
      <c r="AF57" s="70"/>
      <c r="AG57" s="70"/>
      <c r="AH57" s="70"/>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row>
    <row r="58" spans="1:69" s="20" customFormat="1" x14ac:dyDescent="0.3">
      <c r="L58" s="79"/>
      <c r="M58" s="79"/>
      <c r="N58" s="79"/>
      <c r="O58" s="79"/>
      <c r="P58" s="79"/>
      <c r="Q58" s="79"/>
      <c r="R58" s="79"/>
      <c r="S58" s="79"/>
      <c r="T58" s="79"/>
      <c r="U58" s="79"/>
      <c r="V58" s="79"/>
      <c r="W58" s="79"/>
      <c r="X58" s="79"/>
      <c r="Y58" s="70"/>
      <c r="Z58" s="70"/>
      <c r="AA58" s="70"/>
      <c r="AB58" s="70"/>
      <c r="AC58" s="70"/>
      <c r="AD58" s="70"/>
      <c r="AE58" s="70"/>
      <c r="AF58" s="70"/>
      <c r="AG58" s="70"/>
      <c r="AH58" s="70"/>
      <c r="AI58" s="12"/>
      <c r="AJ58" s="12"/>
      <c r="AK58" s="12"/>
      <c r="AL58" s="12"/>
      <c r="AM58" s="12"/>
      <c r="AN58" s="12"/>
      <c r="AO58" s="12"/>
      <c r="AP58" s="12"/>
      <c r="AQ58" s="12"/>
      <c r="AR58" s="12"/>
      <c r="AS58" s="12"/>
      <c r="AT58" s="12"/>
      <c r="AU58" s="12"/>
      <c r="AV58" s="12"/>
      <c r="AW58" s="12"/>
    </row>
    <row r="59" spans="1:69" s="20" customFormat="1" x14ac:dyDescent="0.3">
      <c r="L59" s="79"/>
      <c r="M59" s="79"/>
      <c r="N59" s="79"/>
      <c r="O59" s="79"/>
      <c r="P59" s="79"/>
      <c r="Q59" s="79"/>
      <c r="R59" s="79"/>
      <c r="S59" s="79"/>
      <c r="T59" s="79"/>
      <c r="U59" s="79"/>
      <c r="V59" s="79"/>
      <c r="W59" s="79"/>
      <c r="X59" s="79"/>
      <c r="Z59" s="12"/>
      <c r="AA59" s="12"/>
      <c r="AB59" s="79"/>
      <c r="AC59" s="79"/>
      <c r="AD59" s="79"/>
      <c r="AE59" s="79"/>
      <c r="AF59" s="79"/>
      <c r="AG59" s="79"/>
      <c r="AH59" s="79"/>
      <c r="AI59" s="12"/>
      <c r="AJ59" s="12"/>
      <c r="AK59" s="12"/>
      <c r="AL59" s="12"/>
      <c r="AM59" s="12"/>
      <c r="AN59" s="12"/>
      <c r="AO59" s="12"/>
      <c r="AP59" s="12"/>
      <c r="AQ59" s="12"/>
      <c r="AR59" s="12"/>
      <c r="AS59" s="12"/>
      <c r="AT59" s="12"/>
      <c r="AU59" s="12"/>
      <c r="AV59" s="12"/>
      <c r="AW59" s="12"/>
    </row>
    <row r="60" spans="1:69" s="20" customFormat="1" ht="16" customHeight="1" x14ac:dyDescent="0.3">
      <c r="C60" s="12"/>
      <c r="L60" s="79"/>
      <c r="M60" s="79"/>
      <c r="N60" s="79"/>
      <c r="O60" s="79"/>
      <c r="P60" s="79"/>
      <c r="Q60" s="79"/>
      <c r="R60" s="79"/>
      <c r="S60" s="79"/>
      <c r="T60" s="79"/>
      <c r="U60" s="79"/>
      <c r="V60" s="79"/>
      <c r="W60" s="79"/>
      <c r="X60" s="79"/>
      <c r="Y60" s="12"/>
      <c r="Z60" s="12"/>
      <c r="AA60" s="12"/>
      <c r="AB60" s="79"/>
      <c r="AC60" s="79"/>
      <c r="AD60" s="79"/>
      <c r="AE60" s="79"/>
      <c r="AF60" s="79"/>
      <c r="AG60" s="79"/>
      <c r="AH60" s="79"/>
      <c r="AI60" s="12"/>
      <c r="AJ60" s="12"/>
      <c r="AK60" s="12"/>
      <c r="AL60" s="12"/>
      <c r="AM60" s="12"/>
      <c r="AN60" s="12"/>
      <c r="AO60" s="12"/>
      <c r="AP60" s="12"/>
      <c r="AQ60" s="12"/>
      <c r="AR60" s="12"/>
      <c r="AS60" s="12"/>
      <c r="AT60" s="12"/>
      <c r="AU60" s="12"/>
      <c r="AV60" s="12"/>
      <c r="AW60" s="12"/>
    </row>
    <row r="61" spans="1:69" s="20" customFormat="1" ht="16" customHeight="1" x14ac:dyDescent="0.3">
      <c r="L61" s="79"/>
      <c r="M61" s="79"/>
      <c r="N61" s="79"/>
      <c r="O61" s="79"/>
      <c r="P61" s="79"/>
      <c r="Q61" s="79"/>
      <c r="R61" s="79"/>
      <c r="S61" s="79"/>
      <c r="T61" s="79"/>
      <c r="U61" s="79"/>
      <c r="V61" s="79"/>
      <c r="W61" s="79"/>
      <c r="X61" s="79"/>
      <c r="Y61" s="70"/>
      <c r="Z61" s="12"/>
      <c r="AA61" s="12"/>
      <c r="AB61" s="79"/>
      <c r="AC61" s="79"/>
      <c r="AD61" s="79"/>
      <c r="AE61" s="79"/>
      <c r="AF61" s="79"/>
      <c r="AG61" s="79"/>
      <c r="AH61" s="79"/>
      <c r="AI61" s="12"/>
      <c r="AJ61" s="12"/>
      <c r="AK61" s="12"/>
      <c r="AL61" s="12"/>
      <c r="AM61" s="12"/>
      <c r="AN61" s="12"/>
      <c r="AO61" s="12"/>
      <c r="AP61" s="12"/>
      <c r="AQ61" s="12"/>
      <c r="AR61" s="12"/>
      <c r="AS61" s="12"/>
      <c r="AT61" s="12"/>
      <c r="AU61" s="12"/>
      <c r="AV61" s="12"/>
      <c r="AW61" s="12"/>
    </row>
    <row r="62" spans="1:69" s="20" customFormat="1" ht="16" customHeight="1" x14ac:dyDescent="0.3">
      <c r="L62" s="79"/>
      <c r="M62" s="79"/>
      <c r="N62" s="79"/>
      <c r="O62" s="79"/>
      <c r="P62" s="79"/>
      <c r="Q62" s="79"/>
      <c r="R62" s="79"/>
      <c r="S62" s="79"/>
      <c r="T62" s="79"/>
      <c r="U62" s="79"/>
      <c r="V62" s="79"/>
      <c r="W62" s="79"/>
      <c r="X62" s="79"/>
      <c r="Y62" s="12"/>
      <c r="Z62" s="12"/>
      <c r="AA62" s="12"/>
      <c r="AB62" s="79"/>
      <c r="AC62" s="79"/>
      <c r="AD62" s="79"/>
      <c r="AE62" s="79"/>
      <c r="AF62" s="79"/>
      <c r="AG62" s="79"/>
      <c r="AH62" s="79"/>
      <c r="AI62" s="12"/>
      <c r="AJ62" s="12"/>
      <c r="AK62" s="12"/>
      <c r="AL62" s="12"/>
      <c r="AM62" s="12"/>
      <c r="AN62" s="12"/>
      <c r="AO62" s="12"/>
      <c r="AP62" s="12"/>
      <c r="AQ62" s="12"/>
      <c r="AR62" s="12"/>
      <c r="AS62" s="12"/>
      <c r="AT62" s="12"/>
      <c r="AU62" s="12"/>
      <c r="AV62" s="12"/>
      <c r="AW62" s="12"/>
    </row>
    <row r="63" spans="1:69" s="20" customFormat="1" ht="16" customHeight="1" x14ac:dyDescent="0.3">
      <c r="L63" s="79"/>
      <c r="M63" s="79"/>
      <c r="N63" s="79"/>
      <c r="O63" s="79"/>
      <c r="P63" s="79"/>
      <c r="Q63" s="79"/>
      <c r="R63" s="79"/>
      <c r="S63" s="79"/>
      <c r="T63" s="79"/>
      <c r="U63" s="79"/>
      <c r="V63" s="79"/>
      <c r="W63" s="79"/>
      <c r="X63" s="79"/>
      <c r="Y63" s="12"/>
      <c r="Z63" s="12"/>
      <c r="AA63" s="12"/>
      <c r="AB63" s="79"/>
      <c r="AC63" s="79"/>
      <c r="AD63" s="79"/>
      <c r="AE63" s="79"/>
      <c r="AF63" s="79"/>
      <c r="AG63" s="79"/>
      <c r="AH63" s="79"/>
      <c r="AI63" s="12"/>
      <c r="AJ63" s="12"/>
      <c r="AK63" s="12"/>
      <c r="AL63" s="12"/>
      <c r="AM63" s="12"/>
      <c r="AN63" s="12"/>
      <c r="AO63" s="12"/>
      <c r="AP63" s="12"/>
      <c r="AQ63" s="12"/>
      <c r="AR63" s="12"/>
      <c r="AS63" s="12"/>
      <c r="AT63" s="12"/>
      <c r="AU63" s="12"/>
      <c r="AV63" s="12"/>
      <c r="AW63" s="12"/>
    </row>
    <row r="64" spans="1:69" s="20" customFormat="1" ht="16" customHeight="1" x14ac:dyDescent="0.3">
      <c r="L64" s="79"/>
      <c r="M64" s="79"/>
      <c r="N64" s="79"/>
      <c r="O64" s="79"/>
      <c r="P64" s="79"/>
      <c r="Q64" s="79"/>
      <c r="R64" s="79"/>
      <c r="S64" s="79"/>
      <c r="T64" s="79"/>
      <c r="U64" s="79"/>
      <c r="V64" s="79"/>
      <c r="W64" s="79"/>
      <c r="X64" s="79"/>
      <c r="Y64" s="70"/>
      <c r="Z64" s="12"/>
      <c r="AA64" s="12"/>
      <c r="AB64" s="79"/>
      <c r="AC64" s="79"/>
      <c r="AD64" s="79"/>
      <c r="AE64" s="79"/>
      <c r="AF64" s="79"/>
      <c r="AG64" s="79"/>
      <c r="AH64" s="79"/>
      <c r="AI64" s="12"/>
      <c r="AJ64" s="12"/>
      <c r="AK64" s="12"/>
      <c r="AL64" s="12"/>
      <c r="AM64" s="12"/>
      <c r="AN64" s="12"/>
      <c r="AO64" s="12"/>
      <c r="AP64" s="12"/>
      <c r="AQ64" s="12"/>
      <c r="AR64" s="12"/>
      <c r="AS64" s="12"/>
      <c r="AT64" s="12"/>
      <c r="AU64" s="12"/>
      <c r="AV64" s="12"/>
      <c r="AW64" s="12"/>
    </row>
    <row r="65" spans="12:67" s="20" customFormat="1" ht="16" customHeight="1" x14ac:dyDescent="0.3">
      <c r="L65" s="79"/>
      <c r="M65" s="79"/>
      <c r="N65" s="79"/>
      <c r="O65" s="79"/>
      <c r="P65" s="79"/>
      <c r="Q65" s="79"/>
      <c r="R65" s="79"/>
      <c r="S65" s="79"/>
      <c r="T65" s="79"/>
      <c r="U65" s="79"/>
      <c r="V65" s="79"/>
      <c r="W65" s="79"/>
      <c r="X65" s="79"/>
      <c r="Y65" s="70"/>
      <c r="Z65" s="12"/>
      <c r="AA65" s="12"/>
      <c r="AB65" s="79"/>
      <c r="AC65" s="79"/>
      <c r="AD65" s="79"/>
      <c r="AE65" s="79"/>
      <c r="AF65" s="79"/>
      <c r="AG65" s="79"/>
      <c r="AH65" s="79"/>
      <c r="AI65" s="12"/>
      <c r="AJ65" s="12"/>
      <c r="AK65" s="12"/>
      <c r="AL65" s="12"/>
      <c r="AM65" s="12"/>
      <c r="AN65" s="12"/>
      <c r="AO65" s="12"/>
      <c r="AP65" s="12"/>
      <c r="AQ65" s="12"/>
      <c r="AR65" s="12"/>
      <c r="AS65" s="12"/>
      <c r="AT65" s="12"/>
      <c r="AU65" s="12"/>
      <c r="AV65" s="12"/>
      <c r="AW65" s="12"/>
    </row>
    <row r="66" spans="12:67" s="20" customFormat="1" ht="16" customHeight="1" x14ac:dyDescent="0.3">
      <c r="L66" s="79"/>
      <c r="M66" s="79"/>
      <c r="N66" s="79"/>
      <c r="O66" s="79"/>
      <c r="P66" s="79"/>
      <c r="Q66" s="79"/>
      <c r="R66" s="79"/>
      <c r="S66" s="79"/>
      <c r="T66" s="79"/>
      <c r="U66" s="79"/>
      <c r="V66" s="79"/>
      <c r="W66" s="79"/>
      <c r="X66" s="79"/>
      <c r="Y66" s="79"/>
      <c r="Z66" s="79"/>
      <c r="AA66" s="79"/>
      <c r="AB66" s="79"/>
      <c r="AC66" s="79"/>
      <c r="AD66" s="79"/>
      <c r="AE66" s="79"/>
      <c r="AF66" s="79"/>
      <c r="AG66" s="79"/>
      <c r="AH66" s="79"/>
      <c r="AI66" s="12"/>
      <c r="AJ66" s="12"/>
      <c r="AK66" s="12"/>
      <c r="AL66" s="12"/>
      <c r="AM66" s="12"/>
      <c r="AN66" s="12"/>
      <c r="AO66" s="12"/>
      <c r="AP66" s="12"/>
      <c r="AQ66" s="12"/>
      <c r="AR66" s="12"/>
      <c r="AS66" s="12"/>
      <c r="AT66" s="12"/>
      <c r="AU66" s="12"/>
      <c r="AV66" s="12"/>
      <c r="AW66" s="12"/>
    </row>
    <row r="67" spans="12:67" s="20" customFormat="1" ht="16" customHeight="1" x14ac:dyDescent="0.3">
      <c r="L67" s="79"/>
      <c r="M67" s="79"/>
      <c r="N67" s="79"/>
      <c r="O67" s="79"/>
      <c r="P67" s="79"/>
      <c r="Q67" s="79"/>
      <c r="R67" s="79"/>
      <c r="S67" s="79"/>
      <c r="T67" s="79"/>
      <c r="U67" s="79"/>
      <c r="V67" s="79"/>
      <c r="W67" s="79"/>
      <c r="X67" s="79"/>
      <c r="Y67" s="79"/>
      <c r="Z67" s="79"/>
      <c r="AA67" s="79"/>
      <c r="AB67" s="79"/>
      <c r="AC67" s="79"/>
      <c r="AD67" s="79"/>
      <c r="AE67" s="79"/>
      <c r="AF67" s="79"/>
      <c r="AG67" s="79"/>
      <c r="AH67" s="79"/>
      <c r="AI67" s="12"/>
      <c r="AJ67" s="12"/>
      <c r="AK67" s="12"/>
      <c r="AL67" s="12"/>
      <c r="AM67" s="12"/>
      <c r="AN67" s="12"/>
      <c r="AO67" s="12"/>
      <c r="AP67" s="12"/>
      <c r="AQ67" s="12"/>
      <c r="AR67" s="12"/>
      <c r="AS67" s="12"/>
      <c r="AT67" s="12"/>
      <c r="AU67" s="12"/>
      <c r="AV67" s="12"/>
      <c r="AW67" s="12"/>
    </row>
    <row r="68" spans="12:67" s="20" customFormat="1" ht="16" customHeight="1" x14ac:dyDescent="0.3">
      <c r="L68" s="79"/>
      <c r="M68" s="79"/>
      <c r="N68" s="79"/>
      <c r="O68" s="79"/>
      <c r="P68" s="79"/>
      <c r="Q68" s="79"/>
      <c r="R68" s="79"/>
      <c r="S68" s="79"/>
      <c r="T68" s="79"/>
      <c r="U68" s="79"/>
      <c r="V68" s="79"/>
      <c r="W68" s="79"/>
      <c r="X68" s="79"/>
      <c r="Y68" s="79"/>
      <c r="Z68" s="79"/>
      <c r="AA68" s="79"/>
      <c r="AB68" s="79"/>
      <c r="AC68" s="79"/>
      <c r="AD68" s="79"/>
      <c r="AE68" s="79"/>
      <c r="AF68" s="79"/>
      <c r="AG68" s="79"/>
      <c r="AH68" s="79"/>
      <c r="AI68" s="12"/>
      <c r="AJ68" s="12"/>
      <c r="AK68" s="70"/>
      <c r="AL68" s="70"/>
      <c r="AM68" s="70"/>
      <c r="AN68" s="70"/>
      <c r="AO68" s="70"/>
      <c r="AP68" s="70"/>
      <c r="AQ68" s="70"/>
      <c r="AR68" s="70"/>
      <c r="AS68" s="70"/>
      <c r="AT68" s="70"/>
      <c r="AU68" s="70"/>
      <c r="AV68" s="70"/>
      <c r="AW68" s="12"/>
      <c r="AX68" s="12"/>
      <c r="AY68" s="12"/>
      <c r="AZ68" s="12"/>
      <c r="BA68" s="12"/>
      <c r="BB68" s="12"/>
      <c r="BC68" s="12"/>
      <c r="BD68" s="12"/>
      <c r="BE68" s="12"/>
      <c r="BF68" s="12"/>
      <c r="BG68" s="12"/>
      <c r="BH68" s="12"/>
      <c r="BI68" s="12"/>
      <c r="BJ68" s="12"/>
      <c r="BK68" s="12"/>
      <c r="BL68" s="12"/>
      <c r="BM68" s="12"/>
      <c r="BN68" s="12"/>
      <c r="BO68" s="12"/>
    </row>
    <row r="69" spans="12:67" s="20" customFormat="1" ht="16" customHeight="1" x14ac:dyDescent="0.3">
      <c r="L69" s="79"/>
      <c r="M69" s="79"/>
      <c r="N69" s="79"/>
      <c r="O69" s="79"/>
      <c r="P69" s="79"/>
      <c r="Q69" s="79"/>
      <c r="R69" s="79"/>
      <c r="S69" s="79"/>
      <c r="T69" s="79"/>
      <c r="U69" s="79"/>
      <c r="V69" s="79"/>
      <c r="W69" s="79"/>
      <c r="X69" s="79"/>
      <c r="Y69" s="79"/>
      <c r="Z69" s="79"/>
      <c r="AA69" s="79"/>
      <c r="AB69" s="79"/>
      <c r="AC69" s="79"/>
      <c r="AD69" s="79"/>
      <c r="AE69" s="79"/>
      <c r="AF69" s="79"/>
      <c r="AG69" s="79"/>
      <c r="AH69" s="79"/>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2:67" s="20" customFormat="1" ht="16" customHeight="1" x14ac:dyDescent="0.3">
      <c r="L70" s="79"/>
      <c r="M70" s="79"/>
      <c r="N70" s="79"/>
      <c r="O70" s="79"/>
      <c r="P70" s="79"/>
      <c r="Q70" s="79"/>
      <c r="R70" s="79"/>
      <c r="S70" s="79"/>
      <c r="T70" s="79"/>
      <c r="U70" s="79"/>
      <c r="V70" s="79"/>
      <c r="W70" s="79"/>
      <c r="X70" s="79"/>
      <c r="Y70" s="79"/>
      <c r="Z70" s="79"/>
      <c r="AA70" s="79"/>
      <c r="AB70" s="79"/>
      <c r="AC70" s="79"/>
      <c r="AD70" s="79"/>
      <c r="AE70" s="79"/>
      <c r="AF70" s="79"/>
      <c r="AG70" s="79"/>
      <c r="AH70" s="79"/>
      <c r="AI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row>
    <row r="71" spans="12:67" s="20" customFormat="1" ht="16" customHeight="1" x14ac:dyDescent="0.3">
      <c r="L71" s="79"/>
      <c r="M71" s="79"/>
      <c r="N71" s="79"/>
      <c r="O71" s="79"/>
      <c r="P71" s="79"/>
      <c r="Q71" s="79"/>
      <c r="R71" s="79"/>
      <c r="S71" s="79"/>
      <c r="T71" s="79"/>
      <c r="U71" s="79"/>
      <c r="V71" s="79"/>
      <c r="W71" s="79"/>
      <c r="X71" s="79"/>
      <c r="Y71" s="79"/>
      <c r="Z71" s="79"/>
      <c r="AA71" s="79"/>
      <c r="AB71" s="79"/>
      <c r="AC71" s="79"/>
      <c r="AD71" s="79"/>
      <c r="AE71" s="79"/>
      <c r="AF71" s="79"/>
      <c r="AG71" s="79"/>
      <c r="AH71" s="79"/>
      <c r="AI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row>
    <row r="72" spans="12:67" s="20" customFormat="1" ht="16" customHeight="1" x14ac:dyDescent="0.3">
      <c r="L72" s="79"/>
      <c r="M72" s="79"/>
      <c r="N72" s="79"/>
      <c r="O72" s="79"/>
      <c r="P72" s="79"/>
      <c r="Q72" s="79"/>
      <c r="R72" s="79"/>
      <c r="S72" s="79"/>
      <c r="T72" s="79"/>
      <c r="U72" s="79"/>
      <c r="V72" s="79"/>
      <c r="W72" s="79"/>
      <c r="X72" s="79"/>
      <c r="Y72" s="79"/>
      <c r="Z72" s="79"/>
      <c r="AA72" s="79"/>
      <c r="AB72" s="79"/>
      <c r="AC72" s="79"/>
      <c r="AD72" s="79"/>
      <c r="AE72" s="79"/>
      <c r="AF72" s="79"/>
      <c r="AG72" s="79"/>
      <c r="AH72" s="79"/>
      <c r="AI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row>
    <row r="73" spans="12:67" s="20" customFormat="1" ht="16" customHeight="1" x14ac:dyDescent="0.3">
      <c r="L73" s="79"/>
      <c r="M73" s="79"/>
      <c r="N73" s="79"/>
      <c r="O73" s="79"/>
      <c r="P73" s="79"/>
      <c r="Q73" s="79"/>
      <c r="R73" s="79"/>
      <c r="S73" s="79"/>
      <c r="T73" s="79"/>
      <c r="U73" s="79"/>
      <c r="V73" s="79"/>
      <c r="W73" s="79"/>
      <c r="X73" s="79"/>
      <c r="Y73" s="79"/>
      <c r="Z73" s="79"/>
      <c r="AA73" s="79"/>
      <c r="AB73" s="79"/>
      <c r="AC73" s="79"/>
      <c r="AD73" s="79"/>
      <c r="AE73" s="79"/>
      <c r="AF73" s="79"/>
      <c r="AG73" s="79"/>
      <c r="AH73" s="79"/>
      <c r="AI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row>
    <row r="74" spans="12:67" s="20" customFormat="1" ht="16" customHeight="1" x14ac:dyDescent="0.3">
      <c r="L74" s="79"/>
      <c r="M74" s="79"/>
      <c r="N74" s="79"/>
      <c r="O74" s="79"/>
      <c r="P74" s="79"/>
      <c r="Q74" s="79"/>
      <c r="R74" s="79"/>
      <c r="S74" s="79"/>
      <c r="T74" s="79"/>
      <c r="U74" s="79"/>
      <c r="V74" s="79"/>
      <c r="W74" s="79"/>
      <c r="X74" s="79"/>
      <c r="Y74" s="79"/>
      <c r="Z74" s="79"/>
      <c r="AA74" s="79"/>
      <c r="AB74" s="79"/>
      <c r="AC74" s="79"/>
      <c r="AD74" s="79"/>
      <c r="AE74" s="79"/>
      <c r="AF74" s="79"/>
      <c r="AG74" s="79"/>
      <c r="AH74" s="79"/>
      <c r="AI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row>
    <row r="75" spans="12:67" s="20" customFormat="1" ht="16" customHeight="1" x14ac:dyDescent="0.3">
      <c r="L75" s="79"/>
      <c r="M75" s="79"/>
      <c r="N75" s="79"/>
      <c r="O75" s="79"/>
      <c r="P75" s="79"/>
      <c r="Q75" s="79"/>
      <c r="R75" s="79"/>
      <c r="S75" s="79"/>
      <c r="T75" s="79"/>
      <c r="U75" s="79"/>
      <c r="V75" s="79"/>
      <c r="W75" s="79"/>
      <c r="X75" s="79"/>
      <c r="Y75" s="79"/>
      <c r="Z75" s="79"/>
      <c r="AA75" s="79"/>
      <c r="AB75" s="79"/>
      <c r="AC75" s="79"/>
      <c r="AD75" s="79"/>
      <c r="AE75" s="79"/>
      <c r="AF75" s="79"/>
      <c r="AG75" s="79"/>
      <c r="AH75" s="79"/>
      <c r="AI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row>
    <row r="76" spans="12:67" s="20" customFormat="1" ht="16" customHeight="1" x14ac:dyDescent="0.3">
      <c r="L76" s="79"/>
      <c r="M76" s="79"/>
      <c r="N76" s="79"/>
      <c r="O76" s="79"/>
      <c r="P76" s="79"/>
      <c r="Q76" s="79"/>
      <c r="R76" s="79"/>
      <c r="S76" s="79"/>
      <c r="T76" s="79"/>
      <c r="U76" s="79"/>
      <c r="V76" s="79"/>
      <c r="W76" s="79"/>
      <c r="X76" s="79"/>
      <c r="Y76" s="79"/>
      <c r="Z76" s="79"/>
      <c r="AA76" s="79"/>
      <c r="AB76" s="79"/>
      <c r="AC76" s="79"/>
      <c r="AD76" s="79"/>
      <c r="AE76" s="79"/>
      <c r="AF76" s="79"/>
      <c r="AG76" s="79"/>
      <c r="AH76" s="79"/>
      <c r="AI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row>
    <row r="77" spans="12:67" s="20" customFormat="1" ht="16" customHeight="1" x14ac:dyDescent="0.3">
      <c r="L77" s="79"/>
      <c r="M77" s="79"/>
      <c r="N77" s="79"/>
      <c r="O77" s="79"/>
      <c r="P77" s="79"/>
      <c r="Q77" s="79"/>
      <c r="R77" s="79"/>
      <c r="S77" s="79"/>
      <c r="T77" s="79"/>
      <c r="U77" s="79"/>
      <c r="V77" s="79"/>
      <c r="W77" s="79"/>
      <c r="X77" s="79"/>
      <c r="Y77" s="79"/>
      <c r="Z77" s="79"/>
      <c r="AA77" s="79"/>
      <c r="AB77" s="79"/>
      <c r="AC77" s="79"/>
      <c r="AD77" s="79"/>
      <c r="AE77" s="79"/>
      <c r="AF77" s="79"/>
      <c r="AG77" s="79"/>
      <c r="AH77" s="79"/>
      <c r="AI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row>
    <row r="78" spans="12:67" s="20" customFormat="1" ht="16" customHeight="1" x14ac:dyDescent="0.3">
      <c r="L78" s="79"/>
      <c r="M78" s="79"/>
      <c r="N78" s="79"/>
      <c r="O78" s="79"/>
      <c r="P78" s="79"/>
      <c r="Q78" s="79"/>
      <c r="R78" s="79"/>
      <c r="S78" s="79"/>
      <c r="T78" s="79"/>
      <c r="U78" s="79"/>
      <c r="V78" s="79"/>
      <c r="W78" s="79"/>
      <c r="X78" s="79"/>
      <c r="Y78" s="79"/>
      <c r="Z78" s="79"/>
      <c r="AA78" s="79"/>
      <c r="AB78" s="79"/>
      <c r="AC78" s="79"/>
      <c r="AD78" s="79"/>
      <c r="AE78" s="79"/>
      <c r="AF78" s="79"/>
      <c r="AG78" s="79"/>
      <c r="AH78" s="79"/>
      <c r="AI78" s="12"/>
      <c r="AJ78" s="70"/>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row>
    <row r="79" spans="12:67" s="20" customFormat="1" ht="16" customHeight="1" x14ac:dyDescent="0.3">
      <c r="L79" s="79"/>
      <c r="M79" s="79"/>
      <c r="N79" s="79"/>
      <c r="O79" s="79"/>
      <c r="P79" s="79"/>
      <c r="Q79" s="79"/>
      <c r="R79" s="79"/>
      <c r="S79" s="79"/>
      <c r="T79" s="79"/>
      <c r="U79" s="79"/>
      <c r="V79" s="79"/>
      <c r="W79" s="79"/>
      <c r="X79" s="79"/>
      <c r="Y79" s="79"/>
      <c r="Z79" s="79"/>
      <c r="AA79" s="79"/>
      <c r="AB79" s="79"/>
      <c r="AC79" s="79"/>
      <c r="AD79" s="79"/>
      <c r="AE79" s="79"/>
      <c r="AF79" s="79"/>
      <c r="AG79" s="79"/>
      <c r="AH79" s="79"/>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row>
    <row r="80" spans="12:67" s="20" customFormat="1" ht="16" customHeight="1" x14ac:dyDescent="0.3">
      <c r="L80" s="79"/>
      <c r="M80" s="79"/>
      <c r="N80" s="79"/>
      <c r="O80" s="79"/>
      <c r="P80" s="79"/>
      <c r="Q80" s="79"/>
      <c r="R80" s="79"/>
      <c r="S80" s="79"/>
      <c r="T80" s="79"/>
      <c r="U80" s="79"/>
      <c r="V80" s="79"/>
      <c r="W80" s="79"/>
      <c r="X80" s="79"/>
      <c r="Y80" s="79"/>
      <c r="Z80" s="79"/>
      <c r="AA80" s="79"/>
      <c r="AB80" s="79"/>
      <c r="AC80" s="79"/>
      <c r="AD80" s="79"/>
      <c r="AE80" s="79"/>
      <c r="AF80" s="79"/>
      <c r="AG80" s="79"/>
      <c r="AH80" s="79"/>
    </row>
    <row r="81" spans="12:107" s="20" customFormat="1" ht="16" customHeight="1" x14ac:dyDescent="0.3">
      <c r="L81" s="79"/>
      <c r="M81" s="79"/>
      <c r="N81" s="79"/>
      <c r="O81" s="79"/>
      <c r="P81" s="79"/>
      <c r="Q81" s="79"/>
      <c r="R81" s="79"/>
      <c r="S81" s="79"/>
      <c r="T81" s="79"/>
      <c r="U81" s="79"/>
      <c r="V81" s="79"/>
      <c r="W81" s="79"/>
      <c r="X81" s="79"/>
      <c r="Y81" s="79"/>
      <c r="Z81" s="79"/>
      <c r="AA81" s="79"/>
      <c r="AB81" s="79"/>
      <c r="AC81" s="79"/>
      <c r="AD81" s="79"/>
      <c r="AE81" s="79"/>
      <c r="AF81" s="79"/>
      <c r="AG81" s="79"/>
      <c r="AH81" s="79"/>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row>
    <row r="82" spans="12:107" s="20" customFormat="1" ht="16" customHeight="1" x14ac:dyDescent="0.3">
      <c r="L82" s="79"/>
      <c r="M82" s="79"/>
      <c r="N82" s="79"/>
      <c r="O82" s="79"/>
      <c r="P82" s="79"/>
      <c r="Q82" s="79"/>
      <c r="R82" s="79"/>
      <c r="S82" s="79"/>
      <c r="T82" s="79"/>
      <c r="U82" s="79"/>
      <c r="V82" s="79"/>
      <c r="W82" s="79"/>
      <c r="X82" s="79"/>
      <c r="Y82" s="79"/>
      <c r="Z82" s="79"/>
      <c r="AA82" s="79"/>
      <c r="AB82" s="79"/>
      <c r="AC82" s="79"/>
      <c r="AD82" s="79"/>
      <c r="AE82" s="79"/>
      <c r="AF82" s="79"/>
      <c r="AG82" s="79"/>
      <c r="AH82" s="79"/>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row>
    <row r="83" spans="12:107" s="20" customFormat="1" ht="16" customHeight="1" x14ac:dyDescent="0.3">
      <c r="L83" s="79"/>
      <c r="M83" s="79"/>
      <c r="N83" s="79"/>
      <c r="O83" s="79"/>
      <c r="P83" s="79"/>
      <c r="Q83" s="79"/>
      <c r="R83" s="79"/>
      <c r="S83" s="79"/>
      <c r="T83" s="79"/>
      <c r="U83" s="79"/>
      <c r="V83" s="79"/>
      <c r="W83" s="79"/>
      <c r="X83" s="79"/>
      <c r="Y83" s="79"/>
      <c r="Z83" s="79"/>
      <c r="AA83" s="79"/>
      <c r="AB83" s="79"/>
      <c r="AC83" s="79"/>
      <c r="AD83" s="79"/>
      <c r="AE83" s="79"/>
      <c r="AF83" s="79"/>
      <c r="AG83" s="79"/>
      <c r="AH83" s="79"/>
    </row>
    <row r="84" spans="12:107" s="20" customFormat="1" ht="16" customHeight="1" x14ac:dyDescent="0.3">
      <c r="L84" s="79"/>
      <c r="M84" s="79"/>
      <c r="N84" s="79"/>
      <c r="O84" s="79"/>
      <c r="P84" s="79"/>
      <c r="Q84" s="79"/>
      <c r="R84" s="79"/>
      <c r="S84" s="79"/>
      <c r="T84" s="79"/>
      <c r="U84" s="79"/>
      <c r="V84" s="79"/>
      <c r="W84" s="79"/>
      <c r="X84" s="79"/>
      <c r="Y84" s="79"/>
      <c r="Z84" s="79"/>
      <c r="AA84" s="79"/>
      <c r="AB84" s="79"/>
      <c r="AC84" s="79"/>
      <c r="AD84" s="79"/>
      <c r="AE84" s="79"/>
      <c r="AF84" s="79"/>
      <c r="AG84" s="79"/>
      <c r="AH84" s="79"/>
      <c r="BA84" s="71"/>
    </row>
    <row r="85" spans="12:107" s="20" customFormat="1" ht="16" customHeight="1" x14ac:dyDescent="0.3">
      <c r="L85" s="79"/>
      <c r="M85" s="79"/>
      <c r="N85" s="79"/>
      <c r="O85" s="79"/>
      <c r="P85" s="79"/>
      <c r="Q85" s="79"/>
      <c r="R85" s="79"/>
      <c r="S85" s="79"/>
      <c r="T85" s="79"/>
      <c r="U85" s="79"/>
      <c r="V85" s="79"/>
      <c r="W85" s="79"/>
      <c r="X85" s="79"/>
      <c r="Y85" s="79"/>
      <c r="Z85" s="79"/>
      <c r="AA85" s="79"/>
      <c r="AB85" s="79"/>
      <c r="AC85" s="79"/>
      <c r="AD85" s="79"/>
      <c r="AE85" s="79"/>
      <c r="AF85" s="79"/>
      <c r="AG85" s="79"/>
      <c r="AH85" s="79"/>
      <c r="BN85" s="81"/>
      <c r="BP85" s="81"/>
    </row>
    <row r="86" spans="12:107" s="20" customFormat="1" ht="16" customHeight="1" x14ac:dyDescent="0.3">
      <c r="L86" s="79"/>
      <c r="M86" s="79"/>
      <c r="N86" s="79"/>
      <c r="O86" s="79"/>
      <c r="P86" s="79"/>
      <c r="Q86" s="79"/>
      <c r="R86" s="79"/>
      <c r="S86" s="79"/>
      <c r="T86" s="79"/>
      <c r="U86" s="79"/>
      <c r="V86" s="79"/>
      <c r="W86" s="79"/>
      <c r="X86" s="79"/>
      <c r="Y86" s="79"/>
      <c r="Z86" s="79"/>
      <c r="AA86" s="79"/>
      <c r="AB86" s="79"/>
      <c r="AC86" s="79"/>
      <c r="AD86" s="79"/>
      <c r="AE86" s="79"/>
      <c r="AF86" s="79"/>
      <c r="AG86" s="79"/>
      <c r="AH86" s="79"/>
      <c r="AI86" s="12"/>
      <c r="AJ86" s="80"/>
      <c r="AK86" s="12"/>
      <c r="AL86" s="12"/>
      <c r="AM86" s="12"/>
      <c r="AN86" s="12"/>
      <c r="AO86" s="12"/>
      <c r="AP86" s="12"/>
      <c r="AQ86" s="12"/>
      <c r="AR86" s="12"/>
      <c r="AS86" s="12"/>
      <c r="AT86" s="12"/>
      <c r="AU86" s="12"/>
      <c r="AV86" s="12"/>
      <c r="AW86" s="12"/>
      <c r="AX86" s="80"/>
      <c r="AY86" s="12"/>
      <c r="AZ86" s="12"/>
      <c r="BA86" s="12"/>
      <c r="BB86" s="12"/>
      <c r="BC86" s="12"/>
      <c r="BD86" s="12"/>
      <c r="BE86" s="12"/>
      <c r="BF86" s="12"/>
      <c r="BG86" s="12"/>
      <c r="BH86" s="12"/>
      <c r="BI86" s="12"/>
      <c r="BJ86" s="12"/>
      <c r="BK86" s="12"/>
      <c r="BL86" s="12"/>
      <c r="BM86" s="12"/>
      <c r="BN86" s="12"/>
      <c r="BO86" s="12"/>
    </row>
    <row r="87" spans="12:107" s="20" customFormat="1" ht="16" customHeight="1" x14ac:dyDescent="0.3">
      <c r="L87" s="79"/>
      <c r="M87" s="79"/>
      <c r="N87" s="79"/>
      <c r="O87" s="79"/>
      <c r="P87" s="79"/>
      <c r="Q87" s="79"/>
      <c r="R87" s="79"/>
      <c r="S87" s="79"/>
      <c r="T87" s="79"/>
      <c r="U87" s="79"/>
      <c r="V87" s="79"/>
      <c r="W87" s="79"/>
      <c r="X87" s="79"/>
      <c r="Y87" s="79"/>
      <c r="Z87" s="79"/>
      <c r="AA87" s="79"/>
      <c r="AB87" s="79"/>
      <c r="AC87" s="79"/>
      <c r="AD87" s="79"/>
      <c r="AE87" s="79"/>
      <c r="AF87" s="79"/>
      <c r="AG87" s="79"/>
      <c r="AH87" s="79"/>
      <c r="AI87" s="15"/>
      <c r="AK87" s="15"/>
      <c r="AL87" s="15"/>
      <c r="AM87" s="15"/>
      <c r="AN87" s="15"/>
      <c r="AO87" s="15"/>
      <c r="AP87" s="15"/>
      <c r="AQ87" s="15"/>
      <c r="AR87" s="15"/>
      <c r="AS87" s="15"/>
      <c r="AT87" s="15"/>
      <c r="AU87" s="15"/>
      <c r="AV87" s="15"/>
      <c r="AW87" s="15"/>
      <c r="AY87" s="15"/>
      <c r="AZ87" s="96"/>
      <c r="BA87" s="96"/>
      <c r="BB87" s="96"/>
      <c r="BC87" s="96"/>
      <c r="BD87" s="96"/>
      <c r="BE87" s="96"/>
      <c r="BF87" s="96"/>
      <c r="BG87" s="96"/>
      <c r="BH87" s="96"/>
      <c r="BI87" s="96"/>
      <c r="BJ87" s="96"/>
      <c r="BK87" s="96"/>
      <c r="BL87" s="15"/>
      <c r="BM87" s="15"/>
      <c r="BN87" s="15"/>
      <c r="BO87" s="15"/>
    </row>
    <row r="88" spans="12:107" s="20" customFormat="1" ht="16" customHeight="1" x14ac:dyDescent="0.3">
      <c r="L88" s="79"/>
      <c r="M88" s="79"/>
      <c r="N88" s="79"/>
      <c r="O88" s="79"/>
      <c r="P88" s="79"/>
      <c r="Q88" s="79"/>
      <c r="R88" s="79"/>
      <c r="S88" s="79"/>
      <c r="T88" s="79"/>
      <c r="U88" s="79"/>
      <c r="V88" s="79"/>
      <c r="W88" s="79"/>
      <c r="X88" s="79"/>
      <c r="Y88" s="79"/>
      <c r="Z88" s="79"/>
      <c r="AA88" s="79"/>
      <c r="AB88" s="79"/>
      <c r="AC88" s="79"/>
      <c r="AD88" s="79"/>
      <c r="AE88" s="79"/>
      <c r="AF88" s="79"/>
      <c r="AG88" s="79"/>
      <c r="AH88" s="79"/>
      <c r="AI88" s="13"/>
      <c r="AJ88" s="16"/>
      <c r="AK88" s="68"/>
      <c r="AL88" s="68"/>
      <c r="AM88" s="68"/>
      <c r="AN88" s="68"/>
      <c r="AO88" s="68"/>
      <c r="AP88" s="68"/>
      <c r="AQ88" s="68"/>
      <c r="AR88" s="68"/>
      <c r="AS88" s="68"/>
      <c r="AT88" s="68"/>
      <c r="AU88" s="68"/>
      <c r="AV88" s="68"/>
      <c r="AW88" s="68"/>
      <c r="AX88" s="68"/>
      <c r="AY88" s="16"/>
      <c r="AZ88" s="16"/>
      <c r="BA88" s="16"/>
      <c r="BB88" s="16"/>
      <c r="BC88" s="16"/>
      <c r="BD88" s="16"/>
      <c r="BE88" s="16"/>
      <c r="BF88" s="16"/>
      <c r="BG88" s="16"/>
      <c r="BH88" s="16"/>
      <c r="BI88" s="16"/>
      <c r="BJ88" s="16"/>
      <c r="BK88" s="16"/>
      <c r="BL88" s="16"/>
      <c r="BM88" s="16"/>
      <c r="BN88" s="16"/>
      <c r="BO88" s="16"/>
    </row>
    <row r="89" spans="12:107" s="20" customFormat="1" ht="16" customHeight="1" x14ac:dyDescent="0.3">
      <c r="L89" s="79"/>
      <c r="M89" s="79"/>
      <c r="N89" s="79"/>
      <c r="O89" s="79"/>
      <c r="P89" s="79"/>
      <c r="Q89" s="79"/>
      <c r="R89" s="79"/>
      <c r="S89" s="79"/>
      <c r="T89" s="79"/>
      <c r="U89" s="79"/>
      <c r="V89" s="79"/>
      <c r="W89" s="79"/>
      <c r="X89" s="79"/>
      <c r="Y89" s="79"/>
      <c r="Z89" s="79"/>
      <c r="AA89" s="79"/>
      <c r="AB89" s="79"/>
      <c r="AC89" s="79"/>
      <c r="AD89" s="79"/>
      <c r="AE89" s="79"/>
      <c r="AF89" s="79"/>
      <c r="AG89" s="79"/>
      <c r="AH89" s="79"/>
      <c r="AK89" s="71"/>
      <c r="AL89" s="71"/>
      <c r="AM89" s="71"/>
      <c r="AN89" s="71"/>
      <c r="AO89" s="71"/>
      <c r="AP89" s="71"/>
      <c r="AQ89" s="71"/>
      <c r="AR89" s="71"/>
      <c r="AS89" s="71"/>
      <c r="AT89" s="71"/>
      <c r="AU89" s="71"/>
      <c r="AV89" s="71"/>
      <c r="AW89" s="71"/>
      <c r="AX89" s="81"/>
    </row>
    <row r="90" spans="12:107" s="20" customFormat="1" ht="16" customHeight="1" x14ac:dyDescent="0.3">
      <c r="L90" s="79"/>
      <c r="M90" s="79"/>
      <c r="N90" s="79"/>
      <c r="O90" s="79"/>
      <c r="P90" s="79"/>
      <c r="Q90" s="79"/>
      <c r="R90" s="79"/>
      <c r="S90" s="79"/>
      <c r="T90" s="79"/>
      <c r="U90" s="79"/>
      <c r="V90" s="79"/>
      <c r="W90" s="79"/>
      <c r="X90" s="79"/>
      <c r="Y90" s="79"/>
      <c r="Z90" s="79"/>
      <c r="AA90" s="79"/>
      <c r="AB90" s="79"/>
      <c r="AC90" s="79"/>
      <c r="AD90" s="79"/>
      <c r="AE90" s="79"/>
      <c r="AF90" s="79"/>
      <c r="AG90" s="79"/>
      <c r="AH90" s="79"/>
      <c r="AK90" s="68"/>
      <c r="AL90" s="68"/>
      <c r="AM90" s="68"/>
      <c r="AN90" s="68"/>
      <c r="AO90" s="68"/>
      <c r="AP90" s="68"/>
      <c r="AQ90" s="68"/>
      <c r="AR90" s="68"/>
      <c r="AS90" s="68"/>
      <c r="AT90" s="68"/>
      <c r="AU90" s="68"/>
      <c r="AV90" s="68"/>
      <c r="AW90" s="71"/>
      <c r="AX90" s="81"/>
    </row>
    <row r="91" spans="12:107" s="20" customFormat="1" ht="16" customHeight="1" x14ac:dyDescent="0.3">
      <c r="L91" s="79"/>
      <c r="M91" s="79"/>
      <c r="N91" s="79"/>
      <c r="O91" s="79"/>
      <c r="P91" s="79"/>
      <c r="Q91" s="79"/>
      <c r="R91" s="79"/>
      <c r="S91" s="79"/>
      <c r="T91" s="79"/>
      <c r="U91" s="79"/>
      <c r="V91" s="79"/>
      <c r="W91" s="79"/>
      <c r="X91" s="79"/>
      <c r="Y91" s="79"/>
      <c r="Z91" s="79"/>
      <c r="AA91" s="79"/>
      <c r="AB91" s="79"/>
      <c r="AC91" s="79"/>
      <c r="AD91" s="79"/>
      <c r="AE91" s="79"/>
      <c r="AF91" s="79"/>
      <c r="AG91" s="79"/>
      <c r="AH91" s="79"/>
      <c r="AK91" s="71"/>
      <c r="AL91" s="71"/>
      <c r="AM91" s="71"/>
      <c r="AN91" s="71"/>
      <c r="AO91" s="71"/>
      <c r="AP91" s="71"/>
      <c r="AQ91" s="71"/>
      <c r="AR91" s="71"/>
      <c r="AS91" s="71"/>
      <c r="AT91" s="71"/>
      <c r="AU91" s="71"/>
      <c r="AV91" s="71"/>
      <c r="AW91" s="76"/>
      <c r="AX91" s="81"/>
    </row>
    <row r="92" spans="12:107" s="20" customFormat="1" ht="16" customHeight="1" x14ac:dyDescent="0.3">
      <c r="L92" s="79"/>
      <c r="M92" s="79"/>
      <c r="N92" s="79"/>
      <c r="O92" s="79"/>
      <c r="P92" s="79"/>
      <c r="Q92" s="79"/>
      <c r="R92" s="79"/>
      <c r="S92" s="79"/>
      <c r="T92" s="79"/>
      <c r="U92" s="79"/>
      <c r="V92" s="79"/>
      <c r="W92" s="79"/>
      <c r="X92" s="79"/>
      <c r="Y92" s="79"/>
      <c r="Z92" s="79"/>
      <c r="AA92" s="79"/>
      <c r="AB92" s="79"/>
      <c r="AC92" s="79"/>
      <c r="AD92" s="79"/>
      <c r="AE92" s="79"/>
      <c r="AF92" s="79"/>
      <c r="AG92" s="79"/>
      <c r="AH92" s="79"/>
      <c r="AK92" s="71"/>
      <c r="AL92" s="71"/>
      <c r="AM92" s="71"/>
      <c r="AN92" s="71"/>
      <c r="AO92" s="71"/>
      <c r="AP92" s="71"/>
      <c r="AQ92" s="71"/>
      <c r="AR92" s="71"/>
      <c r="AS92" s="71"/>
      <c r="AT92" s="71"/>
      <c r="AU92" s="71"/>
      <c r="AV92" s="71"/>
      <c r="AW92" s="76"/>
      <c r="AX92" s="81"/>
    </row>
    <row r="93" spans="12:107" s="20" customFormat="1" ht="16" customHeight="1" x14ac:dyDescent="0.3">
      <c r="L93" s="79"/>
      <c r="M93" s="79"/>
      <c r="N93" s="79"/>
      <c r="O93" s="79"/>
      <c r="P93" s="79"/>
      <c r="Q93" s="79"/>
      <c r="R93" s="79"/>
      <c r="S93" s="79"/>
      <c r="T93" s="79"/>
      <c r="U93" s="79"/>
      <c r="V93" s="79"/>
      <c r="W93" s="79"/>
      <c r="X93" s="79"/>
      <c r="Y93" s="79"/>
      <c r="Z93" s="79"/>
      <c r="AA93" s="79"/>
      <c r="AB93" s="79"/>
      <c r="AC93" s="79"/>
      <c r="AD93" s="79"/>
      <c r="AE93" s="79"/>
      <c r="AF93" s="79"/>
      <c r="AG93" s="79"/>
      <c r="AH93" s="79"/>
      <c r="AK93" s="71"/>
      <c r="AL93" s="71"/>
      <c r="AM93" s="71"/>
      <c r="AN93" s="71"/>
      <c r="AO93" s="71"/>
      <c r="AP93" s="71"/>
      <c r="AQ93" s="71"/>
      <c r="AR93" s="71"/>
      <c r="AS93" s="71"/>
      <c r="AT93" s="71"/>
      <c r="AU93" s="71"/>
      <c r="AV93" s="71"/>
      <c r="AW93" s="76"/>
      <c r="AX93" s="81"/>
    </row>
    <row r="94" spans="12:107" s="20" customFormat="1" ht="16" customHeight="1" x14ac:dyDescent="0.3">
      <c r="L94" s="79"/>
      <c r="M94" s="79"/>
      <c r="N94" s="79"/>
      <c r="O94" s="79"/>
      <c r="P94" s="79"/>
      <c r="Q94" s="79"/>
      <c r="R94" s="79"/>
      <c r="S94" s="79"/>
      <c r="T94" s="79"/>
      <c r="U94" s="79"/>
      <c r="V94" s="79"/>
      <c r="W94" s="79"/>
      <c r="X94" s="79"/>
      <c r="Y94" s="79"/>
      <c r="Z94" s="79"/>
      <c r="AA94" s="79"/>
      <c r="AB94" s="79"/>
      <c r="AC94" s="79"/>
      <c r="AD94" s="79"/>
      <c r="AE94" s="79"/>
      <c r="AF94" s="79"/>
      <c r="AG94" s="79"/>
      <c r="AH94" s="79"/>
      <c r="AK94" s="71"/>
      <c r="AL94" s="71"/>
      <c r="AM94" s="71"/>
      <c r="AN94" s="71"/>
      <c r="AO94" s="71"/>
      <c r="AP94" s="71"/>
      <c r="AQ94" s="71"/>
      <c r="AR94" s="71"/>
      <c r="AS94" s="71"/>
      <c r="AT94" s="71"/>
      <c r="AU94" s="71"/>
      <c r="AV94" s="71"/>
      <c r="AW94" s="76"/>
      <c r="AX94" s="81"/>
    </row>
    <row r="95" spans="12:107" s="20" customFormat="1" ht="16" customHeight="1" x14ac:dyDescent="0.3">
      <c r="L95" s="79"/>
      <c r="M95" s="79"/>
      <c r="N95" s="79"/>
      <c r="O95" s="79"/>
      <c r="P95" s="79"/>
      <c r="Q95" s="79"/>
      <c r="R95" s="79"/>
      <c r="S95" s="79"/>
      <c r="T95" s="79"/>
      <c r="U95" s="79"/>
      <c r="V95" s="79"/>
      <c r="W95" s="79"/>
      <c r="X95" s="79"/>
      <c r="Y95" s="79"/>
      <c r="Z95" s="79"/>
      <c r="AA95" s="79"/>
      <c r="AB95" s="79"/>
      <c r="AC95" s="79"/>
      <c r="AD95" s="79"/>
      <c r="AE95" s="79"/>
      <c r="AF95" s="79"/>
      <c r="AG95" s="79"/>
      <c r="AH95" s="79"/>
      <c r="AK95" s="71"/>
      <c r="AL95" s="71"/>
      <c r="AM95" s="71"/>
      <c r="AN95" s="71"/>
      <c r="AO95" s="71"/>
      <c r="AP95" s="71"/>
      <c r="AQ95" s="71"/>
      <c r="AR95" s="71"/>
      <c r="AS95" s="71"/>
      <c r="AT95" s="71"/>
      <c r="AU95" s="71"/>
      <c r="AV95" s="71"/>
      <c r="AW95" s="76"/>
      <c r="AX95" s="81"/>
      <c r="DB95" s="20" t="s">
        <v>186</v>
      </c>
    </row>
    <row r="96" spans="12:107" s="20" customFormat="1" ht="16" customHeight="1" x14ac:dyDescent="0.3">
      <c r="L96" s="79"/>
      <c r="M96" s="79"/>
      <c r="N96" s="79"/>
      <c r="O96" s="79"/>
      <c r="P96" s="79"/>
      <c r="Q96" s="79"/>
      <c r="R96" s="79"/>
      <c r="S96" s="79"/>
      <c r="T96" s="79"/>
      <c r="U96" s="79"/>
      <c r="V96" s="79"/>
      <c r="W96" s="79"/>
      <c r="X96" s="79"/>
      <c r="Y96" s="79"/>
      <c r="Z96" s="79"/>
      <c r="AA96" s="79"/>
      <c r="AB96" s="79"/>
      <c r="AC96" s="79"/>
      <c r="AD96" s="79"/>
      <c r="AE96" s="79"/>
      <c r="AF96" s="79"/>
      <c r="AG96" s="79"/>
      <c r="AH96" s="79"/>
      <c r="AK96" s="71"/>
      <c r="AL96" s="71"/>
      <c r="AM96" s="71"/>
      <c r="AN96" s="71"/>
      <c r="AO96" s="71"/>
      <c r="AP96" s="71"/>
      <c r="AQ96" s="71"/>
      <c r="AR96" s="71"/>
      <c r="AS96" s="71"/>
      <c r="AT96" s="71"/>
      <c r="AU96" s="71"/>
      <c r="AV96" s="71"/>
      <c r="AW96" s="76"/>
      <c r="AX96" s="81"/>
      <c r="DC96" s="20" t="s">
        <v>187</v>
      </c>
    </row>
    <row r="97" spans="1:101" s="20" customFormat="1" ht="16" customHeight="1" x14ac:dyDescent="0.3">
      <c r="L97" s="79"/>
      <c r="M97" s="79"/>
      <c r="N97" s="79"/>
      <c r="O97" s="79"/>
      <c r="P97" s="79"/>
      <c r="Q97" s="79"/>
      <c r="R97" s="79"/>
      <c r="S97" s="79"/>
      <c r="T97" s="79"/>
      <c r="U97" s="79"/>
      <c r="V97" s="79"/>
      <c r="W97" s="79"/>
      <c r="X97" s="79"/>
      <c r="Y97" s="79"/>
      <c r="Z97" s="79"/>
      <c r="AA97" s="79"/>
      <c r="AB97" s="79"/>
      <c r="AC97" s="79"/>
      <c r="AD97" s="79"/>
      <c r="AE97" s="79"/>
      <c r="AF97" s="79"/>
      <c r="AG97" s="79"/>
      <c r="AH97" s="79"/>
      <c r="AK97" s="71"/>
      <c r="AL97" s="71"/>
      <c r="AM97" s="71"/>
      <c r="AN97" s="71"/>
      <c r="AO97" s="71"/>
      <c r="AP97" s="71"/>
      <c r="AQ97" s="71"/>
      <c r="AR97" s="71"/>
      <c r="AS97" s="71"/>
      <c r="AT97" s="71"/>
      <c r="AU97" s="71"/>
      <c r="AV97" s="71"/>
      <c r="AW97" s="76"/>
      <c r="AX97" s="81"/>
    </row>
    <row r="98" spans="1:101" s="20" customFormat="1" ht="16" customHeight="1" x14ac:dyDescent="0.3">
      <c r="L98" s="79"/>
      <c r="M98" s="79"/>
      <c r="N98" s="79"/>
      <c r="O98" s="79"/>
      <c r="P98" s="79"/>
      <c r="Q98" s="79"/>
      <c r="R98" s="79"/>
      <c r="S98" s="79"/>
      <c r="T98" s="79"/>
      <c r="U98" s="79"/>
      <c r="V98" s="79"/>
      <c r="W98" s="79"/>
      <c r="X98" s="79"/>
      <c r="Y98" s="79"/>
      <c r="Z98" s="79"/>
      <c r="AA98" s="79"/>
      <c r="AB98" s="79"/>
      <c r="AC98" s="79"/>
      <c r="AD98" s="79"/>
      <c r="AE98" s="79"/>
      <c r="AF98" s="79"/>
      <c r="AG98" s="79"/>
      <c r="AH98" s="79"/>
      <c r="AK98" s="71"/>
      <c r="AL98" s="71"/>
      <c r="AM98" s="71"/>
      <c r="AN98" s="71"/>
      <c r="AO98" s="71"/>
      <c r="AP98" s="71"/>
      <c r="AQ98" s="71"/>
      <c r="AR98" s="71"/>
      <c r="AS98" s="71"/>
      <c r="AT98" s="71"/>
      <c r="AU98" s="71"/>
      <c r="AV98" s="71"/>
      <c r="AW98" s="76"/>
      <c r="AX98" s="81"/>
    </row>
    <row r="99" spans="1:101" s="20" customFormat="1" ht="16" customHeight="1" x14ac:dyDescent="0.3">
      <c r="L99" s="79"/>
      <c r="M99" s="79"/>
      <c r="N99" s="79"/>
      <c r="O99" s="79"/>
      <c r="P99" s="79"/>
      <c r="Q99" s="79"/>
      <c r="R99" s="79"/>
      <c r="S99" s="79"/>
      <c r="T99" s="79"/>
      <c r="U99" s="79"/>
      <c r="V99" s="79"/>
      <c r="W99" s="79"/>
      <c r="X99" s="79"/>
      <c r="Y99" s="79"/>
      <c r="Z99" s="79"/>
      <c r="AA99" s="79"/>
      <c r="AB99" s="79"/>
      <c r="AC99" s="79"/>
      <c r="AD99" s="79"/>
      <c r="AE99" s="79"/>
      <c r="AF99" s="79"/>
      <c r="AG99" s="79"/>
      <c r="AH99" s="79"/>
      <c r="AK99" s="71"/>
      <c r="AL99" s="71"/>
      <c r="AM99" s="71"/>
      <c r="AN99" s="71"/>
      <c r="AO99" s="71"/>
      <c r="AP99" s="71"/>
      <c r="AQ99" s="71"/>
      <c r="AR99" s="71"/>
      <c r="AS99" s="71"/>
      <c r="AT99" s="71"/>
      <c r="AU99" s="71"/>
      <c r="AV99" s="71"/>
      <c r="AW99" s="76"/>
      <c r="AX99" s="81"/>
    </row>
    <row r="100" spans="1:101" s="20" customFormat="1" ht="16" customHeight="1" x14ac:dyDescent="0.3">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K100" s="71"/>
      <c r="AL100" s="71"/>
      <c r="AM100" s="71"/>
      <c r="AN100" s="71"/>
      <c r="AO100" s="71"/>
      <c r="AP100" s="71"/>
      <c r="AQ100" s="71"/>
      <c r="AR100" s="71"/>
      <c r="AS100" s="71"/>
      <c r="AT100" s="71"/>
      <c r="AU100" s="71"/>
      <c r="AV100" s="71"/>
      <c r="AW100" s="76"/>
      <c r="AX100" s="81"/>
    </row>
    <row r="101" spans="1:101" s="20" customFormat="1" ht="16" customHeight="1" x14ac:dyDescent="0.3">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K101" s="71"/>
      <c r="AL101" s="71"/>
      <c r="AM101" s="71"/>
      <c r="AN101" s="71"/>
      <c r="AO101" s="71"/>
      <c r="AP101" s="71"/>
      <c r="AQ101" s="71"/>
      <c r="AR101" s="71"/>
      <c r="AS101" s="71"/>
      <c r="AT101" s="71"/>
      <c r="AU101" s="71"/>
      <c r="AV101" s="71"/>
      <c r="AW101" s="76"/>
      <c r="AX101" s="81"/>
    </row>
    <row r="102" spans="1:101" s="20" customFormat="1" ht="16" customHeight="1" x14ac:dyDescent="0.3">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K102" s="71"/>
      <c r="AL102" s="71"/>
      <c r="AM102" s="71"/>
      <c r="AN102" s="71"/>
      <c r="AO102" s="71"/>
      <c r="AP102" s="71"/>
      <c r="AQ102" s="71"/>
      <c r="AR102" s="71"/>
      <c r="AS102" s="71"/>
      <c r="AT102" s="71"/>
      <c r="AU102" s="71"/>
      <c r="AV102" s="71"/>
      <c r="AW102" s="76"/>
      <c r="AX102" s="81"/>
    </row>
    <row r="103" spans="1:101" s="20" customFormat="1" ht="16" customHeight="1" x14ac:dyDescent="0.3">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K103" s="71"/>
      <c r="AL103" s="71"/>
      <c r="AM103" s="71"/>
      <c r="AN103" s="71"/>
      <c r="AO103" s="71"/>
      <c r="AP103" s="71"/>
      <c r="AQ103" s="71"/>
      <c r="AR103" s="71"/>
      <c r="AS103" s="71"/>
      <c r="AT103" s="71"/>
      <c r="AU103" s="71"/>
      <c r="AV103" s="71"/>
      <c r="AW103" s="76"/>
      <c r="AX103" s="81"/>
    </row>
    <row r="104" spans="1:101" s="20" customFormat="1" ht="16" customHeight="1" x14ac:dyDescent="0.3">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K104" s="71"/>
      <c r="AL104" s="71"/>
      <c r="AM104" s="71"/>
      <c r="AN104" s="71"/>
      <c r="AO104" s="71"/>
      <c r="AP104" s="71"/>
      <c r="AQ104" s="71"/>
      <c r="AR104" s="71"/>
      <c r="AS104" s="71"/>
      <c r="AT104" s="71"/>
      <c r="AU104" s="71"/>
      <c r="AV104" s="71"/>
      <c r="AW104" s="76"/>
      <c r="AX104" s="81"/>
    </row>
    <row r="105" spans="1:101" s="20" customFormat="1" ht="16" customHeight="1" x14ac:dyDescent="0.3">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K105" s="71"/>
      <c r="AL105" s="71"/>
      <c r="AM105" s="71"/>
      <c r="AN105" s="71"/>
      <c r="AO105" s="71"/>
      <c r="AP105" s="71"/>
      <c r="AQ105" s="71"/>
      <c r="AR105" s="71"/>
      <c r="AS105" s="71"/>
      <c r="AT105" s="71"/>
      <c r="AU105" s="71"/>
      <c r="AV105" s="71"/>
      <c r="AW105" s="76"/>
      <c r="AX105" s="81"/>
    </row>
    <row r="106" spans="1:101" ht="16" customHeight="1" x14ac:dyDescent="0.35">
      <c r="A106" s="20"/>
      <c r="B106" s="20"/>
      <c r="C106" s="20"/>
      <c r="D106" s="20"/>
      <c r="E106" s="20"/>
      <c r="F106" s="20"/>
      <c r="G106" s="20"/>
      <c r="H106" s="20"/>
      <c r="I106" s="20"/>
      <c r="J106" s="20"/>
      <c r="K106" s="20"/>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20"/>
      <c r="AJ106" s="20"/>
      <c r="AK106" s="71"/>
      <c r="AL106" s="71"/>
      <c r="AM106" s="71"/>
      <c r="AN106" s="71"/>
      <c r="AO106" s="71"/>
      <c r="AP106" s="71"/>
      <c r="AQ106" s="71"/>
      <c r="AR106" s="71"/>
      <c r="AS106" s="71"/>
      <c r="AT106" s="71"/>
      <c r="AU106" s="71"/>
      <c r="AV106" s="71"/>
      <c r="AW106" s="76"/>
      <c r="AX106" s="81"/>
      <c r="AY106" s="20"/>
      <c r="AZ106"/>
      <c r="BA106"/>
      <c r="BB106"/>
      <c r="BC106"/>
      <c r="BD106"/>
      <c r="BE106"/>
      <c r="BF106"/>
      <c r="BG106"/>
      <c r="BH106"/>
      <c r="BI106"/>
      <c r="BJ106"/>
      <c r="BM106"/>
      <c r="BN106"/>
      <c r="BO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row>
    <row r="107" spans="1:101" ht="16" customHeight="1" x14ac:dyDescent="0.35">
      <c r="A107" s="20"/>
      <c r="B107" s="20"/>
      <c r="C107" s="20"/>
      <c r="D107" s="20"/>
      <c r="E107" s="20"/>
      <c r="F107" s="20"/>
      <c r="G107" s="20"/>
      <c r="H107" s="20"/>
      <c r="I107" s="20"/>
      <c r="J107" s="20"/>
      <c r="K107" s="20"/>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20"/>
      <c r="AJ107" s="20"/>
      <c r="AK107" s="71"/>
      <c r="AL107" s="71"/>
      <c r="AM107" s="71"/>
      <c r="AN107" s="71"/>
      <c r="AO107" s="71"/>
      <c r="AP107" s="71"/>
      <c r="AQ107" s="71"/>
      <c r="AR107" s="71"/>
      <c r="AS107" s="71"/>
      <c r="AT107" s="71"/>
      <c r="AU107" s="71"/>
      <c r="AV107" s="71"/>
      <c r="AW107" s="76"/>
      <c r="AX107" s="81"/>
      <c r="AY107" s="20"/>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1" ht="16" customHeight="1" x14ac:dyDescent="0.35">
      <c r="A108" s="20"/>
      <c r="B108" s="20"/>
      <c r="C108" s="20"/>
      <c r="D108" s="20"/>
      <c r="E108" s="20"/>
      <c r="F108" s="20"/>
      <c r="G108" s="20"/>
      <c r="H108" s="20"/>
      <c r="I108" s="20"/>
      <c r="J108" s="20"/>
      <c r="K108" s="20"/>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20"/>
      <c r="AJ108" s="20"/>
      <c r="AK108" s="71"/>
      <c r="AL108" s="71"/>
      <c r="AM108" s="71"/>
      <c r="AN108" s="71"/>
      <c r="AO108" s="71"/>
      <c r="AP108" s="71"/>
      <c r="AQ108" s="71"/>
      <c r="AR108" s="71"/>
      <c r="AS108" s="71"/>
      <c r="AT108" s="71"/>
      <c r="AU108" s="71"/>
      <c r="AV108" s="71"/>
      <c r="AW108" s="76"/>
      <c r="AX108" s="81"/>
      <c r="AY108" s="20"/>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1" ht="15.5" x14ac:dyDescent="0.35">
      <c r="A109" s="20"/>
      <c r="B109" s="20"/>
      <c r="C109" s="20"/>
      <c r="D109" s="20"/>
      <c r="E109" s="20"/>
      <c r="F109" s="20"/>
      <c r="G109" s="20"/>
      <c r="H109" s="20"/>
      <c r="I109" s="20"/>
      <c r="J109" s="20"/>
      <c r="K109" s="20"/>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20"/>
      <c r="AJ109" s="20"/>
      <c r="AK109" s="71"/>
      <c r="AL109" s="71"/>
      <c r="AM109" s="71"/>
      <c r="AN109" s="71"/>
      <c r="AO109" s="71"/>
      <c r="AP109" s="71"/>
      <c r="AQ109" s="71"/>
      <c r="AR109" s="71"/>
      <c r="AS109" s="71"/>
      <c r="AT109" s="71"/>
      <c r="AU109" s="71"/>
      <c r="AV109" s="71"/>
      <c r="AW109" s="76"/>
      <c r="AX109" s="81"/>
      <c r="AY109" s="20"/>
      <c r="BM109"/>
      <c r="BN109"/>
      <c r="BQ109"/>
      <c r="BR109"/>
      <c r="BS109"/>
      <c r="BT109"/>
      <c r="BU109"/>
      <c r="BV109"/>
      <c r="BW109"/>
      <c r="BX109"/>
      <c r="BY109"/>
      <c r="BZ109"/>
      <c r="CA109"/>
      <c r="CB109"/>
      <c r="CC109"/>
    </row>
    <row r="110" spans="1:101" ht="15.5" x14ac:dyDescent="0.35">
      <c r="B110" s="20"/>
      <c r="C110" s="20"/>
      <c r="D110" s="20"/>
      <c r="E110" s="20"/>
      <c r="F110" s="20"/>
      <c r="G110" s="20"/>
      <c r="H110" s="20"/>
      <c r="I110" s="20"/>
      <c r="J110" s="20"/>
      <c r="K110" s="20"/>
      <c r="AI110" s="20"/>
      <c r="AJ110" s="20"/>
      <c r="AK110" s="71"/>
      <c r="AL110" s="71"/>
      <c r="AM110" s="71"/>
      <c r="AN110" s="71"/>
      <c r="AO110" s="71"/>
      <c r="AP110" s="71"/>
      <c r="AQ110" s="71"/>
      <c r="AR110" s="71"/>
      <c r="AS110" s="71"/>
      <c r="AT110" s="71"/>
      <c r="AU110" s="71"/>
      <c r="AV110" s="71"/>
      <c r="AW110" s="76"/>
      <c r="AX110" s="81"/>
      <c r="AY110" s="20"/>
      <c r="BM110"/>
      <c r="BN110"/>
      <c r="BQ110"/>
      <c r="BR110"/>
      <c r="BS110"/>
      <c r="BT110"/>
      <c r="BU110"/>
      <c r="BV110"/>
      <c r="BW110"/>
      <c r="BX110"/>
      <c r="BY110"/>
      <c r="BZ110"/>
      <c r="CA110"/>
      <c r="CB110"/>
      <c r="CC110"/>
    </row>
    <row r="111" spans="1:101" ht="15.5" x14ac:dyDescent="0.35">
      <c r="B111" s="20"/>
      <c r="C111" s="20"/>
      <c r="D111" s="20"/>
      <c r="E111" s="20"/>
      <c r="F111" s="20"/>
      <c r="G111" s="20"/>
      <c r="H111" s="20"/>
      <c r="I111" s="20"/>
      <c r="J111" s="20"/>
      <c r="K111" s="20"/>
      <c r="AI111" s="20"/>
      <c r="AJ111" s="20"/>
      <c r="AK111" s="71"/>
      <c r="AL111" s="71"/>
      <c r="AM111" s="71"/>
      <c r="AN111" s="71"/>
      <c r="AO111" s="71"/>
      <c r="AP111" s="71"/>
      <c r="AQ111" s="71"/>
      <c r="AR111" s="71"/>
      <c r="AS111" s="71"/>
      <c r="AT111" s="71"/>
      <c r="AU111" s="71"/>
      <c r="AV111" s="71"/>
      <c r="AW111" s="76"/>
      <c r="AX111" s="81"/>
      <c r="AY111" s="20"/>
      <c r="AZ111" s="20"/>
      <c r="BA111" s="20"/>
      <c r="BB111" s="20"/>
      <c r="BC111" s="20"/>
      <c r="BD111" s="20"/>
      <c r="BE111" s="20"/>
      <c r="BF111" s="20"/>
      <c r="BG111" s="20"/>
      <c r="BH111" s="20"/>
      <c r="BI111" s="20"/>
      <c r="BM111"/>
      <c r="BN111"/>
      <c r="BQ111"/>
      <c r="BR111"/>
      <c r="BS111"/>
      <c r="BT111"/>
      <c r="BU111"/>
      <c r="BV111"/>
      <c r="BW111"/>
      <c r="BX111"/>
      <c r="BY111"/>
      <c r="BZ111"/>
      <c r="CA111"/>
      <c r="CB111"/>
      <c r="CC111"/>
    </row>
    <row r="112" spans="1:101" ht="15.5" x14ac:dyDescent="0.35">
      <c r="B112" s="20"/>
      <c r="C112" s="20"/>
      <c r="D112" s="20"/>
      <c r="E112" s="20"/>
      <c r="F112" s="20"/>
      <c r="G112" s="20"/>
      <c r="H112" s="20"/>
      <c r="I112" s="20"/>
      <c r="J112" s="20"/>
      <c r="K112" s="20"/>
      <c r="AI112" s="20"/>
      <c r="AJ112" s="20"/>
      <c r="AK112" s="71"/>
      <c r="AL112" s="71"/>
      <c r="AM112" s="71"/>
      <c r="AN112" s="71"/>
      <c r="AO112" s="71"/>
      <c r="AP112" s="71"/>
      <c r="AQ112" s="71"/>
      <c r="AR112" s="71"/>
      <c r="AS112" s="71"/>
      <c r="AT112" s="71"/>
      <c r="AU112" s="71"/>
      <c r="AV112" s="71"/>
      <c r="AW112" s="76"/>
      <c r="AX112" s="81"/>
      <c r="AY112" s="20"/>
      <c r="BM112"/>
      <c r="BN112"/>
      <c r="BQ112"/>
      <c r="BR112"/>
      <c r="BS112"/>
      <c r="BT112"/>
      <c r="BU112"/>
      <c r="BV112"/>
      <c r="BW112"/>
      <c r="BX112"/>
      <c r="BY112"/>
      <c r="BZ112"/>
      <c r="CA112"/>
      <c r="CB112"/>
      <c r="CC112"/>
    </row>
    <row r="113" spans="2:81" ht="15.5" x14ac:dyDescent="0.35">
      <c r="B113" s="20"/>
      <c r="C113" s="20"/>
      <c r="D113" s="20"/>
      <c r="E113" s="20"/>
      <c r="F113" s="20"/>
      <c r="G113" s="20"/>
      <c r="H113" s="20"/>
      <c r="I113" s="20"/>
      <c r="J113" s="20"/>
      <c r="K113" s="20"/>
      <c r="AI113" s="20"/>
      <c r="AJ113" s="20"/>
      <c r="AK113" s="71"/>
      <c r="AL113" s="71"/>
      <c r="AM113" s="71"/>
      <c r="AN113" s="71"/>
      <c r="AO113" s="71"/>
      <c r="AP113" s="71"/>
      <c r="AQ113" s="71"/>
      <c r="AR113" s="71"/>
      <c r="AS113" s="71"/>
      <c r="AT113" s="71"/>
      <c r="AU113" s="71"/>
      <c r="AV113" s="71"/>
      <c r="AW113" s="76"/>
      <c r="AX113" s="81"/>
      <c r="AY113" s="20"/>
      <c r="BM113"/>
      <c r="BN113"/>
      <c r="BQ113"/>
      <c r="BR113"/>
      <c r="BS113"/>
      <c r="BT113"/>
      <c r="BU113"/>
      <c r="BV113"/>
      <c r="BW113"/>
      <c r="BX113"/>
      <c r="BY113"/>
      <c r="BZ113"/>
      <c r="CA113"/>
      <c r="CB113"/>
      <c r="CC113"/>
    </row>
    <row r="114" spans="2:81" ht="15.5" x14ac:dyDescent="0.35">
      <c r="B114" s="20"/>
      <c r="C114" s="20"/>
      <c r="D114" s="20"/>
      <c r="E114" s="20"/>
      <c r="F114" s="20"/>
      <c r="G114" s="20"/>
      <c r="H114" s="20"/>
      <c r="I114" s="20"/>
      <c r="J114" s="20"/>
      <c r="K114" s="20"/>
      <c r="AI114" s="20"/>
      <c r="AJ114" s="20"/>
      <c r="AK114" s="71"/>
      <c r="AL114" s="71"/>
      <c r="AM114" s="71"/>
      <c r="AN114" s="71"/>
      <c r="AO114" s="71"/>
      <c r="AP114" s="71"/>
      <c r="AQ114" s="71"/>
      <c r="AR114" s="71"/>
      <c r="AS114" s="71"/>
      <c r="AT114" s="71"/>
      <c r="AU114" s="71"/>
      <c r="AV114" s="71"/>
      <c r="AW114" s="76"/>
      <c r="AX114" s="81"/>
      <c r="AY114" s="20"/>
      <c r="AZ114"/>
      <c r="BA114"/>
      <c r="BB114"/>
      <c r="BC114"/>
      <c r="BD114"/>
      <c r="BE114"/>
      <c r="BF114"/>
      <c r="BG114"/>
      <c r="BH114"/>
      <c r="BI114"/>
      <c r="BJ114"/>
      <c r="BM114"/>
      <c r="BN114"/>
    </row>
    <row r="115" spans="2:81" ht="15.5" x14ac:dyDescent="0.35">
      <c r="B115" s="20"/>
      <c r="C115" s="20"/>
      <c r="D115" s="20"/>
      <c r="E115" s="20"/>
      <c r="F115" s="20"/>
      <c r="G115" s="20"/>
      <c r="H115" s="20"/>
      <c r="I115" s="20"/>
      <c r="J115" s="20"/>
      <c r="K115" s="20"/>
      <c r="AI115" s="20"/>
      <c r="AJ115" s="20"/>
      <c r="AK115" s="71"/>
      <c r="AL115" s="71"/>
      <c r="AM115" s="71"/>
      <c r="AN115" s="71"/>
      <c r="AO115" s="71"/>
      <c r="AP115" s="71"/>
      <c r="AQ115" s="71"/>
      <c r="AR115" s="71"/>
      <c r="AS115" s="71"/>
      <c r="AT115" s="71"/>
      <c r="AU115" s="71"/>
      <c r="AV115" s="71"/>
      <c r="AW115" s="76"/>
      <c r="AX115" s="81"/>
      <c r="AY115" s="20"/>
      <c r="AZ115"/>
      <c r="BA115"/>
      <c r="BB115"/>
      <c r="BC115"/>
      <c r="BD115"/>
      <c r="BE115"/>
      <c r="BF115"/>
      <c r="BG115"/>
      <c r="BH115"/>
      <c r="BI115"/>
      <c r="BJ115"/>
      <c r="BM115"/>
      <c r="BN115"/>
    </row>
    <row r="116" spans="2:81" ht="15.5" x14ac:dyDescent="0.35">
      <c r="B116" s="20"/>
      <c r="C116" s="20"/>
      <c r="D116" s="20"/>
      <c r="E116" s="20"/>
      <c r="F116" s="20"/>
      <c r="G116" s="20"/>
      <c r="H116" s="20"/>
      <c r="I116" s="20"/>
      <c r="J116" s="20"/>
      <c r="K116" s="20"/>
      <c r="AI116" s="20"/>
      <c r="AJ116" s="20"/>
      <c r="AK116" s="71"/>
      <c r="AL116" s="71"/>
      <c r="AM116" s="71"/>
      <c r="AN116" s="71"/>
      <c r="AO116" s="71"/>
      <c r="AP116" s="71"/>
      <c r="AQ116" s="71"/>
      <c r="AR116" s="71"/>
      <c r="AS116" s="71"/>
      <c r="AT116" s="71"/>
      <c r="AU116" s="71"/>
      <c r="AV116" s="71"/>
      <c r="AW116" s="76"/>
      <c r="AX116" s="81"/>
      <c r="AY116" s="20"/>
      <c r="AZ116"/>
      <c r="BA116"/>
      <c r="BB116"/>
      <c r="BC116"/>
      <c r="BD116"/>
      <c r="BE116"/>
      <c r="BF116"/>
      <c r="BG116"/>
      <c r="BH116"/>
      <c r="BI116"/>
      <c r="BJ116"/>
      <c r="BM116"/>
      <c r="BN116"/>
    </row>
    <row r="117" spans="2:81" ht="15.5" x14ac:dyDescent="0.35">
      <c r="B117" s="20"/>
      <c r="C117" s="20"/>
      <c r="D117" s="20"/>
      <c r="E117" s="20"/>
      <c r="F117" s="20"/>
      <c r="G117" s="20"/>
      <c r="H117" s="20"/>
      <c r="I117" s="20"/>
      <c r="J117" s="20"/>
      <c r="K117" s="20"/>
      <c r="AI117" s="20"/>
      <c r="AJ117" s="20"/>
      <c r="AK117" s="71"/>
      <c r="AL117" s="71"/>
      <c r="AM117" s="71"/>
      <c r="AN117" s="71"/>
      <c r="AO117" s="71"/>
      <c r="AP117" s="71"/>
      <c r="AQ117" s="71"/>
      <c r="AR117" s="71"/>
      <c r="AS117" s="71"/>
      <c r="AT117" s="71"/>
      <c r="AU117" s="71"/>
      <c r="AV117" s="71"/>
      <c r="AW117" s="76"/>
      <c r="AX117" s="81"/>
      <c r="AY117" s="20"/>
      <c r="AZ117"/>
      <c r="BA117"/>
      <c r="BB117"/>
      <c r="BC117"/>
      <c r="BD117"/>
      <c r="BE117"/>
      <c r="BF117"/>
      <c r="BG117"/>
      <c r="BH117"/>
      <c r="BI117"/>
      <c r="BJ117"/>
      <c r="BM117"/>
      <c r="BN117"/>
    </row>
    <row r="118" spans="2:81" ht="15.5" x14ac:dyDescent="0.35">
      <c r="B118" s="20"/>
      <c r="C118" s="20"/>
      <c r="D118" s="20"/>
      <c r="E118" s="20"/>
      <c r="F118" s="20"/>
      <c r="G118" s="20"/>
      <c r="H118" s="20"/>
      <c r="I118" s="20"/>
      <c r="J118" s="20"/>
      <c r="K118" s="20"/>
      <c r="AI118" s="20"/>
      <c r="AJ118" s="20"/>
      <c r="AK118" s="71"/>
      <c r="AL118" s="71"/>
      <c r="AM118" s="71"/>
      <c r="AN118" s="71"/>
      <c r="AO118" s="71"/>
      <c r="AP118" s="71"/>
      <c r="AQ118" s="71"/>
      <c r="AR118" s="71"/>
      <c r="AS118" s="71"/>
      <c r="AT118" s="71"/>
      <c r="AU118" s="71"/>
      <c r="AV118" s="71"/>
      <c r="AW118" s="76"/>
      <c r="AX118" s="81"/>
      <c r="AY118" s="20"/>
      <c r="AZ118"/>
      <c r="BA118"/>
      <c r="BB118"/>
      <c r="BC118"/>
      <c r="BD118"/>
      <c r="BE118"/>
      <c r="BF118"/>
      <c r="BG118"/>
      <c r="BH118"/>
      <c r="BI118"/>
      <c r="BJ118"/>
      <c r="BM118"/>
      <c r="BN118"/>
    </row>
    <row r="119" spans="2:81" ht="15.5" x14ac:dyDescent="0.35">
      <c r="B119" s="20"/>
      <c r="C119" s="20"/>
      <c r="D119" s="20"/>
      <c r="E119" s="20"/>
      <c r="F119" s="20"/>
      <c r="G119" s="20"/>
      <c r="H119" s="20"/>
      <c r="I119" s="20"/>
      <c r="J119" s="20"/>
      <c r="K119" s="20"/>
      <c r="AI119" s="20"/>
      <c r="AJ119" s="20"/>
      <c r="AK119" s="71"/>
      <c r="AL119" s="71"/>
      <c r="AM119" s="71"/>
      <c r="AN119" s="71"/>
      <c r="AO119" s="71"/>
      <c r="AP119" s="71"/>
      <c r="AQ119" s="71"/>
      <c r="AR119" s="71"/>
      <c r="AS119" s="71"/>
      <c r="AT119" s="71"/>
      <c r="AU119" s="71"/>
      <c r="AV119" s="71"/>
      <c r="AW119" s="76"/>
      <c r="AX119" s="81"/>
      <c r="AY119" s="20"/>
      <c r="AZ119"/>
      <c r="BA119"/>
      <c r="BB119"/>
      <c r="BC119"/>
      <c r="BD119"/>
      <c r="BE119"/>
      <c r="BF119"/>
      <c r="BG119"/>
      <c r="BH119"/>
      <c r="BI119"/>
      <c r="BJ119"/>
      <c r="BM119"/>
      <c r="BN119"/>
    </row>
    <row r="120" spans="2:81" ht="15.5" x14ac:dyDescent="0.35">
      <c r="B120" s="20"/>
      <c r="C120" s="20"/>
      <c r="D120" s="20"/>
      <c r="E120" s="20"/>
      <c r="F120" s="20"/>
      <c r="G120" s="20"/>
      <c r="H120" s="20"/>
      <c r="I120" s="20"/>
      <c r="J120" s="20"/>
      <c r="K120" s="20"/>
      <c r="AI120" s="20"/>
      <c r="AJ120" s="20"/>
      <c r="AK120" s="71"/>
      <c r="AL120" s="71"/>
      <c r="AM120" s="71"/>
      <c r="AN120" s="71"/>
      <c r="AO120" s="71"/>
      <c r="AP120" s="71"/>
      <c r="AQ120" s="71"/>
      <c r="AR120" s="71"/>
      <c r="AS120" s="71"/>
      <c r="AT120" s="71"/>
      <c r="AU120" s="71"/>
      <c r="AV120" s="71"/>
      <c r="AW120" s="76"/>
      <c r="AX120" s="81"/>
      <c r="AY120" s="20"/>
      <c r="AZ120"/>
      <c r="BA120"/>
      <c r="BB120"/>
      <c r="BC120"/>
      <c r="BD120"/>
      <c r="BE120"/>
      <c r="BF120"/>
      <c r="BG120"/>
      <c r="BH120"/>
      <c r="BI120"/>
      <c r="BJ120"/>
      <c r="BM120"/>
      <c r="BN120"/>
    </row>
    <row r="121" spans="2:81" ht="15.5" x14ac:dyDescent="0.35">
      <c r="B121" s="20"/>
      <c r="C121" s="20"/>
      <c r="D121" s="20"/>
      <c r="E121" s="20"/>
      <c r="F121" s="20"/>
      <c r="G121" s="20"/>
      <c r="H121" s="20"/>
      <c r="I121" s="20"/>
      <c r="J121" s="20"/>
      <c r="K121" s="20"/>
      <c r="AI121" s="20"/>
      <c r="AJ121" s="20"/>
      <c r="AK121" s="71"/>
      <c r="AL121" s="71"/>
      <c r="AM121" s="71"/>
      <c r="AN121" s="71"/>
      <c r="AO121" s="71"/>
      <c r="AP121" s="71"/>
      <c r="AQ121" s="71"/>
      <c r="AR121" s="71"/>
      <c r="AS121" s="71"/>
      <c r="AT121" s="71"/>
      <c r="AU121" s="71"/>
      <c r="AV121" s="71"/>
      <c r="AW121" s="76"/>
      <c r="AX121" s="81"/>
      <c r="AY121" s="20"/>
      <c r="AZ121"/>
      <c r="BA121"/>
      <c r="BB121"/>
      <c r="BC121"/>
      <c r="BD121"/>
      <c r="BE121"/>
      <c r="BF121"/>
      <c r="BG121"/>
      <c r="BH121"/>
      <c r="BI121"/>
      <c r="BJ121"/>
      <c r="BM121"/>
      <c r="BN121"/>
    </row>
    <row r="122" spans="2:81" ht="15.5" x14ac:dyDescent="0.35">
      <c r="B122" s="20"/>
      <c r="C122" s="20"/>
      <c r="D122" s="20"/>
      <c r="E122" s="20"/>
      <c r="F122" s="20"/>
      <c r="G122" s="20"/>
      <c r="H122" s="20"/>
      <c r="I122" s="20"/>
      <c r="J122" s="20"/>
      <c r="K122" s="20"/>
      <c r="AI122" s="20"/>
      <c r="AJ122" s="20"/>
      <c r="AK122" s="71"/>
      <c r="AL122" s="71"/>
      <c r="AM122" s="71"/>
      <c r="AN122" s="71"/>
      <c r="AO122" s="71"/>
      <c r="AP122" s="71"/>
      <c r="AQ122" s="71"/>
      <c r="AR122" s="71"/>
      <c r="AS122" s="71"/>
      <c r="AT122" s="71"/>
      <c r="AU122" s="71"/>
      <c r="AV122" s="71"/>
      <c r="AW122" s="76"/>
      <c r="AX122" s="81"/>
      <c r="AY122" s="20"/>
      <c r="AZ122"/>
      <c r="BA122"/>
      <c r="BB122"/>
      <c r="BC122"/>
      <c r="BD122"/>
      <c r="BE122"/>
      <c r="BF122"/>
      <c r="BG122"/>
      <c r="BH122"/>
      <c r="BI122"/>
      <c r="BJ122"/>
      <c r="BM122"/>
      <c r="BN122"/>
    </row>
    <row r="123" spans="2:81" ht="15.5" x14ac:dyDescent="0.35">
      <c r="B123" s="20"/>
      <c r="C123" s="20"/>
      <c r="D123" s="20"/>
      <c r="E123" s="20"/>
      <c r="F123" s="20"/>
      <c r="G123" s="20"/>
      <c r="H123" s="20"/>
      <c r="I123" s="20"/>
      <c r="J123" s="20"/>
      <c r="K123" s="20"/>
      <c r="AI123" s="20"/>
      <c r="AJ123" s="20"/>
      <c r="AK123" s="71"/>
      <c r="AL123" s="71"/>
      <c r="AM123" s="71"/>
      <c r="AN123" s="71"/>
      <c r="AO123" s="71"/>
      <c r="AP123" s="71"/>
      <c r="AQ123" s="71"/>
      <c r="AR123" s="71"/>
      <c r="AS123" s="71"/>
      <c r="AT123" s="71"/>
      <c r="AU123" s="71"/>
      <c r="AV123" s="71"/>
      <c r="AW123" s="76"/>
      <c r="AX123" s="81"/>
      <c r="AY123" s="20"/>
      <c r="AZ123"/>
      <c r="BA123"/>
      <c r="BB123"/>
      <c r="BC123"/>
      <c r="BD123"/>
      <c r="BE123"/>
      <c r="BF123"/>
      <c r="BG123"/>
      <c r="BH123"/>
      <c r="BI123"/>
      <c r="BJ123"/>
      <c r="BM123"/>
      <c r="BN123"/>
    </row>
    <row r="124" spans="2:81" ht="15.5" x14ac:dyDescent="0.35">
      <c r="B124" s="20"/>
      <c r="C124" s="20"/>
      <c r="D124" s="20"/>
      <c r="E124" s="20"/>
      <c r="F124" s="20"/>
      <c r="G124" s="20"/>
      <c r="H124" s="20"/>
      <c r="I124" s="20"/>
      <c r="J124" s="20"/>
      <c r="K124" s="20"/>
      <c r="AI124" s="20"/>
      <c r="AJ124" s="20"/>
      <c r="AK124" s="71"/>
      <c r="AL124" s="71"/>
      <c r="AM124" s="71"/>
      <c r="AN124" s="71"/>
      <c r="AO124" s="71"/>
      <c r="AP124" s="71"/>
      <c r="AQ124" s="71"/>
      <c r="AR124" s="71"/>
      <c r="AS124" s="71"/>
      <c r="AT124" s="71"/>
      <c r="AU124" s="71"/>
      <c r="AV124" s="71"/>
      <c r="AW124" s="76"/>
      <c r="AX124" s="81"/>
      <c r="AY124" s="20"/>
      <c r="AZ124"/>
      <c r="BA124"/>
      <c r="BB124"/>
      <c r="BC124"/>
      <c r="BD124"/>
      <c r="BE124"/>
      <c r="BF124"/>
      <c r="BG124"/>
      <c r="BH124"/>
      <c r="BI124"/>
      <c r="BJ124"/>
      <c r="BM124"/>
      <c r="BN124"/>
    </row>
    <row r="125" spans="2:81" ht="15.5" x14ac:dyDescent="0.35">
      <c r="B125" s="20"/>
      <c r="C125" s="20"/>
      <c r="D125" s="20"/>
      <c r="E125" s="20"/>
      <c r="F125" s="20"/>
      <c r="G125" s="20"/>
      <c r="H125" s="20"/>
      <c r="I125" s="20"/>
      <c r="J125" s="20"/>
      <c r="K125" s="20"/>
      <c r="AI125" s="20"/>
      <c r="AJ125" s="20"/>
      <c r="AK125" s="71"/>
      <c r="AL125" s="71"/>
      <c r="AM125" s="71"/>
      <c r="AN125" s="71"/>
      <c r="AO125" s="71"/>
      <c r="AP125" s="71"/>
      <c r="AQ125" s="71"/>
      <c r="AR125" s="71"/>
      <c r="AS125" s="71"/>
      <c r="AT125" s="71"/>
      <c r="AU125" s="71"/>
      <c r="AV125" s="71"/>
      <c r="AW125" s="76"/>
      <c r="AX125" s="71"/>
      <c r="AY125" s="20"/>
      <c r="AZ125"/>
      <c r="BA125"/>
      <c r="BB125"/>
      <c r="BC125"/>
      <c r="BD125"/>
      <c r="BE125"/>
      <c r="BF125"/>
      <c r="BG125"/>
      <c r="BH125"/>
      <c r="BI125"/>
      <c r="BJ125"/>
      <c r="BM125"/>
      <c r="BN125"/>
    </row>
    <row r="126" spans="2:81" ht="15.5" x14ac:dyDescent="0.35">
      <c r="B126" s="20"/>
      <c r="C126" s="20"/>
      <c r="D126" s="20"/>
      <c r="E126" s="20"/>
      <c r="F126" s="20"/>
      <c r="G126" s="20"/>
      <c r="H126" s="20"/>
      <c r="I126" s="20"/>
      <c r="J126" s="20"/>
      <c r="K126" s="20"/>
      <c r="AI126" s="20"/>
      <c r="AJ126" s="20"/>
      <c r="AK126" s="71"/>
      <c r="AL126" s="71"/>
      <c r="AM126" s="71"/>
      <c r="AN126" s="71"/>
      <c r="AO126" s="71"/>
      <c r="AP126" s="71"/>
      <c r="AQ126" s="71"/>
      <c r="AR126" s="71"/>
      <c r="AS126" s="71"/>
      <c r="AT126" s="71"/>
      <c r="AU126" s="71"/>
      <c r="AV126" s="71"/>
      <c r="AW126" s="76"/>
      <c r="AX126" s="71"/>
      <c r="AY126" s="20"/>
      <c r="AZ126"/>
      <c r="BA126"/>
      <c r="BB126"/>
      <c r="BC126"/>
      <c r="BD126"/>
      <c r="BE126"/>
      <c r="BF126"/>
      <c r="BG126"/>
      <c r="BH126"/>
      <c r="BI126"/>
      <c r="BJ126"/>
      <c r="BM126"/>
      <c r="BN126"/>
    </row>
    <row r="127" spans="2:81" ht="15.5" x14ac:dyDescent="0.35">
      <c r="B127" s="20"/>
      <c r="C127" s="20"/>
      <c r="D127" s="20"/>
      <c r="E127" s="20"/>
      <c r="F127" s="20"/>
      <c r="G127" s="20"/>
      <c r="H127" s="20"/>
      <c r="I127" s="20"/>
      <c r="J127" s="20"/>
      <c r="K127" s="20"/>
      <c r="AI127" s="20"/>
      <c r="AK127" s="71"/>
      <c r="AL127" s="71"/>
      <c r="AM127" s="71"/>
      <c r="AN127" s="71"/>
      <c r="AO127" s="71"/>
      <c r="AP127" s="71"/>
      <c r="AQ127" s="71"/>
      <c r="AR127" s="71"/>
      <c r="AS127" s="71"/>
      <c r="AT127" s="71"/>
      <c r="AU127" s="71"/>
      <c r="AV127" s="71"/>
      <c r="AW127" s="76"/>
      <c r="AX127" s="71"/>
      <c r="AY127" s="20"/>
      <c r="AZ127"/>
      <c r="BA127"/>
      <c r="BB127"/>
      <c r="BC127"/>
      <c r="BD127"/>
      <c r="BE127"/>
      <c r="BF127"/>
      <c r="BG127"/>
      <c r="BH127"/>
      <c r="BI127"/>
      <c r="BJ127"/>
      <c r="BM127"/>
      <c r="BN127"/>
    </row>
    <row r="128" spans="2:81" ht="15.5" x14ac:dyDescent="0.35">
      <c r="B128" s="20"/>
      <c r="C128" s="20"/>
      <c r="D128" s="20"/>
      <c r="E128" s="20"/>
      <c r="F128" s="20"/>
      <c r="G128" s="20"/>
      <c r="H128" s="20"/>
      <c r="I128" s="20"/>
      <c r="J128" s="20"/>
      <c r="K128" s="20"/>
      <c r="AI128" s="20"/>
      <c r="AK128" s="71"/>
      <c r="AL128" s="71"/>
      <c r="AM128" s="71"/>
      <c r="AN128" s="71"/>
      <c r="AO128" s="71"/>
      <c r="AP128" s="71"/>
      <c r="AQ128" s="71"/>
      <c r="AR128" s="71"/>
      <c r="AS128" s="71"/>
      <c r="AT128" s="71"/>
      <c r="AU128" s="71"/>
      <c r="AV128" s="71"/>
      <c r="AW128" s="76"/>
      <c r="AX128" s="71"/>
      <c r="AY128" s="20"/>
      <c r="BM128"/>
      <c r="BN128"/>
      <c r="BP128"/>
      <c r="BQ128"/>
      <c r="BR128"/>
      <c r="BS128"/>
      <c r="BT128"/>
      <c r="BU128"/>
      <c r="BV128"/>
      <c r="BW128"/>
      <c r="BX128"/>
      <c r="BY128"/>
      <c r="BZ128"/>
      <c r="CA128"/>
      <c r="CB128"/>
      <c r="CC128"/>
    </row>
    <row r="129" spans="2:97" ht="15.5" x14ac:dyDescent="0.35">
      <c r="B129" s="20"/>
      <c r="C129" s="20"/>
      <c r="D129" s="20"/>
      <c r="E129" s="20"/>
      <c r="F129" s="20"/>
      <c r="G129" s="20"/>
      <c r="H129" s="20"/>
      <c r="I129" s="20"/>
      <c r="J129" s="20"/>
      <c r="K129" s="20"/>
      <c r="AI129" s="20"/>
      <c r="AK129" s="71"/>
      <c r="AL129" s="71"/>
      <c r="AM129" s="71"/>
      <c r="AN129" s="71"/>
      <c r="AO129" s="71"/>
      <c r="AP129" s="71"/>
      <c r="AQ129" s="71"/>
      <c r="AR129" s="71"/>
      <c r="AS129" s="71"/>
      <c r="AT129" s="71"/>
      <c r="AU129" s="71"/>
      <c r="AV129" s="71"/>
      <c r="AW129" s="76"/>
      <c r="AX129" s="71"/>
      <c r="AY129" s="20"/>
      <c r="BM129"/>
      <c r="BN129"/>
      <c r="BP129"/>
      <c r="BQ129"/>
      <c r="BS129"/>
      <c r="BT129"/>
      <c r="BU129"/>
      <c r="BV129"/>
      <c r="BW129"/>
      <c r="BX129"/>
      <c r="BY129"/>
      <c r="BZ129"/>
      <c r="CA129"/>
      <c r="CB129"/>
      <c r="CC129"/>
    </row>
    <row r="130" spans="2:97" ht="15.5" x14ac:dyDescent="0.35">
      <c r="B130" s="20"/>
      <c r="C130" s="20"/>
      <c r="D130" s="20"/>
      <c r="E130" s="20"/>
      <c r="F130" s="20"/>
      <c r="G130" s="20"/>
      <c r="H130" s="20"/>
      <c r="I130" s="20"/>
      <c r="J130" s="20"/>
      <c r="K130" s="20"/>
      <c r="AI130" s="20"/>
      <c r="AJ130" s="20"/>
      <c r="AK130" s="71"/>
      <c r="AL130" s="71"/>
      <c r="AM130" s="71"/>
      <c r="AN130" s="71"/>
      <c r="AO130" s="71"/>
      <c r="AP130" s="71"/>
      <c r="AQ130" s="71"/>
      <c r="AR130" s="71"/>
      <c r="AS130" s="71"/>
      <c r="AT130" s="71"/>
      <c r="AU130" s="71"/>
      <c r="AV130" s="71"/>
      <c r="AW130" s="76"/>
      <c r="AX130" s="71"/>
      <c r="AY130" s="20"/>
      <c r="BM130"/>
      <c r="BQ130"/>
      <c r="BR130"/>
      <c r="BS130"/>
      <c r="BT130"/>
      <c r="BU130"/>
      <c r="BV130"/>
      <c r="BW130"/>
      <c r="BX130"/>
      <c r="BY130"/>
      <c r="BZ130"/>
      <c r="CA130"/>
      <c r="CB130"/>
      <c r="CC130"/>
    </row>
    <row r="131" spans="2:97" ht="15.5" x14ac:dyDescent="0.35">
      <c r="B131" s="20"/>
      <c r="C131" s="20"/>
      <c r="D131" s="20"/>
      <c r="E131" s="20"/>
      <c r="F131" s="20"/>
      <c r="G131" s="20"/>
      <c r="H131" s="20"/>
      <c r="I131" s="20"/>
      <c r="J131" s="20"/>
      <c r="K131" s="20"/>
      <c r="AI131" s="20"/>
      <c r="AJ131" s="20"/>
      <c r="AK131" s="71"/>
      <c r="AL131" s="71"/>
      <c r="AM131" s="71"/>
      <c r="AN131" s="71"/>
      <c r="AO131" s="71"/>
      <c r="AP131" s="71"/>
      <c r="AQ131" s="71"/>
      <c r="AR131" s="71"/>
      <c r="AS131" s="71"/>
      <c r="AT131" s="71"/>
      <c r="AU131" s="71"/>
      <c r="AV131" s="71"/>
      <c r="AW131" s="76"/>
      <c r="AX131" s="71"/>
      <c r="AY131" s="20"/>
      <c r="BM131"/>
      <c r="BN131"/>
      <c r="BQ131"/>
      <c r="BR131"/>
      <c r="BS131"/>
      <c r="BT131"/>
      <c r="BU131"/>
      <c r="BV131"/>
      <c r="BW131"/>
      <c r="BX131"/>
      <c r="BY131"/>
      <c r="BZ131"/>
      <c r="CA131"/>
      <c r="CB131"/>
      <c r="CC131"/>
    </row>
    <row r="132" spans="2:97" ht="15.5" x14ac:dyDescent="0.35">
      <c r="B132" s="20"/>
      <c r="C132" s="20"/>
      <c r="D132" s="20"/>
      <c r="E132" s="20"/>
      <c r="F132" s="20"/>
      <c r="G132" s="20"/>
      <c r="H132" s="20"/>
      <c r="I132" s="20"/>
      <c r="J132" s="20"/>
      <c r="K132" s="20"/>
      <c r="AI132" s="20"/>
      <c r="AJ132" s="20"/>
      <c r="AK132" s="71"/>
      <c r="AL132" s="71"/>
      <c r="AM132" s="71"/>
      <c r="AN132" s="71"/>
      <c r="AO132" s="71"/>
      <c r="AP132" s="71"/>
      <c r="AQ132" s="71"/>
      <c r="AR132" s="71"/>
      <c r="AS132" s="71"/>
      <c r="AT132" s="71"/>
      <c r="AU132" s="71"/>
      <c r="AV132" s="71"/>
      <c r="AW132" s="76"/>
      <c r="AX132" s="71"/>
      <c r="AY132" s="20"/>
      <c r="BM132"/>
      <c r="BN132"/>
      <c r="BQ132"/>
      <c r="BR132"/>
      <c r="BS132"/>
      <c r="BT132"/>
      <c r="BU132"/>
      <c r="BV132"/>
      <c r="BW132"/>
      <c r="BX132"/>
      <c r="BY132"/>
      <c r="BZ132"/>
      <c r="CA132"/>
      <c r="CB132"/>
      <c r="CC132"/>
    </row>
    <row r="133" spans="2:97" ht="15.5" x14ac:dyDescent="0.35">
      <c r="B133" s="20"/>
      <c r="C133" s="20"/>
      <c r="D133" s="20"/>
      <c r="E133" s="20"/>
      <c r="F133" s="20"/>
      <c r="G133" s="20"/>
      <c r="H133" s="20"/>
      <c r="I133" s="20"/>
      <c r="J133" s="20"/>
      <c r="K133" s="20"/>
      <c r="AI133" s="20"/>
      <c r="AJ133" s="20"/>
      <c r="AK133" s="71"/>
      <c r="AL133" s="71"/>
      <c r="AM133" s="71"/>
      <c r="AN133" s="71"/>
      <c r="AO133" s="71"/>
      <c r="AP133" s="71"/>
      <c r="AQ133" s="71"/>
      <c r="AR133" s="71"/>
      <c r="AS133" s="71"/>
      <c r="AT133" s="71"/>
      <c r="AU133" s="71"/>
      <c r="AV133" s="71"/>
      <c r="AW133" s="76"/>
      <c r="AX133" s="71"/>
      <c r="AY133" s="20"/>
      <c r="BM133"/>
      <c r="BN133"/>
      <c r="BQ133"/>
      <c r="BR133"/>
      <c r="BS133"/>
      <c r="BT133"/>
      <c r="BU133"/>
      <c r="BV133"/>
      <c r="BW133"/>
      <c r="BX133"/>
      <c r="BY133"/>
      <c r="BZ133"/>
      <c r="CA133"/>
      <c r="CB133"/>
      <c r="CC133"/>
    </row>
    <row r="134" spans="2:97" ht="15.5" x14ac:dyDescent="0.35">
      <c r="B134" s="20"/>
      <c r="C134" s="20"/>
      <c r="D134" s="20"/>
      <c r="E134" s="20"/>
      <c r="F134" s="20"/>
      <c r="G134" s="20"/>
      <c r="H134" s="20"/>
      <c r="I134" s="20"/>
      <c r="J134" s="20"/>
      <c r="K134" s="20"/>
      <c r="AI134" s="20"/>
      <c r="AJ134" s="20"/>
      <c r="AK134" s="71"/>
      <c r="AL134" s="71"/>
      <c r="AM134" s="71"/>
      <c r="AN134" s="71"/>
      <c r="AO134" s="71"/>
      <c r="AP134" s="71"/>
      <c r="AQ134" s="20"/>
      <c r="AR134" s="20"/>
      <c r="AS134" s="20"/>
      <c r="AT134" s="20"/>
      <c r="AU134" s="20"/>
      <c r="AV134" s="20"/>
      <c r="AW134" s="20"/>
      <c r="AX134" s="20"/>
      <c r="AY134" s="20"/>
      <c r="BM134"/>
      <c r="BN134"/>
      <c r="BQ134"/>
      <c r="BR134"/>
      <c r="BS134"/>
      <c r="BT134"/>
      <c r="BU134"/>
      <c r="BV134"/>
      <c r="BW134"/>
      <c r="BX134"/>
      <c r="BY134"/>
      <c r="BZ134"/>
      <c r="CA134"/>
      <c r="CB134"/>
      <c r="CC134"/>
    </row>
    <row r="135" spans="2:97" ht="15.5" x14ac:dyDescent="0.35">
      <c r="B135" s="20"/>
      <c r="C135" s="20"/>
      <c r="D135" s="20"/>
      <c r="E135" s="20"/>
      <c r="F135" s="20"/>
      <c r="G135" s="20"/>
      <c r="H135" s="20"/>
      <c r="I135" s="20"/>
      <c r="J135" s="20"/>
      <c r="K135" s="20"/>
      <c r="AI135" s="20"/>
      <c r="AJ135" s="20"/>
      <c r="AK135" s="71"/>
      <c r="AL135" s="71"/>
      <c r="AM135" s="71"/>
      <c r="AN135" s="71"/>
      <c r="AO135" s="71"/>
      <c r="AP135" s="71"/>
      <c r="AQ135" s="71"/>
      <c r="AR135" s="71"/>
      <c r="AS135" s="71"/>
      <c r="AT135" s="71"/>
      <c r="AU135" s="71"/>
      <c r="AV135" s="71"/>
      <c r="AW135" s="76"/>
      <c r="AX135" s="71"/>
      <c r="AY135" s="20"/>
      <c r="BM135"/>
      <c r="BN135"/>
      <c r="BQ135"/>
      <c r="BR135"/>
      <c r="BS135"/>
      <c r="BT135"/>
      <c r="BU135"/>
      <c r="BV135"/>
      <c r="BW135"/>
      <c r="BX135"/>
      <c r="BY135"/>
      <c r="BZ135"/>
      <c r="CA135"/>
      <c r="CB135"/>
      <c r="CC135"/>
    </row>
    <row r="136" spans="2:97" ht="15.5" x14ac:dyDescent="0.35">
      <c r="B136" s="20"/>
      <c r="C136" s="20"/>
      <c r="D136" s="20"/>
      <c r="E136" s="20"/>
      <c r="F136" s="20"/>
      <c r="G136" s="20"/>
      <c r="H136" s="20"/>
      <c r="I136" s="20"/>
      <c r="J136" s="20"/>
      <c r="K136" s="20"/>
      <c r="AI136" s="20"/>
      <c r="AJ136" s="20"/>
      <c r="AK136" s="71"/>
      <c r="AL136" s="71"/>
      <c r="AM136" s="71"/>
      <c r="AN136" s="71"/>
      <c r="AO136" s="71"/>
      <c r="AP136" s="71"/>
      <c r="AQ136" s="71"/>
      <c r="AR136" s="71"/>
      <c r="AS136" s="71"/>
      <c r="AT136" s="71"/>
      <c r="AU136" s="71"/>
      <c r="AV136" s="71"/>
      <c r="AW136" s="76"/>
      <c r="AX136" s="71"/>
      <c r="AY136" s="20"/>
      <c r="BM136"/>
      <c r="BN136"/>
      <c r="BQ136"/>
      <c r="BR136"/>
      <c r="BS136"/>
      <c r="BT136"/>
      <c r="BU136"/>
      <c r="BV136"/>
      <c r="BW136"/>
      <c r="BX136"/>
      <c r="BY136"/>
      <c r="BZ136"/>
      <c r="CA136"/>
      <c r="CB136"/>
      <c r="CC136"/>
    </row>
    <row r="137" spans="2:97" ht="15.5" x14ac:dyDescent="0.35">
      <c r="B137" s="20"/>
      <c r="C137" s="20"/>
      <c r="D137" s="20"/>
      <c r="E137" s="20"/>
      <c r="F137" s="20"/>
      <c r="G137" s="20"/>
      <c r="H137" s="20"/>
      <c r="I137" s="20"/>
      <c r="J137" s="20"/>
      <c r="K137" s="20"/>
      <c r="AQ137" s="71"/>
      <c r="AR137" s="71"/>
      <c r="AS137" s="71"/>
      <c r="AT137" s="71"/>
      <c r="AU137" s="71"/>
      <c r="AV137" s="71"/>
      <c r="AW137" s="76"/>
      <c r="AX137" s="71"/>
      <c r="AY137" s="20"/>
      <c r="BM137"/>
      <c r="BN137"/>
      <c r="BQ137"/>
      <c r="BR137"/>
      <c r="BS137"/>
      <c r="BT137"/>
      <c r="BU137"/>
      <c r="BV137"/>
      <c r="BW137"/>
      <c r="BX137"/>
      <c r="BY137"/>
      <c r="BZ137"/>
      <c r="CA137"/>
      <c r="CB137"/>
      <c r="CC137"/>
    </row>
    <row r="138" spans="2:97" ht="15.5" x14ac:dyDescent="0.35">
      <c r="B138" s="20"/>
      <c r="C138" s="20"/>
      <c r="D138" s="20"/>
      <c r="E138" s="20"/>
      <c r="F138" s="20"/>
      <c r="G138" s="20"/>
      <c r="H138" s="20"/>
      <c r="I138" s="20"/>
      <c r="J138" s="20"/>
      <c r="K138" s="20"/>
      <c r="AQ138" s="71"/>
      <c r="AR138" s="71"/>
      <c r="AS138" s="71"/>
      <c r="AT138" s="71"/>
      <c r="AU138" s="71"/>
      <c r="AV138" s="71"/>
      <c r="AW138" s="76"/>
      <c r="AX138" s="71"/>
      <c r="AY138" s="71"/>
      <c r="AZ138" s="81"/>
      <c r="BA138" s="81"/>
      <c r="BB138" s="81"/>
      <c r="BC138" s="81"/>
      <c r="BD138" s="81"/>
      <c r="BE138" s="81"/>
      <c r="BF138" s="81"/>
      <c r="BG138" s="81"/>
      <c r="BH138" s="81"/>
      <c r="BI138" s="81"/>
      <c r="BJ138" s="81"/>
      <c r="BK138" s="81"/>
      <c r="BL138" s="20"/>
      <c r="BM138" s="20"/>
      <c r="BN138" s="20"/>
      <c r="BO138" s="20"/>
      <c r="CC138"/>
      <c r="CD138"/>
      <c r="CG138"/>
      <c r="CH138"/>
      <c r="CI138"/>
      <c r="CJ138"/>
      <c r="CK138"/>
      <c r="CL138"/>
      <c r="CM138"/>
      <c r="CN138"/>
      <c r="CO138"/>
      <c r="CP138"/>
      <c r="CQ138"/>
      <c r="CR138"/>
      <c r="CS138"/>
    </row>
    <row r="139" spans="2:97" ht="15.5" x14ac:dyDescent="0.35">
      <c r="B139" s="20"/>
      <c r="C139" s="20"/>
      <c r="D139" s="20"/>
      <c r="E139" s="20"/>
      <c r="F139" s="20"/>
      <c r="G139" s="20"/>
      <c r="H139" s="20"/>
      <c r="I139" s="20"/>
      <c r="J139" s="20"/>
      <c r="K139" s="20"/>
      <c r="AQ139" s="71"/>
      <c r="AR139" s="71"/>
      <c r="AS139" s="71"/>
      <c r="AT139" s="71"/>
      <c r="AU139" s="71"/>
      <c r="AV139" s="71"/>
      <c r="AW139" s="76"/>
      <c r="AX139" s="71"/>
      <c r="AY139" s="71"/>
      <c r="AZ139" s="81"/>
      <c r="BA139" s="81"/>
      <c r="BB139" s="81"/>
      <c r="BC139" s="81"/>
      <c r="BD139" s="81"/>
      <c r="BE139" s="81"/>
      <c r="BF139" s="81"/>
      <c r="BG139" s="81"/>
      <c r="BH139" s="81"/>
      <c r="BI139" s="81"/>
      <c r="BJ139" s="81"/>
      <c r="BK139" s="81"/>
      <c r="BL139" s="20"/>
      <c r="BM139" s="20"/>
      <c r="BN139" s="20"/>
      <c r="BO139" s="20"/>
      <c r="CC139"/>
      <c r="CD139"/>
      <c r="CG139"/>
      <c r="CH139"/>
      <c r="CI139"/>
      <c r="CJ139"/>
      <c r="CK139"/>
      <c r="CL139"/>
      <c r="CM139"/>
      <c r="CN139"/>
      <c r="CO139"/>
      <c r="CP139"/>
      <c r="CQ139"/>
      <c r="CR139"/>
      <c r="CS139"/>
    </row>
    <row r="140" spans="2:97" ht="15.5" x14ac:dyDescent="0.35">
      <c r="B140" s="20"/>
      <c r="C140" s="20"/>
      <c r="D140" s="20"/>
      <c r="E140" s="20"/>
      <c r="F140" s="20"/>
      <c r="G140" s="20"/>
      <c r="H140" s="20"/>
      <c r="I140" s="20"/>
      <c r="J140" s="20"/>
      <c r="K140" s="20"/>
      <c r="AQ140" s="71"/>
      <c r="AR140" s="71"/>
      <c r="AS140" s="71"/>
      <c r="AT140" s="71"/>
      <c r="AU140" s="71"/>
      <c r="AV140" s="71"/>
      <c r="AW140" s="76"/>
      <c r="AX140" s="71"/>
      <c r="AY140" s="71"/>
      <c r="AZ140" s="81"/>
      <c r="BA140" s="81"/>
      <c r="BB140" s="81"/>
      <c r="BC140" s="81"/>
      <c r="BD140" s="81"/>
      <c r="BE140" s="81"/>
      <c r="BF140" s="81"/>
      <c r="BG140" s="81"/>
      <c r="BH140" s="81"/>
      <c r="BI140" s="81"/>
      <c r="BJ140" s="81"/>
      <c r="BK140" s="81"/>
      <c r="BL140" s="20"/>
      <c r="BM140" s="20"/>
      <c r="BN140" s="20"/>
      <c r="BO140" s="20"/>
      <c r="CC140"/>
      <c r="CD140"/>
      <c r="CG140"/>
      <c r="CH140"/>
      <c r="CI140"/>
      <c r="CJ140"/>
      <c r="CK140"/>
      <c r="CL140"/>
      <c r="CM140"/>
      <c r="CN140"/>
      <c r="CO140"/>
      <c r="CP140"/>
      <c r="CQ140"/>
      <c r="CR140"/>
      <c r="CS140"/>
    </row>
    <row r="141" spans="2:97" ht="15.5" x14ac:dyDescent="0.35">
      <c r="B141" s="20"/>
      <c r="C141" s="20"/>
      <c r="D141" s="20"/>
      <c r="E141" s="20"/>
      <c r="F141" s="20"/>
      <c r="G141" s="20"/>
      <c r="H141" s="20"/>
      <c r="I141" s="20"/>
      <c r="J141" s="20"/>
      <c r="K141" s="20"/>
      <c r="AQ141" s="71"/>
      <c r="AR141" s="71"/>
      <c r="AS141" s="71"/>
      <c r="AT141" s="71"/>
      <c r="AU141" s="71"/>
      <c r="AV141" s="71"/>
      <c r="AW141" s="76"/>
      <c r="AX141" s="71"/>
      <c r="AY141" s="71"/>
      <c r="AZ141" s="81"/>
      <c r="BA141" s="81"/>
      <c r="BB141" s="81"/>
      <c r="BC141" s="81"/>
      <c r="BD141" s="81"/>
      <c r="BE141" s="81"/>
      <c r="BF141" s="81"/>
      <c r="BG141" s="81"/>
      <c r="BH141" s="81"/>
      <c r="BI141" s="81"/>
      <c r="BJ141" s="81"/>
      <c r="BK141" s="81"/>
      <c r="BL141" s="20"/>
      <c r="BM141" s="20"/>
      <c r="BN141" s="20"/>
      <c r="BO141" s="20"/>
      <c r="CC141"/>
      <c r="CD141"/>
      <c r="CG141"/>
      <c r="CH141"/>
      <c r="CI141"/>
      <c r="CJ141"/>
      <c r="CK141"/>
      <c r="CL141"/>
      <c r="CM141"/>
      <c r="CN141"/>
      <c r="CO141"/>
      <c r="CP141"/>
      <c r="CQ141"/>
      <c r="CR141"/>
      <c r="CS141"/>
    </row>
    <row r="142" spans="2:97" ht="15.5" x14ac:dyDescent="0.35">
      <c r="B142" s="20"/>
      <c r="C142" s="20"/>
      <c r="D142" s="20"/>
      <c r="E142" s="20"/>
      <c r="F142" s="20"/>
      <c r="G142" s="20"/>
      <c r="H142" s="20"/>
      <c r="I142" s="20"/>
      <c r="J142" s="20"/>
      <c r="K142" s="20"/>
      <c r="AQ142" s="71"/>
      <c r="AR142" s="71"/>
      <c r="AS142" s="71"/>
      <c r="AT142" s="71"/>
      <c r="AU142" s="71"/>
      <c r="AV142" s="71"/>
      <c r="AW142" s="76"/>
      <c r="AX142" s="71"/>
      <c r="AY142" s="71"/>
      <c r="AZ142" s="81"/>
      <c r="BA142" s="81"/>
      <c r="BB142" s="81"/>
      <c r="BC142" s="81"/>
      <c r="BD142" s="81"/>
      <c r="BE142" s="81"/>
      <c r="BF142" s="81"/>
      <c r="BG142" s="81"/>
      <c r="BH142" s="81"/>
      <c r="BI142" s="81"/>
      <c r="BJ142" s="81"/>
      <c r="BK142" s="81"/>
      <c r="BL142" s="20"/>
      <c r="BM142" s="20"/>
      <c r="BN142" s="20"/>
      <c r="BO142" s="20"/>
      <c r="CC142"/>
      <c r="CD142"/>
      <c r="CG142"/>
      <c r="CH142"/>
      <c r="CI142"/>
      <c r="CJ142"/>
      <c r="CK142"/>
      <c r="CL142"/>
      <c r="CM142"/>
      <c r="CN142"/>
      <c r="CO142"/>
      <c r="CP142"/>
      <c r="CQ142"/>
      <c r="CR142"/>
      <c r="CS142"/>
    </row>
    <row r="143" spans="2:97" ht="15.5" x14ac:dyDescent="0.35">
      <c r="B143" s="20"/>
      <c r="C143" s="20"/>
      <c r="D143" s="20"/>
      <c r="E143" s="20"/>
      <c r="F143" s="20"/>
      <c r="G143" s="20"/>
      <c r="H143" s="20"/>
      <c r="I143" s="20"/>
      <c r="J143" s="20"/>
      <c r="K143" s="20"/>
      <c r="AQ143" s="71"/>
      <c r="AR143" s="71"/>
      <c r="AS143" s="71"/>
      <c r="AT143" s="71"/>
      <c r="AU143" s="71"/>
      <c r="AV143" s="71"/>
      <c r="AW143" s="76"/>
      <c r="AX143" s="71"/>
      <c r="AY143" s="71"/>
      <c r="AZ143" s="81"/>
      <c r="BA143" s="81"/>
      <c r="BB143" s="81"/>
      <c r="BC143" s="81"/>
      <c r="BD143" s="81"/>
      <c r="BE143" s="81"/>
      <c r="BF143" s="81"/>
      <c r="BG143" s="81"/>
      <c r="BH143" s="81"/>
      <c r="BI143" s="81"/>
      <c r="BJ143" s="81"/>
      <c r="BK143" s="81"/>
      <c r="BL143" s="20"/>
      <c r="BM143" s="20"/>
      <c r="BN143" s="20"/>
      <c r="BO143" s="20"/>
      <c r="CC143"/>
      <c r="CD143"/>
      <c r="CG143"/>
      <c r="CH143"/>
      <c r="CI143"/>
      <c r="CJ143"/>
      <c r="CK143"/>
      <c r="CL143"/>
      <c r="CM143"/>
      <c r="CN143"/>
      <c r="CO143"/>
      <c r="CP143"/>
      <c r="CQ143"/>
      <c r="CR143"/>
      <c r="CS143"/>
    </row>
    <row r="144" spans="2:97" ht="15.5" x14ac:dyDescent="0.35">
      <c r="B144" s="20"/>
      <c r="C144" s="20"/>
      <c r="D144" s="20"/>
      <c r="E144" s="20"/>
      <c r="F144" s="20"/>
      <c r="G144" s="20"/>
      <c r="H144" s="20"/>
      <c r="I144" s="20"/>
      <c r="J144" s="20"/>
      <c r="K144" s="20"/>
      <c r="AQ144" s="71"/>
      <c r="AR144" s="71"/>
      <c r="AS144" s="71"/>
      <c r="AT144" s="71"/>
      <c r="AU144" s="71"/>
      <c r="AV144" s="71"/>
      <c r="AW144" s="76"/>
      <c r="AX144" s="71"/>
      <c r="AY144" s="71"/>
      <c r="AZ144" s="81"/>
      <c r="BA144" s="81"/>
      <c r="BB144" s="81"/>
      <c r="BC144" s="81"/>
      <c r="BD144" s="81"/>
      <c r="BE144" s="81"/>
      <c r="BF144" s="81"/>
      <c r="BG144" s="81"/>
      <c r="BH144" s="81"/>
      <c r="BI144" s="81"/>
      <c r="BJ144" s="81"/>
      <c r="BK144" s="81"/>
      <c r="BL144" s="20"/>
      <c r="BM144" s="20"/>
      <c r="BN144" s="20"/>
      <c r="BO144" s="20"/>
      <c r="CC144"/>
      <c r="CD144"/>
      <c r="CG144"/>
      <c r="CH144"/>
      <c r="CI144"/>
      <c r="CJ144"/>
      <c r="CK144"/>
      <c r="CL144"/>
      <c r="CM144"/>
      <c r="CN144"/>
      <c r="CO144"/>
      <c r="CP144"/>
      <c r="CQ144"/>
      <c r="CR144"/>
      <c r="CS144"/>
    </row>
    <row r="145" spans="2:97" ht="15.5" x14ac:dyDescent="0.35">
      <c r="B145" s="20"/>
      <c r="C145" s="20"/>
      <c r="D145" s="20"/>
      <c r="E145" s="20"/>
      <c r="F145" s="20"/>
      <c r="G145" s="20"/>
      <c r="H145" s="20"/>
      <c r="I145" s="20"/>
      <c r="J145" s="20"/>
      <c r="K145" s="20"/>
      <c r="AQ145" s="71"/>
      <c r="AR145" s="71"/>
      <c r="AS145" s="71"/>
      <c r="AT145" s="71"/>
      <c r="AU145" s="71"/>
      <c r="AV145" s="71"/>
      <c r="AW145" s="76"/>
      <c r="AX145" s="71"/>
      <c r="AY145" s="71"/>
      <c r="AZ145" s="81"/>
      <c r="BA145" s="81"/>
      <c r="BB145" s="81"/>
      <c r="BC145" s="81"/>
      <c r="BD145" s="81"/>
      <c r="BE145" s="81"/>
      <c r="BF145" s="81"/>
      <c r="BG145" s="81"/>
      <c r="BH145" s="81"/>
      <c r="BI145" s="81"/>
      <c r="BJ145" s="81"/>
      <c r="BK145" s="81"/>
      <c r="BL145" s="20"/>
      <c r="BM145" s="20"/>
      <c r="BN145" s="20"/>
      <c r="BO145" s="20"/>
      <c r="CC145"/>
      <c r="CD145"/>
      <c r="CG145"/>
      <c r="CH145"/>
      <c r="CI145"/>
      <c r="CJ145"/>
      <c r="CK145"/>
      <c r="CL145"/>
      <c r="CM145"/>
      <c r="CN145"/>
      <c r="CO145"/>
      <c r="CP145"/>
      <c r="CQ145"/>
      <c r="CR145"/>
      <c r="CS145"/>
    </row>
    <row r="146" spans="2:97" ht="15.5" x14ac:dyDescent="0.35">
      <c r="B146" s="20"/>
      <c r="C146" s="20"/>
      <c r="D146" s="20"/>
      <c r="E146" s="20"/>
      <c r="F146" s="20"/>
      <c r="G146" s="20"/>
      <c r="H146" s="20"/>
      <c r="I146" s="20"/>
      <c r="J146" s="20"/>
      <c r="K146" s="20"/>
      <c r="AQ146" s="71"/>
      <c r="AR146" s="71"/>
      <c r="AS146" s="71"/>
      <c r="AT146" s="71"/>
      <c r="AU146" s="71"/>
      <c r="AV146" s="71"/>
      <c r="AW146" s="76"/>
      <c r="AX146" s="71"/>
      <c r="AY146" s="71"/>
      <c r="AZ146" s="81"/>
      <c r="BA146" s="81"/>
      <c r="BB146" s="81"/>
      <c r="BC146" s="81"/>
      <c r="BD146" s="81"/>
      <c r="BE146" s="81"/>
      <c r="BF146" s="81"/>
      <c r="BG146" s="81"/>
      <c r="BH146" s="81"/>
      <c r="BI146" s="81"/>
      <c r="BJ146" s="81"/>
      <c r="BK146" s="81"/>
      <c r="BL146" s="20"/>
      <c r="BM146" s="20"/>
      <c r="BN146" s="20"/>
      <c r="BO146" s="20"/>
      <c r="CC146"/>
      <c r="CD146"/>
      <c r="CG146"/>
      <c r="CH146"/>
      <c r="CI146"/>
      <c r="CJ146"/>
      <c r="CK146"/>
      <c r="CL146"/>
      <c r="CM146"/>
      <c r="CN146"/>
      <c r="CO146"/>
      <c r="CP146"/>
      <c r="CQ146"/>
      <c r="CR146"/>
      <c r="CS146"/>
    </row>
    <row r="147" spans="2:97" ht="15.5" x14ac:dyDescent="0.35">
      <c r="B147" s="20"/>
      <c r="C147" s="20"/>
      <c r="D147" s="20"/>
      <c r="E147" s="20"/>
      <c r="F147" s="20"/>
      <c r="G147" s="20"/>
      <c r="H147" s="20"/>
      <c r="I147" s="20"/>
      <c r="J147" s="20"/>
      <c r="K147" s="20"/>
      <c r="AQ147" s="71"/>
      <c r="AR147" s="71"/>
      <c r="AS147" s="71"/>
      <c r="AT147" s="71"/>
      <c r="AU147" s="71"/>
      <c r="AV147" s="71"/>
      <c r="AW147" s="76"/>
      <c r="AX147" s="71"/>
      <c r="AY147" s="71"/>
      <c r="AZ147" s="81"/>
      <c r="BA147" s="81"/>
      <c r="BB147" s="81"/>
      <c r="BC147" s="81"/>
      <c r="BD147" s="81"/>
      <c r="BE147" s="81"/>
      <c r="BF147" s="81"/>
      <c r="BG147" s="81"/>
      <c r="BH147" s="81"/>
      <c r="BI147" s="81"/>
      <c r="BJ147" s="81"/>
      <c r="BK147" s="81"/>
      <c r="BL147" s="20"/>
      <c r="BM147" s="20"/>
      <c r="BN147" s="20"/>
      <c r="BO147" s="20"/>
      <c r="CC147"/>
      <c r="CD147"/>
      <c r="CG147"/>
      <c r="CH147"/>
      <c r="CI147"/>
      <c r="CJ147"/>
      <c r="CK147"/>
      <c r="CL147"/>
      <c r="CM147"/>
      <c r="CN147"/>
      <c r="CO147"/>
      <c r="CP147"/>
      <c r="CQ147"/>
      <c r="CR147"/>
      <c r="CS147"/>
    </row>
    <row r="148" spans="2:97" ht="15.5" x14ac:dyDescent="0.35">
      <c r="B148" s="20"/>
      <c r="C148" s="20"/>
      <c r="D148" s="20"/>
      <c r="E148" s="20"/>
      <c r="F148" s="20"/>
      <c r="G148" s="20"/>
      <c r="H148" s="20"/>
      <c r="I148" s="20"/>
      <c r="J148" s="20"/>
      <c r="K148" s="20"/>
      <c r="AX148"/>
      <c r="AY148"/>
      <c r="AZ148"/>
      <c r="BA148"/>
      <c r="BB148"/>
      <c r="BC148"/>
      <c r="BD148"/>
      <c r="BE148"/>
      <c r="BF148"/>
      <c r="BG148"/>
      <c r="BH148"/>
      <c r="BI148"/>
      <c r="BJ148"/>
      <c r="BK148"/>
      <c r="BL148"/>
      <c r="BM148"/>
      <c r="BN148"/>
      <c r="BO148"/>
      <c r="CC148"/>
      <c r="CD148"/>
      <c r="CG148"/>
      <c r="CH148"/>
      <c r="CI148"/>
      <c r="CJ148"/>
      <c r="CK148"/>
      <c r="CL148"/>
      <c r="CM148"/>
      <c r="CN148"/>
      <c r="CO148"/>
      <c r="CP148"/>
      <c r="CQ148"/>
      <c r="CR148"/>
      <c r="CS148"/>
    </row>
    <row r="149" spans="2:97" ht="15.5" x14ac:dyDescent="0.35">
      <c r="B149" s="20"/>
      <c r="C149" s="20"/>
      <c r="D149" s="20"/>
      <c r="E149" s="20"/>
      <c r="F149" s="20"/>
      <c r="G149" s="20"/>
      <c r="H149" s="20"/>
      <c r="I149" s="20"/>
      <c r="J149" s="20"/>
      <c r="K149" s="20"/>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20"/>
      <c r="C150" s="20"/>
      <c r="D150" s="20"/>
      <c r="E150" s="20"/>
      <c r="F150" s="20"/>
      <c r="G150" s="20"/>
      <c r="H150" s="20"/>
      <c r="I150" s="20"/>
      <c r="J150" s="20"/>
      <c r="K150" s="20"/>
      <c r="AX150"/>
      <c r="AY150"/>
      <c r="AZ150"/>
      <c r="BA150"/>
      <c r="BB150"/>
      <c r="BC150"/>
      <c r="BD150"/>
      <c r="BE150"/>
      <c r="BF150"/>
      <c r="BG150"/>
      <c r="BH150"/>
      <c r="BI150"/>
      <c r="BJ150"/>
      <c r="BK150"/>
      <c r="BL150"/>
      <c r="BM150"/>
      <c r="BN150"/>
      <c r="BO150"/>
      <c r="CC150"/>
      <c r="CD150"/>
    </row>
    <row r="151" spans="2:97" ht="15.5" x14ac:dyDescent="0.35">
      <c r="B151" s="20"/>
      <c r="C151" s="20"/>
      <c r="D151" s="20"/>
      <c r="E151" s="20"/>
      <c r="F151" s="20"/>
      <c r="G151" s="20"/>
      <c r="H151" s="20"/>
      <c r="I151" s="20"/>
      <c r="J151" s="20"/>
      <c r="K151" s="20"/>
      <c r="AX151"/>
      <c r="AY151"/>
      <c r="AZ151"/>
      <c r="BA151"/>
      <c r="CC151"/>
      <c r="CD151"/>
    </row>
    <row r="152" spans="2:97" ht="15.5" x14ac:dyDescent="0.35">
      <c r="B152" s="20"/>
      <c r="C152" s="20"/>
      <c r="D152" s="20"/>
      <c r="E152" s="20"/>
      <c r="F152" s="20"/>
      <c r="G152" s="20"/>
      <c r="H152" s="20"/>
      <c r="I152" s="20"/>
      <c r="J152" s="20"/>
      <c r="K152" s="20"/>
      <c r="CC152"/>
      <c r="CD152"/>
    </row>
    <row r="153" spans="2:97" ht="15.5" x14ac:dyDescent="0.35">
      <c r="B153" s="20"/>
      <c r="C153" s="20"/>
      <c r="D153" s="20"/>
      <c r="E153" s="20"/>
      <c r="F153" s="20"/>
      <c r="G153" s="20"/>
      <c r="H153" s="20"/>
      <c r="I153" s="20"/>
      <c r="J153" s="20"/>
      <c r="K153" s="20"/>
      <c r="AX153" s="20"/>
      <c r="AY153" s="20"/>
      <c r="AZ153" s="20"/>
      <c r="BA153" s="20"/>
      <c r="BB153" s="20"/>
      <c r="BC153" s="20"/>
      <c r="BD153" s="20"/>
      <c r="BE153" s="20"/>
      <c r="BF153" s="20"/>
      <c r="BG153" s="20"/>
      <c r="BH153" s="20"/>
      <c r="BI153" s="20"/>
      <c r="BJ153" s="20"/>
      <c r="BK153" s="20"/>
      <c r="BL153" s="20"/>
      <c r="BM153" s="20"/>
      <c r="BN153" s="20"/>
      <c r="BO153" s="20"/>
      <c r="CC153"/>
      <c r="CD153"/>
    </row>
    <row r="154" spans="2:97" ht="15.5" x14ac:dyDescent="0.35">
      <c r="B154" s="20"/>
      <c r="C154" s="20"/>
      <c r="D154" s="20"/>
      <c r="E154" s="20"/>
      <c r="F154" s="20"/>
      <c r="G154" s="20"/>
      <c r="H154" s="20"/>
      <c r="I154" s="20"/>
      <c r="J154" s="20"/>
      <c r="K154" s="20"/>
      <c r="CC154"/>
      <c r="CD154"/>
    </row>
    <row r="155" spans="2:97" ht="15.5" x14ac:dyDescent="0.35">
      <c r="B155" s="20"/>
      <c r="C155" s="20"/>
      <c r="D155" s="20"/>
      <c r="E155" s="20"/>
      <c r="F155" s="20"/>
      <c r="G155" s="20"/>
      <c r="H155" s="20"/>
      <c r="I155" s="20"/>
      <c r="J155" s="20"/>
      <c r="K155" s="20"/>
      <c r="AX155" s="70"/>
      <c r="AY155" s="70"/>
      <c r="AZ155" s="70"/>
      <c r="BA155" s="70"/>
      <c r="CC155"/>
      <c r="CD155"/>
    </row>
    <row r="156" spans="2:97" ht="15.5" x14ac:dyDescent="0.35">
      <c r="B156" s="20"/>
      <c r="C156" s="20"/>
      <c r="D156" s="20"/>
      <c r="E156" s="20"/>
      <c r="F156" s="20"/>
      <c r="G156" s="20"/>
      <c r="H156" s="20"/>
      <c r="I156" s="20"/>
      <c r="J156" s="20"/>
      <c r="K156" s="20"/>
      <c r="AX156"/>
      <c r="AY156"/>
      <c r="AZ156"/>
      <c r="BA156"/>
      <c r="BB156"/>
      <c r="BC156"/>
      <c r="BD156"/>
      <c r="BE156"/>
      <c r="BF156"/>
      <c r="BG156"/>
      <c r="BH156"/>
      <c r="BI156"/>
      <c r="BJ156"/>
      <c r="BK156"/>
      <c r="BL156"/>
      <c r="BM156"/>
      <c r="BN156"/>
      <c r="BO156"/>
      <c r="CC156"/>
      <c r="CD156"/>
    </row>
    <row r="157" spans="2:97" ht="15.5" x14ac:dyDescent="0.35">
      <c r="B157" s="20"/>
      <c r="C157" s="20"/>
      <c r="D157" s="20"/>
      <c r="E157" s="20"/>
      <c r="F157" s="20"/>
      <c r="G157" s="20"/>
      <c r="H157" s="20"/>
      <c r="I157" s="20"/>
      <c r="J157" s="20"/>
      <c r="K157" s="20"/>
      <c r="AX157"/>
      <c r="AY157"/>
      <c r="AZ157"/>
      <c r="BA157"/>
      <c r="BB157"/>
      <c r="BC157"/>
      <c r="BD157"/>
      <c r="BE157"/>
      <c r="BF157"/>
      <c r="BG157"/>
      <c r="BH157"/>
      <c r="BI157"/>
      <c r="BJ157"/>
      <c r="BK157"/>
      <c r="BL157"/>
      <c r="BM157"/>
      <c r="BN157"/>
      <c r="BO157"/>
      <c r="CC157"/>
      <c r="CD157"/>
    </row>
    <row r="158" spans="2:97" ht="15.5" x14ac:dyDescent="0.35">
      <c r="B158" s="20"/>
      <c r="C158" s="20"/>
      <c r="D158" s="20"/>
      <c r="E158" s="20"/>
      <c r="F158" s="20"/>
      <c r="G158" s="20"/>
      <c r="H158" s="20"/>
      <c r="I158" s="20"/>
      <c r="J158" s="20"/>
      <c r="K158" s="20"/>
      <c r="AX158"/>
      <c r="AY158"/>
      <c r="AZ158"/>
      <c r="BA158"/>
      <c r="BB158"/>
      <c r="BC158"/>
      <c r="BD158"/>
      <c r="BE158"/>
      <c r="BF158"/>
      <c r="BG158"/>
      <c r="BH158"/>
      <c r="BI158"/>
      <c r="BJ158"/>
      <c r="BK158"/>
      <c r="BL158"/>
      <c r="BM158"/>
      <c r="BN158"/>
      <c r="BO158"/>
      <c r="CC158"/>
      <c r="CD158"/>
    </row>
    <row r="159" spans="2:97" ht="15.5" x14ac:dyDescent="0.35">
      <c r="B159" s="20"/>
      <c r="C159" s="20"/>
      <c r="D159" s="20"/>
      <c r="E159" s="20"/>
      <c r="F159" s="20"/>
      <c r="G159" s="20"/>
      <c r="H159" s="20"/>
      <c r="I159" s="20"/>
      <c r="J159" s="20"/>
      <c r="K159" s="20"/>
      <c r="AX159"/>
      <c r="AY159"/>
      <c r="AZ159"/>
      <c r="BA159"/>
      <c r="BB159"/>
      <c r="BC159"/>
      <c r="BD159"/>
      <c r="BE159"/>
      <c r="BF159"/>
      <c r="BG159"/>
      <c r="BH159"/>
      <c r="BI159"/>
      <c r="BJ159"/>
      <c r="BK159"/>
      <c r="BL159"/>
      <c r="BM159"/>
      <c r="BN159"/>
      <c r="BO159"/>
      <c r="CC159"/>
      <c r="CD159"/>
    </row>
    <row r="160" spans="2:97" ht="15.5" x14ac:dyDescent="0.35">
      <c r="B160" s="20"/>
      <c r="C160" s="20"/>
      <c r="D160" s="20"/>
      <c r="E160" s="20"/>
      <c r="F160" s="20"/>
      <c r="G160" s="20"/>
      <c r="H160" s="20"/>
      <c r="I160" s="20"/>
      <c r="J160" s="20"/>
      <c r="K160" s="20"/>
      <c r="AX160"/>
      <c r="AY160"/>
      <c r="AZ160"/>
      <c r="BA160"/>
      <c r="BB160"/>
      <c r="BC160"/>
      <c r="BD160"/>
      <c r="BE160"/>
      <c r="BF160"/>
      <c r="BG160"/>
      <c r="BH160"/>
      <c r="BI160"/>
      <c r="BJ160"/>
      <c r="BK160"/>
      <c r="BL160"/>
      <c r="BM160"/>
      <c r="BN160"/>
      <c r="BO160"/>
      <c r="CC160"/>
      <c r="CD160"/>
    </row>
    <row r="161" spans="2:82" ht="15.5" x14ac:dyDescent="0.35">
      <c r="B161" s="20"/>
      <c r="C161" s="20"/>
      <c r="D161" s="20"/>
      <c r="E161" s="20"/>
      <c r="F161" s="20"/>
      <c r="G161" s="20"/>
      <c r="H161" s="20"/>
      <c r="I161" s="20"/>
      <c r="J161" s="20"/>
      <c r="K161" s="20"/>
      <c r="AX161"/>
      <c r="AY161"/>
      <c r="AZ161"/>
      <c r="BA161"/>
      <c r="BB161"/>
      <c r="BC161"/>
      <c r="BD161"/>
      <c r="BE161"/>
      <c r="BF161"/>
      <c r="BG161"/>
      <c r="BH161"/>
      <c r="BI161"/>
      <c r="BJ161"/>
      <c r="BK161"/>
      <c r="BL161"/>
      <c r="BM161"/>
      <c r="BN161"/>
      <c r="BO161"/>
      <c r="CC161"/>
      <c r="CD161"/>
    </row>
    <row r="162" spans="2:82" ht="15.5" x14ac:dyDescent="0.35">
      <c r="B162" s="20"/>
      <c r="C162" s="20"/>
      <c r="D162" s="20"/>
      <c r="E162" s="20"/>
      <c r="F162" s="20"/>
      <c r="G162" s="20"/>
      <c r="H162" s="20"/>
      <c r="I162" s="20"/>
      <c r="J162" s="20"/>
      <c r="K162" s="20"/>
      <c r="AX162"/>
      <c r="AY162"/>
      <c r="AZ162"/>
      <c r="BA162"/>
      <c r="BB162"/>
      <c r="BC162"/>
      <c r="BD162"/>
      <c r="BE162"/>
      <c r="BF162"/>
      <c r="BG162"/>
      <c r="BH162"/>
      <c r="BI162"/>
      <c r="BJ162"/>
      <c r="BK162"/>
      <c r="BL162"/>
      <c r="BM162"/>
      <c r="BN162"/>
      <c r="BO162"/>
      <c r="CC162"/>
      <c r="CD162"/>
    </row>
    <row r="163" spans="2:82" ht="15.5" x14ac:dyDescent="0.35">
      <c r="B163" s="20"/>
      <c r="C163" s="20"/>
      <c r="D163" s="20"/>
      <c r="E163" s="20"/>
      <c r="F163" s="20"/>
      <c r="G163" s="20"/>
      <c r="H163" s="20"/>
      <c r="I163" s="20"/>
      <c r="J163" s="20"/>
      <c r="K163" s="20"/>
      <c r="AX163"/>
      <c r="AY163"/>
      <c r="AZ163"/>
      <c r="BA163"/>
      <c r="BB163"/>
      <c r="BC163"/>
      <c r="BD163"/>
      <c r="BE163"/>
      <c r="BF163"/>
      <c r="BG163"/>
      <c r="BH163"/>
      <c r="BI163"/>
      <c r="BJ163"/>
      <c r="BK163"/>
      <c r="BL163"/>
      <c r="BM163"/>
      <c r="BN163"/>
      <c r="BO163"/>
      <c r="CC163"/>
      <c r="CD163"/>
    </row>
    <row r="164" spans="2:82" ht="15.5" x14ac:dyDescent="0.35">
      <c r="B164" s="20"/>
      <c r="C164" s="20"/>
      <c r="D164" s="20"/>
      <c r="E164" s="20"/>
      <c r="F164" s="20"/>
      <c r="G164" s="20"/>
      <c r="H164" s="20"/>
      <c r="I164" s="20"/>
      <c r="J164" s="20"/>
      <c r="K164" s="20"/>
      <c r="AX164"/>
      <c r="AY164"/>
      <c r="AZ164"/>
      <c r="BA164"/>
      <c r="BB164"/>
      <c r="BC164"/>
      <c r="BD164"/>
      <c r="BE164"/>
      <c r="BF164"/>
      <c r="BG164"/>
      <c r="BH164"/>
      <c r="BI164"/>
      <c r="BJ164"/>
      <c r="BK164"/>
      <c r="BL164"/>
      <c r="BM164"/>
      <c r="BN164"/>
      <c r="BO164"/>
      <c r="CC164"/>
      <c r="CD164"/>
    </row>
    <row r="165" spans="2:82" ht="15.5" x14ac:dyDescent="0.35">
      <c r="B165" s="20"/>
      <c r="C165" s="20"/>
      <c r="D165" s="20"/>
      <c r="E165" s="20"/>
      <c r="F165" s="20"/>
      <c r="G165" s="20"/>
      <c r="H165" s="20"/>
      <c r="I165" s="20"/>
      <c r="J165" s="20"/>
      <c r="K165" s="20"/>
      <c r="AX165"/>
      <c r="AY165"/>
      <c r="AZ165"/>
      <c r="BA165"/>
      <c r="BB165"/>
      <c r="BC165"/>
      <c r="BD165"/>
      <c r="BE165"/>
      <c r="BF165"/>
      <c r="BG165"/>
      <c r="BH165"/>
      <c r="BI165"/>
      <c r="BJ165"/>
      <c r="BK165"/>
      <c r="BL165"/>
      <c r="BM165"/>
      <c r="BN165"/>
      <c r="BO165"/>
      <c r="CC165"/>
    </row>
    <row r="166" spans="2:82" ht="15.5" x14ac:dyDescent="0.35">
      <c r="B166" s="20"/>
      <c r="C166" s="20"/>
      <c r="D166" s="20"/>
      <c r="E166" s="20"/>
      <c r="F166" s="20"/>
      <c r="G166" s="20"/>
      <c r="H166" s="20"/>
      <c r="I166" s="20"/>
      <c r="J166" s="20"/>
      <c r="K166" s="20"/>
      <c r="AX166"/>
      <c r="AY166"/>
      <c r="AZ166"/>
      <c r="BA166"/>
      <c r="BB166"/>
      <c r="BC166"/>
      <c r="BD166"/>
      <c r="BE166"/>
      <c r="BF166"/>
      <c r="BG166"/>
      <c r="BH166"/>
      <c r="BI166"/>
      <c r="BJ166"/>
      <c r="BK166"/>
      <c r="BL166"/>
      <c r="BM166"/>
      <c r="BN166"/>
      <c r="BO166"/>
      <c r="CC166"/>
      <c r="CD166"/>
    </row>
    <row r="167" spans="2:82" ht="15.5" x14ac:dyDescent="0.35">
      <c r="B167" s="20"/>
      <c r="C167" s="20"/>
      <c r="D167" s="20"/>
      <c r="E167" s="20"/>
      <c r="F167" s="20"/>
      <c r="G167" s="20"/>
      <c r="H167" s="20"/>
      <c r="I167" s="20"/>
      <c r="J167" s="20"/>
      <c r="K167" s="20"/>
      <c r="AX167"/>
      <c r="AY167"/>
      <c r="AZ167"/>
      <c r="BA167"/>
      <c r="BB167"/>
      <c r="BC167"/>
      <c r="BD167"/>
      <c r="BE167"/>
      <c r="BF167"/>
      <c r="BG167"/>
      <c r="BH167"/>
      <c r="BI167"/>
      <c r="BJ167"/>
      <c r="BK167"/>
      <c r="BL167"/>
      <c r="BM167"/>
      <c r="BN167"/>
      <c r="BO167"/>
      <c r="CC167"/>
      <c r="CD167"/>
    </row>
    <row r="168" spans="2:82" ht="15.5" x14ac:dyDescent="0.35">
      <c r="B168" s="20"/>
      <c r="C168" s="20"/>
      <c r="D168" s="20"/>
      <c r="E168" s="20"/>
      <c r="F168" s="20"/>
      <c r="G168" s="20"/>
      <c r="H168" s="20"/>
      <c r="I168" s="20"/>
      <c r="J168" s="20"/>
      <c r="K168" s="20"/>
      <c r="AX168"/>
      <c r="AY168"/>
      <c r="AZ168"/>
      <c r="BA168"/>
      <c r="BB168"/>
      <c r="BC168"/>
      <c r="BD168"/>
      <c r="BE168"/>
      <c r="BF168"/>
      <c r="BG168"/>
      <c r="BH168"/>
      <c r="BI168"/>
      <c r="BJ168"/>
      <c r="BK168"/>
      <c r="BL168"/>
      <c r="BM168"/>
      <c r="BN168"/>
      <c r="BO168"/>
      <c r="CC168"/>
      <c r="CD168"/>
    </row>
    <row r="169" spans="2:82" ht="15.5" x14ac:dyDescent="0.35">
      <c r="B169" s="20"/>
      <c r="C169" s="20"/>
      <c r="D169" s="20"/>
      <c r="E169" s="20"/>
      <c r="F169" s="20"/>
      <c r="G169" s="20"/>
      <c r="H169" s="20"/>
      <c r="I169" s="20"/>
      <c r="J169" s="20"/>
      <c r="K169" s="20"/>
      <c r="AX169"/>
      <c r="AY169"/>
      <c r="AZ169"/>
      <c r="BA169"/>
      <c r="BB169"/>
      <c r="BC169"/>
      <c r="BD169"/>
      <c r="BE169"/>
      <c r="BF169"/>
      <c r="BG169"/>
      <c r="BH169"/>
      <c r="BI169"/>
      <c r="BJ169"/>
      <c r="BK169"/>
      <c r="BL169"/>
      <c r="BM169"/>
      <c r="BN169"/>
      <c r="BO169"/>
      <c r="CC169"/>
      <c r="CD169"/>
    </row>
    <row r="170" spans="2:82" ht="15.5" x14ac:dyDescent="0.35">
      <c r="B170" s="20"/>
      <c r="C170" s="20"/>
      <c r="D170" s="20"/>
      <c r="E170" s="20"/>
      <c r="F170" s="20"/>
      <c r="G170" s="20"/>
      <c r="H170" s="20"/>
      <c r="I170" s="20"/>
      <c r="J170" s="20"/>
      <c r="K170" s="20"/>
      <c r="AJ170"/>
      <c r="AK170"/>
      <c r="AL170"/>
      <c r="AM170"/>
      <c r="AN170"/>
      <c r="AO170"/>
      <c r="AP170"/>
      <c r="AX170"/>
      <c r="AY170"/>
      <c r="AZ170"/>
      <c r="BA170"/>
      <c r="BB170"/>
      <c r="CC170"/>
      <c r="CD170"/>
    </row>
    <row r="171" spans="2:82" ht="15.5" x14ac:dyDescent="0.35">
      <c r="B171" s="20"/>
      <c r="C171" s="20"/>
      <c r="D171" s="20"/>
      <c r="E171" s="20"/>
      <c r="F171" s="20"/>
      <c r="G171" s="20"/>
      <c r="H171" s="20"/>
      <c r="I171" s="20"/>
      <c r="J171" s="20"/>
      <c r="K171" s="20"/>
      <c r="AJ171"/>
      <c r="AK171"/>
      <c r="AL171"/>
      <c r="AM171"/>
      <c r="AN171"/>
      <c r="AO171"/>
      <c r="AP171"/>
      <c r="AX171"/>
      <c r="AY171"/>
      <c r="AZ171"/>
      <c r="BA171"/>
      <c r="BB171"/>
      <c r="CC171"/>
      <c r="CD171"/>
    </row>
    <row r="172" spans="2:82" ht="15.5" x14ac:dyDescent="0.35">
      <c r="B172" s="20"/>
      <c r="C172" s="20"/>
      <c r="D172" s="20"/>
      <c r="E172" s="20"/>
      <c r="F172" s="20"/>
      <c r="G172" s="20"/>
      <c r="H172" s="20"/>
      <c r="I172" s="20"/>
      <c r="J172" s="20"/>
      <c r="K172" s="20"/>
      <c r="AJ172"/>
      <c r="AK172"/>
      <c r="AL172"/>
      <c r="AM172"/>
      <c r="AN172"/>
      <c r="AO172"/>
      <c r="AP172"/>
      <c r="AX172"/>
      <c r="AY172"/>
      <c r="AZ172"/>
      <c r="BA172"/>
      <c r="BB172"/>
      <c r="CC172"/>
      <c r="CD172"/>
    </row>
    <row r="173" spans="2:82" ht="15.5" x14ac:dyDescent="0.35">
      <c r="B173" s="20"/>
      <c r="C173" s="20"/>
      <c r="D173" s="20"/>
      <c r="E173" s="20"/>
      <c r="F173" s="20"/>
      <c r="G173" s="20"/>
      <c r="H173" s="20"/>
      <c r="I173" s="20"/>
      <c r="J173" s="20"/>
      <c r="K173" s="20"/>
      <c r="AJ173"/>
      <c r="AK173"/>
      <c r="AL173"/>
      <c r="AM173"/>
      <c r="AN173"/>
      <c r="AO173"/>
      <c r="AP173"/>
      <c r="AX173"/>
      <c r="AY173"/>
      <c r="AZ173"/>
      <c r="BA173"/>
      <c r="BB173"/>
      <c r="CC173"/>
      <c r="CD173"/>
    </row>
    <row r="174" spans="2:82" ht="15.5" x14ac:dyDescent="0.35">
      <c r="B174" s="20"/>
      <c r="C174" s="20"/>
      <c r="D174" s="20"/>
      <c r="E174" s="20"/>
      <c r="F174" s="20"/>
      <c r="G174" s="20"/>
      <c r="H174" s="20"/>
      <c r="I174" s="20"/>
      <c r="J174" s="20"/>
      <c r="K174" s="20"/>
      <c r="AP174"/>
      <c r="AX174"/>
      <c r="AY174"/>
      <c r="AZ174"/>
      <c r="BA174"/>
      <c r="BB174"/>
      <c r="CC174"/>
      <c r="CD174"/>
    </row>
    <row r="175" spans="2:82" ht="15.5" x14ac:dyDescent="0.35">
      <c r="B175" s="20"/>
      <c r="C175" s="20"/>
      <c r="D175" s="20"/>
      <c r="E175" s="20"/>
      <c r="F175" s="20"/>
      <c r="G175" s="20"/>
      <c r="H175" s="20"/>
      <c r="I175" s="20"/>
      <c r="J175" s="20"/>
      <c r="K175" s="20"/>
      <c r="AK175" s="70"/>
      <c r="AL175" s="70"/>
      <c r="AM175" s="70"/>
      <c r="AN175" s="70"/>
      <c r="AO175" s="70"/>
      <c r="AP175"/>
      <c r="AX175"/>
      <c r="AY175"/>
      <c r="AZ175"/>
      <c r="BA175"/>
      <c r="BB175"/>
      <c r="CC175"/>
      <c r="CD175"/>
    </row>
    <row r="176" spans="2:82" ht="15.5" x14ac:dyDescent="0.35">
      <c r="B176" s="20"/>
      <c r="C176" s="20"/>
      <c r="D176" s="20"/>
      <c r="E176" s="20"/>
      <c r="F176" s="20"/>
      <c r="G176" s="20"/>
      <c r="H176" s="20"/>
      <c r="I176" s="20"/>
      <c r="J176" s="20"/>
      <c r="K176" s="20"/>
      <c r="AP176"/>
      <c r="AX176"/>
      <c r="AY176"/>
      <c r="AZ176"/>
      <c r="BA176"/>
      <c r="BB176"/>
      <c r="CC176"/>
      <c r="CD176"/>
    </row>
    <row r="177" spans="2:82" ht="15.5" x14ac:dyDescent="0.35">
      <c r="B177" s="20"/>
      <c r="C177" s="20"/>
      <c r="D177" s="20"/>
      <c r="E177" s="20"/>
      <c r="F177" s="20"/>
      <c r="G177" s="20"/>
      <c r="H177" s="20"/>
      <c r="I177" s="20"/>
      <c r="J177" s="20"/>
      <c r="K177" s="20"/>
      <c r="AP177"/>
      <c r="AQ177"/>
      <c r="AR177"/>
      <c r="AS177"/>
      <c r="AT177"/>
      <c r="AU177"/>
      <c r="AV177"/>
      <c r="AW177"/>
      <c r="AX177"/>
      <c r="AY177"/>
      <c r="AZ177"/>
      <c r="BA177"/>
      <c r="BB177"/>
      <c r="CC177"/>
      <c r="CD177"/>
    </row>
    <row r="178" spans="2:82" ht="15.5" x14ac:dyDescent="0.35">
      <c r="B178" s="20"/>
      <c r="C178" s="20"/>
      <c r="D178" s="20"/>
      <c r="E178" s="20"/>
      <c r="F178" s="20"/>
      <c r="G178" s="20"/>
      <c r="H178" s="20"/>
      <c r="I178" s="20"/>
      <c r="J178" s="20"/>
      <c r="K178" s="20"/>
      <c r="AP178"/>
      <c r="AQ178"/>
      <c r="AR178"/>
      <c r="AS178"/>
      <c r="AT178"/>
      <c r="AU178"/>
      <c r="AV178"/>
      <c r="AW178"/>
      <c r="AX178"/>
      <c r="AY178"/>
      <c r="AZ178"/>
      <c r="BA178"/>
      <c r="BB178"/>
      <c r="CC178"/>
      <c r="CD178"/>
    </row>
    <row r="179" spans="2:82" ht="15.5" x14ac:dyDescent="0.35">
      <c r="B179" s="20"/>
      <c r="C179" s="20"/>
      <c r="D179" s="20"/>
      <c r="E179" s="20"/>
      <c r="F179" s="20"/>
      <c r="G179" s="20"/>
      <c r="H179" s="20"/>
      <c r="I179" s="20"/>
      <c r="J179" s="20"/>
      <c r="K179" s="20"/>
      <c r="AP179"/>
      <c r="AQ179"/>
      <c r="AR179"/>
      <c r="AS179"/>
      <c r="AT179"/>
      <c r="AU179"/>
      <c r="AV179"/>
      <c r="AW179"/>
      <c r="AX179"/>
      <c r="AY179"/>
      <c r="AZ179"/>
      <c r="BA179"/>
      <c r="BB179"/>
      <c r="CC179"/>
      <c r="CD179"/>
    </row>
    <row r="180" spans="2:82" ht="15.5" x14ac:dyDescent="0.35">
      <c r="B180" s="20"/>
      <c r="C180" s="20"/>
      <c r="D180" s="20"/>
      <c r="E180" s="20"/>
      <c r="F180" s="20"/>
      <c r="G180" s="20"/>
      <c r="H180" s="20"/>
      <c r="I180" s="20"/>
      <c r="J180" s="20"/>
      <c r="K180" s="20"/>
      <c r="AP180"/>
      <c r="AQ180"/>
      <c r="AR180"/>
      <c r="AS180"/>
      <c r="AT180"/>
      <c r="AU180"/>
      <c r="AV180"/>
      <c r="AW180"/>
      <c r="AX180"/>
      <c r="AY180"/>
      <c r="AZ180"/>
      <c r="BA180"/>
      <c r="BB180"/>
      <c r="CC180"/>
      <c r="CD180"/>
    </row>
    <row r="181" spans="2:82" ht="15.5" x14ac:dyDescent="0.35">
      <c r="B181" s="20"/>
      <c r="C181" s="20"/>
      <c r="D181" s="20"/>
      <c r="E181" s="20"/>
      <c r="F181" s="20"/>
      <c r="G181" s="20"/>
      <c r="H181" s="20"/>
      <c r="I181" s="20"/>
      <c r="J181" s="20"/>
      <c r="K181" s="20"/>
      <c r="AP181"/>
      <c r="AQ181"/>
      <c r="AR181"/>
      <c r="AS181"/>
      <c r="AT181"/>
      <c r="AU181"/>
      <c r="AV181"/>
      <c r="AW181"/>
      <c r="AX181"/>
      <c r="AY181"/>
      <c r="AZ181"/>
      <c r="BA181"/>
      <c r="BB181"/>
      <c r="CC181"/>
      <c r="CD181"/>
    </row>
    <row r="182" spans="2:82" ht="15.5" x14ac:dyDescent="0.35">
      <c r="B182" s="20"/>
      <c r="C182" s="20"/>
      <c r="D182" s="20"/>
      <c r="E182" s="20"/>
      <c r="F182" s="20"/>
      <c r="G182" s="20"/>
      <c r="H182" s="20"/>
      <c r="I182" s="20"/>
      <c r="J182" s="20"/>
      <c r="K182" s="20"/>
      <c r="AP182"/>
      <c r="AQ182"/>
      <c r="AR182"/>
      <c r="AS182"/>
      <c r="AT182"/>
      <c r="AU182"/>
      <c r="AV182"/>
      <c r="AW182"/>
      <c r="AX182"/>
      <c r="AY182"/>
      <c r="AZ182"/>
      <c r="BA182"/>
      <c r="BB182"/>
      <c r="CC182"/>
      <c r="CD182"/>
    </row>
    <row r="183" spans="2:82" ht="15.5" x14ac:dyDescent="0.35">
      <c r="B183" s="20"/>
      <c r="C183" s="20"/>
      <c r="D183" s="20"/>
      <c r="E183" s="20"/>
      <c r="F183" s="20"/>
      <c r="G183" s="20"/>
      <c r="H183" s="20"/>
      <c r="I183" s="20"/>
      <c r="J183" s="20"/>
      <c r="K183" s="20"/>
      <c r="AP183"/>
      <c r="AQ183"/>
      <c r="AR183"/>
      <c r="AS183"/>
      <c r="AT183"/>
      <c r="AU183"/>
      <c r="AV183"/>
      <c r="AW183"/>
      <c r="AX183"/>
      <c r="AY183"/>
      <c r="AZ183"/>
      <c r="BA183"/>
      <c r="BB183"/>
      <c r="CC183"/>
      <c r="CD183"/>
    </row>
    <row r="184" spans="2:82" ht="15.5" x14ac:dyDescent="0.35">
      <c r="B184" s="20"/>
      <c r="C184" s="20"/>
      <c r="D184" s="20"/>
      <c r="E184" s="20"/>
      <c r="F184" s="20"/>
      <c r="G184" s="20"/>
      <c r="H184" s="20"/>
      <c r="I184" s="20"/>
      <c r="J184" s="20"/>
      <c r="K184" s="20"/>
      <c r="AP184"/>
      <c r="AQ184"/>
      <c r="AR184"/>
      <c r="AS184"/>
      <c r="AT184"/>
      <c r="AU184"/>
      <c r="AV184"/>
      <c r="AW184"/>
      <c r="AX184"/>
      <c r="AY184"/>
      <c r="AZ184"/>
      <c r="BA184"/>
      <c r="BB184"/>
      <c r="CC184"/>
      <c r="CD184"/>
    </row>
    <row r="185" spans="2:82" ht="15.5" x14ac:dyDescent="0.35">
      <c r="B185" s="20"/>
      <c r="C185" s="20"/>
      <c r="D185" s="20"/>
      <c r="E185" s="20"/>
      <c r="F185" s="20"/>
      <c r="G185" s="20"/>
      <c r="H185" s="20"/>
      <c r="I185" s="20"/>
      <c r="J185" s="20"/>
      <c r="K185" s="20"/>
      <c r="AP185"/>
      <c r="AQ185"/>
      <c r="AR185"/>
      <c r="AS185"/>
      <c r="AT185"/>
      <c r="AU185"/>
      <c r="AV185"/>
      <c r="AW185"/>
      <c r="AX185"/>
      <c r="AY185"/>
      <c r="AZ185"/>
      <c r="BA185"/>
      <c r="BB185"/>
      <c r="CC185"/>
      <c r="CD185"/>
    </row>
    <row r="186" spans="2:82" ht="15.5" x14ac:dyDescent="0.35">
      <c r="B186" s="20"/>
      <c r="C186" s="20"/>
      <c r="D186" s="20"/>
      <c r="E186" s="20"/>
      <c r="F186" s="20"/>
      <c r="G186" s="20"/>
      <c r="H186" s="20"/>
      <c r="I186" s="20"/>
      <c r="J186" s="20"/>
      <c r="K186" s="20"/>
      <c r="AP186"/>
      <c r="AQ186"/>
      <c r="AR186"/>
      <c r="AS186"/>
      <c r="AT186"/>
      <c r="AU186"/>
      <c r="AV186"/>
      <c r="AW186"/>
      <c r="AX186"/>
      <c r="AY186"/>
      <c r="AZ186"/>
      <c r="BA186"/>
      <c r="BB186"/>
      <c r="CC186"/>
      <c r="CD186"/>
    </row>
    <row r="187" spans="2:82" ht="15.5" x14ac:dyDescent="0.35">
      <c r="B187" s="20"/>
      <c r="C187" s="20"/>
      <c r="D187" s="20"/>
      <c r="E187" s="20"/>
      <c r="F187" s="20"/>
      <c r="G187" s="20"/>
      <c r="H187" s="20"/>
      <c r="I187" s="20"/>
      <c r="J187" s="20"/>
      <c r="K187" s="20"/>
      <c r="AP187"/>
      <c r="AQ187"/>
      <c r="AR187"/>
      <c r="AS187"/>
      <c r="AT187"/>
      <c r="AU187"/>
      <c r="AV187"/>
      <c r="AW187"/>
      <c r="AX187"/>
      <c r="AY187"/>
      <c r="AZ187"/>
      <c r="BA187"/>
      <c r="BB187"/>
      <c r="CC187"/>
      <c r="CD187"/>
    </row>
    <row r="188" spans="2:82" ht="15.5" x14ac:dyDescent="0.35">
      <c r="B188" s="20"/>
      <c r="C188" s="20"/>
      <c r="D188" s="20"/>
      <c r="E188" s="20"/>
      <c r="F188" s="20"/>
      <c r="G188" s="20"/>
      <c r="H188" s="20"/>
      <c r="I188" s="20"/>
      <c r="J188" s="20"/>
      <c r="K188" s="20"/>
      <c r="AP188"/>
      <c r="AQ188"/>
      <c r="AR188"/>
      <c r="AS188"/>
      <c r="AT188"/>
      <c r="AU188"/>
      <c r="AV188"/>
      <c r="AW188"/>
      <c r="AX188"/>
      <c r="AY188"/>
      <c r="AZ188"/>
      <c r="BA188"/>
      <c r="BB188"/>
      <c r="CC188"/>
      <c r="CD188"/>
    </row>
    <row r="189" spans="2:82" ht="15.5" x14ac:dyDescent="0.35">
      <c r="B189" s="20"/>
      <c r="C189" s="20"/>
      <c r="D189" s="20"/>
      <c r="E189" s="20"/>
      <c r="F189" s="20"/>
      <c r="G189" s="20"/>
      <c r="H189" s="20"/>
      <c r="I189" s="20"/>
      <c r="J189" s="20"/>
      <c r="K189" s="20"/>
      <c r="AP189"/>
      <c r="AQ189"/>
      <c r="AR189"/>
      <c r="AS189"/>
      <c r="AT189"/>
      <c r="AU189"/>
      <c r="AV189"/>
      <c r="AW189"/>
      <c r="AX189"/>
      <c r="AY189"/>
      <c r="AZ189"/>
      <c r="BA189"/>
      <c r="BB189"/>
      <c r="CC189"/>
      <c r="CD189"/>
    </row>
    <row r="190" spans="2:82" ht="15.5" x14ac:dyDescent="0.35">
      <c r="B190" s="20"/>
      <c r="C190" s="20"/>
      <c r="D190" s="20"/>
      <c r="E190" s="20"/>
      <c r="F190" s="20"/>
      <c r="G190" s="20"/>
      <c r="H190" s="20"/>
      <c r="I190" s="20"/>
      <c r="J190" s="20"/>
      <c r="K190" s="20"/>
      <c r="AP190"/>
      <c r="AQ190"/>
      <c r="AR190"/>
      <c r="AS190"/>
      <c r="AT190"/>
      <c r="AU190"/>
      <c r="AV190"/>
      <c r="AW190"/>
      <c r="AX190"/>
      <c r="AY190"/>
      <c r="AZ190"/>
      <c r="BA190"/>
      <c r="BB190"/>
      <c r="CC190"/>
      <c r="CD190"/>
    </row>
    <row r="191" spans="2:82" ht="15.5" x14ac:dyDescent="0.35">
      <c r="B191" s="20"/>
      <c r="C191" s="20"/>
      <c r="D191" s="20"/>
      <c r="E191" s="20"/>
      <c r="F191" s="20"/>
      <c r="G191" s="20"/>
      <c r="H191" s="20"/>
      <c r="I191" s="20"/>
      <c r="J191" s="20"/>
      <c r="K191" s="20"/>
      <c r="AP191"/>
      <c r="AQ191"/>
      <c r="AR191"/>
      <c r="AS191"/>
      <c r="AT191"/>
      <c r="AU191"/>
      <c r="AV191"/>
      <c r="AW191"/>
      <c r="AX191"/>
      <c r="AY191"/>
      <c r="AZ191"/>
      <c r="BA191"/>
      <c r="BB191"/>
      <c r="CC191"/>
      <c r="CD191"/>
    </row>
    <row r="192" spans="2:82" ht="15.5" x14ac:dyDescent="0.35">
      <c r="B192" s="20"/>
      <c r="C192" s="20"/>
      <c r="D192" s="20"/>
      <c r="E192" s="20"/>
      <c r="F192" s="20"/>
      <c r="G192" s="20"/>
      <c r="H192" s="20"/>
      <c r="I192" s="20"/>
      <c r="J192" s="20"/>
      <c r="K192" s="20"/>
      <c r="AP192"/>
      <c r="AQ192"/>
      <c r="AR192"/>
      <c r="AS192"/>
      <c r="AT192"/>
      <c r="AU192"/>
      <c r="AV192"/>
      <c r="AW192"/>
      <c r="AX192"/>
      <c r="AY192"/>
      <c r="AZ192"/>
      <c r="BA192"/>
      <c r="BB192"/>
      <c r="CC192"/>
      <c r="CD192"/>
    </row>
    <row r="193" spans="2:82" ht="15.5" x14ac:dyDescent="0.35">
      <c r="B193" s="20"/>
      <c r="C193" s="20"/>
      <c r="D193" s="20"/>
      <c r="E193" s="20"/>
      <c r="F193" s="20"/>
      <c r="G193" s="20"/>
      <c r="H193" s="20"/>
      <c r="I193" s="20"/>
      <c r="J193" s="20"/>
      <c r="K193" s="20"/>
      <c r="CC193"/>
      <c r="CD193"/>
    </row>
    <row r="194" spans="2:82" ht="15.5" x14ac:dyDescent="0.35">
      <c r="B194" s="20"/>
      <c r="C194" s="20"/>
      <c r="D194" s="20"/>
      <c r="E194" s="20"/>
      <c r="F194" s="20"/>
      <c r="G194" s="20"/>
      <c r="H194" s="20"/>
      <c r="I194" s="20"/>
      <c r="J194" s="20"/>
      <c r="K194" s="20"/>
      <c r="CC194"/>
      <c r="CD194"/>
    </row>
    <row r="195" spans="2:82" ht="15.5" x14ac:dyDescent="0.35">
      <c r="B195" s="20"/>
      <c r="C195" s="20"/>
      <c r="D195" s="20"/>
      <c r="E195" s="20"/>
      <c r="F195" s="20"/>
      <c r="G195" s="20"/>
      <c r="H195" s="20"/>
      <c r="I195" s="20"/>
      <c r="J195" s="20"/>
      <c r="K195" s="20"/>
      <c r="CC195"/>
      <c r="CD195"/>
    </row>
    <row r="196" spans="2:82" ht="15.5" x14ac:dyDescent="0.35">
      <c r="B196" s="20"/>
      <c r="C196" s="20"/>
      <c r="D196" s="20"/>
      <c r="E196" s="20"/>
      <c r="F196" s="20"/>
      <c r="G196" s="20"/>
      <c r="H196" s="20"/>
      <c r="I196" s="20"/>
      <c r="J196" s="20"/>
      <c r="K196" s="20"/>
      <c r="CC196"/>
      <c r="CD196"/>
    </row>
    <row r="197" spans="2:82" ht="15.5" x14ac:dyDescent="0.35">
      <c r="B197" s="20"/>
      <c r="C197" s="20"/>
      <c r="D197" s="20"/>
      <c r="E197" s="20"/>
      <c r="F197" s="20"/>
      <c r="G197" s="20"/>
      <c r="H197" s="20"/>
      <c r="I197" s="20"/>
      <c r="J197" s="20"/>
      <c r="K197" s="20"/>
      <c r="CC197"/>
      <c r="CD197"/>
    </row>
    <row r="198" spans="2:82" ht="15.5" x14ac:dyDescent="0.35">
      <c r="B198" s="20"/>
      <c r="C198" s="20"/>
      <c r="D198" s="20"/>
      <c r="E198" s="20"/>
      <c r="F198" s="20"/>
      <c r="G198" s="20"/>
      <c r="H198" s="20"/>
      <c r="I198" s="20"/>
      <c r="J198" s="20"/>
      <c r="K198" s="20"/>
      <c r="CC198"/>
      <c r="CD198"/>
    </row>
    <row r="199" spans="2:82" ht="15.5" x14ac:dyDescent="0.35">
      <c r="B199" s="20"/>
      <c r="C199" s="20"/>
      <c r="D199" s="20"/>
      <c r="E199" s="20"/>
      <c r="F199" s="20"/>
      <c r="G199" s="20"/>
      <c r="H199" s="20"/>
      <c r="I199" s="20"/>
      <c r="J199" s="20"/>
      <c r="K199" s="20"/>
      <c r="CC199"/>
      <c r="CD199"/>
    </row>
    <row r="200" spans="2:82" ht="15.5" x14ac:dyDescent="0.35">
      <c r="B200" s="20"/>
      <c r="C200" s="20"/>
      <c r="D200" s="20"/>
      <c r="E200" s="20"/>
      <c r="F200" s="20"/>
      <c r="G200" s="20"/>
      <c r="H200" s="20"/>
      <c r="I200" s="20"/>
      <c r="J200" s="20"/>
      <c r="K200" s="20"/>
      <c r="CC200"/>
      <c r="CD200"/>
    </row>
    <row r="201" spans="2:82" ht="15.5" x14ac:dyDescent="0.35">
      <c r="B201" s="20"/>
      <c r="C201" s="20"/>
      <c r="D201" s="20"/>
      <c r="E201" s="20"/>
      <c r="F201" s="20"/>
      <c r="G201" s="20"/>
      <c r="H201" s="20"/>
      <c r="I201" s="20"/>
      <c r="J201" s="20"/>
      <c r="K201" s="20"/>
      <c r="CC201"/>
      <c r="CD201"/>
    </row>
    <row r="202" spans="2:82" ht="15.5" x14ac:dyDescent="0.35">
      <c r="B202" s="20"/>
      <c r="C202" s="20"/>
      <c r="D202" s="20"/>
      <c r="E202" s="20"/>
      <c r="F202" s="20"/>
      <c r="G202" s="20"/>
      <c r="H202" s="20"/>
      <c r="I202" s="20"/>
      <c r="J202" s="20"/>
      <c r="K202" s="20"/>
      <c r="CC202"/>
      <c r="CD202"/>
    </row>
    <row r="203" spans="2:82" ht="15.5" x14ac:dyDescent="0.35">
      <c r="B203" s="20"/>
      <c r="C203" s="20"/>
      <c r="D203" s="20"/>
      <c r="E203" s="20"/>
      <c r="F203" s="20"/>
      <c r="G203" s="20"/>
      <c r="H203" s="20"/>
      <c r="I203" s="20"/>
      <c r="J203" s="20"/>
      <c r="K203" s="20"/>
      <c r="CC203"/>
      <c r="CD203"/>
    </row>
    <row r="204" spans="2:82" ht="15.5" x14ac:dyDescent="0.35">
      <c r="B204" s="20"/>
      <c r="C204" s="20"/>
      <c r="D204" s="20"/>
      <c r="E204" s="20"/>
      <c r="F204" s="20"/>
      <c r="G204" s="20"/>
      <c r="H204" s="20"/>
      <c r="I204" s="20"/>
      <c r="J204" s="20"/>
      <c r="K204" s="20"/>
      <c r="CC204"/>
      <c r="CD204"/>
    </row>
    <row r="205" spans="2:82" ht="15.5" x14ac:dyDescent="0.35">
      <c r="B205" s="20"/>
      <c r="C205" s="20"/>
      <c r="D205" s="20"/>
      <c r="E205" s="20"/>
      <c r="F205" s="20"/>
      <c r="G205" s="20"/>
      <c r="H205" s="20"/>
      <c r="I205" s="20"/>
      <c r="J205" s="20"/>
      <c r="K205" s="20"/>
      <c r="CC205"/>
      <c r="CD205"/>
    </row>
    <row r="206" spans="2:82" ht="15.5" x14ac:dyDescent="0.35">
      <c r="B206" s="20"/>
      <c r="C206" s="20"/>
      <c r="D206" s="20"/>
      <c r="E206" s="20"/>
      <c r="F206" s="20"/>
      <c r="G206" s="20"/>
      <c r="H206" s="20"/>
      <c r="I206" s="20"/>
      <c r="J206" s="20"/>
      <c r="K206" s="20"/>
      <c r="CC206"/>
      <c r="CD206"/>
    </row>
    <row r="207" spans="2:82" ht="15.5" x14ac:dyDescent="0.35">
      <c r="B207" s="20"/>
      <c r="C207" s="20"/>
      <c r="D207" s="20"/>
      <c r="E207" s="20"/>
      <c r="F207" s="20"/>
      <c r="G207" s="20"/>
      <c r="H207" s="20"/>
      <c r="I207" s="20"/>
      <c r="J207" s="20"/>
      <c r="K207" s="20"/>
      <c r="CC207"/>
      <c r="CD207"/>
    </row>
    <row r="208" spans="2:82" ht="15.5" x14ac:dyDescent="0.35">
      <c r="B208" s="20"/>
      <c r="C208" s="20"/>
      <c r="D208" s="20"/>
      <c r="E208" s="20"/>
      <c r="F208" s="20"/>
      <c r="G208" s="20"/>
      <c r="H208" s="20"/>
      <c r="I208" s="20"/>
      <c r="J208" s="20"/>
      <c r="K208" s="20"/>
      <c r="CC208"/>
      <c r="CD208"/>
    </row>
    <row r="209" spans="2:82" ht="15.5" x14ac:dyDescent="0.35">
      <c r="B209" s="20"/>
      <c r="C209" s="20"/>
      <c r="D209" s="20"/>
      <c r="E209" s="20"/>
      <c r="F209" s="20"/>
      <c r="G209" s="20"/>
      <c r="H209" s="20"/>
      <c r="I209" s="20"/>
      <c r="J209" s="20"/>
      <c r="K209" s="20"/>
      <c r="CC209"/>
      <c r="CD209"/>
    </row>
    <row r="210" spans="2:82" ht="15.5" x14ac:dyDescent="0.35">
      <c r="B210" s="20"/>
      <c r="C210" s="20"/>
      <c r="D210" s="20"/>
      <c r="E210" s="20"/>
      <c r="F210" s="20"/>
      <c r="G210" s="20"/>
      <c r="H210" s="20"/>
      <c r="I210" s="20"/>
      <c r="J210" s="20"/>
      <c r="K210" s="20"/>
      <c r="CC210"/>
      <c r="CD210"/>
    </row>
    <row r="211" spans="2:82" ht="15.5" x14ac:dyDescent="0.35">
      <c r="B211" s="20"/>
      <c r="C211" s="20"/>
      <c r="D211" s="20"/>
      <c r="E211" s="20"/>
      <c r="F211" s="20"/>
      <c r="G211" s="20"/>
      <c r="H211" s="20"/>
      <c r="I211" s="20"/>
      <c r="J211" s="20"/>
      <c r="K211" s="20"/>
      <c r="CC211"/>
      <c r="CD211"/>
    </row>
    <row r="212" spans="2:82" ht="15.5" x14ac:dyDescent="0.35">
      <c r="B212" s="20"/>
      <c r="C212" s="20"/>
      <c r="D212" s="20"/>
      <c r="E212" s="20"/>
      <c r="F212" s="20"/>
      <c r="G212" s="20"/>
      <c r="H212" s="20"/>
      <c r="I212" s="20"/>
      <c r="J212" s="20"/>
      <c r="K212" s="20"/>
      <c r="CC212"/>
      <c r="CD212"/>
    </row>
    <row r="213" spans="2:82" ht="15.5" x14ac:dyDescent="0.35">
      <c r="B213" s="20"/>
      <c r="C213" s="20"/>
      <c r="D213" s="20"/>
      <c r="E213" s="20"/>
      <c r="F213" s="20"/>
      <c r="G213" s="20"/>
      <c r="H213" s="20"/>
      <c r="I213" s="20"/>
      <c r="J213" s="20"/>
      <c r="K213" s="20"/>
      <c r="CC213"/>
      <c r="CD213"/>
    </row>
    <row r="214" spans="2:82" ht="15.5" x14ac:dyDescent="0.35">
      <c r="B214" s="20"/>
      <c r="C214" s="20"/>
      <c r="D214" s="20"/>
      <c r="E214" s="20"/>
      <c r="F214" s="20"/>
      <c r="G214" s="20"/>
      <c r="H214" s="20"/>
      <c r="I214" s="20"/>
      <c r="J214" s="20"/>
      <c r="K214" s="20"/>
      <c r="CC214"/>
      <c r="CD214"/>
    </row>
    <row r="215" spans="2:82" ht="15.5" x14ac:dyDescent="0.35">
      <c r="B215" s="20"/>
      <c r="C215" s="20"/>
      <c r="D215" s="20"/>
      <c r="E215" s="20"/>
      <c r="F215" s="20"/>
      <c r="G215" s="20"/>
      <c r="H215" s="20"/>
      <c r="I215" s="20"/>
      <c r="J215" s="20"/>
      <c r="K215" s="20"/>
      <c r="CC215"/>
      <c r="CD215"/>
    </row>
    <row r="216" spans="2:82" ht="15.5" x14ac:dyDescent="0.35">
      <c r="B216" s="20"/>
      <c r="C216" s="20"/>
      <c r="D216" s="20"/>
      <c r="E216" s="20"/>
      <c r="F216" s="20"/>
      <c r="G216" s="20"/>
      <c r="H216" s="20"/>
      <c r="I216" s="20"/>
      <c r="J216" s="20"/>
      <c r="K216" s="20"/>
      <c r="CC216"/>
      <c r="CD216"/>
    </row>
    <row r="217" spans="2:82" ht="15.5" x14ac:dyDescent="0.35">
      <c r="B217" s="20"/>
      <c r="C217" s="20"/>
      <c r="D217" s="20"/>
      <c r="E217" s="20"/>
      <c r="F217" s="20"/>
      <c r="G217" s="20"/>
      <c r="H217" s="20"/>
      <c r="I217" s="20"/>
      <c r="J217" s="20"/>
      <c r="K217" s="20"/>
      <c r="CC217"/>
      <c r="CD217"/>
    </row>
    <row r="218" spans="2:82" ht="15.5" x14ac:dyDescent="0.35">
      <c r="B218" s="20"/>
      <c r="C218" s="20"/>
      <c r="D218" s="20"/>
      <c r="E218" s="20"/>
      <c r="F218" s="20"/>
      <c r="G218" s="20"/>
      <c r="H218" s="20"/>
      <c r="I218" s="20"/>
      <c r="J218" s="20"/>
      <c r="K218" s="20"/>
      <c r="CC218"/>
      <c r="CD218"/>
    </row>
    <row r="219" spans="2:82" ht="15.5" x14ac:dyDescent="0.35">
      <c r="B219" s="20"/>
      <c r="C219" s="20"/>
      <c r="D219" s="20"/>
      <c r="E219" s="20"/>
      <c r="F219" s="20"/>
      <c r="G219" s="20"/>
      <c r="H219" s="20"/>
      <c r="I219" s="20"/>
      <c r="J219" s="20"/>
      <c r="K219" s="20"/>
      <c r="CC219"/>
      <c r="CD219"/>
    </row>
    <row r="220" spans="2:82" ht="15.5" x14ac:dyDescent="0.35">
      <c r="B220" s="20"/>
      <c r="C220" s="20"/>
      <c r="D220" s="20"/>
      <c r="E220" s="20"/>
      <c r="F220" s="20"/>
      <c r="G220" s="20"/>
      <c r="H220" s="20"/>
      <c r="I220" s="20"/>
      <c r="J220" s="20"/>
      <c r="K220" s="20"/>
      <c r="CC220"/>
      <c r="CD220"/>
    </row>
    <row r="221" spans="2:82" ht="15.5" x14ac:dyDescent="0.35">
      <c r="B221" s="20"/>
      <c r="C221" s="20"/>
      <c r="D221" s="20"/>
      <c r="E221" s="20"/>
      <c r="F221" s="20"/>
      <c r="G221" s="20"/>
      <c r="H221" s="20"/>
      <c r="I221" s="20"/>
      <c r="J221" s="20"/>
      <c r="K221" s="20"/>
      <c r="CC221"/>
      <c r="CD221"/>
    </row>
    <row r="222" spans="2:82" ht="15.5" x14ac:dyDescent="0.35">
      <c r="B222" s="20"/>
      <c r="C222" s="20"/>
      <c r="D222" s="20"/>
      <c r="E222" s="20"/>
      <c r="F222" s="20"/>
      <c r="G222" s="20"/>
      <c r="H222" s="20"/>
      <c r="I222" s="20"/>
      <c r="J222" s="20"/>
      <c r="K222" s="20"/>
      <c r="CC222"/>
      <c r="CD222"/>
    </row>
    <row r="223" spans="2:82" ht="15.5" x14ac:dyDescent="0.35">
      <c r="B223" s="20"/>
      <c r="C223" s="20"/>
      <c r="D223" s="20"/>
      <c r="E223" s="20"/>
      <c r="F223" s="20"/>
      <c r="G223" s="20"/>
      <c r="H223" s="20"/>
      <c r="I223" s="20"/>
      <c r="J223" s="20"/>
      <c r="K223" s="20"/>
      <c r="CC223"/>
      <c r="CD223"/>
    </row>
    <row r="224" spans="2:82" ht="15.5" x14ac:dyDescent="0.35">
      <c r="B224" s="20"/>
      <c r="C224" s="20"/>
      <c r="D224" s="20"/>
      <c r="E224" s="20"/>
      <c r="F224" s="20"/>
      <c r="G224" s="20"/>
      <c r="H224" s="20"/>
      <c r="I224" s="20"/>
      <c r="J224" s="20"/>
      <c r="K224" s="20"/>
      <c r="CC224"/>
      <c r="CD224"/>
    </row>
    <row r="225" spans="2:82" ht="15.5" x14ac:dyDescent="0.35">
      <c r="B225" s="20"/>
      <c r="C225" s="20"/>
      <c r="D225" s="20"/>
      <c r="E225" s="20"/>
      <c r="F225" s="20"/>
      <c r="G225" s="20"/>
      <c r="H225" s="20"/>
      <c r="I225" s="20"/>
      <c r="J225" s="20"/>
      <c r="K225" s="20"/>
      <c r="CC225"/>
      <c r="CD225"/>
    </row>
    <row r="226" spans="2:82" ht="15.5" x14ac:dyDescent="0.35">
      <c r="B226" s="20"/>
      <c r="C226" s="20"/>
      <c r="D226" s="20"/>
      <c r="E226" s="20"/>
      <c r="F226" s="20"/>
      <c r="G226" s="20"/>
      <c r="H226" s="20"/>
      <c r="I226" s="20"/>
      <c r="J226" s="20"/>
      <c r="K226" s="20"/>
      <c r="CC226"/>
      <c r="CD226"/>
    </row>
    <row r="227" spans="2:82" ht="15.5" x14ac:dyDescent="0.35">
      <c r="B227" s="20"/>
      <c r="C227" s="20"/>
      <c r="D227" s="20"/>
      <c r="E227" s="20"/>
      <c r="F227" s="20"/>
      <c r="G227" s="20"/>
      <c r="H227" s="20"/>
      <c r="I227" s="20"/>
      <c r="J227" s="20"/>
      <c r="K227" s="20"/>
      <c r="CC227"/>
      <c r="CD227"/>
    </row>
    <row r="228" spans="2:82" ht="15.5" x14ac:dyDescent="0.35">
      <c r="B228" s="20"/>
      <c r="C228" s="20"/>
      <c r="D228" s="20"/>
      <c r="E228" s="20"/>
      <c r="F228" s="20"/>
      <c r="G228" s="20"/>
      <c r="H228" s="20"/>
      <c r="I228" s="20"/>
      <c r="J228" s="20"/>
      <c r="K228" s="20"/>
      <c r="CC228"/>
      <c r="CD228"/>
    </row>
    <row r="229" spans="2:82" ht="15.5" x14ac:dyDescent="0.35">
      <c r="B229" s="20"/>
      <c r="C229" s="20"/>
      <c r="D229" s="20"/>
      <c r="E229" s="20"/>
      <c r="F229" s="20"/>
      <c r="G229" s="20"/>
      <c r="H229" s="20"/>
      <c r="I229" s="20"/>
      <c r="J229" s="20"/>
      <c r="K229" s="20"/>
      <c r="CC229"/>
      <c r="CD229"/>
    </row>
    <row r="230" spans="2:82" ht="15.5" x14ac:dyDescent="0.35">
      <c r="B230" s="20"/>
      <c r="C230" s="20"/>
      <c r="D230" s="20"/>
      <c r="E230" s="20"/>
      <c r="F230" s="20"/>
      <c r="G230" s="20"/>
      <c r="H230" s="20"/>
      <c r="I230" s="20"/>
      <c r="J230" s="20"/>
      <c r="K230" s="20"/>
      <c r="CC230"/>
      <c r="CD230"/>
    </row>
    <row r="231" spans="2:82" ht="15.5" x14ac:dyDescent="0.35">
      <c r="B231" s="20"/>
      <c r="C231" s="20"/>
      <c r="D231" s="20"/>
      <c r="E231" s="20"/>
      <c r="F231" s="20"/>
      <c r="G231" s="20"/>
      <c r="H231" s="20"/>
      <c r="I231" s="20"/>
      <c r="J231" s="20"/>
      <c r="K231" s="20"/>
      <c r="CC231"/>
      <c r="CD231"/>
    </row>
    <row r="232" spans="2:82" ht="15.5" x14ac:dyDescent="0.35">
      <c r="B232" s="20"/>
      <c r="C232" s="20"/>
      <c r="D232" s="20"/>
      <c r="E232" s="20"/>
      <c r="F232" s="20"/>
      <c r="G232" s="20"/>
      <c r="H232" s="20"/>
      <c r="I232" s="20"/>
      <c r="J232" s="20"/>
      <c r="K232" s="20"/>
      <c r="CC232"/>
      <c r="CD232"/>
    </row>
    <row r="233" spans="2:82" ht="15.5" x14ac:dyDescent="0.35">
      <c r="B233" s="20"/>
      <c r="C233" s="20"/>
      <c r="D233" s="20"/>
      <c r="E233" s="20"/>
      <c r="F233" s="20"/>
      <c r="G233" s="20"/>
      <c r="H233" s="20"/>
      <c r="I233" s="20"/>
      <c r="J233" s="20"/>
      <c r="K233" s="20"/>
      <c r="CC233"/>
      <c r="CD233"/>
    </row>
    <row r="234" spans="2:82" ht="15.5" x14ac:dyDescent="0.35">
      <c r="B234" s="20"/>
      <c r="C234" s="20"/>
      <c r="D234" s="20"/>
      <c r="E234" s="20"/>
      <c r="F234" s="20"/>
      <c r="G234" s="20"/>
      <c r="H234" s="20"/>
      <c r="I234" s="20"/>
      <c r="J234" s="20"/>
      <c r="K234" s="20"/>
      <c r="CC234"/>
      <c r="CD234"/>
    </row>
    <row r="235" spans="2:82" ht="15.5" x14ac:dyDescent="0.35">
      <c r="B235" s="20"/>
      <c r="C235" s="20"/>
      <c r="D235" s="20"/>
      <c r="E235" s="20"/>
      <c r="F235" s="20"/>
      <c r="G235" s="20"/>
      <c r="H235" s="20"/>
      <c r="I235" s="20"/>
      <c r="J235" s="20"/>
      <c r="K235" s="20"/>
      <c r="CC235"/>
      <c r="CD235"/>
    </row>
    <row r="236" spans="2:82" ht="15.5" x14ac:dyDescent="0.35">
      <c r="B236" s="20"/>
      <c r="C236" s="20"/>
      <c r="D236" s="20"/>
      <c r="E236" s="20"/>
      <c r="F236" s="20"/>
      <c r="G236" s="20"/>
      <c r="H236" s="20"/>
      <c r="I236" s="20"/>
      <c r="J236" s="20"/>
      <c r="K236" s="20"/>
      <c r="CC236"/>
      <c r="CD236"/>
    </row>
    <row r="237" spans="2:82" ht="15.5" x14ac:dyDescent="0.35">
      <c r="B237" s="20"/>
      <c r="C237" s="20"/>
      <c r="D237" s="20"/>
      <c r="E237" s="20"/>
      <c r="F237" s="20"/>
      <c r="G237" s="20"/>
      <c r="H237" s="20"/>
      <c r="I237" s="20"/>
      <c r="J237" s="20"/>
      <c r="K237" s="20"/>
      <c r="CC237"/>
      <c r="CD237"/>
    </row>
    <row r="238" spans="2:82" ht="15.5" x14ac:dyDescent="0.35">
      <c r="B238" s="20"/>
      <c r="C238" s="20"/>
      <c r="D238" s="20"/>
      <c r="E238" s="20"/>
      <c r="F238" s="20"/>
      <c r="G238" s="20"/>
      <c r="H238" s="20"/>
      <c r="I238" s="20"/>
      <c r="J238" s="20"/>
      <c r="K238" s="20"/>
      <c r="CC238"/>
      <c r="CD238"/>
    </row>
    <row r="239" spans="2:82" ht="15.5" x14ac:dyDescent="0.35">
      <c r="B239" s="20"/>
      <c r="C239" s="20"/>
      <c r="D239" s="20"/>
      <c r="E239" s="20"/>
      <c r="F239" s="20"/>
      <c r="G239" s="20"/>
      <c r="H239" s="20"/>
      <c r="I239" s="20"/>
      <c r="J239" s="20"/>
      <c r="K239" s="20"/>
      <c r="CC239"/>
      <c r="CD239"/>
    </row>
    <row r="240" spans="2:82" ht="15.5" x14ac:dyDescent="0.35">
      <c r="B240" s="20"/>
      <c r="C240" s="20"/>
      <c r="D240" s="20"/>
      <c r="E240" s="20"/>
      <c r="F240" s="20"/>
      <c r="G240" s="20"/>
      <c r="H240" s="20"/>
      <c r="I240" s="20"/>
      <c r="J240" s="20"/>
      <c r="K240" s="20"/>
      <c r="CC240"/>
      <c r="CD240"/>
    </row>
    <row r="241" spans="2:82" ht="15.5" x14ac:dyDescent="0.35">
      <c r="B241" s="20"/>
      <c r="C241" s="20"/>
      <c r="D241" s="20"/>
      <c r="E241" s="20"/>
      <c r="F241" s="20"/>
      <c r="G241" s="20"/>
      <c r="H241" s="20"/>
      <c r="I241" s="20"/>
      <c r="J241" s="20"/>
      <c r="K241" s="20"/>
      <c r="CC241"/>
      <c r="CD241"/>
    </row>
    <row r="242" spans="2:82" ht="15.5" x14ac:dyDescent="0.35">
      <c r="B242" s="20"/>
      <c r="C242" s="20"/>
      <c r="D242" s="20"/>
      <c r="E242" s="20"/>
      <c r="F242" s="20"/>
      <c r="G242" s="20"/>
      <c r="H242" s="20"/>
      <c r="I242" s="20"/>
      <c r="J242" s="20"/>
      <c r="K242" s="20"/>
      <c r="CC242"/>
      <c r="CD242"/>
    </row>
    <row r="243" spans="2:82" ht="15.5" x14ac:dyDescent="0.35">
      <c r="B243" s="20"/>
      <c r="C243" s="20"/>
      <c r="D243" s="20"/>
      <c r="E243" s="20"/>
      <c r="F243" s="20"/>
      <c r="G243" s="20"/>
      <c r="H243" s="20"/>
      <c r="I243" s="20"/>
      <c r="J243" s="20"/>
      <c r="K243" s="20"/>
      <c r="CC243"/>
      <c r="CD243"/>
    </row>
    <row r="244" spans="2:82" ht="15.5" x14ac:dyDescent="0.35">
      <c r="B244" s="20"/>
      <c r="C244" s="20"/>
      <c r="D244" s="20"/>
      <c r="E244" s="20"/>
      <c r="F244" s="20"/>
      <c r="G244" s="20"/>
      <c r="H244" s="20"/>
      <c r="I244" s="20"/>
      <c r="J244" s="20"/>
      <c r="K244" s="20"/>
      <c r="CC244"/>
      <c r="CD244"/>
    </row>
    <row r="245" spans="2:82" ht="15.5" x14ac:dyDescent="0.35">
      <c r="B245" s="20"/>
      <c r="C245" s="20"/>
      <c r="D245" s="20"/>
      <c r="E245" s="20"/>
      <c r="F245" s="20"/>
      <c r="G245" s="20"/>
      <c r="H245" s="20"/>
      <c r="I245" s="20"/>
      <c r="J245" s="20"/>
      <c r="K245" s="20"/>
      <c r="CC245"/>
      <c r="CD245"/>
    </row>
    <row r="246" spans="2:82" ht="15.5" x14ac:dyDescent="0.35">
      <c r="B246" s="20"/>
      <c r="C246" s="20"/>
      <c r="D246" s="20"/>
      <c r="E246" s="20"/>
      <c r="F246" s="20"/>
      <c r="G246" s="20"/>
      <c r="H246" s="20"/>
      <c r="I246" s="20"/>
      <c r="J246" s="20"/>
      <c r="K246" s="20"/>
      <c r="CC246"/>
      <c r="CD246"/>
    </row>
    <row r="247" spans="2:82" ht="15.5" x14ac:dyDescent="0.35">
      <c r="B247" s="20"/>
      <c r="C247" s="20"/>
      <c r="D247" s="20"/>
      <c r="E247" s="20"/>
      <c r="F247" s="20"/>
      <c r="G247" s="20"/>
      <c r="H247" s="20"/>
      <c r="I247" s="20"/>
      <c r="J247" s="20"/>
      <c r="K247" s="20"/>
      <c r="CC247"/>
      <c r="CD247"/>
    </row>
    <row r="248" spans="2:82" ht="15.5" x14ac:dyDescent="0.35">
      <c r="B248" s="20"/>
      <c r="C248" s="20"/>
      <c r="D248" s="20"/>
      <c r="E248" s="20"/>
      <c r="F248" s="20"/>
      <c r="G248" s="20"/>
      <c r="H248" s="20"/>
      <c r="I248" s="20"/>
      <c r="J248" s="20"/>
      <c r="K248" s="20"/>
      <c r="CC248"/>
      <c r="CD248"/>
    </row>
    <row r="249" spans="2:82" ht="15.5" x14ac:dyDescent="0.35">
      <c r="B249" s="20"/>
      <c r="C249" s="20"/>
      <c r="D249" s="20"/>
      <c r="E249" s="20"/>
      <c r="F249" s="20"/>
      <c r="G249" s="20"/>
      <c r="H249" s="20"/>
      <c r="I249" s="20"/>
      <c r="J249" s="20"/>
      <c r="K249" s="20"/>
      <c r="CC249"/>
      <c r="CD249"/>
    </row>
    <row r="250" spans="2:82" ht="15.5" x14ac:dyDescent="0.35">
      <c r="B250" s="20"/>
      <c r="C250" s="20"/>
      <c r="D250" s="20"/>
      <c r="E250" s="20"/>
      <c r="F250" s="20"/>
      <c r="G250" s="20"/>
      <c r="H250" s="20"/>
      <c r="I250" s="20"/>
      <c r="J250" s="20"/>
      <c r="K250" s="20"/>
      <c r="CC250"/>
      <c r="CD250"/>
    </row>
    <row r="251" spans="2:82" ht="15.5" x14ac:dyDescent="0.35">
      <c r="B251" s="20"/>
      <c r="C251" s="20"/>
      <c r="D251" s="20"/>
      <c r="E251" s="20"/>
      <c r="F251" s="20"/>
      <c r="G251" s="20"/>
      <c r="H251" s="20"/>
      <c r="I251" s="20"/>
      <c r="J251" s="20"/>
      <c r="K251" s="20"/>
      <c r="CC251"/>
      <c r="CD251"/>
    </row>
    <row r="252" spans="2:82" ht="15.5" x14ac:dyDescent="0.35">
      <c r="B252" s="20"/>
      <c r="C252" s="20"/>
      <c r="D252" s="20"/>
      <c r="E252" s="20"/>
      <c r="F252" s="20"/>
      <c r="G252" s="20"/>
      <c r="H252" s="20"/>
      <c r="I252" s="20"/>
      <c r="J252" s="20"/>
      <c r="K252" s="20"/>
      <c r="CC252"/>
      <c r="CD252"/>
    </row>
    <row r="253" spans="2:82" ht="15.5" x14ac:dyDescent="0.35">
      <c r="B253" s="20"/>
      <c r="C253" s="20"/>
      <c r="D253" s="20"/>
      <c r="E253" s="20"/>
      <c r="F253" s="20"/>
      <c r="G253" s="20"/>
      <c r="H253" s="20"/>
      <c r="I253" s="20"/>
      <c r="J253" s="20"/>
      <c r="K253" s="20"/>
      <c r="CC253"/>
      <c r="CD253"/>
    </row>
    <row r="254" spans="2:82" ht="15.5" x14ac:dyDescent="0.35">
      <c r="B254" s="20"/>
      <c r="C254" s="20"/>
      <c r="D254" s="20"/>
      <c r="E254" s="20"/>
      <c r="F254" s="20"/>
      <c r="G254" s="20"/>
      <c r="H254" s="20"/>
      <c r="I254" s="20"/>
      <c r="J254" s="20"/>
      <c r="K254" s="20"/>
      <c r="CC254"/>
      <c r="CD254"/>
    </row>
    <row r="255" spans="2:82" ht="15.5" x14ac:dyDescent="0.35">
      <c r="B255" s="20"/>
      <c r="C255" s="20"/>
      <c r="D255" s="20"/>
      <c r="E255" s="20"/>
      <c r="F255" s="20"/>
      <c r="G255" s="20"/>
      <c r="H255" s="20"/>
      <c r="I255" s="20"/>
      <c r="J255" s="20"/>
      <c r="K255" s="20"/>
      <c r="CC255"/>
      <c r="CD255"/>
    </row>
    <row r="256" spans="2:82" ht="15.5" x14ac:dyDescent="0.35">
      <c r="B256" s="20"/>
      <c r="C256" s="20"/>
      <c r="D256" s="20"/>
      <c r="E256" s="20"/>
      <c r="F256" s="20"/>
      <c r="G256" s="20"/>
      <c r="H256" s="20"/>
      <c r="I256" s="20"/>
      <c r="J256" s="20"/>
      <c r="K256" s="20"/>
      <c r="CC256"/>
      <c r="CD256"/>
    </row>
    <row r="257" spans="2:82" ht="15.5" x14ac:dyDescent="0.35">
      <c r="B257" s="20"/>
      <c r="C257" s="20"/>
      <c r="D257" s="20"/>
      <c r="E257" s="20"/>
      <c r="F257" s="20"/>
      <c r="G257" s="20"/>
      <c r="H257" s="20"/>
      <c r="I257" s="20"/>
      <c r="J257" s="20"/>
      <c r="K257" s="20"/>
      <c r="CC257"/>
      <c r="CD257"/>
    </row>
    <row r="258" spans="2:82" ht="15.5" x14ac:dyDescent="0.35">
      <c r="B258" s="20"/>
      <c r="C258" s="20"/>
      <c r="D258" s="20"/>
      <c r="E258" s="20"/>
      <c r="F258" s="20"/>
      <c r="G258" s="20"/>
      <c r="H258" s="20"/>
      <c r="I258" s="20"/>
      <c r="J258" s="20"/>
      <c r="K258" s="20"/>
      <c r="CC258"/>
      <c r="CD258"/>
    </row>
    <row r="259" spans="2:82" ht="15.5" x14ac:dyDescent="0.35">
      <c r="B259" s="20"/>
      <c r="C259" s="20"/>
      <c r="D259" s="20"/>
      <c r="E259" s="20"/>
      <c r="F259" s="20"/>
      <c r="G259" s="20"/>
      <c r="H259" s="20"/>
      <c r="I259" s="20"/>
      <c r="J259" s="20"/>
      <c r="K259" s="20"/>
      <c r="CC259"/>
      <c r="CD259"/>
    </row>
    <row r="260" spans="2:82" ht="15.5" x14ac:dyDescent="0.35">
      <c r="B260" s="20"/>
      <c r="C260" s="20"/>
      <c r="D260" s="20"/>
      <c r="E260" s="20"/>
      <c r="F260" s="20"/>
      <c r="G260" s="20"/>
      <c r="H260" s="20"/>
      <c r="I260" s="20"/>
      <c r="J260" s="20"/>
      <c r="K260" s="20"/>
      <c r="CC260"/>
      <c r="CD260"/>
    </row>
    <row r="261" spans="2:82" ht="15.5" x14ac:dyDescent="0.35">
      <c r="B261" s="20"/>
      <c r="C261" s="20"/>
      <c r="D261" s="20"/>
      <c r="E261" s="20"/>
      <c r="F261" s="20"/>
      <c r="G261" s="20"/>
      <c r="H261" s="20"/>
      <c r="I261" s="20"/>
      <c r="J261" s="20"/>
      <c r="K261" s="20"/>
      <c r="CC261"/>
      <c r="CD261"/>
    </row>
    <row r="262" spans="2:82" ht="15.5" x14ac:dyDescent="0.35">
      <c r="B262" s="20"/>
      <c r="C262" s="20"/>
      <c r="D262" s="20"/>
      <c r="E262" s="20"/>
      <c r="F262" s="20"/>
      <c r="G262" s="20"/>
      <c r="H262" s="20"/>
      <c r="I262" s="20"/>
      <c r="J262" s="20"/>
      <c r="K262" s="20"/>
      <c r="CC262"/>
      <c r="CD262"/>
    </row>
    <row r="263" spans="2:82" ht="15.5" x14ac:dyDescent="0.35">
      <c r="B263" s="20"/>
      <c r="C263" s="20"/>
      <c r="D263" s="20"/>
      <c r="E263" s="20"/>
      <c r="F263" s="20"/>
      <c r="G263" s="20"/>
      <c r="H263" s="20"/>
      <c r="I263" s="20"/>
      <c r="J263" s="20"/>
      <c r="K263" s="20"/>
      <c r="CC263"/>
      <c r="CD263"/>
    </row>
    <row r="264" spans="2:82" ht="15.5" x14ac:dyDescent="0.35">
      <c r="B264" s="20"/>
      <c r="C264" s="20"/>
      <c r="D264" s="20"/>
      <c r="E264" s="20"/>
      <c r="F264" s="20"/>
      <c r="G264" s="20"/>
      <c r="H264" s="20"/>
      <c r="I264" s="20"/>
      <c r="J264" s="20"/>
      <c r="K264" s="20"/>
      <c r="CC264"/>
      <c r="CD264"/>
    </row>
    <row r="265" spans="2:82" ht="15.5" x14ac:dyDescent="0.35">
      <c r="B265" s="20"/>
      <c r="C265" s="20"/>
      <c r="D265" s="20"/>
      <c r="E265" s="20"/>
      <c r="F265" s="20"/>
      <c r="G265" s="20"/>
      <c r="H265" s="20"/>
      <c r="I265" s="20"/>
      <c r="J265" s="20"/>
      <c r="K265" s="20"/>
      <c r="CC265"/>
      <c r="CD265"/>
    </row>
    <row r="266" spans="2:82" ht="15.5" x14ac:dyDescent="0.35">
      <c r="B266" s="20"/>
      <c r="C266" s="20"/>
      <c r="D266" s="20"/>
      <c r="E266" s="20"/>
      <c r="F266" s="20"/>
      <c r="G266" s="20"/>
      <c r="H266" s="20"/>
      <c r="I266" s="20"/>
      <c r="J266" s="20"/>
      <c r="K266" s="20"/>
      <c r="CC266"/>
      <c r="CD266"/>
    </row>
    <row r="267" spans="2:82" ht="15.5" x14ac:dyDescent="0.35">
      <c r="B267" s="20"/>
      <c r="C267" s="20"/>
      <c r="D267" s="20"/>
      <c r="E267" s="20"/>
      <c r="F267" s="20"/>
      <c r="G267" s="20"/>
      <c r="H267" s="20"/>
      <c r="I267" s="20"/>
      <c r="J267" s="20"/>
      <c r="K267" s="20"/>
      <c r="CC267"/>
      <c r="CD267"/>
    </row>
    <row r="268" spans="2:82" ht="15.5" x14ac:dyDescent="0.35">
      <c r="B268" s="20"/>
      <c r="C268" s="20"/>
      <c r="D268" s="20"/>
      <c r="E268" s="20"/>
      <c r="F268" s="20"/>
      <c r="G268" s="20"/>
      <c r="H268" s="20"/>
      <c r="I268" s="20"/>
      <c r="J268" s="20"/>
      <c r="K268" s="20"/>
      <c r="CC268"/>
      <c r="CD268"/>
    </row>
    <row r="269" spans="2:82" ht="15.5" x14ac:dyDescent="0.35">
      <c r="B269" s="20"/>
      <c r="C269" s="20"/>
      <c r="D269" s="20"/>
      <c r="E269" s="20"/>
      <c r="F269" s="20"/>
      <c r="G269" s="20"/>
      <c r="H269" s="20"/>
      <c r="I269" s="20"/>
      <c r="J269" s="20"/>
      <c r="K269" s="20"/>
      <c r="CC269"/>
      <c r="CD269"/>
    </row>
    <row r="270" spans="2:82" ht="15.5" x14ac:dyDescent="0.35">
      <c r="B270" s="20"/>
      <c r="C270" s="20"/>
      <c r="D270" s="20"/>
      <c r="E270" s="20"/>
      <c r="F270" s="20"/>
      <c r="G270" s="20"/>
      <c r="H270" s="20"/>
      <c r="I270" s="20"/>
      <c r="J270" s="20"/>
      <c r="K270" s="20"/>
      <c r="CC270"/>
      <c r="CD270"/>
    </row>
    <row r="271" spans="2:82" ht="15.5" x14ac:dyDescent="0.35">
      <c r="B271" s="20"/>
      <c r="C271" s="20"/>
      <c r="D271" s="20"/>
      <c r="E271" s="20"/>
      <c r="F271" s="20"/>
      <c r="G271" s="20"/>
      <c r="H271" s="20"/>
      <c r="I271" s="20"/>
      <c r="J271" s="20"/>
      <c r="K271" s="20"/>
      <c r="CC271"/>
      <c r="CD271"/>
    </row>
    <row r="272" spans="2:82" ht="15.5" x14ac:dyDescent="0.35">
      <c r="B272" s="20"/>
      <c r="C272" s="20"/>
      <c r="D272" s="20"/>
      <c r="E272" s="20"/>
      <c r="F272" s="20"/>
      <c r="G272" s="20"/>
      <c r="H272" s="20"/>
      <c r="I272" s="20"/>
      <c r="J272" s="20"/>
      <c r="K272" s="20"/>
      <c r="CC272"/>
      <c r="CD272"/>
    </row>
    <row r="273" spans="2:82" ht="15.5" x14ac:dyDescent="0.35">
      <c r="B273" s="20"/>
      <c r="C273" s="20"/>
      <c r="D273" s="20"/>
      <c r="E273" s="20"/>
      <c r="F273" s="20"/>
      <c r="G273" s="20"/>
      <c r="H273" s="20"/>
      <c r="I273" s="20"/>
      <c r="J273" s="20"/>
      <c r="K273" s="20"/>
      <c r="CC273"/>
      <c r="CD273"/>
    </row>
    <row r="274" spans="2:82" ht="15.5" x14ac:dyDescent="0.35">
      <c r="B274" s="20"/>
      <c r="C274" s="20"/>
      <c r="D274" s="20"/>
      <c r="E274" s="20"/>
      <c r="F274" s="20"/>
      <c r="G274" s="20"/>
      <c r="H274" s="20"/>
      <c r="I274" s="20"/>
      <c r="J274" s="20"/>
      <c r="K274" s="20"/>
      <c r="CC274"/>
      <c r="CD274"/>
    </row>
    <row r="275" spans="2:82" ht="15.5" x14ac:dyDescent="0.35">
      <c r="B275" s="20"/>
      <c r="C275" s="20"/>
      <c r="D275" s="20"/>
      <c r="E275" s="20"/>
      <c r="F275" s="20"/>
      <c r="G275" s="20"/>
      <c r="H275" s="20"/>
      <c r="CC275"/>
      <c r="CD275"/>
    </row>
    <row r="276" spans="2:82" ht="15.5" x14ac:dyDescent="0.35">
      <c r="B276" s="20"/>
      <c r="C276" s="20"/>
      <c r="D276" s="20"/>
      <c r="E276" s="20"/>
      <c r="F276" s="20"/>
      <c r="G276" s="20"/>
      <c r="H276" s="20"/>
      <c r="CC276"/>
      <c r="CD276"/>
    </row>
    <row r="277" spans="2:82" ht="15.5" x14ac:dyDescent="0.35">
      <c r="G277" s="20"/>
      <c r="H277" s="20"/>
      <c r="CC277"/>
      <c r="CD277"/>
    </row>
    <row r="278" spans="2:82" ht="15.5" x14ac:dyDescent="0.35">
      <c r="G278" s="20"/>
      <c r="H278" s="20"/>
      <c r="CC278"/>
      <c r="CD278"/>
    </row>
    <row r="279" spans="2:82" ht="15.5" x14ac:dyDescent="0.35">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sheetData>
  <mergeCells count="11">
    <mergeCell ref="C17:E17"/>
    <mergeCell ref="C20:E20"/>
    <mergeCell ref="C21:E21"/>
    <mergeCell ref="C24:E24"/>
    <mergeCell ref="C26:E26"/>
    <mergeCell ref="C28:E28"/>
    <mergeCell ref="C25:E25"/>
    <mergeCell ref="C18:E18"/>
    <mergeCell ref="C19:E19"/>
    <mergeCell ref="C22:E22"/>
    <mergeCell ref="C27:E27"/>
  </mergeCells>
  <pageMargins left="0.7" right="0.7" top="0.75" bottom="0.75" header="0.3" footer="0.3"/>
  <pageSetup orientation="portrait" r:id="rId1"/>
  <ignoredErrors>
    <ignoredError sqref="I40 J40:T40" formula="1"/>
  </ignoredErrors>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tabColor rgb="FFC00000"/>
  </sheetPr>
  <dimension ref="A1:BU54"/>
  <sheetViews>
    <sheetView workbookViewId="0">
      <selection activeCell="N12" sqref="N12:N37"/>
    </sheetView>
  </sheetViews>
  <sheetFormatPr defaultColWidth="8" defaultRowHeight="12.5" x14ac:dyDescent="0.25"/>
  <cols>
    <col min="1" max="1" width="19.08203125" style="184" customWidth="1"/>
    <col min="2" max="3" width="17" style="184" customWidth="1"/>
    <col min="4" max="4" width="4.33203125" style="184" customWidth="1"/>
    <col min="5" max="5" width="23" style="184" customWidth="1"/>
    <col min="6" max="6" width="19.08203125" style="184" customWidth="1"/>
    <col min="7" max="8" width="8.83203125" style="184" customWidth="1"/>
    <col min="9" max="9" width="7.9140625" style="184" customWidth="1"/>
    <col min="10" max="10" width="8" style="184"/>
    <col min="11" max="11" width="9.08203125" style="184" customWidth="1"/>
    <col min="12" max="13" width="8" style="184"/>
    <col min="14" max="14" width="9.33203125" style="184" customWidth="1"/>
    <col min="15" max="18" width="8" style="184"/>
    <col min="19" max="19" width="14.58203125" style="184" customWidth="1"/>
    <col min="20" max="20" width="13.33203125" style="184" customWidth="1"/>
    <col min="21" max="21" width="17.08203125" style="184" customWidth="1"/>
    <col min="22" max="16384" width="8" style="184"/>
  </cols>
  <sheetData>
    <row r="1" spans="1:73" s="78" customFormat="1" ht="13" x14ac:dyDescent="0.3">
      <c r="B1" s="78" t="s">
        <v>10</v>
      </c>
      <c r="C1" s="78" t="s">
        <v>10</v>
      </c>
      <c r="D1" s="78" t="s">
        <v>10</v>
      </c>
      <c r="E1" s="78" t="s">
        <v>10</v>
      </c>
      <c r="G1" s="78" t="s">
        <v>10</v>
      </c>
      <c r="H1" s="78" t="s">
        <v>10</v>
      </c>
      <c r="I1" s="78" t="s">
        <v>10</v>
      </c>
      <c r="J1" s="78" t="s">
        <v>10</v>
      </c>
      <c r="K1" s="78" t="s">
        <v>10</v>
      </c>
      <c r="L1" s="78" t="s">
        <v>10</v>
      </c>
      <c r="M1" s="78" t="s">
        <v>10</v>
      </c>
      <c r="N1" s="78" t="s">
        <v>10</v>
      </c>
      <c r="O1" s="78" t="s">
        <v>10</v>
      </c>
      <c r="P1" s="78" t="s">
        <v>10</v>
      </c>
      <c r="Q1" s="78" t="s">
        <v>10</v>
      </c>
      <c r="R1" s="78" t="s">
        <v>10</v>
      </c>
      <c r="S1" s="78" t="s">
        <v>10</v>
      </c>
      <c r="T1" s="78" t="s">
        <v>10</v>
      </c>
      <c r="U1" s="78" t="s">
        <v>10</v>
      </c>
      <c r="V1" s="78" t="s">
        <v>10</v>
      </c>
      <c r="W1" s="78" t="s">
        <v>10</v>
      </c>
      <c r="X1" s="78" t="s">
        <v>10</v>
      </c>
      <c r="Y1" s="78" t="s">
        <v>10</v>
      </c>
      <c r="Z1" s="78" t="s">
        <v>10</v>
      </c>
      <c r="AA1" s="78" t="s">
        <v>10</v>
      </c>
      <c r="AB1" s="78" t="s">
        <v>10</v>
      </c>
      <c r="AC1" s="78" t="s">
        <v>10</v>
      </c>
      <c r="AD1" s="78" t="s">
        <v>10</v>
      </c>
      <c r="AE1" s="78" t="s">
        <v>10</v>
      </c>
      <c r="AF1" s="78" t="s">
        <v>10</v>
      </c>
      <c r="AG1" s="78" t="s">
        <v>10</v>
      </c>
      <c r="AH1" s="78" t="s">
        <v>10</v>
      </c>
      <c r="AI1" s="78" t="s">
        <v>10</v>
      </c>
      <c r="AJ1" s="78" t="s">
        <v>10</v>
      </c>
      <c r="AK1" s="78" t="s">
        <v>10</v>
      </c>
      <c r="AL1" s="78" t="s">
        <v>10</v>
      </c>
      <c r="AM1" s="78" t="s">
        <v>10</v>
      </c>
      <c r="AN1" s="78" t="s">
        <v>10</v>
      </c>
      <c r="AO1" s="78" t="s">
        <v>10</v>
      </c>
      <c r="AP1" s="78" t="s">
        <v>10</v>
      </c>
      <c r="AQ1" s="78" t="s">
        <v>10</v>
      </c>
      <c r="AR1" s="78" t="s">
        <v>10</v>
      </c>
      <c r="AS1" s="78" t="s">
        <v>10</v>
      </c>
      <c r="AT1" s="78" t="s">
        <v>10</v>
      </c>
      <c r="AU1" s="78" t="s">
        <v>10</v>
      </c>
      <c r="AV1" s="78" t="s">
        <v>10</v>
      </c>
      <c r="AW1" s="78" t="s">
        <v>10</v>
      </c>
      <c r="AX1" s="78" t="s">
        <v>10</v>
      </c>
      <c r="AY1" s="78" t="s">
        <v>10</v>
      </c>
      <c r="AZ1" s="78" t="s">
        <v>10</v>
      </c>
      <c r="BA1" s="78" t="s">
        <v>10</v>
      </c>
      <c r="BB1" s="78" t="s">
        <v>10</v>
      </c>
      <c r="BC1" s="78" t="s">
        <v>10</v>
      </c>
      <c r="BD1" s="78" t="s">
        <v>10</v>
      </c>
      <c r="BE1" s="78" t="s">
        <v>10</v>
      </c>
      <c r="BF1" s="78" t="s">
        <v>10</v>
      </c>
      <c r="BG1" s="78" t="s">
        <v>10</v>
      </c>
      <c r="BH1" s="78" t="s">
        <v>10</v>
      </c>
      <c r="BI1" s="78" t="s">
        <v>10</v>
      </c>
      <c r="BJ1" s="78" t="s">
        <v>10</v>
      </c>
      <c r="BK1" s="78" t="s">
        <v>10</v>
      </c>
      <c r="BL1" s="78" t="s">
        <v>10</v>
      </c>
      <c r="BM1" s="78" t="s">
        <v>10</v>
      </c>
      <c r="BN1" s="78" t="s">
        <v>10</v>
      </c>
      <c r="BO1" s="78" t="s">
        <v>10</v>
      </c>
      <c r="BP1" s="78" t="s">
        <v>10</v>
      </c>
      <c r="BQ1" s="78" t="s">
        <v>10</v>
      </c>
      <c r="BR1" s="78" t="s">
        <v>10</v>
      </c>
      <c r="BS1" s="78" t="s">
        <v>10</v>
      </c>
      <c r="BT1" s="78" t="s">
        <v>10</v>
      </c>
      <c r="BU1" s="78" t="s">
        <v>10</v>
      </c>
    </row>
    <row r="2" spans="1:73" s="12" customFormat="1" ht="13" x14ac:dyDescent="0.3">
      <c r="A2" s="12" t="s">
        <v>11</v>
      </c>
      <c r="I2" s="13"/>
    </row>
    <row r="3" spans="1:73" s="12" customFormat="1" ht="13" x14ac:dyDescent="0.3">
      <c r="A3" s="12" t="s">
        <v>276</v>
      </c>
      <c r="F3" s="12" t="s">
        <v>277</v>
      </c>
      <c r="I3" s="13"/>
    </row>
    <row r="4" spans="1:73" s="12" customFormat="1" ht="13" x14ac:dyDescent="0.3">
      <c r="A4" s="12" t="s">
        <v>278</v>
      </c>
      <c r="F4" s="12" t="s">
        <v>279</v>
      </c>
      <c r="I4" s="13"/>
    </row>
    <row r="5" spans="1:73" s="12" customFormat="1" ht="13" x14ac:dyDescent="0.3">
      <c r="A5" s="12" t="s">
        <v>280</v>
      </c>
      <c r="F5" s="12" t="s">
        <v>281</v>
      </c>
      <c r="I5" s="13"/>
    </row>
    <row r="6" spans="1:73" s="12" customFormat="1" ht="13" x14ac:dyDescent="0.3">
      <c r="A6" s="12" t="s">
        <v>282</v>
      </c>
      <c r="F6" s="12" t="s">
        <v>283</v>
      </c>
      <c r="I6" s="13"/>
    </row>
    <row r="7" spans="1:73" ht="13" x14ac:dyDescent="0.3">
      <c r="A7" s="12" t="s">
        <v>284</v>
      </c>
      <c r="F7" s="12" t="s">
        <v>285</v>
      </c>
    </row>
    <row r="8" spans="1:73" ht="13" x14ac:dyDescent="0.3">
      <c r="A8" s="12" t="s">
        <v>286</v>
      </c>
    </row>
    <row r="10" spans="1:73" x14ac:dyDescent="0.25">
      <c r="A10" s="184" t="s">
        <v>287</v>
      </c>
    </row>
    <row r="11" spans="1:73" x14ac:dyDescent="0.25">
      <c r="I11" s="186" t="s">
        <v>288</v>
      </c>
      <c r="J11" s="186" t="s">
        <v>288</v>
      </c>
      <c r="K11" s="186" t="s">
        <v>288</v>
      </c>
      <c r="L11" s="187" t="s">
        <v>289</v>
      </c>
      <c r="M11" s="187" t="s">
        <v>289</v>
      </c>
      <c r="N11" s="187" t="s">
        <v>289</v>
      </c>
      <c r="O11" s="188" t="s">
        <v>290</v>
      </c>
      <c r="P11" s="188" t="s">
        <v>290</v>
      </c>
      <c r="Q11" s="188" t="s">
        <v>290</v>
      </c>
    </row>
    <row r="12" spans="1:73" ht="25" x14ac:dyDescent="0.25">
      <c r="A12" s="184" t="s">
        <v>291</v>
      </c>
      <c r="B12" s="184" t="s">
        <v>292</v>
      </c>
      <c r="C12" s="184" t="s">
        <v>293</v>
      </c>
      <c r="D12" s="184" t="s">
        <v>294</v>
      </c>
      <c r="E12" s="184" t="s">
        <v>295</v>
      </c>
      <c r="F12" s="185" t="s">
        <v>296</v>
      </c>
      <c r="G12" s="185" t="s">
        <v>297</v>
      </c>
      <c r="H12" s="185" t="s">
        <v>298</v>
      </c>
      <c r="I12" s="185" t="s">
        <v>299</v>
      </c>
      <c r="J12" s="185" t="s">
        <v>300</v>
      </c>
      <c r="K12" s="185" t="s">
        <v>301</v>
      </c>
      <c r="L12" s="185" t="s">
        <v>302</v>
      </c>
      <c r="M12" s="185" t="s">
        <v>303</v>
      </c>
      <c r="N12" s="185" t="s">
        <v>304</v>
      </c>
      <c r="O12" s="185" t="s">
        <v>305</v>
      </c>
      <c r="P12" s="185" t="s">
        <v>306</v>
      </c>
      <c r="Q12" s="185" t="s">
        <v>307</v>
      </c>
      <c r="R12" s="184" t="s">
        <v>308</v>
      </c>
      <c r="S12" s="184" t="s">
        <v>309</v>
      </c>
      <c r="T12" s="185" t="s">
        <v>310</v>
      </c>
      <c r="U12" s="184" t="s">
        <v>311</v>
      </c>
    </row>
    <row r="13" spans="1:73" x14ac:dyDescent="0.25">
      <c r="P13" s="185"/>
    </row>
    <row r="14" spans="1:73" x14ac:dyDescent="0.25">
      <c r="A14" s="219" t="s">
        <v>312</v>
      </c>
      <c r="B14" s="219"/>
      <c r="C14" s="219" t="s">
        <v>313</v>
      </c>
      <c r="D14" s="219"/>
      <c r="E14" s="219" t="s">
        <v>314</v>
      </c>
      <c r="F14" s="219"/>
      <c r="G14" s="219">
        <v>2008</v>
      </c>
      <c r="H14" s="219">
        <v>2015</v>
      </c>
      <c r="I14" s="220">
        <v>22</v>
      </c>
      <c r="J14" s="220">
        <v>8</v>
      </c>
      <c r="K14" s="220">
        <f>(I14-J14)/2</f>
        <v>7</v>
      </c>
      <c r="L14" s="219">
        <v>3.8</v>
      </c>
      <c r="M14" s="219">
        <v>0.8</v>
      </c>
      <c r="N14" s="220">
        <f>(L14-M14)/2</f>
        <v>1.5</v>
      </c>
      <c r="O14" s="219"/>
      <c r="P14" s="219"/>
      <c r="Q14" s="219"/>
      <c r="R14" s="219" t="s">
        <v>315</v>
      </c>
      <c r="S14" s="219" t="s">
        <v>316</v>
      </c>
      <c r="T14" s="219" t="s">
        <v>317</v>
      </c>
      <c r="U14" s="219" t="s">
        <v>318</v>
      </c>
      <c r="V14" s="219"/>
    </row>
    <row r="15" spans="1:73" x14ac:dyDescent="0.25">
      <c r="A15" s="219"/>
      <c r="B15" s="219"/>
      <c r="C15" s="219"/>
      <c r="D15" s="219"/>
      <c r="E15" s="219"/>
      <c r="F15" s="219"/>
      <c r="G15" s="219"/>
      <c r="H15" s="219"/>
      <c r="I15" s="219"/>
      <c r="J15" s="219"/>
      <c r="K15" s="219"/>
      <c r="L15" s="219"/>
      <c r="M15" s="219"/>
      <c r="N15" s="219"/>
      <c r="O15" s="219"/>
      <c r="P15" s="221"/>
      <c r="Q15" s="219"/>
      <c r="R15" s="219"/>
      <c r="S15" s="219"/>
      <c r="T15" s="219"/>
      <c r="U15" s="219"/>
      <c r="V15" s="219"/>
    </row>
    <row r="16" spans="1:73" x14ac:dyDescent="0.25">
      <c r="A16" s="222" t="s">
        <v>319</v>
      </c>
      <c r="B16" s="222" t="s">
        <v>320</v>
      </c>
      <c r="C16" s="222" t="s">
        <v>321</v>
      </c>
      <c r="D16" s="222"/>
      <c r="E16" s="222" t="s">
        <v>314</v>
      </c>
      <c r="F16" s="222"/>
      <c r="G16" s="222">
        <v>2008</v>
      </c>
      <c r="H16" s="222">
        <v>2015</v>
      </c>
      <c r="I16" s="223">
        <v>25</v>
      </c>
      <c r="J16" s="223">
        <v>10</v>
      </c>
      <c r="K16" s="223">
        <f>(I16-J16)/2</f>
        <v>7.5</v>
      </c>
      <c r="L16" s="222">
        <v>4.7</v>
      </c>
      <c r="M16" s="222">
        <v>1.2</v>
      </c>
      <c r="N16" s="223">
        <f>(L16-M16)/2</f>
        <v>1.75</v>
      </c>
      <c r="O16" s="222"/>
      <c r="P16" s="222"/>
      <c r="Q16" s="222"/>
      <c r="R16" s="222" t="s">
        <v>315</v>
      </c>
      <c r="S16" s="222" t="s">
        <v>316</v>
      </c>
      <c r="T16" s="222" t="s">
        <v>317</v>
      </c>
      <c r="U16" s="222" t="s">
        <v>318</v>
      </c>
      <c r="V16" s="222"/>
    </row>
    <row r="17" spans="1:22" x14ac:dyDescent="0.25">
      <c r="A17" s="222"/>
      <c r="B17" s="222"/>
      <c r="C17" s="222"/>
      <c r="D17" s="222"/>
      <c r="E17" s="222"/>
      <c r="F17" s="222"/>
      <c r="G17" s="222"/>
      <c r="H17" s="222"/>
      <c r="I17" s="222"/>
      <c r="J17" s="222"/>
      <c r="K17" s="222"/>
      <c r="L17" s="222"/>
      <c r="M17" s="222"/>
      <c r="N17" s="222"/>
      <c r="O17" s="222"/>
      <c r="P17" s="222"/>
      <c r="Q17" s="222"/>
      <c r="R17" s="222"/>
      <c r="S17" s="222"/>
      <c r="T17" s="222"/>
      <c r="U17" s="222"/>
      <c r="V17" s="222"/>
    </row>
    <row r="18" spans="1:22" x14ac:dyDescent="0.25">
      <c r="A18" s="222" t="s">
        <v>319</v>
      </c>
      <c r="B18" s="222" t="s">
        <v>320</v>
      </c>
      <c r="C18" s="222" t="s">
        <v>321</v>
      </c>
      <c r="D18" s="222"/>
      <c r="E18" s="222" t="s">
        <v>314</v>
      </c>
      <c r="F18" s="222"/>
      <c r="G18" s="224">
        <v>43221</v>
      </c>
      <c r="H18" s="224">
        <v>43922</v>
      </c>
      <c r="I18" s="222">
        <v>14.7</v>
      </c>
      <c r="J18" s="222">
        <v>8.8000000000000007</v>
      </c>
      <c r="K18" s="223">
        <f>(I18-J18)/2</f>
        <v>2.9499999999999993</v>
      </c>
      <c r="L18" s="222">
        <v>2.8</v>
      </c>
      <c r="M18" s="222">
        <v>0.7</v>
      </c>
      <c r="N18" s="223">
        <f>(L18-M18)/2</f>
        <v>1.0499999999999998</v>
      </c>
      <c r="O18" s="222"/>
      <c r="P18" s="222"/>
      <c r="Q18" s="222"/>
      <c r="R18" s="222" t="s">
        <v>322</v>
      </c>
      <c r="S18" s="222" t="s">
        <v>323</v>
      </c>
      <c r="T18" s="222" t="s">
        <v>324</v>
      </c>
      <c r="U18" s="222" t="s">
        <v>325</v>
      </c>
      <c r="V18" s="222"/>
    </row>
    <row r="19" spans="1:22" x14ac:dyDescent="0.25">
      <c r="A19" s="222"/>
      <c r="B19" s="222"/>
      <c r="C19" s="222"/>
      <c r="D19" s="222"/>
      <c r="E19" s="222"/>
      <c r="F19" s="222"/>
      <c r="G19" s="222"/>
      <c r="H19" s="222"/>
      <c r="I19" s="222"/>
      <c r="J19" s="222"/>
      <c r="K19" s="222"/>
      <c r="L19" s="222"/>
      <c r="M19" s="222"/>
      <c r="N19" s="222"/>
      <c r="O19" s="222"/>
      <c r="P19" s="222"/>
      <c r="Q19" s="222"/>
      <c r="R19" s="222"/>
      <c r="S19" s="222"/>
      <c r="T19" s="222"/>
      <c r="U19" s="222"/>
      <c r="V19" s="222"/>
    </row>
    <row r="20" spans="1:22" x14ac:dyDescent="0.25">
      <c r="A20" s="222" t="s">
        <v>319</v>
      </c>
      <c r="B20" s="222" t="s">
        <v>326</v>
      </c>
      <c r="C20" s="222" t="s">
        <v>327</v>
      </c>
      <c r="D20" s="222"/>
      <c r="E20" s="222" t="s">
        <v>314</v>
      </c>
      <c r="F20" s="222"/>
      <c r="G20" s="222">
        <v>2008</v>
      </c>
      <c r="H20" s="222">
        <v>2015</v>
      </c>
      <c r="I20" s="223">
        <v>26</v>
      </c>
      <c r="J20" s="223">
        <v>9</v>
      </c>
      <c r="K20" s="223">
        <f>(I20-J20)/2</f>
        <v>8.5</v>
      </c>
      <c r="L20" s="222">
        <v>5.2</v>
      </c>
      <c r="M20" s="222">
        <v>1</v>
      </c>
      <c r="N20" s="223">
        <f>(L20-M20)/2</f>
        <v>2.1</v>
      </c>
      <c r="O20" s="222"/>
      <c r="P20" s="222"/>
      <c r="Q20" s="222"/>
      <c r="R20" s="222" t="s">
        <v>315</v>
      </c>
      <c r="S20" s="222" t="s">
        <v>316</v>
      </c>
      <c r="T20" s="222" t="s">
        <v>317</v>
      </c>
      <c r="U20" s="222" t="s">
        <v>318</v>
      </c>
      <c r="V20" s="222"/>
    </row>
    <row r="21" spans="1:22" x14ac:dyDescent="0.25">
      <c r="A21" s="222"/>
      <c r="B21" s="222"/>
      <c r="C21" s="222"/>
      <c r="D21" s="222"/>
      <c r="E21" s="222"/>
      <c r="F21" s="222"/>
      <c r="G21" s="222"/>
      <c r="H21" s="222"/>
      <c r="I21" s="222"/>
      <c r="J21" s="222"/>
      <c r="K21" s="222"/>
      <c r="L21" s="222"/>
      <c r="M21" s="222"/>
      <c r="N21" s="222"/>
      <c r="O21" s="222"/>
      <c r="P21" s="222"/>
      <c r="Q21" s="222"/>
      <c r="R21" s="222"/>
      <c r="S21" s="222"/>
      <c r="T21" s="222"/>
      <c r="U21" s="222"/>
      <c r="V21" s="222"/>
    </row>
    <row r="22" spans="1:22" x14ac:dyDescent="0.25">
      <c r="A22" s="222" t="s">
        <v>319</v>
      </c>
      <c r="B22" s="222" t="s">
        <v>328</v>
      </c>
      <c r="C22" s="222"/>
      <c r="D22" s="222"/>
      <c r="E22" s="222" t="s">
        <v>314</v>
      </c>
      <c r="F22" s="222" t="s">
        <v>329</v>
      </c>
      <c r="G22" s="222">
        <v>2008</v>
      </c>
      <c r="H22" s="222">
        <v>2015</v>
      </c>
      <c r="I22" s="223">
        <v>15</v>
      </c>
      <c r="J22" s="223">
        <v>8</v>
      </c>
      <c r="K22" s="223">
        <f>(I22-J22)/2</f>
        <v>3.5</v>
      </c>
      <c r="L22" s="222">
        <v>2.1</v>
      </c>
      <c r="M22" s="222">
        <v>0.8</v>
      </c>
      <c r="N22" s="223">
        <f>(L22-M22)/2</f>
        <v>0.65</v>
      </c>
      <c r="O22" s="222"/>
      <c r="P22" s="222"/>
      <c r="Q22" s="222"/>
      <c r="R22" s="222" t="s">
        <v>315</v>
      </c>
      <c r="S22" s="222" t="s">
        <v>316</v>
      </c>
      <c r="T22" s="222" t="s">
        <v>317</v>
      </c>
      <c r="U22" s="222" t="s">
        <v>318</v>
      </c>
      <c r="V22" s="222"/>
    </row>
    <row r="23" spans="1:22" x14ac:dyDescent="0.25">
      <c r="A23" s="222"/>
      <c r="B23" s="222"/>
      <c r="C23" s="222"/>
      <c r="D23" s="222"/>
      <c r="E23" s="222"/>
      <c r="F23" s="222"/>
      <c r="G23" s="222"/>
      <c r="H23" s="222"/>
      <c r="I23" s="222"/>
      <c r="J23" s="222"/>
      <c r="K23" s="222"/>
      <c r="L23" s="222"/>
      <c r="M23" s="222"/>
      <c r="N23" s="222"/>
      <c r="O23" s="222"/>
      <c r="P23" s="222"/>
      <c r="Q23" s="222"/>
      <c r="R23" s="222"/>
      <c r="S23" s="222"/>
      <c r="T23" s="222"/>
      <c r="U23" s="222"/>
      <c r="V23" s="222"/>
    </row>
    <row r="24" spans="1:22" x14ac:dyDescent="0.25">
      <c r="A24" s="222" t="s">
        <v>319</v>
      </c>
      <c r="B24" s="222" t="s">
        <v>328</v>
      </c>
      <c r="C24" s="222"/>
      <c r="D24" s="222"/>
      <c r="E24" s="222" t="s">
        <v>314</v>
      </c>
      <c r="F24" s="222" t="s">
        <v>330</v>
      </c>
      <c r="G24" s="222">
        <v>2008</v>
      </c>
      <c r="H24" s="222">
        <v>2015</v>
      </c>
      <c r="I24" s="223">
        <v>21</v>
      </c>
      <c r="J24" s="223">
        <v>11</v>
      </c>
      <c r="K24" s="223">
        <f>(I24-J24)/2</f>
        <v>5</v>
      </c>
      <c r="L24" s="222">
        <v>3.6</v>
      </c>
      <c r="M24" s="222">
        <v>1.3</v>
      </c>
      <c r="N24" s="223">
        <f>(L24-M24)/2</f>
        <v>1.1499999999999999</v>
      </c>
      <c r="O24" s="222"/>
      <c r="P24" s="222"/>
      <c r="Q24" s="222"/>
      <c r="R24" s="222" t="s">
        <v>315</v>
      </c>
      <c r="S24" s="222" t="s">
        <v>316</v>
      </c>
      <c r="T24" s="222" t="s">
        <v>317</v>
      </c>
      <c r="U24" s="222" t="s">
        <v>318</v>
      </c>
      <c r="V24" s="222"/>
    </row>
    <row r="25" spans="1:22" x14ac:dyDescent="0.25">
      <c r="A25" s="222"/>
      <c r="B25" s="222"/>
      <c r="C25" s="222"/>
      <c r="D25" s="222"/>
      <c r="E25" s="222"/>
      <c r="F25" s="222"/>
      <c r="G25" s="222"/>
      <c r="H25" s="222"/>
      <c r="I25" s="222"/>
      <c r="J25" s="222"/>
      <c r="K25" s="222"/>
      <c r="L25" s="222"/>
      <c r="M25" s="222"/>
      <c r="N25" s="222"/>
      <c r="O25" s="222"/>
      <c r="P25" s="222"/>
      <c r="Q25" s="222"/>
      <c r="R25" s="222"/>
      <c r="S25" s="222"/>
      <c r="T25" s="222"/>
      <c r="U25" s="222"/>
      <c r="V25" s="222"/>
    </row>
    <row r="26" spans="1:22" x14ac:dyDescent="0.25">
      <c r="A26" s="225" t="s">
        <v>331</v>
      </c>
      <c r="B26" s="225" t="s">
        <v>332</v>
      </c>
      <c r="C26" s="225" t="s">
        <v>333</v>
      </c>
      <c r="D26" s="225"/>
      <c r="E26" s="225" t="s">
        <v>334</v>
      </c>
      <c r="F26" s="225"/>
      <c r="G26" s="225">
        <v>2010</v>
      </c>
      <c r="H26" s="225">
        <v>2010</v>
      </c>
      <c r="I26" s="225">
        <v>8.1</v>
      </c>
      <c r="J26" s="225">
        <v>4.7</v>
      </c>
      <c r="K26" s="226">
        <f>(I26-J26)/2</f>
        <v>1.6999999999999997</v>
      </c>
      <c r="L26" s="225">
        <v>0.8</v>
      </c>
      <c r="M26" s="225">
        <v>0.4</v>
      </c>
      <c r="N26" s="226">
        <f>(L26-M26)/2</f>
        <v>0.2</v>
      </c>
      <c r="O26" s="225"/>
      <c r="P26" s="225"/>
      <c r="Q26" s="225"/>
      <c r="R26" s="225" t="s">
        <v>322</v>
      </c>
      <c r="S26" s="225" t="s">
        <v>335</v>
      </c>
      <c r="T26" s="225" t="s">
        <v>336</v>
      </c>
      <c r="U26" s="225" t="s">
        <v>337</v>
      </c>
      <c r="V26" s="225"/>
    </row>
    <row r="27" spans="1:22" x14ac:dyDescent="0.25">
      <c r="A27" s="225"/>
      <c r="B27" s="225"/>
      <c r="C27" s="225"/>
      <c r="D27" s="225"/>
      <c r="E27" s="225"/>
      <c r="F27" s="225"/>
      <c r="G27" s="225"/>
      <c r="H27" s="225"/>
      <c r="I27" s="225"/>
      <c r="J27" s="225"/>
      <c r="K27" s="225"/>
      <c r="L27" s="225"/>
      <c r="M27" s="225"/>
      <c r="N27" s="225"/>
      <c r="O27" s="225"/>
      <c r="P27" s="225"/>
      <c r="Q27" s="225"/>
      <c r="R27" s="225"/>
      <c r="S27" s="225"/>
      <c r="T27" s="225"/>
      <c r="U27" s="225"/>
      <c r="V27" s="225"/>
    </row>
    <row r="28" spans="1:22" x14ac:dyDescent="0.25">
      <c r="A28" s="225" t="s">
        <v>331</v>
      </c>
      <c r="B28" s="225" t="s">
        <v>332</v>
      </c>
      <c r="C28" s="225" t="s">
        <v>338</v>
      </c>
      <c r="D28" s="225"/>
      <c r="E28" s="225" t="s">
        <v>334</v>
      </c>
      <c r="F28" s="225"/>
      <c r="G28" s="225">
        <v>2010</v>
      </c>
      <c r="H28" s="225">
        <v>2010</v>
      </c>
      <c r="I28" s="225">
        <v>14.6</v>
      </c>
      <c r="J28" s="225">
        <v>9.5</v>
      </c>
      <c r="K28" s="226">
        <f>(I28-J28)/2</f>
        <v>2.5499999999999998</v>
      </c>
      <c r="L28" s="226">
        <v>2</v>
      </c>
      <c r="M28" s="226">
        <v>1</v>
      </c>
      <c r="N28" s="226">
        <f>(L28-M28)/2</f>
        <v>0.5</v>
      </c>
      <c r="O28" s="225"/>
      <c r="P28" s="225"/>
      <c r="Q28" s="225"/>
      <c r="R28" s="225" t="s">
        <v>322</v>
      </c>
      <c r="S28" s="225" t="s">
        <v>335</v>
      </c>
      <c r="T28" s="225" t="s">
        <v>336</v>
      </c>
      <c r="U28" s="225" t="s">
        <v>337</v>
      </c>
      <c r="V28" s="225"/>
    </row>
    <row r="29" spans="1:22" x14ac:dyDescent="0.25">
      <c r="A29" s="225"/>
      <c r="B29" s="225"/>
      <c r="C29" s="225"/>
      <c r="D29" s="225"/>
      <c r="E29" s="225"/>
      <c r="F29" s="225"/>
      <c r="G29" s="225"/>
      <c r="H29" s="225"/>
      <c r="I29" s="225"/>
      <c r="J29" s="225"/>
      <c r="K29" s="225"/>
      <c r="L29" s="225"/>
      <c r="M29" s="225"/>
      <c r="N29" s="225"/>
      <c r="O29" s="225"/>
      <c r="P29" s="225"/>
      <c r="Q29" s="225"/>
      <c r="R29" s="225"/>
      <c r="S29" s="225"/>
      <c r="T29" s="225"/>
      <c r="U29" s="225"/>
      <c r="V29" s="225"/>
    </row>
    <row r="30" spans="1:22" x14ac:dyDescent="0.25">
      <c r="A30" s="225" t="s">
        <v>331</v>
      </c>
      <c r="B30" s="225" t="s">
        <v>332</v>
      </c>
      <c r="C30" s="225" t="s">
        <v>339</v>
      </c>
      <c r="D30" s="225"/>
      <c r="E30" s="225" t="s">
        <v>334</v>
      </c>
      <c r="F30" s="225"/>
      <c r="G30" s="225">
        <v>2010</v>
      </c>
      <c r="H30" s="225">
        <v>2010</v>
      </c>
      <c r="I30" s="225">
        <v>21.2</v>
      </c>
      <c r="J30" s="225">
        <v>9.6999999999999993</v>
      </c>
      <c r="K30" s="226">
        <f>(I30-J30)/2</f>
        <v>5.75</v>
      </c>
      <c r="L30" s="225">
        <v>3.6</v>
      </c>
      <c r="M30" s="225">
        <v>1.1000000000000001</v>
      </c>
      <c r="N30" s="226">
        <f>(L30-M30)/2</f>
        <v>1.25</v>
      </c>
      <c r="O30" s="225"/>
      <c r="P30" s="225"/>
      <c r="Q30" s="225"/>
      <c r="R30" s="225" t="s">
        <v>322</v>
      </c>
      <c r="S30" s="225" t="s">
        <v>335</v>
      </c>
      <c r="T30" s="225" t="s">
        <v>336</v>
      </c>
      <c r="U30" s="225" t="s">
        <v>337</v>
      </c>
      <c r="V30" s="225"/>
    </row>
    <row r="31" spans="1:22" x14ac:dyDescent="0.25">
      <c r="A31" s="225"/>
      <c r="B31" s="225"/>
      <c r="C31" s="225"/>
      <c r="D31" s="225"/>
      <c r="E31" s="225"/>
      <c r="F31" s="225"/>
      <c r="G31" s="225"/>
      <c r="H31" s="225"/>
      <c r="I31" s="225"/>
      <c r="J31" s="225"/>
      <c r="K31" s="225"/>
      <c r="L31" s="225"/>
      <c r="M31" s="225"/>
      <c r="N31" s="225"/>
      <c r="O31" s="225"/>
      <c r="P31" s="225"/>
      <c r="Q31" s="225"/>
      <c r="R31" s="225"/>
      <c r="S31" s="225"/>
      <c r="T31" s="225"/>
      <c r="U31" s="225"/>
      <c r="V31" s="225"/>
    </row>
    <row r="32" spans="1:22" x14ac:dyDescent="0.25">
      <c r="A32" s="225" t="s">
        <v>331</v>
      </c>
      <c r="B32" s="225" t="s">
        <v>332</v>
      </c>
      <c r="C32" s="225" t="s">
        <v>340</v>
      </c>
      <c r="D32" s="225"/>
      <c r="E32" s="225" t="s">
        <v>334</v>
      </c>
      <c r="F32" s="225"/>
      <c r="G32" s="225">
        <v>2011</v>
      </c>
      <c r="H32" s="225">
        <v>2011</v>
      </c>
      <c r="I32" s="225">
        <v>8.4</v>
      </c>
      <c r="J32" s="225">
        <v>3.2</v>
      </c>
      <c r="K32" s="226">
        <f>(I32-J32)/2</f>
        <v>2.6</v>
      </c>
      <c r="L32" s="225">
        <v>0.9</v>
      </c>
      <c r="M32" s="225">
        <v>0.2</v>
      </c>
      <c r="N32" s="226">
        <f>(L32-M32)/2</f>
        <v>0.35</v>
      </c>
      <c r="O32" s="225">
        <v>-0.15</v>
      </c>
      <c r="P32" s="225">
        <v>-0.62</v>
      </c>
      <c r="Q32" s="226">
        <f>(O32-P32)/2</f>
        <v>0.23499999999999999</v>
      </c>
      <c r="R32" s="225" t="s">
        <v>322</v>
      </c>
      <c r="S32" s="225" t="s">
        <v>341</v>
      </c>
      <c r="T32" s="225" t="s">
        <v>336</v>
      </c>
      <c r="U32" s="225" t="s">
        <v>337</v>
      </c>
      <c r="V32" s="225"/>
    </row>
    <row r="33" spans="1:22" x14ac:dyDescent="0.25">
      <c r="A33" s="225"/>
      <c r="B33" s="225"/>
      <c r="C33" s="225"/>
      <c r="D33" s="225"/>
      <c r="E33" s="225"/>
      <c r="F33" s="225"/>
      <c r="G33" s="225"/>
      <c r="H33" s="225"/>
      <c r="I33" s="225"/>
      <c r="J33" s="225"/>
      <c r="K33" s="225"/>
      <c r="L33" s="225"/>
      <c r="M33" s="225"/>
      <c r="N33" s="225"/>
      <c r="O33" s="225"/>
      <c r="P33" s="225"/>
      <c r="Q33" s="225"/>
      <c r="R33" s="225"/>
      <c r="S33" s="225"/>
      <c r="T33" s="225"/>
      <c r="U33" s="225"/>
      <c r="V33" s="225"/>
    </row>
    <row r="34" spans="1:22" x14ac:dyDescent="0.25">
      <c r="A34" s="227" t="s">
        <v>342</v>
      </c>
      <c r="B34" s="227" t="s">
        <v>343</v>
      </c>
      <c r="C34" s="227" t="s">
        <v>344</v>
      </c>
      <c r="D34" s="227"/>
      <c r="E34" s="227" t="s">
        <v>345</v>
      </c>
      <c r="F34" s="227"/>
      <c r="G34" s="227">
        <v>2010</v>
      </c>
      <c r="H34" s="227">
        <v>2010</v>
      </c>
      <c r="I34" s="227">
        <v>0.3</v>
      </c>
      <c r="J34" s="227">
        <v>0.2</v>
      </c>
      <c r="K34" s="228">
        <f>(I34-J34)/2</f>
        <v>4.9999999999999989E-2</v>
      </c>
      <c r="L34" s="227">
        <v>0.02</v>
      </c>
      <c r="M34" s="227">
        <v>0.01</v>
      </c>
      <c r="N34" s="228">
        <f>(L34-M34)/2</f>
        <v>5.0000000000000001E-3</v>
      </c>
      <c r="O34" s="227"/>
      <c r="P34" s="227"/>
      <c r="Q34" s="227"/>
      <c r="R34" s="227" t="s">
        <v>322</v>
      </c>
      <c r="S34" s="227" t="s">
        <v>335</v>
      </c>
      <c r="T34" s="227" t="s">
        <v>336</v>
      </c>
      <c r="U34" s="227" t="s">
        <v>337</v>
      </c>
      <c r="V34" s="227"/>
    </row>
    <row r="35" spans="1:22" x14ac:dyDescent="0.25">
      <c r="A35" s="227"/>
      <c r="B35" s="227"/>
      <c r="C35" s="227"/>
      <c r="D35" s="227"/>
      <c r="E35" s="227"/>
      <c r="F35" s="227"/>
      <c r="G35" s="227"/>
      <c r="H35" s="227"/>
      <c r="I35" s="227"/>
      <c r="J35" s="227"/>
      <c r="K35" s="227"/>
      <c r="L35" s="227"/>
      <c r="M35" s="227"/>
      <c r="N35" s="227"/>
      <c r="O35" s="227"/>
      <c r="P35" s="227"/>
      <c r="Q35" s="227"/>
      <c r="R35" s="227"/>
      <c r="S35" s="227"/>
      <c r="T35" s="227"/>
      <c r="U35" s="227"/>
      <c r="V35" s="227"/>
    </row>
    <row r="36" spans="1:22" x14ac:dyDescent="0.25">
      <c r="A36" s="227" t="s">
        <v>342</v>
      </c>
      <c r="B36" s="227" t="s">
        <v>343</v>
      </c>
      <c r="C36" s="227" t="s">
        <v>346</v>
      </c>
      <c r="D36" s="227"/>
      <c r="E36" s="227" t="s">
        <v>345</v>
      </c>
      <c r="F36" s="227"/>
      <c r="G36" s="227">
        <v>2009</v>
      </c>
      <c r="H36" s="227">
        <v>2009</v>
      </c>
      <c r="I36" s="227">
        <v>0.6</v>
      </c>
      <c r="J36" s="227">
        <v>0.6</v>
      </c>
      <c r="K36" s="228">
        <f>(I36-J36)/2</f>
        <v>0</v>
      </c>
      <c r="L36" s="227">
        <v>0.03</v>
      </c>
      <c r="M36" s="227">
        <v>0.03</v>
      </c>
      <c r="N36" s="228">
        <f>(L36-M36)/2</f>
        <v>0</v>
      </c>
      <c r="O36" s="227"/>
      <c r="P36" s="227"/>
      <c r="Q36" s="227"/>
      <c r="R36" s="227" t="s">
        <v>322</v>
      </c>
      <c r="S36" s="227" t="s">
        <v>335</v>
      </c>
      <c r="T36" s="227" t="s">
        <v>336</v>
      </c>
      <c r="U36" s="227" t="s">
        <v>337</v>
      </c>
      <c r="V36" s="227"/>
    </row>
    <row r="37" spans="1:22" x14ac:dyDescent="0.25">
      <c r="A37" s="227"/>
      <c r="B37" s="227"/>
      <c r="C37" s="227"/>
      <c r="D37" s="227"/>
      <c r="E37" s="227"/>
      <c r="F37" s="227"/>
      <c r="G37" s="227"/>
      <c r="H37" s="227"/>
      <c r="I37" s="227"/>
      <c r="J37" s="227"/>
      <c r="K37" s="227"/>
      <c r="L37" s="227"/>
      <c r="M37" s="227"/>
      <c r="N37" s="227"/>
      <c r="O37" s="227"/>
      <c r="P37" s="227"/>
      <c r="Q37" s="227"/>
      <c r="R37" s="227"/>
      <c r="S37" s="227"/>
      <c r="T37" s="227"/>
      <c r="U37" s="227"/>
      <c r="V37" s="227"/>
    </row>
    <row r="52" spans="21:22" x14ac:dyDescent="0.25">
      <c r="U52" s="184" t="s">
        <v>324</v>
      </c>
      <c r="V52" s="184" t="s">
        <v>325</v>
      </c>
    </row>
    <row r="53" spans="21:22" x14ac:dyDescent="0.25">
      <c r="U53" s="184" t="s">
        <v>317</v>
      </c>
      <c r="V53" s="184" t="s">
        <v>318</v>
      </c>
    </row>
    <row r="54" spans="21:22" x14ac:dyDescent="0.25">
      <c r="U54" s="184" t="s">
        <v>336</v>
      </c>
      <c r="V54" s="184" t="s">
        <v>337</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B1:J56"/>
  <sheetViews>
    <sheetView topLeftCell="B6" zoomScale="85" zoomScaleNormal="85" workbookViewId="0">
      <selection activeCell="K21" sqref="K21"/>
    </sheetView>
  </sheetViews>
  <sheetFormatPr defaultColWidth="7.08203125" defaultRowHeight="12.5" x14ac:dyDescent="0.25"/>
  <cols>
    <col min="1" max="1" width="3" style="1" customWidth="1"/>
    <col min="2" max="2" width="20.83203125" style="1" customWidth="1"/>
    <col min="3" max="3" width="19.58203125" style="1" customWidth="1"/>
    <col min="4" max="6" width="18.58203125" style="1" customWidth="1"/>
    <col min="7" max="8" width="18.58203125" style="2" customWidth="1"/>
    <col min="9" max="9" width="18.58203125" style="1" customWidth="1"/>
    <col min="10" max="11" width="15.08203125" style="1" customWidth="1"/>
    <col min="12" max="16384" width="7.08203125" style="1"/>
  </cols>
  <sheetData>
    <row r="1" spans="2:10" s="12" customFormat="1" ht="24.75" customHeight="1" x14ac:dyDescent="0.5">
      <c r="B1" s="21" t="s">
        <v>347</v>
      </c>
      <c r="D1" s="13"/>
      <c r="H1" s="13"/>
      <c r="I1" s="13"/>
      <c r="J1" s="13"/>
    </row>
    <row r="2" spans="2:10" s="145" customFormat="1" ht="44.15" customHeight="1" x14ac:dyDescent="0.35">
      <c r="B2" s="272" t="s">
        <v>348</v>
      </c>
      <c r="C2" s="142" t="s">
        <v>349</v>
      </c>
      <c r="D2" s="273" t="s">
        <v>350</v>
      </c>
      <c r="E2" s="273"/>
      <c r="F2" s="273"/>
      <c r="G2" s="143">
        <f>(Burden!F26/2)+((Burden!F17+Burden!F20)*0.4)</f>
        <v>0.10500000000000001</v>
      </c>
      <c r="H2" s="144"/>
      <c r="I2" s="144"/>
      <c r="J2" s="144"/>
    </row>
    <row r="3" spans="2:10" s="145" customFormat="1" ht="44.15" customHeight="1" x14ac:dyDescent="0.35">
      <c r="B3" s="272"/>
      <c r="C3" s="146" t="s">
        <v>351</v>
      </c>
      <c r="D3" s="273" t="s">
        <v>352</v>
      </c>
      <c r="E3" s="273"/>
      <c r="F3" s="273"/>
      <c r="G3" s="147">
        <v>12</v>
      </c>
      <c r="H3" s="144" t="s">
        <v>353</v>
      </c>
      <c r="I3" s="144"/>
      <c r="J3" s="144"/>
    </row>
    <row r="4" spans="2:10" s="145" customFormat="1" ht="62.5" customHeight="1" x14ac:dyDescent="0.35">
      <c r="B4" s="272"/>
      <c r="C4" s="146" t="s">
        <v>254</v>
      </c>
      <c r="D4" s="273" t="s">
        <v>354</v>
      </c>
      <c r="E4" s="273"/>
      <c r="F4" s="273"/>
      <c r="G4" s="148">
        <v>0.1</v>
      </c>
      <c r="H4" s="144"/>
      <c r="I4" s="144"/>
      <c r="J4" s="144"/>
    </row>
    <row r="5" spans="2:10" s="145" customFormat="1" ht="44.15" customHeight="1" x14ac:dyDescent="0.35">
      <c r="B5" s="272" t="s">
        <v>355</v>
      </c>
      <c r="C5" s="142" t="s">
        <v>356</v>
      </c>
      <c r="D5" s="273" t="s">
        <v>350</v>
      </c>
      <c r="E5" s="273"/>
      <c r="F5" s="273"/>
      <c r="G5" s="143">
        <f>Burden!F20</f>
        <v>0.18</v>
      </c>
      <c r="H5" s="144"/>
      <c r="I5" s="144"/>
      <c r="J5" s="144"/>
    </row>
    <row r="6" spans="2:10" s="145" customFormat="1" ht="44.15" customHeight="1" x14ac:dyDescent="0.35">
      <c r="B6" s="272"/>
      <c r="C6" s="146" t="s">
        <v>351</v>
      </c>
      <c r="D6" s="273" t="s">
        <v>352</v>
      </c>
      <c r="E6" s="273"/>
      <c r="F6" s="273"/>
      <c r="G6" s="147">
        <v>12</v>
      </c>
      <c r="H6" s="144" t="s">
        <v>353</v>
      </c>
      <c r="I6" s="144"/>
      <c r="J6" s="144"/>
    </row>
    <row r="7" spans="2:10" s="145" customFormat="1" ht="61.5" customHeight="1" x14ac:dyDescent="0.35">
      <c r="B7" s="272"/>
      <c r="C7" s="146" t="s">
        <v>254</v>
      </c>
      <c r="D7" s="273" t="s">
        <v>354</v>
      </c>
      <c r="E7" s="273"/>
      <c r="F7" s="273"/>
      <c r="G7" s="148">
        <v>0.1</v>
      </c>
      <c r="H7" s="144"/>
      <c r="I7" s="144"/>
      <c r="J7" s="144"/>
    </row>
    <row r="8" spans="2:10" s="150" customFormat="1" ht="44.15" customHeight="1" x14ac:dyDescent="0.35">
      <c r="B8" s="272" t="s">
        <v>357</v>
      </c>
      <c r="C8" s="142" t="s">
        <v>358</v>
      </c>
      <c r="D8" s="273" t="s">
        <v>350</v>
      </c>
      <c r="E8" s="273"/>
      <c r="F8" s="273"/>
      <c r="G8" s="143">
        <f>(Burden!F17+Burden!F20)*0.3</f>
        <v>5.9999999999999991E-2</v>
      </c>
      <c r="H8" s="149"/>
    </row>
    <row r="9" spans="2:10" s="150" customFormat="1" ht="44.15" customHeight="1" x14ac:dyDescent="0.35">
      <c r="B9" s="272"/>
      <c r="C9" s="146" t="s">
        <v>351</v>
      </c>
      <c r="D9" s="273" t="s">
        <v>352</v>
      </c>
      <c r="E9" s="273"/>
      <c r="F9" s="273"/>
      <c r="G9" s="147">
        <v>12</v>
      </c>
      <c r="H9" s="144" t="s">
        <v>353</v>
      </c>
    </row>
    <row r="10" spans="2:10" s="150" customFormat="1" ht="63" customHeight="1" x14ac:dyDescent="0.35">
      <c r="B10" s="272"/>
      <c r="C10" s="146" t="s">
        <v>254</v>
      </c>
      <c r="D10" s="273" t="s">
        <v>354</v>
      </c>
      <c r="E10" s="273"/>
      <c r="F10" s="273"/>
      <c r="G10" s="148">
        <v>0.1</v>
      </c>
      <c r="H10" s="149"/>
    </row>
    <row r="11" spans="2:10" ht="15" customHeight="1" x14ac:dyDescent="0.25"/>
    <row r="12" spans="2:10" s="3" customFormat="1" ht="87.75" customHeight="1" x14ac:dyDescent="0.35">
      <c r="B12" s="139" t="s">
        <v>210</v>
      </c>
      <c r="C12" s="139" t="s">
        <v>359</v>
      </c>
      <c r="D12" s="140" t="str">
        <f>(C5) &amp; " in need of " &amp; (B5)&amp; " (per month)"</f>
        <v>6-59 months in need of Screening and referral (per month)</v>
      </c>
      <c r="E12" s="9" t="str">
        <f>"Cluster targeted caseload for " &amp; (B5)</f>
        <v>Cluster targeted caseload for Screening and referral</v>
      </c>
      <c r="F12" s="140" t="str">
        <f>(C2) &amp; " in need of " &amp; (B2) &amp; " (per month)"</f>
        <v>children 0-24 months and PW in need of IYCF counselling (per month)</v>
      </c>
      <c r="G12" s="141" t="str">
        <f>"Cluster targeted caseload for " &amp; (B2)</f>
        <v>Cluster targeted caseload for IYCF counselling</v>
      </c>
      <c r="H12" s="140" t="str">
        <f>(C8) &amp; " in need of " &amp; (B8)&amp; " (per distribution)"</f>
        <v>Children 6-23 months in need of BSFP (per distribution)</v>
      </c>
      <c r="I12" s="141" t="str">
        <f>"Cluster targeted caseload for " &amp; (B8)</f>
        <v>Cluster targeted caseload for BSFP</v>
      </c>
    </row>
    <row r="13" spans="2:10" s="7" customFormat="1" ht="23" x14ac:dyDescent="0.35">
      <c r="B13" s="138" t="s">
        <v>360</v>
      </c>
      <c r="C13" s="138" t="s">
        <v>361</v>
      </c>
      <c r="D13" s="8" t="s">
        <v>362</v>
      </c>
      <c r="E13" s="8" t="s">
        <v>362</v>
      </c>
      <c r="F13" s="8" t="s">
        <v>362</v>
      </c>
      <c r="G13" s="8" t="s">
        <v>362</v>
      </c>
      <c r="H13" s="8" t="s">
        <v>362</v>
      </c>
      <c r="I13" s="8" t="s">
        <v>362</v>
      </c>
    </row>
    <row r="14" spans="2:10" s="5" customFormat="1" ht="13" x14ac:dyDescent="0.3">
      <c r="B14" s="19" t="s">
        <v>104</v>
      </c>
      <c r="C14" s="19"/>
      <c r="D14" s="4">
        <f>Prevalence!D44*$G$5</f>
        <v>7603173.7199999997</v>
      </c>
      <c r="E14" s="4">
        <f>D14*$G$7</f>
        <v>760317.37199999997</v>
      </c>
      <c r="F14" s="4">
        <f>Prevalence!D44*$G$2</f>
        <v>4435184.6700000009</v>
      </c>
      <c r="G14" s="4">
        <f>F14*$G$4</f>
        <v>443518.46700000012</v>
      </c>
      <c r="H14" s="4">
        <f>Prevalence!D44*$G$8</f>
        <v>2534391.2399999998</v>
      </c>
      <c r="I14" s="4">
        <f t="shared" ref="I14:I56" si="0">H14*$G$10</f>
        <v>253439.12399999998</v>
      </c>
    </row>
    <row r="15" spans="2:10" s="5" customFormat="1" ht="13" x14ac:dyDescent="0.3">
      <c r="B15" s="19"/>
      <c r="C15" s="19"/>
      <c r="D15" s="4"/>
      <c r="E15" s="4"/>
      <c r="F15" s="4"/>
      <c r="G15" s="4"/>
      <c r="H15" s="4"/>
      <c r="I15" s="155"/>
    </row>
    <row r="16" spans="2:10" s="5" customFormat="1" ht="13" x14ac:dyDescent="0.3">
      <c r="B16" s="19" t="str">
        <f>IF(Prevalence!C46="","",Prevalence!C46)</f>
        <v>Badakhshan</v>
      </c>
      <c r="C16" s="19" t="e">
        <f>IF(Prevalence!#REF!="","",Prevalence!#REF!)</f>
        <v>#REF!</v>
      </c>
      <c r="D16" s="4">
        <f>Prevalence!D46*$G$5</f>
        <v>265778.14584929426</v>
      </c>
      <c r="E16" s="4">
        <f t="shared" ref="E15:E56" si="1">D16*$G$7</f>
        <v>26577.814584929427</v>
      </c>
      <c r="F16" s="4">
        <f>Prevalence!D46*$G$2</f>
        <v>155037.25174542167</v>
      </c>
      <c r="G16" s="4">
        <f t="shared" ref="G15:G56" si="2">F16*$G$4</f>
        <v>15503.725174542167</v>
      </c>
      <c r="H16" s="4">
        <f>Prevalence!D46*$G$8</f>
        <v>88592.715283098078</v>
      </c>
      <c r="I16" s="4">
        <f t="shared" si="0"/>
        <v>8859.2715283098078</v>
      </c>
    </row>
    <row r="17" spans="2:9" s="6" customFormat="1" ht="13" x14ac:dyDescent="0.3">
      <c r="B17" s="19" t="str">
        <f>IF(Prevalence!C47="","",Prevalence!C47)</f>
        <v>Badghis</v>
      </c>
      <c r="C17" s="19" t="e">
        <f>IF(Prevalence!#REF!="","",Prevalence!#REF!)</f>
        <v>#REF!</v>
      </c>
      <c r="D17" s="4">
        <f>Prevalence!D47*$G$5</f>
        <v>138604.55018109063</v>
      </c>
      <c r="E17" s="4">
        <f t="shared" si="1"/>
        <v>13860.455018109064</v>
      </c>
      <c r="F17" s="4">
        <f>Prevalence!D47*$G$2</f>
        <v>80852.654272302883</v>
      </c>
      <c r="G17" s="4">
        <f t="shared" si="2"/>
        <v>8085.2654272302889</v>
      </c>
      <c r="H17" s="4">
        <f>Prevalence!D47*$G$8</f>
        <v>46201.516727030204</v>
      </c>
      <c r="I17" s="4">
        <f t="shared" si="0"/>
        <v>4620.1516727030203</v>
      </c>
    </row>
    <row r="18" spans="2:9" s="6" customFormat="1" ht="13" x14ac:dyDescent="0.3">
      <c r="B18" s="19" t="str">
        <f>IF(Prevalence!C48="","",Prevalence!C48)</f>
        <v>Baghlan</v>
      </c>
      <c r="C18" s="19" t="e">
        <f>IF(Prevalence!#REF!="","",Prevalence!#REF!)</f>
        <v>#REF!</v>
      </c>
      <c r="D18" s="4">
        <f>Prevalence!D48*$G$5</f>
        <v>254831.30453467558</v>
      </c>
      <c r="E18" s="4">
        <f t="shared" si="1"/>
        <v>25483.130453467558</v>
      </c>
      <c r="F18" s="4">
        <f>Prevalence!D48*$G$2</f>
        <v>148651.59431189412</v>
      </c>
      <c r="G18" s="4">
        <f t="shared" si="2"/>
        <v>14865.159431189413</v>
      </c>
      <c r="H18" s="4">
        <f>Prevalence!D48*$G$8</f>
        <v>84943.768178225189</v>
      </c>
      <c r="I18" s="4">
        <f t="shared" si="0"/>
        <v>8494.37681782252</v>
      </c>
    </row>
    <row r="19" spans="2:9" s="6" customFormat="1" ht="13" x14ac:dyDescent="0.3">
      <c r="B19" s="19" t="str">
        <f>IF(Prevalence!C49="","",Prevalence!C49)</f>
        <v>Balkh</v>
      </c>
      <c r="C19" s="19" t="e">
        <f>IF(Prevalence!#REF!="","",Prevalence!#REF!)</f>
        <v>#REF!</v>
      </c>
      <c r="D19" s="4">
        <f>Prevalence!D49*$G$5</f>
        <v>372122.77803470753</v>
      </c>
      <c r="E19" s="4">
        <f t="shared" si="1"/>
        <v>37212.277803470752</v>
      </c>
      <c r="F19" s="4">
        <f>Prevalence!D49*$G$2</f>
        <v>217071.62052024607</v>
      </c>
      <c r="G19" s="4">
        <f t="shared" si="2"/>
        <v>21707.162052024607</v>
      </c>
      <c r="H19" s="4">
        <f>Prevalence!D49*$G$8</f>
        <v>124040.92601156916</v>
      </c>
      <c r="I19" s="4">
        <f t="shared" si="0"/>
        <v>12404.092601156917</v>
      </c>
    </row>
    <row r="20" spans="2:9" s="6" customFormat="1" ht="13" x14ac:dyDescent="0.3">
      <c r="B20" s="19" t="str">
        <f>IF(Prevalence!C50="","",Prevalence!C50)</f>
        <v>Bamyan</v>
      </c>
      <c r="C20" s="19" t="e">
        <f>IF(Prevalence!#REF!="","",Prevalence!#REF!)</f>
        <v>#REF!</v>
      </c>
      <c r="D20" s="4">
        <f>Prevalence!D50*$G$5</f>
        <v>124982.30304844408</v>
      </c>
      <c r="E20" s="4">
        <f t="shared" si="1"/>
        <v>12498.230304844408</v>
      </c>
      <c r="F20" s="4">
        <f>Prevalence!D50*$G$2</f>
        <v>72906.343444925718</v>
      </c>
      <c r="G20" s="4">
        <f t="shared" si="2"/>
        <v>7290.6343444925724</v>
      </c>
      <c r="H20" s="4">
        <f>Prevalence!D50*$G$8</f>
        <v>41660.767682814687</v>
      </c>
      <c r="I20" s="4">
        <f t="shared" si="0"/>
        <v>4166.0767682814685</v>
      </c>
    </row>
    <row r="21" spans="2:9" s="6" customFormat="1" ht="13" x14ac:dyDescent="0.3">
      <c r="B21" s="19" t="str">
        <f>IF(Prevalence!C51="","",Prevalence!C51)</f>
        <v>Dykundi</v>
      </c>
      <c r="C21" s="19" t="e">
        <f>IF(Prevalence!#REF!="","",Prevalence!#REF!)</f>
        <v>#REF!</v>
      </c>
      <c r="D21" s="4">
        <f>Prevalence!D51*$G$5</f>
        <v>128705.93352575472</v>
      </c>
      <c r="E21" s="4">
        <f t="shared" si="1"/>
        <v>12870.593352575474</v>
      </c>
      <c r="F21" s="4">
        <f>Prevalence!D51*$G$2</f>
        <v>75078.461223356935</v>
      </c>
      <c r="G21" s="4">
        <f t="shared" si="2"/>
        <v>7507.8461223356935</v>
      </c>
      <c r="H21" s="4">
        <f>Prevalence!D51*$G$8</f>
        <v>42901.977841918233</v>
      </c>
      <c r="I21" s="4">
        <f t="shared" si="0"/>
        <v>4290.1977841918233</v>
      </c>
    </row>
    <row r="22" spans="2:9" s="6" customFormat="1" ht="13" x14ac:dyDescent="0.3">
      <c r="B22" s="19" t="str">
        <f>IF(Prevalence!C52="","",Prevalence!C52)</f>
        <v>Farah</v>
      </c>
      <c r="C22" s="19" t="e">
        <f>IF(Prevalence!#REF!="","",Prevalence!#REF!)</f>
        <v>#REF!</v>
      </c>
      <c r="D22" s="4">
        <f>Prevalence!D52*$G$5</f>
        <v>141845.16709261059</v>
      </c>
      <c r="E22" s="4">
        <f t="shared" si="1"/>
        <v>14184.516709261059</v>
      </c>
      <c r="F22" s="4">
        <f>Prevalence!D52*$G$2</f>
        <v>82743.014137356193</v>
      </c>
      <c r="G22" s="4">
        <f t="shared" si="2"/>
        <v>8274.3014137356204</v>
      </c>
      <c r="H22" s="4">
        <f>Prevalence!D52*$G$8</f>
        <v>47281.722364203524</v>
      </c>
      <c r="I22" s="4">
        <f t="shared" si="0"/>
        <v>4728.1722364203524</v>
      </c>
    </row>
    <row r="23" spans="2:9" s="6" customFormat="1" ht="13" x14ac:dyDescent="0.3">
      <c r="B23" s="19" t="str">
        <f>IF(Prevalence!C53="","",Prevalence!C53)</f>
        <v>Faryab</v>
      </c>
      <c r="C23" s="19" t="e">
        <f>IF(Prevalence!#REF!="","",Prevalence!#REF!)</f>
        <v>#REF!</v>
      </c>
      <c r="D23" s="4">
        <f>Prevalence!D53*$G$5</f>
        <v>279123.83541382162</v>
      </c>
      <c r="E23" s="4">
        <f t="shared" si="1"/>
        <v>27912.383541382165</v>
      </c>
      <c r="F23" s="4">
        <f>Prevalence!D53*$G$2</f>
        <v>162822.2373247293</v>
      </c>
      <c r="G23" s="4">
        <f t="shared" si="2"/>
        <v>16282.22373247293</v>
      </c>
      <c r="H23" s="4">
        <f>Prevalence!D53*$G$8</f>
        <v>93041.278471273865</v>
      </c>
      <c r="I23" s="4">
        <f t="shared" si="0"/>
        <v>9304.1278471273872</v>
      </c>
    </row>
    <row r="24" spans="2:9" s="6" customFormat="1" ht="13" x14ac:dyDescent="0.3">
      <c r="B24" s="19" t="str">
        <f>IF(Prevalence!C54="","",Prevalence!C54)</f>
        <v>Ghazni</v>
      </c>
      <c r="C24" s="19" t="e">
        <f>IF(Prevalence!#REF!="","",Prevalence!#REF!)</f>
        <v>#REF!</v>
      </c>
      <c r="D24" s="4">
        <f>Prevalence!D54*$G$5</f>
        <v>343463.60658696765</v>
      </c>
      <c r="E24" s="4">
        <f t="shared" si="1"/>
        <v>34346.360658696765</v>
      </c>
      <c r="F24" s="4">
        <f>Prevalence!D54*$G$2</f>
        <v>200353.77050906449</v>
      </c>
      <c r="G24" s="4">
        <f t="shared" si="2"/>
        <v>20035.377050906449</v>
      </c>
      <c r="H24" s="4">
        <f>Prevalence!D54*$G$8</f>
        <v>114487.86886232253</v>
      </c>
      <c r="I24" s="4">
        <f t="shared" si="0"/>
        <v>11448.786886232254</v>
      </c>
    </row>
    <row r="25" spans="2:9" s="6" customFormat="1" ht="13" x14ac:dyDescent="0.3">
      <c r="B25" s="19" t="str">
        <f>IF(Prevalence!C55="","",Prevalence!C55)</f>
        <v>Ghor</v>
      </c>
      <c r="C25" s="19" t="e">
        <f>IF(Prevalence!#REF!="","",Prevalence!#REF!)</f>
        <v>#REF!</v>
      </c>
      <c r="D25" s="4">
        <f>Prevalence!D55*$G$5</f>
        <v>192890.10670331877</v>
      </c>
      <c r="E25" s="4">
        <f t="shared" si="1"/>
        <v>19289.010670331878</v>
      </c>
      <c r="F25" s="4">
        <f>Prevalence!D55*$G$2</f>
        <v>112519.2289102693</v>
      </c>
      <c r="G25" s="4">
        <f t="shared" si="2"/>
        <v>11251.92289102693</v>
      </c>
      <c r="H25" s="4">
        <f>Prevalence!D55*$G$8</f>
        <v>64296.702234439581</v>
      </c>
      <c r="I25" s="4">
        <f t="shared" si="0"/>
        <v>6429.6702234439581</v>
      </c>
    </row>
    <row r="26" spans="2:9" s="6" customFormat="1" ht="13" x14ac:dyDescent="0.3">
      <c r="B26" s="19" t="str">
        <f>IF(Prevalence!C56="","",Prevalence!C56)</f>
        <v>Helmand</v>
      </c>
      <c r="C26" s="19" t="e">
        <f>IF(Prevalence!#REF!="","",Prevalence!#REF!)</f>
        <v>#REF!</v>
      </c>
      <c r="D26" s="4">
        <f>Prevalence!D56*$G$5</f>
        <v>258478.78546291162</v>
      </c>
      <c r="E26" s="4">
        <f t="shared" si="1"/>
        <v>25847.878546291162</v>
      </c>
      <c r="F26" s="4">
        <f>Prevalence!D56*$G$2</f>
        <v>150779.29152003181</v>
      </c>
      <c r="G26" s="4">
        <f t="shared" si="2"/>
        <v>15077.929152003182</v>
      </c>
      <c r="H26" s="4">
        <f>Prevalence!D56*$G$8</f>
        <v>86159.595154303868</v>
      </c>
      <c r="I26" s="4">
        <f t="shared" si="0"/>
        <v>8615.9595154303879</v>
      </c>
    </row>
    <row r="27" spans="2:9" s="6" customFormat="1" ht="13" x14ac:dyDescent="0.3">
      <c r="B27" s="19" t="str">
        <f>IF(Prevalence!C57="","",Prevalence!C57)</f>
        <v>Hirat</v>
      </c>
      <c r="C27" s="19" t="e">
        <f>IF(Prevalence!#REF!="","",Prevalence!#REF!)</f>
        <v>#REF!</v>
      </c>
      <c r="D27" s="4">
        <f>Prevalence!D57*$G$5</f>
        <v>530112.74916360446</v>
      </c>
      <c r="E27" s="4">
        <f t="shared" si="1"/>
        <v>53011.274916360446</v>
      </c>
      <c r="F27" s="4">
        <f>Prevalence!D57*$G$2</f>
        <v>309232.43701210269</v>
      </c>
      <c r="G27" s="4">
        <f t="shared" si="2"/>
        <v>30923.243701210271</v>
      </c>
      <c r="H27" s="4">
        <f>Prevalence!D57*$G$8</f>
        <v>176704.24972120149</v>
      </c>
      <c r="I27" s="4">
        <f t="shared" si="0"/>
        <v>17670.424972120149</v>
      </c>
    </row>
    <row r="28" spans="2:9" s="6" customFormat="1" ht="13" x14ac:dyDescent="0.3">
      <c r="B28" s="19" t="str">
        <f>IF(Prevalence!C58="","",Prevalence!C58)</f>
        <v>Jawzjan</v>
      </c>
      <c r="C28" s="19" t="e">
        <f>IF(Prevalence!#REF!="","",Prevalence!#REF!)</f>
        <v>#REF!</v>
      </c>
      <c r="D28" s="4">
        <f>Prevalence!D58*$G$5</f>
        <v>151171.97485958872</v>
      </c>
      <c r="E28" s="4">
        <f t="shared" si="1"/>
        <v>15117.197485958874</v>
      </c>
      <c r="F28" s="4">
        <f>Prevalence!D58*$G$2</f>
        <v>88183.652001426773</v>
      </c>
      <c r="G28" s="4">
        <f t="shared" si="2"/>
        <v>8818.3652001426781</v>
      </c>
      <c r="H28" s="4">
        <f>Prevalence!D58*$G$8</f>
        <v>50390.658286529571</v>
      </c>
      <c r="I28" s="4">
        <f t="shared" si="0"/>
        <v>5039.0658286529579</v>
      </c>
    </row>
    <row r="29" spans="2:9" s="6" customFormat="1" ht="13" x14ac:dyDescent="0.3">
      <c r="B29" s="19" t="str">
        <f>IF(Prevalence!C59="","",Prevalence!C59)</f>
        <v>Kabul</v>
      </c>
      <c r="C29" s="19" t="e">
        <f>IF(Prevalence!#REF!="","",Prevalence!#REF!)</f>
        <v>#REF!</v>
      </c>
      <c r="D29" s="4">
        <f>Prevalence!D59*$G$5</f>
        <v>1243606.8080885049</v>
      </c>
      <c r="E29" s="4">
        <f t="shared" si="1"/>
        <v>124360.68080885051</v>
      </c>
      <c r="F29" s="4">
        <f>Prevalence!D59*$G$2</f>
        <v>725437.30471829476</v>
      </c>
      <c r="G29" s="4">
        <f t="shared" si="2"/>
        <v>72543.730471829476</v>
      </c>
      <c r="H29" s="4">
        <f>Prevalence!D59*$G$8</f>
        <v>414535.60269616829</v>
      </c>
      <c r="I29" s="4">
        <f t="shared" si="0"/>
        <v>41453.560269616835</v>
      </c>
    </row>
    <row r="30" spans="2:9" s="6" customFormat="1" ht="13" x14ac:dyDescent="0.3">
      <c r="B30" s="19" t="str">
        <f>IF(Prevalence!C60="","",Prevalence!C60)</f>
        <v>Kandahar</v>
      </c>
      <c r="C30" s="19" t="e">
        <f>IF(Prevalence!#REF!="","",Prevalence!#REF!)</f>
        <v>#REF!</v>
      </c>
      <c r="D30" s="4">
        <f>Prevalence!D60*$G$5</f>
        <v>344401.04327413108</v>
      </c>
      <c r="E30" s="4">
        <f t="shared" si="1"/>
        <v>34440.104327413108</v>
      </c>
      <c r="F30" s="4">
        <f>Prevalence!D60*$G$2</f>
        <v>200900.60857657652</v>
      </c>
      <c r="G30" s="4">
        <f t="shared" si="2"/>
        <v>20090.060857657652</v>
      </c>
      <c r="H30" s="4">
        <f>Prevalence!D60*$G$8</f>
        <v>114800.34775804369</v>
      </c>
      <c r="I30" s="4">
        <f t="shared" si="0"/>
        <v>11480.03477580437</v>
      </c>
    </row>
    <row r="31" spans="2:9" s="6" customFormat="1" ht="13" x14ac:dyDescent="0.3">
      <c r="B31" s="19" t="str">
        <f>IF(Prevalence!C61="","",Prevalence!C61)</f>
        <v>Kapisa</v>
      </c>
      <c r="C31" s="19" t="e">
        <f>IF(Prevalence!#REF!="","",Prevalence!#REF!)</f>
        <v>#REF!</v>
      </c>
      <c r="D31" s="4">
        <f>Prevalence!D61*$G$5</f>
        <v>123226.18998169911</v>
      </c>
      <c r="E31" s="4">
        <f t="shared" si="1"/>
        <v>12322.618998169912</v>
      </c>
      <c r="F31" s="4">
        <f>Prevalence!D61*$G$2</f>
        <v>71881.94415599115</v>
      </c>
      <c r="G31" s="4">
        <f t="shared" si="2"/>
        <v>7188.194415599115</v>
      </c>
      <c r="H31" s="4">
        <f>Prevalence!D61*$G$8</f>
        <v>41075.396660566366</v>
      </c>
      <c r="I31" s="4">
        <f t="shared" si="0"/>
        <v>4107.5396660566366</v>
      </c>
    </row>
    <row r="32" spans="2:9" s="6" customFormat="1" ht="13" x14ac:dyDescent="0.3">
      <c r="B32" s="19" t="str">
        <f>IF(Prevalence!C62="","",Prevalence!C62)</f>
        <v>Khost</v>
      </c>
      <c r="C32" s="19" t="e">
        <f>IF(Prevalence!#REF!="","",Prevalence!#REF!)</f>
        <v>#REF!</v>
      </c>
      <c r="D32" s="4">
        <f>Prevalence!D62*$G$5</f>
        <v>160566.95984017872</v>
      </c>
      <c r="E32" s="4">
        <f t="shared" si="1"/>
        <v>16056.695984017873</v>
      </c>
      <c r="F32" s="4">
        <f>Prevalence!D62*$G$2</f>
        <v>93664.059906770926</v>
      </c>
      <c r="G32" s="4">
        <f t="shared" si="2"/>
        <v>9366.4059906770926</v>
      </c>
      <c r="H32" s="4">
        <f>Prevalence!D62*$G$8</f>
        <v>53522.319946726231</v>
      </c>
      <c r="I32" s="4">
        <f t="shared" si="0"/>
        <v>5352.2319946726238</v>
      </c>
    </row>
    <row r="33" spans="2:9" s="6" customFormat="1" ht="13" x14ac:dyDescent="0.3">
      <c r="B33" s="19" t="str">
        <f>IF(Prevalence!C63="","",Prevalence!C63)</f>
        <v>Kunar</v>
      </c>
      <c r="C33" s="19" t="e">
        <f>IF(Prevalence!#REF!="","",Prevalence!#REF!)</f>
        <v>#REF!</v>
      </c>
      <c r="D33" s="4">
        <f>Prevalence!D63*$G$5</f>
        <v>125943.6567419956</v>
      </c>
      <c r="E33" s="4">
        <f t="shared" si="1"/>
        <v>12594.36567419956</v>
      </c>
      <c r="F33" s="4">
        <f>Prevalence!D63*$G$2</f>
        <v>73467.133099497441</v>
      </c>
      <c r="G33" s="4">
        <f t="shared" si="2"/>
        <v>7346.7133099497441</v>
      </c>
      <c r="H33" s="4">
        <f>Prevalence!D63*$G$8</f>
        <v>41981.218913998528</v>
      </c>
      <c r="I33" s="4">
        <f t="shared" si="0"/>
        <v>4198.1218913998528</v>
      </c>
    </row>
    <row r="34" spans="2:9" s="6" customFormat="1" ht="13" x14ac:dyDescent="0.3">
      <c r="B34" s="19" t="str">
        <f>IF(Prevalence!C64="","",Prevalence!C64)</f>
        <v>Kunduz</v>
      </c>
      <c r="C34" s="19" t="e">
        <f>IF(Prevalence!#REF!="","",Prevalence!#REF!)</f>
        <v>#REF!</v>
      </c>
      <c r="D34" s="4">
        <f>Prevalence!D64*$G$5</f>
        <v>283010.48640593817</v>
      </c>
      <c r="E34" s="4">
        <f t="shared" si="1"/>
        <v>28301.048640593817</v>
      </c>
      <c r="F34" s="4">
        <f>Prevalence!D64*$G$2</f>
        <v>165089.45040346394</v>
      </c>
      <c r="G34" s="4">
        <f t="shared" si="2"/>
        <v>16508.945040346396</v>
      </c>
      <c r="H34" s="4">
        <f>Prevalence!D64*$G$8</f>
        <v>94336.828801979369</v>
      </c>
      <c r="I34" s="4">
        <f t="shared" si="0"/>
        <v>9433.6828801979373</v>
      </c>
    </row>
    <row r="35" spans="2:9" s="6" customFormat="1" ht="13" x14ac:dyDescent="0.3">
      <c r="B35" s="19" t="str">
        <f>IF(Prevalence!C65="","",Prevalence!C65)</f>
        <v>Laghman</v>
      </c>
      <c r="C35" s="19" t="e">
        <f>IF(Prevalence!#REF!="","",Prevalence!#REF!)</f>
        <v>#REF!</v>
      </c>
      <c r="D35" s="4">
        <f>Prevalence!D65*$G$5</f>
        <v>124511.93525614594</v>
      </c>
      <c r="E35" s="4">
        <f t="shared" si="1"/>
        <v>12451.193525614595</v>
      </c>
      <c r="F35" s="4">
        <f>Prevalence!D65*$G$2</f>
        <v>72631.962232751801</v>
      </c>
      <c r="G35" s="4">
        <f t="shared" si="2"/>
        <v>7263.1962232751803</v>
      </c>
      <c r="H35" s="4">
        <f>Prevalence!D65*$G$8</f>
        <v>41503.978418715305</v>
      </c>
      <c r="I35" s="4">
        <f t="shared" si="0"/>
        <v>4150.3978418715305</v>
      </c>
    </row>
    <row r="36" spans="2:9" s="6" customFormat="1" ht="13" x14ac:dyDescent="0.3">
      <c r="B36" s="19" t="str">
        <f>IF(Prevalence!C66="","",Prevalence!C66)</f>
        <v>Logar</v>
      </c>
      <c r="C36" s="19" t="e">
        <f>IF(Prevalence!#REF!="","",Prevalence!#REF!)</f>
        <v>#REF!</v>
      </c>
      <c r="D36" s="4">
        <f>Prevalence!D66*$G$5</f>
        <v>109560.50736618691</v>
      </c>
      <c r="E36" s="4">
        <f t="shared" si="1"/>
        <v>10956.050736618692</v>
      </c>
      <c r="F36" s="4">
        <f>Prevalence!D66*$G$2</f>
        <v>63910.295963609045</v>
      </c>
      <c r="G36" s="4">
        <f t="shared" si="2"/>
        <v>6391.0295963609051</v>
      </c>
      <c r="H36" s="4">
        <f>Prevalence!D66*$G$8</f>
        <v>36520.169122062303</v>
      </c>
      <c r="I36" s="4">
        <f t="shared" si="0"/>
        <v>3652.0169122062307</v>
      </c>
    </row>
    <row r="37" spans="2:9" s="6" customFormat="1" ht="13" x14ac:dyDescent="0.3">
      <c r="B37" s="19" t="str">
        <f>IF(Prevalence!C67="","",Prevalence!C67)</f>
        <v>Nangarhar</v>
      </c>
      <c r="C37" s="19" t="e">
        <f>IF(Prevalence!#REF!="","",Prevalence!#REF!)</f>
        <v>#REF!</v>
      </c>
      <c r="D37" s="4">
        <f>Prevalence!D67*$G$5</f>
        <v>424856.20331478753</v>
      </c>
      <c r="E37" s="4">
        <f t="shared" si="1"/>
        <v>42485.620331478756</v>
      </c>
      <c r="F37" s="4">
        <f>Prevalence!D67*$G$2</f>
        <v>247832.7852669594</v>
      </c>
      <c r="G37" s="4">
        <f t="shared" si="2"/>
        <v>24783.27852669594</v>
      </c>
      <c r="H37" s="4">
        <f>Prevalence!D67*$G$8</f>
        <v>141618.73443826247</v>
      </c>
      <c r="I37" s="4">
        <f t="shared" si="0"/>
        <v>14161.873443826247</v>
      </c>
    </row>
    <row r="38" spans="2:9" s="6" customFormat="1" ht="13" x14ac:dyDescent="0.3">
      <c r="B38" s="19" t="str">
        <f>IF(Prevalence!C68="","",Prevalence!C68)</f>
        <v>Nimroz</v>
      </c>
      <c r="C38" s="19" t="e">
        <f>IF(Prevalence!#REF!="","",Prevalence!#REF!)</f>
        <v>#REF!</v>
      </c>
      <c r="D38" s="4">
        <f>Prevalence!D68*$G$5</f>
        <v>46146.901647308856</v>
      </c>
      <c r="E38" s="4">
        <f t="shared" si="1"/>
        <v>4614.690164730886</v>
      </c>
      <c r="F38" s="4">
        <f>Prevalence!D68*$G$2</f>
        <v>26919.025960930172</v>
      </c>
      <c r="G38" s="4">
        <f t="shared" si="2"/>
        <v>2691.9025960930176</v>
      </c>
      <c r="H38" s="4">
        <f>Prevalence!D68*$G$8</f>
        <v>15382.300549102951</v>
      </c>
      <c r="I38" s="4">
        <f t="shared" si="0"/>
        <v>1538.2300549102952</v>
      </c>
    </row>
    <row r="39" spans="2:9" s="6" customFormat="1" ht="13" x14ac:dyDescent="0.3">
      <c r="B39" s="19" t="str">
        <f>IF(Prevalence!C69="","",Prevalence!C69)</f>
        <v>Nuristan</v>
      </c>
      <c r="C39" s="19" t="e">
        <f>IF(Prevalence!#REF!="","",Prevalence!#REF!)</f>
        <v>#REF!</v>
      </c>
      <c r="D39" s="4">
        <f>Prevalence!D69*$G$5</f>
        <v>41343.70698510349</v>
      </c>
      <c r="E39" s="4">
        <f t="shared" si="1"/>
        <v>4134.370698510349</v>
      </c>
      <c r="F39" s="4">
        <f>Prevalence!D69*$G$2</f>
        <v>24117.162407977037</v>
      </c>
      <c r="G39" s="4">
        <f t="shared" si="2"/>
        <v>2411.7162407977039</v>
      </c>
      <c r="H39" s="4">
        <f>Prevalence!D69*$G$8</f>
        <v>13781.235661701161</v>
      </c>
      <c r="I39" s="4">
        <f t="shared" si="0"/>
        <v>1378.1235661701162</v>
      </c>
    </row>
    <row r="40" spans="2:9" s="6" customFormat="1" ht="13" x14ac:dyDescent="0.3">
      <c r="B40" s="19" t="str">
        <f>IF(Prevalence!C70="","",Prevalence!C70)</f>
        <v>Paktika</v>
      </c>
      <c r="C40" s="19" t="e">
        <f>IF(Prevalence!#REF!="","",Prevalence!#REF!)</f>
        <v>#REF!</v>
      </c>
      <c r="D40" s="4">
        <f>Prevalence!D70*$G$5</f>
        <v>121477.22452605864</v>
      </c>
      <c r="E40" s="4">
        <f t="shared" si="1"/>
        <v>12147.722452605864</v>
      </c>
      <c r="F40" s="4">
        <f>Prevalence!D70*$G$2</f>
        <v>70861.71430686755</v>
      </c>
      <c r="G40" s="4">
        <f t="shared" si="2"/>
        <v>7086.1714306867552</v>
      </c>
      <c r="H40" s="4">
        <f>Prevalence!D70*$G$8</f>
        <v>40492.408175352874</v>
      </c>
      <c r="I40" s="4">
        <f t="shared" si="0"/>
        <v>4049.2408175352875</v>
      </c>
    </row>
    <row r="41" spans="2:9" s="6" customFormat="1" ht="13" x14ac:dyDescent="0.3">
      <c r="B41" s="19" t="str">
        <f>IF(Prevalence!C71="","",Prevalence!C71)</f>
        <v>Paktya</v>
      </c>
      <c r="C41" s="19" t="e">
        <f>IF(Prevalence!#REF!="","",Prevalence!#REF!)</f>
        <v>#REF!</v>
      </c>
      <c r="D41" s="4">
        <f>Prevalence!D71*$G$5</f>
        <v>154278.43660884013</v>
      </c>
      <c r="E41" s="4">
        <f t="shared" si="1"/>
        <v>15427.843660884013</v>
      </c>
      <c r="F41" s="4">
        <f>Prevalence!D71*$G$2</f>
        <v>89995.75468849008</v>
      </c>
      <c r="G41" s="4">
        <f t="shared" si="2"/>
        <v>8999.5754688490088</v>
      </c>
      <c r="H41" s="4">
        <f>Prevalence!D71*$G$8</f>
        <v>51426.145536280033</v>
      </c>
      <c r="I41" s="4">
        <f t="shared" si="0"/>
        <v>5142.6145536280037</v>
      </c>
    </row>
    <row r="42" spans="2:9" s="6" customFormat="1" ht="13" x14ac:dyDescent="0.3">
      <c r="B42" s="19" t="str">
        <f>IF(Prevalence!C72="","",Prevalence!C72)</f>
        <v>Panjsher</v>
      </c>
      <c r="C42" s="19" t="e">
        <f>IF(Prevalence!#REF!="","",Prevalence!#REF!)</f>
        <v>#REF!</v>
      </c>
      <c r="D42" s="4">
        <f>Prevalence!D72*$G$5</f>
        <v>42885.941534953083</v>
      </c>
      <c r="E42" s="4">
        <f t="shared" si="1"/>
        <v>4288.5941534953081</v>
      </c>
      <c r="F42" s="4">
        <f>Prevalence!D72*$G$2</f>
        <v>25016.799228722637</v>
      </c>
      <c r="G42" s="4">
        <f t="shared" si="2"/>
        <v>2501.6799228722639</v>
      </c>
      <c r="H42" s="4">
        <f>Prevalence!D72*$G$8</f>
        <v>14295.313844984359</v>
      </c>
      <c r="I42" s="4">
        <f t="shared" si="0"/>
        <v>1429.531384498436</v>
      </c>
    </row>
    <row r="43" spans="2:9" s="6" customFormat="1" ht="13" x14ac:dyDescent="0.3">
      <c r="B43" s="19" t="str">
        <f>IF(Prevalence!C73="","",Prevalence!C73)</f>
        <v>Parwan</v>
      </c>
      <c r="C43" s="19" t="e">
        <f>IF(Prevalence!#REF!="","",Prevalence!#REF!)</f>
        <v>#REF!</v>
      </c>
      <c r="D43" s="4">
        <f>Prevalence!D73*$G$5</f>
        <v>185781.53255180173</v>
      </c>
      <c r="E43" s="4">
        <f t="shared" si="1"/>
        <v>18578.153255180176</v>
      </c>
      <c r="F43" s="4">
        <f>Prevalence!D73*$G$2</f>
        <v>108372.56065521769</v>
      </c>
      <c r="G43" s="4">
        <f t="shared" si="2"/>
        <v>10837.256065521769</v>
      </c>
      <c r="H43" s="4">
        <f>Prevalence!D73*$G$8</f>
        <v>61927.177517267235</v>
      </c>
      <c r="I43" s="4">
        <f t="shared" si="0"/>
        <v>6192.7177517267237</v>
      </c>
    </row>
    <row r="44" spans="2:9" s="6" customFormat="1" ht="13" x14ac:dyDescent="0.3">
      <c r="B44" s="19" t="str">
        <f>IF(Prevalence!C74="","",Prevalence!C74)</f>
        <v>Samangan</v>
      </c>
      <c r="C44" s="19" t="e">
        <f>IF(Prevalence!#REF!="","",Prevalence!#REF!)</f>
        <v>#REF!</v>
      </c>
      <c r="D44" s="4">
        <f>Prevalence!D74*$G$5</f>
        <v>108447.67929884448</v>
      </c>
      <c r="E44" s="4">
        <f t="shared" si="1"/>
        <v>10844.767929884449</v>
      </c>
      <c r="F44" s="4">
        <f>Prevalence!D74*$G$2</f>
        <v>63261.146257659282</v>
      </c>
      <c r="G44" s="4">
        <f t="shared" si="2"/>
        <v>6326.1146257659284</v>
      </c>
      <c r="H44" s="4">
        <f>Prevalence!D74*$G$8</f>
        <v>36149.226432948155</v>
      </c>
      <c r="I44" s="4">
        <f t="shared" si="0"/>
        <v>3614.9226432948158</v>
      </c>
    </row>
    <row r="45" spans="2:9" s="6" customFormat="1" ht="13" x14ac:dyDescent="0.3">
      <c r="B45" s="19" t="str">
        <f>IF(Prevalence!C75="","",Prevalence!C75)</f>
        <v>Sar-e-Pul</v>
      </c>
      <c r="C45" s="19" t="e">
        <f>IF(Prevalence!#REF!="","",Prevalence!#REF!)</f>
        <v>#REF!</v>
      </c>
      <c r="D45" s="4">
        <f>Prevalence!D75*$G$5</f>
        <v>156434.54098931613</v>
      </c>
      <c r="E45" s="4">
        <f t="shared" si="1"/>
        <v>15643.454098931614</v>
      </c>
      <c r="F45" s="4">
        <f>Prevalence!D75*$G$2</f>
        <v>91253.48224376775</v>
      </c>
      <c r="G45" s="4">
        <f t="shared" si="2"/>
        <v>9125.3482243767758</v>
      </c>
      <c r="H45" s="4">
        <f>Prevalence!D75*$G$8</f>
        <v>52144.846996438704</v>
      </c>
      <c r="I45" s="4">
        <f t="shared" si="0"/>
        <v>5214.484699643871</v>
      </c>
    </row>
    <row r="46" spans="2:9" s="6" customFormat="1" ht="13" x14ac:dyDescent="0.3">
      <c r="B46" s="19" t="str">
        <f>IF(Prevalence!C76="","",Prevalence!C76)</f>
        <v>Takhar</v>
      </c>
      <c r="C46" s="19" t="e">
        <f>IF(Prevalence!#REF!="","",Prevalence!#REF!)</f>
        <v>#REF!</v>
      </c>
      <c r="D46" s="4">
        <f>Prevalence!D76*$G$5</f>
        <v>275000.48853089928</v>
      </c>
      <c r="E46" s="4">
        <f t="shared" si="1"/>
        <v>27500.048853089931</v>
      </c>
      <c r="F46" s="4">
        <f>Prevalence!D76*$G$2</f>
        <v>160416.9516430246</v>
      </c>
      <c r="G46" s="4">
        <f t="shared" si="2"/>
        <v>16041.69516430246</v>
      </c>
      <c r="H46" s="4">
        <f>Prevalence!D76*$G$8</f>
        <v>91666.829510299751</v>
      </c>
      <c r="I46" s="4">
        <f t="shared" si="0"/>
        <v>9166.6829510299758</v>
      </c>
    </row>
    <row r="47" spans="2:9" s="6" customFormat="1" ht="13" x14ac:dyDescent="0.3">
      <c r="B47" s="19" t="str">
        <f>IF(Prevalence!C77="","",Prevalence!C77)</f>
        <v>Urozgan</v>
      </c>
      <c r="C47" s="19" t="e">
        <f>IF(Prevalence!#REF!="","",Prevalence!#REF!)</f>
        <v>#REF!</v>
      </c>
      <c r="D47" s="4">
        <f>Prevalence!D77*$G$5</f>
        <v>97967.357062852301</v>
      </c>
      <c r="E47" s="4">
        <f t="shared" si="1"/>
        <v>9796.7357062852298</v>
      </c>
      <c r="F47" s="4">
        <f>Prevalence!D77*$G$2</f>
        <v>57147.624953330516</v>
      </c>
      <c r="G47" s="4">
        <f t="shared" si="2"/>
        <v>5714.7624953330524</v>
      </c>
      <c r="H47" s="4">
        <f>Prevalence!D77*$G$8</f>
        <v>32655.78568761743</v>
      </c>
      <c r="I47" s="4">
        <f t="shared" si="0"/>
        <v>3265.5785687617431</v>
      </c>
    </row>
    <row r="48" spans="2:9" s="6" customFormat="1" ht="13" x14ac:dyDescent="0.3">
      <c r="B48" s="19" t="str">
        <f>IF(Prevalence!C78="","",Prevalence!C78)</f>
        <v>Wardak</v>
      </c>
      <c r="C48" s="19" t="e">
        <f>IF(Prevalence!#REF!="","",Prevalence!#REF!)</f>
        <v>#REF!</v>
      </c>
      <c r="D48" s="4">
        <f>Prevalence!D78*$G$5</f>
        <v>166615.48828327868</v>
      </c>
      <c r="E48" s="4">
        <f t="shared" si="1"/>
        <v>16661.548828327868</v>
      </c>
      <c r="F48" s="4">
        <f>Prevalence!D78*$G$2</f>
        <v>97192.36816524592</v>
      </c>
      <c r="G48" s="4">
        <f t="shared" si="2"/>
        <v>9719.2368165245916</v>
      </c>
      <c r="H48" s="4">
        <f>Prevalence!D78*$G$8</f>
        <v>55538.49609442622</v>
      </c>
      <c r="I48" s="4">
        <f t="shared" si="0"/>
        <v>5553.8496094426228</v>
      </c>
    </row>
    <row r="49" spans="2:9" s="6" customFormat="1" ht="13" x14ac:dyDescent="0.3">
      <c r="B49" s="19" t="str">
        <f>IF(Prevalence!C79="","",Prevalence!C79)</f>
        <v>Zabul</v>
      </c>
      <c r="C49" s="19" t="e">
        <f>IF(Prevalence!#REF!="","",Prevalence!#REF!)</f>
        <v>#REF!</v>
      </c>
      <c r="D49" s="4">
        <f>Prevalence!D79*$G$5</f>
        <v>84999.391254384362</v>
      </c>
      <c r="E49" s="4">
        <f t="shared" si="1"/>
        <v>8499.9391254384373</v>
      </c>
      <c r="F49" s="4">
        <f>Prevalence!D79*$G$2</f>
        <v>49582.978231724213</v>
      </c>
      <c r="G49" s="4">
        <f t="shared" si="2"/>
        <v>4958.2978231724219</v>
      </c>
      <c r="H49" s="4">
        <f>Prevalence!D79*$G$8</f>
        <v>28333.130418128116</v>
      </c>
      <c r="I49" s="4">
        <f t="shared" si="0"/>
        <v>2833.3130418128117</v>
      </c>
    </row>
    <row r="50" spans="2:9" s="6" customFormat="1" ht="13" x14ac:dyDescent="0.3">
      <c r="B50" s="19" t="str">
        <f>IF(Prevalence!C80="","",Prevalence!C80)</f>
        <v/>
      </c>
      <c r="C50" s="19" t="e">
        <f>IF(Prevalence!#REF!="","",Prevalence!#REF!)</f>
        <v>#REF!</v>
      </c>
      <c r="D50" s="4" t="e">
        <f>Prevalence!D80*$G$5</f>
        <v>#VALUE!</v>
      </c>
      <c r="E50" s="4" t="e">
        <f t="shared" si="1"/>
        <v>#VALUE!</v>
      </c>
      <c r="F50" s="4" t="e">
        <f>Prevalence!D80*$G$2</f>
        <v>#VALUE!</v>
      </c>
      <c r="G50" s="4" t="e">
        <f t="shared" si="2"/>
        <v>#VALUE!</v>
      </c>
      <c r="H50" s="4" t="e">
        <f>Prevalence!D80*$G$8</f>
        <v>#VALUE!</v>
      </c>
      <c r="I50" s="4" t="e">
        <f t="shared" si="0"/>
        <v>#VALUE!</v>
      </c>
    </row>
    <row r="51" spans="2:9" s="6" customFormat="1" ht="13" x14ac:dyDescent="0.3">
      <c r="B51" s="19" t="str">
        <f>IF(Prevalence!C81="","",Prevalence!C81)</f>
        <v/>
      </c>
      <c r="C51" s="19" t="e">
        <f>IF(Prevalence!#REF!="","",Prevalence!#REF!)</f>
        <v>#REF!</v>
      </c>
      <c r="D51" s="4" t="e">
        <f>Prevalence!D81*$G$5</f>
        <v>#VALUE!</v>
      </c>
      <c r="E51" s="4" t="e">
        <f t="shared" si="1"/>
        <v>#VALUE!</v>
      </c>
      <c r="F51" s="4" t="e">
        <f>Prevalence!D81*$G$2</f>
        <v>#VALUE!</v>
      </c>
      <c r="G51" s="4" t="e">
        <f t="shared" si="2"/>
        <v>#VALUE!</v>
      </c>
      <c r="H51" s="4" t="e">
        <f>Prevalence!D81*$G$8</f>
        <v>#VALUE!</v>
      </c>
      <c r="I51" s="4" t="e">
        <f t="shared" si="0"/>
        <v>#VALUE!</v>
      </c>
    </row>
    <row r="52" spans="2:9" s="6" customFormat="1" ht="13" x14ac:dyDescent="0.3">
      <c r="B52" s="19" t="str">
        <f>IF(Prevalence!C82="","",Prevalence!C82)</f>
        <v/>
      </c>
      <c r="C52" s="19" t="e">
        <f>IF(Prevalence!#REF!="","",Prevalence!#REF!)</f>
        <v>#REF!</v>
      </c>
      <c r="D52" s="4" t="e">
        <f>Prevalence!D82*$G$5</f>
        <v>#VALUE!</v>
      </c>
      <c r="E52" s="4" t="e">
        <f t="shared" si="1"/>
        <v>#VALUE!</v>
      </c>
      <c r="F52" s="4" t="e">
        <f>Prevalence!D82*$G$2</f>
        <v>#VALUE!</v>
      </c>
      <c r="G52" s="4" t="e">
        <f t="shared" si="2"/>
        <v>#VALUE!</v>
      </c>
      <c r="H52" s="4" t="e">
        <f>Prevalence!D82*$G$8</f>
        <v>#VALUE!</v>
      </c>
      <c r="I52" s="4" t="e">
        <f t="shared" si="0"/>
        <v>#VALUE!</v>
      </c>
    </row>
    <row r="53" spans="2:9" s="6" customFormat="1" ht="13" x14ac:dyDescent="0.3">
      <c r="B53" s="19" t="str">
        <f>IF(Prevalence!C83="","",Prevalence!C83)</f>
        <v/>
      </c>
      <c r="C53" s="19" t="e">
        <f>IF(Prevalence!#REF!="","",Prevalence!#REF!)</f>
        <v>#REF!</v>
      </c>
      <c r="D53" s="4" t="e">
        <f>Prevalence!D83*$G$5</f>
        <v>#VALUE!</v>
      </c>
      <c r="E53" s="4" t="e">
        <f t="shared" si="1"/>
        <v>#VALUE!</v>
      </c>
      <c r="F53" s="4" t="e">
        <f>Prevalence!D83*$G$2</f>
        <v>#VALUE!</v>
      </c>
      <c r="G53" s="4" t="e">
        <f t="shared" si="2"/>
        <v>#VALUE!</v>
      </c>
      <c r="H53" s="4" t="e">
        <f>Prevalence!D83*$G$8</f>
        <v>#VALUE!</v>
      </c>
      <c r="I53" s="4" t="e">
        <f t="shared" si="0"/>
        <v>#VALUE!</v>
      </c>
    </row>
    <row r="54" spans="2:9" s="6" customFormat="1" ht="13" x14ac:dyDescent="0.3">
      <c r="B54" s="19" t="str">
        <f>IF(Prevalence!C84="","",Prevalence!C84)</f>
        <v/>
      </c>
      <c r="C54" s="19" t="e">
        <f>IF(Prevalence!#REF!="","",Prevalence!#REF!)</f>
        <v>#REF!</v>
      </c>
      <c r="D54" s="4" t="e">
        <f>Prevalence!D84*$G$5</f>
        <v>#VALUE!</v>
      </c>
      <c r="E54" s="4" t="e">
        <f t="shared" si="1"/>
        <v>#VALUE!</v>
      </c>
      <c r="F54" s="4" t="e">
        <f>Prevalence!D84*$G$2</f>
        <v>#VALUE!</v>
      </c>
      <c r="G54" s="4" t="e">
        <f t="shared" si="2"/>
        <v>#VALUE!</v>
      </c>
      <c r="H54" s="4" t="e">
        <f>Prevalence!D84*$G$8</f>
        <v>#VALUE!</v>
      </c>
      <c r="I54" s="4" t="e">
        <f t="shared" si="0"/>
        <v>#VALUE!</v>
      </c>
    </row>
    <row r="55" spans="2:9" s="6" customFormat="1" ht="13" x14ac:dyDescent="0.3">
      <c r="B55" s="19" t="str">
        <f>IF(Prevalence!C85="","",Prevalence!C85)</f>
        <v/>
      </c>
      <c r="C55" s="19" t="e">
        <f>IF(Prevalence!#REF!="","",Prevalence!#REF!)</f>
        <v>#REF!</v>
      </c>
      <c r="D55" s="4" t="e">
        <f>Prevalence!D85*$G$5</f>
        <v>#VALUE!</v>
      </c>
      <c r="E55" s="4" t="e">
        <f t="shared" si="1"/>
        <v>#VALUE!</v>
      </c>
      <c r="F55" s="4" t="e">
        <f>Prevalence!D85*$G$2</f>
        <v>#VALUE!</v>
      </c>
      <c r="G55" s="4" t="e">
        <f t="shared" si="2"/>
        <v>#VALUE!</v>
      </c>
      <c r="H55" s="4" t="e">
        <f>Prevalence!D85*$G$8</f>
        <v>#VALUE!</v>
      </c>
      <c r="I55" s="4" t="e">
        <f t="shared" si="0"/>
        <v>#VALUE!</v>
      </c>
    </row>
    <row r="56" spans="2:9" s="6" customFormat="1" ht="13" x14ac:dyDescent="0.3">
      <c r="B56" s="19" t="str">
        <f>IF(Prevalence!C86="","",Prevalence!C86)</f>
        <v/>
      </c>
      <c r="C56" s="19" t="e">
        <f>IF(Prevalence!#REF!="","",Prevalence!#REF!)</f>
        <v>#REF!</v>
      </c>
      <c r="D56" s="4" t="e">
        <f>Prevalence!D86*$G$5</f>
        <v>#VALUE!</v>
      </c>
      <c r="E56" s="4" t="e">
        <f t="shared" si="1"/>
        <v>#VALUE!</v>
      </c>
      <c r="F56" s="4" t="e">
        <f>Prevalence!D86*$G$2</f>
        <v>#VALUE!</v>
      </c>
      <c r="G56" s="4" t="e">
        <f t="shared" si="2"/>
        <v>#VALUE!</v>
      </c>
      <c r="H56" s="4" t="e">
        <f>Prevalence!D86*$G$8</f>
        <v>#VALUE!</v>
      </c>
      <c r="I56" s="4" t="e">
        <f t="shared" si="0"/>
        <v>#VALUE!</v>
      </c>
    </row>
  </sheetData>
  <mergeCells count="12">
    <mergeCell ref="B2:B4"/>
    <mergeCell ref="D2:F2"/>
    <mergeCell ref="D3:F3"/>
    <mergeCell ref="D4:F4"/>
    <mergeCell ref="D5:F5"/>
    <mergeCell ref="B8:B10"/>
    <mergeCell ref="D8:F8"/>
    <mergeCell ref="D9:F9"/>
    <mergeCell ref="D10:F10"/>
    <mergeCell ref="D6:F6"/>
    <mergeCell ref="D7:F7"/>
    <mergeCell ref="B5:B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J14"/>
  <sheetViews>
    <sheetView tabSelected="1" zoomScale="70" zoomScaleNormal="70" workbookViewId="0">
      <pane ySplit="5" topLeftCell="A6" activePane="bottomLeft" state="frozen"/>
      <selection pane="bottomLeft" activeCell="C19" sqref="C19"/>
    </sheetView>
  </sheetViews>
  <sheetFormatPr defaultColWidth="9" defaultRowHeight="15.5" x14ac:dyDescent="0.35"/>
  <cols>
    <col min="1" max="1" width="45.58203125" style="23" customWidth="1"/>
    <col min="2" max="2" width="19.58203125" style="23" customWidth="1"/>
    <col min="3" max="3" width="42.33203125" style="23" customWidth="1"/>
    <col min="4" max="4" width="15.08203125" style="23" customWidth="1"/>
    <col min="5" max="5" width="20.5" style="23" customWidth="1"/>
    <col min="6" max="6" width="15.5" style="23" customWidth="1"/>
    <col min="7" max="9" width="19.58203125" style="23" customWidth="1"/>
    <col min="10" max="10" width="59.5" style="23" customWidth="1"/>
    <col min="11" max="12" width="19.58203125" style="23" customWidth="1"/>
    <col min="13" max="16384" width="9" style="23"/>
  </cols>
  <sheetData>
    <row r="1" spans="1:10" s="12" customFormat="1" ht="24.75" customHeight="1" x14ac:dyDescent="0.5">
      <c r="A1" s="21" t="s">
        <v>363</v>
      </c>
      <c r="D1" s="13"/>
      <c r="H1" s="13"/>
      <c r="I1" s="13"/>
      <c r="J1" s="13"/>
    </row>
    <row r="2" spans="1:10" s="24" customFormat="1" x14ac:dyDescent="0.35">
      <c r="A2" s="24" t="s">
        <v>364</v>
      </c>
    </row>
    <row r="3" spans="1:10" x14ac:dyDescent="0.35">
      <c r="A3" s="23" t="s">
        <v>365</v>
      </c>
    </row>
    <row r="4" spans="1:10" ht="16" thickBot="1" x14ac:dyDescent="0.4"/>
    <row r="5" spans="1:10" s="25" customFormat="1" ht="35.25" customHeight="1" thickBot="1" x14ac:dyDescent="0.4">
      <c r="A5" s="40" t="s">
        <v>366</v>
      </c>
      <c r="B5" s="41" t="s">
        <v>367</v>
      </c>
      <c r="C5" s="41" t="s">
        <v>368</v>
      </c>
      <c r="D5" s="41" t="s">
        <v>369</v>
      </c>
      <c r="E5" s="41" t="s">
        <v>370</v>
      </c>
      <c r="F5" s="42" t="s">
        <v>371</v>
      </c>
      <c r="G5" s="43" t="s">
        <v>372</v>
      </c>
      <c r="H5" s="44" t="s">
        <v>373</v>
      </c>
      <c r="I5" s="53" t="s">
        <v>374</v>
      </c>
      <c r="J5" s="55" t="s">
        <v>375</v>
      </c>
    </row>
    <row r="6" spans="1:10" ht="99" customHeight="1" x14ac:dyDescent="0.35">
      <c r="A6" s="37" t="s">
        <v>376</v>
      </c>
      <c r="B6" s="39">
        <f>Prevalence!BP79*0.8*0.9</f>
        <v>277233.53984924406</v>
      </c>
      <c r="C6" s="37" t="s">
        <v>377</v>
      </c>
      <c r="D6" s="37">
        <v>150</v>
      </c>
      <c r="E6" s="37">
        <v>150</v>
      </c>
      <c r="F6" s="31">
        <v>13.8</v>
      </c>
      <c r="G6" s="45">
        <f>B6*E6</f>
        <v>41585030.977386609</v>
      </c>
      <c r="H6" s="46">
        <f>B6*E6/D6</f>
        <v>277233.53984924406</v>
      </c>
      <c r="I6" s="50">
        <f>H6*F6/1000</f>
        <v>3825.8228499195684</v>
      </c>
      <c r="J6" s="52" t="s">
        <v>378</v>
      </c>
    </row>
    <row r="7" spans="1:10" ht="63.75" customHeight="1" x14ac:dyDescent="0.35">
      <c r="A7" s="37" t="s">
        <v>379</v>
      </c>
      <c r="B7" s="39">
        <f>Prevalence!BP79*0.2</f>
        <v>77009.316624790008</v>
      </c>
      <c r="C7" s="37" t="s">
        <v>380</v>
      </c>
      <c r="D7" s="37">
        <v>120</v>
      </c>
      <c r="E7" s="56">
        <v>13</v>
      </c>
      <c r="F7" s="31">
        <f>0.1025*120</f>
        <v>12.299999999999999</v>
      </c>
      <c r="G7" s="47">
        <f t="shared" ref="G7:G8" si="0">B7*E7</f>
        <v>1001121.1161222701</v>
      </c>
      <c r="H7" s="46">
        <f t="shared" ref="H7:H14" si="1">B7*E7/D7</f>
        <v>8342.6759676855836</v>
      </c>
      <c r="I7" s="51">
        <f t="shared" ref="I7:I8" si="2">H7*F7/1000</f>
        <v>102.61491440253266</v>
      </c>
      <c r="J7" s="52" t="s">
        <v>381</v>
      </c>
    </row>
    <row r="8" spans="1:10" ht="113.25" customHeight="1" x14ac:dyDescent="0.35">
      <c r="A8" s="37" t="s">
        <v>382</v>
      </c>
      <c r="B8" s="39">
        <f>Prevalence!BP79*0.2</f>
        <v>77009.316624790008</v>
      </c>
      <c r="C8" s="37" t="s">
        <v>383</v>
      </c>
      <c r="D8" s="37">
        <v>90</v>
      </c>
      <c r="E8" s="56">
        <v>4.5</v>
      </c>
      <c r="F8" s="49">
        <f>0.114*90</f>
        <v>10.26</v>
      </c>
      <c r="G8" s="47">
        <f t="shared" si="0"/>
        <v>346541.92481155501</v>
      </c>
      <c r="H8" s="46">
        <f t="shared" si="1"/>
        <v>3850.4658312394999</v>
      </c>
      <c r="I8" s="51">
        <f t="shared" si="2"/>
        <v>39.505779428517272</v>
      </c>
      <c r="J8" s="52" t="s">
        <v>384</v>
      </c>
    </row>
    <row r="9" spans="1:10" ht="62" x14ac:dyDescent="0.35">
      <c r="A9" s="26" t="s">
        <v>385</v>
      </c>
      <c r="B9" s="27">
        <f>Prevalence!BP79*0.9</f>
        <v>346541.92481155507</v>
      </c>
      <c r="C9" s="26" t="s">
        <v>386</v>
      </c>
      <c r="D9" s="26">
        <v>150</v>
      </c>
      <c r="E9" s="26">
        <v>150</v>
      </c>
      <c r="F9" s="29">
        <v>13.8</v>
      </c>
      <c r="G9" s="47">
        <f>B9*E9</f>
        <v>51981288.721733257</v>
      </c>
      <c r="H9" s="46">
        <f t="shared" si="1"/>
        <v>346541.92481155507</v>
      </c>
      <c r="I9" s="51">
        <f>H9*F9/1000</f>
        <v>4782.2785623994596</v>
      </c>
      <c r="J9" s="57" t="s">
        <v>435</v>
      </c>
    </row>
    <row r="10" spans="1:10" ht="46.5" x14ac:dyDescent="0.35">
      <c r="A10" s="28" t="s">
        <v>387</v>
      </c>
      <c r="B10" s="27">
        <f>Prevalence!D44*Burden!F26*Prevalence!J44</f>
        <v>198527.3138</v>
      </c>
      <c r="C10" s="26" t="s">
        <v>388</v>
      </c>
      <c r="D10" s="26">
        <v>1</v>
      </c>
      <c r="E10" s="26">
        <v>0.6</v>
      </c>
      <c r="F10" s="29">
        <v>25</v>
      </c>
      <c r="G10" s="47">
        <f>B10*E10</f>
        <v>119116.38828</v>
      </c>
      <c r="H10" s="46">
        <f t="shared" si="1"/>
        <v>119116.38828</v>
      </c>
      <c r="I10" s="51">
        <f>H10*F10/1000</f>
        <v>2977.9097069999998</v>
      </c>
      <c r="J10" s="58" t="s">
        <v>389</v>
      </c>
    </row>
    <row r="11" spans="1:10" ht="48.75" customHeight="1" x14ac:dyDescent="0.35">
      <c r="A11" s="32" t="s">
        <v>390</v>
      </c>
      <c r="B11" s="36">
        <f>'Other interventions'!H14</f>
        <v>2534391.2399999998</v>
      </c>
      <c r="C11" s="33" t="s">
        <v>391</v>
      </c>
      <c r="D11" s="26">
        <v>1</v>
      </c>
      <c r="E11" s="34" t="s">
        <v>392</v>
      </c>
      <c r="F11" s="29">
        <v>1.5</v>
      </c>
      <c r="G11" s="47" t="e">
        <f>$B$11*E11</f>
        <v>#VALUE!</v>
      </c>
      <c r="H11" s="46" t="e">
        <f t="shared" si="1"/>
        <v>#VALUE!</v>
      </c>
      <c r="I11" s="51" t="e">
        <f>H11*F11/1000</f>
        <v>#VALUE!</v>
      </c>
      <c r="J11" s="26"/>
    </row>
    <row r="12" spans="1:10" ht="48.75" customHeight="1" x14ac:dyDescent="0.35">
      <c r="A12" s="35"/>
      <c r="B12" s="38"/>
      <c r="C12" s="33" t="s">
        <v>393</v>
      </c>
      <c r="D12" s="28">
        <v>36</v>
      </c>
      <c r="E12" s="32">
        <v>50</v>
      </c>
      <c r="F12" s="32">
        <f>36*0.325</f>
        <v>11.700000000000001</v>
      </c>
      <c r="G12" s="47">
        <f>$B$11*E12</f>
        <v>126719561.99999999</v>
      </c>
      <c r="H12" s="46">
        <f t="shared" si="1"/>
        <v>0</v>
      </c>
      <c r="I12" s="51">
        <f>H12*F12/1000</f>
        <v>0</v>
      </c>
      <c r="J12" s="58" t="s">
        <v>394</v>
      </c>
    </row>
    <row r="13" spans="1:10" ht="31" x14ac:dyDescent="0.35">
      <c r="A13" s="32" t="s">
        <v>395</v>
      </c>
      <c r="B13" s="30" t="s">
        <v>396</v>
      </c>
      <c r="C13" s="33" t="s">
        <v>397</v>
      </c>
      <c r="D13" s="26">
        <v>6</v>
      </c>
      <c r="E13" s="26">
        <v>675</v>
      </c>
      <c r="F13" s="29">
        <f>200*6</f>
        <v>1200</v>
      </c>
      <c r="G13" s="47" t="e">
        <f>$B$13*E13</f>
        <v>#VALUE!</v>
      </c>
      <c r="H13" s="46" t="e">
        <f t="shared" si="1"/>
        <v>#VALUE!</v>
      </c>
      <c r="I13" s="51" t="e">
        <f t="shared" ref="I13" si="3">H13*F13/1000</f>
        <v>#VALUE!</v>
      </c>
      <c r="J13" s="52" t="s">
        <v>398</v>
      </c>
    </row>
    <row r="14" spans="1:10" ht="31.5" thickBot="1" x14ac:dyDescent="0.4">
      <c r="A14" s="31"/>
      <c r="B14" s="37"/>
      <c r="C14" s="33" t="s">
        <v>399</v>
      </c>
      <c r="D14" s="26">
        <v>1</v>
      </c>
      <c r="E14" s="26">
        <v>50</v>
      </c>
      <c r="F14" s="29">
        <v>400</v>
      </c>
      <c r="G14" s="48" t="e">
        <f>$B$13*E14</f>
        <v>#VALUE!</v>
      </c>
      <c r="H14" s="46">
        <f t="shared" si="1"/>
        <v>0</v>
      </c>
      <c r="I14" s="54">
        <f t="shared" ref="I14" si="4">H14*F14/1000</f>
        <v>0</v>
      </c>
      <c r="J14" s="52" t="s">
        <v>400</v>
      </c>
    </row>
  </sheetData>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499984740745262"/>
  </sheetPr>
  <dimension ref="A1:J74"/>
  <sheetViews>
    <sheetView zoomScale="85" zoomScaleNormal="85" workbookViewId="0">
      <selection activeCell="J8" sqref="J8"/>
    </sheetView>
  </sheetViews>
  <sheetFormatPr defaultColWidth="16.83203125" defaultRowHeight="15.5" x14ac:dyDescent="0.35"/>
  <cols>
    <col min="1" max="1" width="12.83203125" style="62" customWidth="1"/>
    <col min="2" max="2" width="15" style="61" bestFit="1" customWidth="1"/>
    <col min="3" max="3" width="16.33203125" style="61" bestFit="1" customWidth="1"/>
    <col min="4" max="4" width="15" style="61" bestFit="1" customWidth="1"/>
    <col min="5" max="5" width="16.33203125" style="61" bestFit="1" customWidth="1"/>
    <col min="6" max="6" width="13.33203125" style="61" bestFit="1" customWidth="1"/>
    <col min="7" max="7" width="16.33203125" style="61" bestFit="1" customWidth="1"/>
    <col min="8" max="16384" width="16.83203125" style="62"/>
  </cols>
  <sheetData>
    <row r="1" spans="1:10" x14ac:dyDescent="0.35">
      <c r="A1" s="232" t="s">
        <v>401</v>
      </c>
      <c r="B1" s="233"/>
      <c r="C1" s="233"/>
      <c r="D1" s="233"/>
      <c r="E1" s="233"/>
      <c r="F1" s="233"/>
      <c r="G1" s="233"/>
    </row>
    <row r="3" spans="1:10" s="60" customFormat="1" ht="70.5" customHeight="1" x14ac:dyDescent="0.35">
      <c r="A3" s="250" t="s">
        <v>402</v>
      </c>
      <c r="B3" s="251" t="s">
        <v>403</v>
      </c>
      <c r="C3" s="251" t="s">
        <v>404</v>
      </c>
      <c r="D3" s="251" t="s">
        <v>405</v>
      </c>
      <c r="E3" s="251" t="s">
        <v>406</v>
      </c>
      <c r="F3" s="251" t="s">
        <v>407</v>
      </c>
      <c r="G3" s="251" t="s">
        <v>408</v>
      </c>
    </row>
    <row r="4" spans="1:10" x14ac:dyDescent="0.35">
      <c r="A4" s="252" t="s">
        <v>32</v>
      </c>
      <c r="B4" s="253">
        <v>12892.19566182892</v>
      </c>
      <c r="C4" s="253">
        <v>9669.1467463716908</v>
      </c>
      <c r="D4" s="253">
        <v>37594.2400379912</v>
      </c>
      <c r="E4" s="253">
        <v>28195.6800284934</v>
      </c>
      <c r="F4" s="253">
        <v>16860.800159999999</v>
      </c>
      <c r="G4" s="253">
        <v>12645.600119999999</v>
      </c>
    </row>
    <row r="5" spans="1:10" x14ac:dyDescent="0.35">
      <c r="A5" s="252" t="s">
        <v>33</v>
      </c>
      <c r="B5" s="253">
        <v>6711.71072</v>
      </c>
      <c r="C5" s="253">
        <v>5033.7830400000003</v>
      </c>
      <c r="D5" s="253">
        <v>27476.065760000009</v>
      </c>
      <c r="E5" s="253">
        <v>20607.049320000006</v>
      </c>
      <c r="F5" s="253">
        <v>6695.5767999999998</v>
      </c>
      <c r="G5" s="253">
        <v>5021.6826000000001</v>
      </c>
    </row>
    <row r="6" spans="1:10" x14ac:dyDescent="0.35">
      <c r="A6" s="252" t="s">
        <v>34</v>
      </c>
      <c r="B6" s="253">
        <v>10594.669865300644</v>
      </c>
      <c r="C6" s="253">
        <v>7946.0023989754827</v>
      </c>
      <c r="D6" s="253">
        <v>37950.486803213207</v>
      </c>
      <c r="E6" s="253">
        <v>28462.865102409905</v>
      </c>
      <c r="F6" s="253">
        <v>7489.9095200000002</v>
      </c>
      <c r="G6" s="253">
        <v>5617.4321399999999</v>
      </c>
      <c r="J6" s="264">
        <f>62/114</f>
        <v>0.54385964912280704</v>
      </c>
    </row>
    <row r="7" spans="1:10" x14ac:dyDescent="0.35">
      <c r="A7" s="252" t="s">
        <v>35</v>
      </c>
      <c r="B7" s="253">
        <v>7870.614941024859</v>
      </c>
      <c r="C7" s="253">
        <v>5902.9612057686445</v>
      </c>
      <c r="D7" s="253">
        <v>31822.35081531492</v>
      </c>
      <c r="E7" s="253">
        <v>23866.763111486191</v>
      </c>
      <c r="F7" s="253">
        <v>17542.99296</v>
      </c>
      <c r="G7" s="253">
        <v>13157.244719999999</v>
      </c>
    </row>
    <row r="8" spans="1:10" x14ac:dyDescent="0.35">
      <c r="A8" s="252" t="s">
        <v>36</v>
      </c>
      <c r="B8" s="253">
        <v>2581.1826028585438</v>
      </c>
      <c r="C8" s="253">
        <v>1935.8869521439078</v>
      </c>
      <c r="D8" s="253">
        <v>9419.8979385150651</v>
      </c>
      <c r="E8" s="253">
        <v>7064.9234538862984</v>
      </c>
      <c r="F8" s="253">
        <v>4073.5116799999996</v>
      </c>
      <c r="G8" s="253">
        <v>3055.1337599999997</v>
      </c>
      <c r="J8" s="265">
        <f>10.3/45</f>
        <v>0.22888888888888889</v>
      </c>
    </row>
    <row r="9" spans="1:10" x14ac:dyDescent="0.35">
      <c r="A9" s="252" t="s">
        <v>37</v>
      </c>
      <c r="B9" s="253">
        <v>2404.5453031291895</v>
      </c>
      <c r="C9" s="253">
        <v>1803.4089773468922</v>
      </c>
      <c r="D9" s="253">
        <v>10285.519025817914</v>
      </c>
      <c r="E9" s="253">
        <v>7714.1392693634352</v>
      </c>
      <c r="F9" s="253">
        <v>3558.1527999999998</v>
      </c>
      <c r="G9" s="253">
        <v>2668.6145999999999</v>
      </c>
    </row>
    <row r="10" spans="1:10" x14ac:dyDescent="0.35">
      <c r="A10" s="252" t="s">
        <v>38</v>
      </c>
      <c r="B10" s="253">
        <v>3330.7573532488173</v>
      </c>
      <c r="C10" s="253">
        <v>2498.0680149366131</v>
      </c>
      <c r="D10" s="253">
        <v>8462.9016662751146</v>
      </c>
      <c r="E10" s="253">
        <v>6347.1762497063355</v>
      </c>
      <c r="F10" s="253">
        <v>3137.1158400000004</v>
      </c>
      <c r="G10" s="253">
        <v>2352.8368800000003</v>
      </c>
    </row>
    <row r="11" spans="1:10" x14ac:dyDescent="0.35">
      <c r="A11" s="252" t="s">
        <v>39</v>
      </c>
      <c r="B11" s="253">
        <v>6493.1922943744494</v>
      </c>
      <c r="C11" s="253">
        <v>4869.8942207808368</v>
      </c>
      <c r="D11" s="253">
        <v>15773.836261229146</v>
      </c>
      <c r="E11" s="253">
        <v>11830.377195921859</v>
      </c>
      <c r="F11" s="253">
        <v>13321.195199999996</v>
      </c>
      <c r="G11" s="253">
        <v>9990.8963999999978</v>
      </c>
    </row>
    <row r="12" spans="1:10" x14ac:dyDescent="0.35">
      <c r="A12" s="252" t="s">
        <v>40</v>
      </c>
      <c r="B12" s="253">
        <v>38460.790784000004</v>
      </c>
      <c r="C12" s="253">
        <v>28845.593088000001</v>
      </c>
      <c r="D12" s="253">
        <v>101869.12153600001</v>
      </c>
      <c r="E12" s="253">
        <v>76401.841152000008</v>
      </c>
      <c r="F12" s="253">
        <v>3098.4524799999999</v>
      </c>
      <c r="G12" s="253">
        <v>2323.8393599999999</v>
      </c>
    </row>
    <row r="13" spans="1:10" x14ac:dyDescent="0.35">
      <c r="A13" s="252" t="s">
        <v>41</v>
      </c>
      <c r="B13" s="253">
        <v>24518.562431999995</v>
      </c>
      <c r="C13" s="253">
        <v>18388.921823999997</v>
      </c>
      <c r="D13" s="253">
        <v>60420.743135999997</v>
      </c>
      <c r="E13" s="253">
        <v>45315.557351999996</v>
      </c>
      <c r="F13" s="253">
        <v>4266.0502399999996</v>
      </c>
      <c r="G13" s="253">
        <v>3199.5376799999995</v>
      </c>
    </row>
    <row r="14" spans="1:10" x14ac:dyDescent="0.35">
      <c r="A14" s="252" t="s">
        <v>42</v>
      </c>
      <c r="B14" s="253">
        <v>12516.434944000002</v>
      </c>
      <c r="C14" s="253">
        <v>9387.3262080000022</v>
      </c>
      <c r="D14" s="253">
        <v>49674.601184000006</v>
      </c>
      <c r="E14" s="253">
        <v>37255.950888000007</v>
      </c>
      <c r="F14" s="253">
        <v>2783.1015200000006</v>
      </c>
      <c r="G14" s="253">
        <v>2087.3261400000006</v>
      </c>
    </row>
    <row r="15" spans="1:10" x14ac:dyDescent="0.35">
      <c r="A15" s="252" t="s">
        <v>43</v>
      </c>
      <c r="B15" s="253">
        <v>28878.625152000004</v>
      </c>
      <c r="C15" s="253">
        <v>21658.968864000002</v>
      </c>
      <c r="D15" s="253">
        <v>87438.059487999999</v>
      </c>
      <c r="E15" s="253">
        <v>65578.544615999999</v>
      </c>
      <c r="F15" s="253">
        <v>16660.745280000003</v>
      </c>
      <c r="G15" s="253">
        <v>12495.558960000002</v>
      </c>
    </row>
    <row r="16" spans="1:10" x14ac:dyDescent="0.35">
      <c r="A16" s="252" t="s">
        <v>44</v>
      </c>
      <c r="B16" s="253">
        <v>4700.4827594983144</v>
      </c>
      <c r="C16" s="253">
        <v>3525.3620696237358</v>
      </c>
      <c r="D16" s="253">
        <v>14333.687750655985</v>
      </c>
      <c r="E16" s="253">
        <v>10750.265812991989</v>
      </c>
      <c r="F16" s="253">
        <v>8886.384</v>
      </c>
      <c r="G16" s="253">
        <v>6664.7880000000005</v>
      </c>
    </row>
    <row r="17" spans="1:7" x14ac:dyDescent="0.35">
      <c r="A17" s="252" t="s">
        <v>45</v>
      </c>
      <c r="B17" s="253">
        <v>37771.809209729581</v>
      </c>
      <c r="C17" s="253">
        <v>28328.856907297188</v>
      </c>
      <c r="D17" s="253">
        <v>122997.99154306832</v>
      </c>
      <c r="E17" s="253">
        <v>92248.493657301238</v>
      </c>
      <c r="F17" s="253">
        <v>14837.795039999999</v>
      </c>
      <c r="G17" s="253">
        <v>11128.34628</v>
      </c>
    </row>
    <row r="18" spans="1:7" x14ac:dyDescent="0.35">
      <c r="A18" s="252" t="s">
        <v>46</v>
      </c>
      <c r="B18" s="253">
        <v>32311.856512000002</v>
      </c>
      <c r="C18" s="253">
        <v>24233.892384000002</v>
      </c>
      <c r="D18" s="253">
        <v>95372.092607999992</v>
      </c>
      <c r="E18" s="253">
        <v>71529.069455999997</v>
      </c>
      <c r="F18" s="253">
        <v>3708.246560000001</v>
      </c>
      <c r="G18" s="253">
        <v>2781.1849200000006</v>
      </c>
    </row>
    <row r="19" spans="1:7" x14ac:dyDescent="0.35">
      <c r="A19" s="252" t="s">
        <v>47</v>
      </c>
      <c r="B19" s="253">
        <v>4076.4061500110324</v>
      </c>
      <c r="C19" s="253">
        <v>3057.3046125082742</v>
      </c>
      <c r="D19" s="253">
        <v>13861.226425418967</v>
      </c>
      <c r="E19" s="253">
        <v>10395.919819064226</v>
      </c>
      <c r="F19" s="253">
        <v>5665.8167999999996</v>
      </c>
      <c r="G19" s="253">
        <v>4249.3625999999995</v>
      </c>
    </row>
    <row r="20" spans="1:7" x14ac:dyDescent="0.35">
      <c r="A20" s="252" t="s">
        <v>48</v>
      </c>
      <c r="B20" s="253">
        <v>7775.2064</v>
      </c>
      <c r="C20" s="253">
        <v>5831.4048000000003</v>
      </c>
      <c r="D20" s="253">
        <v>34016.528000000006</v>
      </c>
      <c r="E20" s="253">
        <v>25512.396000000004</v>
      </c>
      <c r="F20" s="253">
        <v>3738.08</v>
      </c>
      <c r="G20" s="253">
        <v>2803.56</v>
      </c>
    </row>
    <row r="21" spans="1:7" x14ac:dyDescent="0.35">
      <c r="A21" s="252" t="s">
        <v>49</v>
      </c>
      <c r="B21" s="253">
        <v>7813.8652800000009</v>
      </c>
      <c r="C21" s="253">
        <v>5860.3989600000004</v>
      </c>
      <c r="D21" s="253">
        <v>30302.550720000003</v>
      </c>
      <c r="E21" s="253">
        <v>22726.913040000003</v>
      </c>
      <c r="F21" s="253">
        <v>1869.1704</v>
      </c>
      <c r="G21" s="253">
        <v>1401.8778</v>
      </c>
    </row>
    <row r="22" spans="1:7" x14ac:dyDescent="0.35">
      <c r="A22" s="252" t="s">
        <v>50</v>
      </c>
      <c r="B22" s="253">
        <v>11653.835163776088</v>
      </c>
      <c r="C22" s="253">
        <v>8740.3763728320664</v>
      </c>
      <c r="D22" s="253">
        <v>32233.837132331621</v>
      </c>
      <c r="E22" s="253">
        <v>24175.377849248714</v>
      </c>
      <c r="F22" s="253">
        <v>10459.445679999999</v>
      </c>
      <c r="G22" s="253">
        <v>7844.5842599999996</v>
      </c>
    </row>
    <row r="23" spans="1:7" x14ac:dyDescent="0.35">
      <c r="A23" s="252" t="s">
        <v>51</v>
      </c>
      <c r="B23" s="253">
        <v>10739.686464000002</v>
      </c>
      <c r="C23" s="253">
        <v>8054.7648480000016</v>
      </c>
      <c r="D23" s="253">
        <v>31653.812736000007</v>
      </c>
      <c r="E23" s="253">
        <v>23740.359552000005</v>
      </c>
      <c r="F23" s="253">
        <v>3007.4020800000003</v>
      </c>
      <c r="G23" s="253">
        <v>2255.5515600000003</v>
      </c>
    </row>
    <row r="24" spans="1:7" x14ac:dyDescent="0.35">
      <c r="A24" s="252" t="s">
        <v>52</v>
      </c>
      <c r="B24" s="253">
        <v>2041.7204363250473</v>
      </c>
      <c r="C24" s="253">
        <v>1531.2903272437854</v>
      </c>
      <c r="D24" s="253">
        <v>11191.034558790818</v>
      </c>
      <c r="E24" s="253">
        <v>8393.2759190931138</v>
      </c>
      <c r="F24" s="253">
        <v>1307.1947999999998</v>
      </c>
      <c r="G24" s="253">
        <v>980.39609999999982</v>
      </c>
    </row>
    <row r="25" spans="1:7" x14ac:dyDescent="0.35">
      <c r="A25" s="252" t="s">
        <v>53</v>
      </c>
      <c r="B25" s="253">
        <v>6429.0636800000002</v>
      </c>
      <c r="C25" s="253">
        <v>4821.7977600000004</v>
      </c>
      <c r="D25" s="253">
        <v>56575.760384000001</v>
      </c>
      <c r="E25" s="253">
        <v>42431.820288000003</v>
      </c>
      <c r="F25" s="253">
        <v>9643.5955199999989</v>
      </c>
      <c r="G25" s="253">
        <v>7232.6966399999992</v>
      </c>
    </row>
    <row r="26" spans="1:7" x14ac:dyDescent="0.35">
      <c r="A26" s="252" t="s">
        <v>54</v>
      </c>
      <c r="B26" s="253">
        <v>2606.3688394060973</v>
      </c>
      <c r="C26" s="253">
        <v>1954.776629554573</v>
      </c>
      <c r="D26" s="253">
        <v>6595.1786641499375</v>
      </c>
      <c r="E26" s="253">
        <v>4946.3839981124529</v>
      </c>
      <c r="F26" s="253">
        <v>3115.53728</v>
      </c>
      <c r="G26" s="253">
        <v>2336.6529599999999</v>
      </c>
    </row>
    <row r="27" spans="1:7" x14ac:dyDescent="0.35">
      <c r="A27" s="252" t="s">
        <v>55</v>
      </c>
      <c r="B27" s="253">
        <v>5442.9510719999998</v>
      </c>
      <c r="C27" s="253">
        <v>4082.2133039999999</v>
      </c>
      <c r="D27" s="253">
        <v>20833.364448</v>
      </c>
      <c r="E27" s="253">
        <v>15625.023336</v>
      </c>
      <c r="F27" s="253">
        <v>372.96967999999998</v>
      </c>
      <c r="G27" s="253">
        <v>279.72726</v>
      </c>
    </row>
    <row r="28" spans="1:7" x14ac:dyDescent="0.35">
      <c r="A28" s="252" t="s">
        <v>56</v>
      </c>
      <c r="B28" s="253">
        <v>6066.1698240000005</v>
      </c>
      <c r="C28" s="253">
        <v>4549.6273680000004</v>
      </c>
      <c r="D28" s="253">
        <v>23161.739328</v>
      </c>
      <c r="E28" s="253">
        <v>17371.304496000001</v>
      </c>
      <c r="F28" s="253">
        <v>0</v>
      </c>
      <c r="G28" s="253">
        <v>0</v>
      </c>
    </row>
    <row r="29" spans="1:7" x14ac:dyDescent="0.35">
      <c r="A29" s="252" t="s">
        <v>57</v>
      </c>
      <c r="B29" s="253">
        <v>5603.0208000000011</v>
      </c>
      <c r="C29" s="253">
        <v>4202.2656000000006</v>
      </c>
      <c r="D29" s="253">
        <v>24513.216</v>
      </c>
      <c r="E29" s="253">
        <v>18384.912</v>
      </c>
      <c r="F29" s="253">
        <v>2289.6959999999999</v>
      </c>
      <c r="G29" s="253">
        <v>1717.2719999999999</v>
      </c>
    </row>
    <row r="30" spans="1:7" x14ac:dyDescent="0.35">
      <c r="A30" s="252" t="s">
        <v>58</v>
      </c>
      <c r="B30" s="253">
        <v>3569.3028800000006</v>
      </c>
      <c r="C30" s="253">
        <v>2676.9771600000004</v>
      </c>
      <c r="D30" s="253">
        <v>11486.665631999998</v>
      </c>
      <c r="E30" s="253">
        <v>8614.9992239999992</v>
      </c>
      <c r="F30" s="253">
        <v>1060.8068000000001</v>
      </c>
      <c r="G30" s="253">
        <v>795.60509999999999</v>
      </c>
    </row>
    <row r="31" spans="1:7" x14ac:dyDescent="0.35">
      <c r="A31" s="252" t="s">
        <v>59</v>
      </c>
      <c r="B31" s="253">
        <v>6625.7788131560519</v>
      </c>
      <c r="C31" s="253">
        <v>4969.3341098670389</v>
      </c>
      <c r="D31" s="253">
        <v>19493.055308140651</v>
      </c>
      <c r="E31" s="253">
        <v>14619.791481105487</v>
      </c>
      <c r="F31" s="253">
        <v>5244.1691999999994</v>
      </c>
      <c r="G31" s="253">
        <v>3933.1268999999993</v>
      </c>
    </row>
    <row r="32" spans="1:7" x14ac:dyDescent="0.35">
      <c r="A32" s="252" t="s">
        <v>60</v>
      </c>
      <c r="B32" s="253">
        <v>7140.3642699421935</v>
      </c>
      <c r="C32" s="253">
        <v>5355.2732024566449</v>
      </c>
      <c r="D32" s="253">
        <v>12783.763705983607</v>
      </c>
      <c r="E32" s="253">
        <v>9587.8227794877057</v>
      </c>
      <c r="F32" s="253">
        <v>3029.6601599999999</v>
      </c>
      <c r="G32" s="253">
        <v>2272.24512</v>
      </c>
    </row>
    <row r="33" spans="1:7" x14ac:dyDescent="0.35">
      <c r="A33" s="252" t="s">
        <v>61</v>
      </c>
      <c r="B33" s="253">
        <v>4157.9022290255143</v>
      </c>
      <c r="C33" s="253">
        <v>3118.4266717691357</v>
      </c>
      <c r="D33" s="253">
        <v>14578.604109124033</v>
      </c>
      <c r="E33" s="253">
        <v>10933.953081843025</v>
      </c>
      <c r="F33" s="253">
        <v>5690.43</v>
      </c>
      <c r="G33" s="253">
        <v>4267.8225000000002</v>
      </c>
    </row>
    <row r="34" spans="1:7" x14ac:dyDescent="0.35">
      <c r="A34" s="252" t="s">
        <v>62</v>
      </c>
      <c r="B34" s="253">
        <v>10868.642283679283</v>
      </c>
      <c r="C34" s="253">
        <v>8151.4817127594615</v>
      </c>
      <c r="D34" s="253">
        <v>33062.278438058987</v>
      </c>
      <c r="E34" s="253">
        <v>24796.708828544241</v>
      </c>
      <c r="F34" s="253">
        <v>9923.3331200000011</v>
      </c>
      <c r="G34" s="253">
        <v>7442.4998400000004</v>
      </c>
    </row>
    <row r="35" spans="1:7" x14ac:dyDescent="0.35">
      <c r="A35" s="252" t="s">
        <v>63</v>
      </c>
      <c r="B35" s="253">
        <v>16623.115633831665</v>
      </c>
      <c r="C35" s="253">
        <v>12467.336725373749</v>
      </c>
      <c r="D35" s="253">
        <v>31995.339143443674</v>
      </c>
      <c r="E35" s="253">
        <v>23996.504357582755</v>
      </c>
      <c r="F35" s="253">
        <v>1197.3830399999999</v>
      </c>
      <c r="G35" s="253">
        <v>898.03728000000001</v>
      </c>
    </row>
    <row r="36" spans="1:7" x14ac:dyDescent="0.35">
      <c r="A36" s="252" t="s">
        <v>64</v>
      </c>
      <c r="B36" s="253">
        <v>22123.017152539494</v>
      </c>
      <c r="C36" s="253">
        <v>16592.26286440462</v>
      </c>
      <c r="D36" s="253">
        <v>41780.044863867341</v>
      </c>
      <c r="E36" s="253">
        <v>31335.033647900505</v>
      </c>
      <c r="F36" s="253">
        <v>1939.4464</v>
      </c>
      <c r="G36" s="253">
        <v>1454.5848000000001</v>
      </c>
    </row>
    <row r="37" spans="1:7" x14ac:dyDescent="0.35">
      <c r="A37" s="252" t="s">
        <v>65</v>
      </c>
      <c r="B37" s="253">
        <v>5881.5795539013379</v>
      </c>
      <c r="C37" s="253">
        <v>4411.1846654260034</v>
      </c>
      <c r="D37" s="253">
        <v>12057.588806893786</v>
      </c>
      <c r="E37" s="253">
        <v>9043.1916051703392</v>
      </c>
      <c r="F37" s="253">
        <v>816.26688000000001</v>
      </c>
      <c r="G37" s="253">
        <v>612.20015999999998</v>
      </c>
    </row>
    <row r="38" spans="1:7" x14ac:dyDescent="0.35">
      <c r="A38" s="252" t="s">
        <v>66</v>
      </c>
      <c r="B38" s="253">
        <v>379275.42746058718</v>
      </c>
      <c r="C38" s="253">
        <v>284456.57059544034</v>
      </c>
      <c r="D38" s="253">
        <v>1173067.1839582843</v>
      </c>
      <c r="E38" s="253">
        <v>879800.3879687133</v>
      </c>
      <c r="F38" s="253">
        <v>197290.43391999995</v>
      </c>
      <c r="G38" s="253">
        <v>147967.82544000002</v>
      </c>
    </row>
    <row r="39" spans="1:7" x14ac:dyDescent="0.35">
      <c r="A39"/>
      <c r="B39"/>
      <c r="C39"/>
      <c r="D39"/>
      <c r="E39"/>
      <c r="F39"/>
      <c r="G39"/>
    </row>
    <row r="40" spans="1:7" x14ac:dyDescent="0.35">
      <c r="A40"/>
      <c r="B40"/>
      <c r="C40"/>
      <c r="D40"/>
      <c r="E40"/>
      <c r="F40"/>
      <c r="G40"/>
    </row>
    <row r="41" spans="1:7" x14ac:dyDescent="0.35">
      <c r="A41"/>
      <c r="B41"/>
      <c r="C41"/>
      <c r="D41"/>
      <c r="E41"/>
      <c r="F41"/>
      <c r="G41"/>
    </row>
    <row r="42" spans="1:7" x14ac:dyDescent="0.35">
      <c r="A42"/>
      <c r="B42"/>
      <c r="C42"/>
      <c r="D42"/>
      <c r="E42"/>
      <c r="F42"/>
      <c r="G42"/>
    </row>
    <row r="43" spans="1:7" x14ac:dyDescent="0.35">
      <c r="A43"/>
      <c r="B43"/>
      <c r="C43"/>
      <c r="D43"/>
      <c r="E43"/>
      <c r="F43"/>
      <c r="G43"/>
    </row>
    <row r="44" spans="1:7" x14ac:dyDescent="0.35">
      <c r="A44"/>
      <c r="B44"/>
      <c r="C44"/>
      <c r="D44"/>
      <c r="E44"/>
      <c r="F44"/>
      <c r="G44"/>
    </row>
    <row r="45" spans="1:7" x14ac:dyDescent="0.35">
      <c r="A45"/>
      <c r="B45"/>
      <c r="C45"/>
      <c r="D45"/>
      <c r="E45"/>
      <c r="F45"/>
      <c r="G45"/>
    </row>
    <row r="46" spans="1:7" x14ac:dyDescent="0.35">
      <c r="A46"/>
      <c r="B46"/>
      <c r="C46"/>
      <c r="D46"/>
      <c r="E46"/>
      <c r="F46"/>
      <c r="G46"/>
    </row>
    <row r="47" spans="1:7" x14ac:dyDescent="0.35">
      <c r="A47"/>
      <c r="B47"/>
      <c r="C47"/>
      <c r="D47"/>
      <c r="E47"/>
      <c r="F47"/>
      <c r="G47"/>
    </row>
    <row r="48" spans="1:7" x14ac:dyDescent="0.35">
      <c r="A48"/>
      <c r="B48"/>
      <c r="C48"/>
      <c r="D48"/>
      <c r="E48"/>
      <c r="F48"/>
      <c r="G48"/>
    </row>
    <row r="49" spans="1:7" x14ac:dyDescent="0.35">
      <c r="A49"/>
      <c r="B49"/>
      <c r="C49"/>
      <c r="D49"/>
      <c r="E49"/>
      <c r="F49"/>
      <c r="G49"/>
    </row>
    <row r="50" spans="1:7" x14ac:dyDescent="0.35">
      <c r="A50"/>
      <c r="B50"/>
      <c r="C50"/>
      <c r="D50"/>
      <c r="E50"/>
      <c r="F50"/>
      <c r="G50"/>
    </row>
    <row r="51" spans="1:7" x14ac:dyDescent="0.35">
      <c r="A51"/>
      <c r="B51"/>
      <c r="C51"/>
      <c r="D51"/>
      <c r="E51"/>
      <c r="F51"/>
      <c r="G51"/>
    </row>
    <row r="52" spans="1:7" x14ac:dyDescent="0.35">
      <c r="A52"/>
      <c r="B52"/>
      <c r="C52"/>
      <c r="D52"/>
      <c r="E52"/>
      <c r="F52"/>
      <c r="G52"/>
    </row>
    <row r="53" spans="1:7" x14ac:dyDescent="0.35">
      <c r="A53"/>
      <c r="B53"/>
      <c r="C53"/>
      <c r="D53"/>
      <c r="E53"/>
      <c r="F53"/>
      <c r="G53"/>
    </row>
    <row r="54" spans="1:7" x14ac:dyDescent="0.35">
      <c r="A54"/>
      <c r="B54"/>
      <c r="C54"/>
      <c r="D54"/>
      <c r="E54"/>
      <c r="F54"/>
      <c r="G54"/>
    </row>
    <row r="55" spans="1:7" x14ac:dyDescent="0.35">
      <c r="A55"/>
      <c r="B55"/>
      <c r="C55"/>
      <c r="D55"/>
      <c r="E55"/>
      <c r="F55"/>
      <c r="G55"/>
    </row>
    <row r="56" spans="1:7" x14ac:dyDescent="0.35">
      <c r="A56"/>
      <c r="B56"/>
      <c r="C56"/>
      <c r="D56"/>
      <c r="E56"/>
      <c r="F56"/>
      <c r="G56"/>
    </row>
    <row r="57" spans="1:7" x14ac:dyDescent="0.35">
      <c r="A57"/>
      <c r="B57"/>
      <c r="C57"/>
      <c r="D57"/>
      <c r="E57"/>
      <c r="F57"/>
      <c r="G57"/>
    </row>
    <row r="58" spans="1:7" x14ac:dyDescent="0.35">
      <c r="A58"/>
      <c r="B58"/>
      <c r="C58"/>
      <c r="D58"/>
      <c r="E58"/>
      <c r="F58"/>
      <c r="G58"/>
    </row>
    <row r="59" spans="1:7" x14ac:dyDescent="0.35">
      <c r="A59"/>
      <c r="B59"/>
      <c r="C59"/>
      <c r="D59"/>
      <c r="E59"/>
      <c r="F59"/>
      <c r="G59"/>
    </row>
    <row r="60" spans="1:7" x14ac:dyDescent="0.35">
      <c r="A60"/>
      <c r="B60"/>
      <c r="C60"/>
      <c r="D60"/>
      <c r="E60"/>
      <c r="F60"/>
      <c r="G60"/>
    </row>
    <row r="61" spans="1:7" x14ac:dyDescent="0.35">
      <c r="A61"/>
      <c r="B61"/>
      <c r="C61"/>
      <c r="D61"/>
      <c r="E61"/>
      <c r="F61"/>
      <c r="G61"/>
    </row>
    <row r="62" spans="1:7" x14ac:dyDescent="0.35">
      <c r="A62"/>
      <c r="B62"/>
      <c r="C62"/>
      <c r="D62"/>
      <c r="E62"/>
      <c r="F62"/>
      <c r="G62"/>
    </row>
    <row r="63" spans="1:7" x14ac:dyDescent="0.35">
      <c r="A63"/>
      <c r="B63"/>
      <c r="C63"/>
      <c r="D63"/>
      <c r="E63"/>
      <c r="F63"/>
      <c r="G63"/>
    </row>
    <row r="64" spans="1:7" x14ac:dyDescent="0.35">
      <c r="A64"/>
      <c r="B64"/>
      <c r="C64"/>
      <c r="D64"/>
      <c r="E64"/>
      <c r="F64"/>
      <c r="G64"/>
    </row>
    <row r="65" spans="1:7" x14ac:dyDescent="0.35">
      <c r="A65"/>
      <c r="B65"/>
      <c r="C65"/>
      <c r="D65"/>
      <c r="E65"/>
      <c r="F65"/>
      <c r="G65"/>
    </row>
    <row r="66" spans="1:7" x14ac:dyDescent="0.35">
      <c r="A66"/>
      <c r="B66"/>
      <c r="C66"/>
      <c r="D66"/>
      <c r="E66"/>
      <c r="F66"/>
      <c r="G66"/>
    </row>
    <row r="67" spans="1:7" x14ac:dyDescent="0.35">
      <c r="A67"/>
      <c r="B67"/>
      <c r="C67"/>
      <c r="D67"/>
      <c r="E67"/>
      <c r="F67"/>
      <c r="G67"/>
    </row>
    <row r="68" spans="1:7" x14ac:dyDescent="0.35">
      <c r="A68"/>
      <c r="B68"/>
      <c r="C68"/>
      <c r="D68"/>
      <c r="E68"/>
      <c r="F68"/>
      <c r="G68"/>
    </row>
    <row r="69" spans="1:7" x14ac:dyDescent="0.35">
      <c r="A69"/>
      <c r="B69"/>
      <c r="C69"/>
      <c r="D69"/>
      <c r="E69"/>
      <c r="F69"/>
      <c r="G69"/>
    </row>
    <row r="70" spans="1:7" x14ac:dyDescent="0.35">
      <c r="A70"/>
      <c r="B70"/>
      <c r="C70"/>
      <c r="D70"/>
      <c r="E70"/>
      <c r="F70"/>
      <c r="G70"/>
    </row>
    <row r="71" spans="1:7" x14ac:dyDescent="0.35">
      <c r="A71"/>
      <c r="B71"/>
      <c r="C71"/>
      <c r="D71"/>
      <c r="E71"/>
      <c r="F71"/>
      <c r="G71"/>
    </row>
    <row r="72" spans="1:7" x14ac:dyDescent="0.35">
      <c r="A72"/>
      <c r="B72"/>
      <c r="C72"/>
      <c r="D72"/>
      <c r="E72"/>
      <c r="F72"/>
      <c r="G72"/>
    </row>
    <row r="73" spans="1:7" x14ac:dyDescent="0.35">
      <c r="A73"/>
      <c r="B73"/>
      <c r="C73"/>
      <c r="D73"/>
      <c r="E73"/>
      <c r="F73"/>
      <c r="G73"/>
    </row>
    <row r="74" spans="1:7" x14ac:dyDescent="0.35">
      <c r="A74"/>
      <c r="B74"/>
      <c r="C74"/>
      <c r="D74"/>
      <c r="E74"/>
      <c r="F74"/>
      <c r="G7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sheetPr>
  <dimension ref="A3:G39"/>
  <sheetViews>
    <sheetView workbookViewId="0">
      <selection activeCell="G39" sqref="A3:G39"/>
    </sheetView>
  </sheetViews>
  <sheetFormatPr defaultColWidth="20.83203125" defaultRowHeight="15.5" x14ac:dyDescent="0.35"/>
  <cols>
    <col min="1" max="1" width="12.83203125" bestFit="1" customWidth="1"/>
    <col min="2" max="3" width="21.33203125" bestFit="1" customWidth="1"/>
    <col min="4" max="4" width="21.08203125" bestFit="1" customWidth="1"/>
    <col min="5" max="5" width="21.33203125" bestFit="1" customWidth="1"/>
    <col min="6" max="6" width="19.75" bestFit="1" customWidth="1"/>
    <col min="7" max="7" width="21.33203125" bestFit="1" customWidth="1"/>
  </cols>
  <sheetData>
    <row r="3" spans="1:7" s="11" customFormat="1" ht="99.75" customHeight="1" x14ac:dyDescent="0.35">
      <c r="A3" s="254" t="s">
        <v>402</v>
      </c>
      <c r="B3" s="255" t="s">
        <v>409</v>
      </c>
      <c r="C3" s="255" t="s">
        <v>410</v>
      </c>
      <c r="D3" s="255" t="s">
        <v>411</v>
      </c>
      <c r="E3" s="255" t="s">
        <v>412</v>
      </c>
      <c r="F3" s="255" t="s">
        <v>413</v>
      </c>
      <c r="G3" s="255" t="s">
        <v>414</v>
      </c>
    </row>
    <row r="4" spans="1:7" x14ac:dyDescent="0.35">
      <c r="A4" s="234" t="s">
        <v>415</v>
      </c>
      <c r="B4" s="235">
        <v>0</v>
      </c>
      <c r="C4" s="235">
        <v>0</v>
      </c>
      <c r="D4" s="235">
        <v>0</v>
      </c>
      <c r="E4" s="235">
        <v>0</v>
      </c>
      <c r="F4" s="235">
        <v>0</v>
      </c>
      <c r="G4" s="235">
        <v>0</v>
      </c>
    </row>
    <row r="5" spans="1:7" x14ac:dyDescent="0.35">
      <c r="A5" s="234" t="s">
        <v>32</v>
      </c>
      <c r="B5" s="235">
        <v>58007.34</v>
      </c>
      <c r="C5" s="235">
        <v>0</v>
      </c>
      <c r="D5" s="235">
        <v>96678.900000000009</v>
      </c>
      <c r="E5" s="235">
        <v>0</v>
      </c>
      <c r="F5" s="235">
        <v>154686.24</v>
      </c>
      <c r="G5" s="235">
        <v>0</v>
      </c>
    </row>
    <row r="6" spans="1:7" x14ac:dyDescent="0.35">
      <c r="A6" s="234" t="s">
        <v>33</v>
      </c>
      <c r="B6" s="235">
        <v>30251.099999999995</v>
      </c>
      <c r="C6" s="235">
        <v>0</v>
      </c>
      <c r="D6" s="235">
        <v>50418.5</v>
      </c>
      <c r="E6" s="235">
        <v>0</v>
      </c>
      <c r="F6" s="235">
        <v>80669.600000000006</v>
      </c>
      <c r="G6" s="235">
        <v>0</v>
      </c>
    </row>
    <row r="7" spans="1:7" x14ac:dyDescent="0.35">
      <c r="A7" s="234" t="s">
        <v>34</v>
      </c>
      <c r="B7" s="235">
        <v>55618.139999999992</v>
      </c>
      <c r="C7" s="235">
        <v>0</v>
      </c>
      <c r="D7" s="235">
        <v>92696.900000000009</v>
      </c>
      <c r="E7" s="235">
        <v>0</v>
      </c>
      <c r="F7" s="235">
        <v>148315.04</v>
      </c>
      <c r="G7" s="235">
        <v>0</v>
      </c>
    </row>
    <row r="8" spans="1:7" x14ac:dyDescent="0.35">
      <c r="A8" s="234" t="s">
        <v>35</v>
      </c>
      <c r="B8" s="235">
        <v>81217.56</v>
      </c>
      <c r="C8" s="235">
        <v>0</v>
      </c>
      <c r="D8" s="235">
        <v>135362.6</v>
      </c>
      <c r="E8" s="235">
        <v>0</v>
      </c>
      <c r="F8" s="235">
        <v>216580.16</v>
      </c>
      <c r="G8" s="235">
        <v>0</v>
      </c>
    </row>
    <row r="9" spans="1:7" x14ac:dyDescent="0.35">
      <c r="A9" s="234" t="s">
        <v>36</v>
      </c>
      <c r="B9" s="235">
        <v>27277.98</v>
      </c>
      <c r="C9" s="235">
        <v>0</v>
      </c>
      <c r="D9" s="235">
        <v>45463.30000000001</v>
      </c>
      <c r="E9" s="235">
        <v>0</v>
      </c>
      <c r="F9" s="235">
        <v>72741.279999999999</v>
      </c>
      <c r="G9" s="235">
        <v>0</v>
      </c>
    </row>
    <row r="10" spans="1:7" x14ac:dyDescent="0.35">
      <c r="A10" s="234" t="s">
        <v>37</v>
      </c>
      <c r="B10" s="235">
        <v>28090.680000000004</v>
      </c>
      <c r="C10" s="235">
        <v>0</v>
      </c>
      <c r="D10" s="235">
        <v>46817.80000000001</v>
      </c>
      <c r="E10" s="235">
        <v>0</v>
      </c>
      <c r="F10" s="235">
        <v>74908.479999999996</v>
      </c>
      <c r="G10" s="235">
        <v>0</v>
      </c>
    </row>
    <row r="11" spans="1:7" x14ac:dyDescent="0.35">
      <c r="A11" s="234" t="s">
        <v>38</v>
      </c>
      <c r="B11" s="235">
        <v>30958.379999999994</v>
      </c>
      <c r="C11" s="235">
        <v>0</v>
      </c>
      <c r="D11" s="235">
        <v>51597.30000000001</v>
      </c>
      <c r="E11" s="235">
        <v>0</v>
      </c>
      <c r="F11" s="235">
        <v>82555.680000000008</v>
      </c>
      <c r="G11" s="235">
        <v>0</v>
      </c>
    </row>
    <row r="12" spans="1:7" x14ac:dyDescent="0.35">
      <c r="A12" s="234" t="s">
        <v>39</v>
      </c>
      <c r="B12" s="235">
        <v>60920.1</v>
      </c>
      <c r="C12" s="235">
        <v>0</v>
      </c>
      <c r="D12" s="235">
        <v>101533.5</v>
      </c>
      <c r="E12" s="235">
        <v>0</v>
      </c>
      <c r="F12" s="235">
        <v>162453.6</v>
      </c>
      <c r="G12" s="235">
        <v>0</v>
      </c>
    </row>
    <row r="13" spans="1:7" x14ac:dyDescent="0.35">
      <c r="A13" s="234" t="s">
        <v>40</v>
      </c>
      <c r="B13" s="235">
        <v>74962.559999999998</v>
      </c>
      <c r="C13" s="235">
        <v>0</v>
      </c>
      <c r="D13" s="235">
        <v>124937.60000000002</v>
      </c>
      <c r="E13" s="235">
        <v>0</v>
      </c>
      <c r="F13" s="235">
        <v>199900.16</v>
      </c>
      <c r="G13" s="235">
        <v>0</v>
      </c>
    </row>
    <row r="14" spans="1:7" x14ac:dyDescent="0.35">
      <c r="A14" s="234" t="s">
        <v>41</v>
      </c>
      <c r="B14" s="235">
        <v>42099.18</v>
      </c>
      <c r="C14" s="235">
        <v>0</v>
      </c>
      <c r="D14" s="235">
        <v>70165.3</v>
      </c>
      <c r="E14" s="235">
        <v>0</v>
      </c>
      <c r="F14" s="235">
        <v>112264.48</v>
      </c>
      <c r="G14" s="235">
        <v>0</v>
      </c>
    </row>
    <row r="15" spans="1:7" x14ac:dyDescent="0.35">
      <c r="A15" s="234" t="s">
        <v>42</v>
      </c>
      <c r="B15" s="235">
        <v>56414.22</v>
      </c>
      <c r="C15" s="235">
        <v>0</v>
      </c>
      <c r="D15" s="235">
        <v>94023.700000000012</v>
      </c>
      <c r="E15" s="235">
        <v>0</v>
      </c>
      <c r="F15" s="235">
        <v>150437.92000000001</v>
      </c>
      <c r="G15" s="235">
        <v>0</v>
      </c>
    </row>
    <row r="16" spans="1:7" x14ac:dyDescent="0.35">
      <c r="A16" s="234" t="s">
        <v>43</v>
      </c>
      <c r="B16" s="235">
        <v>115699.62</v>
      </c>
      <c r="C16" s="235">
        <v>0</v>
      </c>
      <c r="D16" s="235">
        <v>192832.70000000004</v>
      </c>
      <c r="E16" s="235">
        <v>0</v>
      </c>
      <c r="F16" s="235">
        <v>308532.32</v>
      </c>
      <c r="G16" s="235">
        <v>0</v>
      </c>
    </row>
    <row r="17" spans="1:7" x14ac:dyDescent="0.35">
      <c r="A17" s="234" t="s">
        <v>44</v>
      </c>
      <c r="B17" s="235">
        <v>32994</v>
      </c>
      <c r="C17" s="235">
        <v>0</v>
      </c>
      <c r="D17" s="235">
        <v>54990</v>
      </c>
      <c r="E17" s="235">
        <v>0</v>
      </c>
      <c r="F17" s="235">
        <v>87984</v>
      </c>
      <c r="G17" s="235">
        <v>0</v>
      </c>
    </row>
    <row r="18" spans="1:7" x14ac:dyDescent="0.35">
      <c r="A18" s="234" t="s">
        <v>45</v>
      </c>
      <c r="B18" s="235">
        <v>271423.08</v>
      </c>
      <c r="C18" s="235">
        <v>0</v>
      </c>
      <c r="D18" s="235">
        <v>452371.80000000005</v>
      </c>
      <c r="E18" s="235">
        <v>0</v>
      </c>
      <c r="F18" s="235">
        <v>723794.88</v>
      </c>
      <c r="G18" s="235">
        <v>0</v>
      </c>
    </row>
    <row r="19" spans="1:7" x14ac:dyDescent="0.35">
      <c r="A19" s="234" t="s">
        <v>46</v>
      </c>
      <c r="B19" s="235">
        <v>75167.16</v>
      </c>
      <c r="C19" s="235">
        <v>0</v>
      </c>
      <c r="D19" s="235">
        <v>125278.60000000002</v>
      </c>
      <c r="E19" s="235">
        <v>0</v>
      </c>
      <c r="F19" s="235">
        <v>200445.76</v>
      </c>
      <c r="G19" s="235">
        <v>0</v>
      </c>
    </row>
    <row r="20" spans="1:7" x14ac:dyDescent="0.35">
      <c r="A20" s="234" t="s">
        <v>47</v>
      </c>
      <c r="B20" s="235">
        <v>26894.7</v>
      </c>
      <c r="C20" s="235">
        <v>0</v>
      </c>
      <c r="D20" s="235">
        <v>44824.5</v>
      </c>
      <c r="E20" s="235">
        <v>0</v>
      </c>
      <c r="F20" s="235">
        <v>71719.199999999997</v>
      </c>
      <c r="G20" s="235">
        <v>0</v>
      </c>
    </row>
    <row r="21" spans="1:7" x14ac:dyDescent="0.35">
      <c r="A21" s="234" t="s">
        <v>48</v>
      </c>
      <c r="B21" s="235">
        <v>35044.5</v>
      </c>
      <c r="C21" s="235">
        <v>0</v>
      </c>
      <c r="D21" s="235">
        <v>58407.5</v>
      </c>
      <c r="E21" s="235">
        <v>0</v>
      </c>
      <c r="F21" s="235">
        <v>93452</v>
      </c>
      <c r="G21" s="235">
        <v>0</v>
      </c>
    </row>
    <row r="22" spans="1:7" x14ac:dyDescent="0.35">
      <c r="A22" s="234" t="s">
        <v>49</v>
      </c>
      <c r="B22" s="235">
        <v>27487.8</v>
      </c>
      <c r="C22" s="235">
        <v>0</v>
      </c>
      <c r="D22" s="235">
        <v>45813</v>
      </c>
      <c r="E22" s="235">
        <v>0</v>
      </c>
      <c r="F22" s="235">
        <v>73300.800000000003</v>
      </c>
      <c r="G22" s="235">
        <v>0</v>
      </c>
    </row>
    <row r="23" spans="1:7" x14ac:dyDescent="0.35">
      <c r="A23" s="234" t="s">
        <v>50</v>
      </c>
      <c r="B23" s="235">
        <v>61768.38</v>
      </c>
      <c r="C23" s="235">
        <v>0</v>
      </c>
      <c r="D23" s="235">
        <v>102947.3</v>
      </c>
      <c r="E23" s="235">
        <v>0</v>
      </c>
      <c r="F23" s="235">
        <v>164715.68</v>
      </c>
      <c r="G23" s="235">
        <v>0</v>
      </c>
    </row>
    <row r="24" spans="1:7" x14ac:dyDescent="0.35">
      <c r="A24" s="234" t="s">
        <v>51</v>
      </c>
      <c r="B24" s="235">
        <v>27175.319999999996</v>
      </c>
      <c r="C24" s="235">
        <v>0</v>
      </c>
      <c r="D24" s="235">
        <v>45292.200000000004</v>
      </c>
      <c r="E24" s="235">
        <v>0</v>
      </c>
      <c r="F24" s="235">
        <v>72467.520000000004</v>
      </c>
      <c r="G24" s="235">
        <v>0</v>
      </c>
    </row>
    <row r="25" spans="1:7" x14ac:dyDescent="0.35">
      <c r="A25" s="234" t="s">
        <v>52</v>
      </c>
      <c r="B25" s="235">
        <v>23912.099999999995</v>
      </c>
      <c r="C25" s="235">
        <v>0</v>
      </c>
      <c r="D25" s="235">
        <v>39853.5</v>
      </c>
      <c r="E25" s="235">
        <v>0</v>
      </c>
      <c r="F25" s="235">
        <v>63765.599999999999</v>
      </c>
      <c r="G25" s="235">
        <v>0</v>
      </c>
    </row>
    <row r="26" spans="1:7" x14ac:dyDescent="0.35">
      <c r="A26" s="234" t="s">
        <v>53</v>
      </c>
      <c r="B26" s="235">
        <v>92726.87999999999</v>
      </c>
      <c r="C26" s="235">
        <v>0</v>
      </c>
      <c r="D26" s="235">
        <v>154544.80000000002</v>
      </c>
      <c r="E26" s="235">
        <v>0</v>
      </c>
      <c r="F26" s="235">
        <v>247271.68000000002</v>
      </c>
      <c r="G26" s="235">
        <v>0</v>
      </c>
    </row>
    <row r="27" spans="1:7" x14ac:dyDescent="0.35">
      <c r="A27" s="234" t="s">
        <v>54</v>
      </c>
      <c r="B27" s="235">
        <v>10071.779999999999</v>
      </c>
      <c r="C27" s="235">
        <v>0</v>
      </c>
      <c r="D27" s="235">
        <v>16786.3</v>
      </c>
      <c r="E27" s="235">
        <v>0</v>
      </c>
      <c r="F27" s="235">
        <v>26858.080000000002</v>
      </c>
      <c r="G27" s="235">
        <v>0</v>
      </c>
    </row>
    <row r="28" spans="1:7" x14ac:dyDescent="0.35">
      <c r="A28" s="234" t="s">
        <v>55</v>
      </c>
      <c r="B28" s="235">
        <v>9023.4599999999991</v>
      </c>
      <c r="C28" s="235">
        <v>0</v>
      </c>
      <c r="D28" s="235">
        <v>15039.1</v>
      </c>
      <c r="E28" s="235">
        <v>0</v>
      </c>
      <c r="F28" s="235">
        <v>24062.560000000001</v>
      </c>
      <c r="G28" s="235">
        <v>0</v>
      </c>
    </row>
    <row r="29" spans="1:7" x14ac:dyDescent="0.35">
      <c r="A29" s="234" t="s">
        <v>56</v>
      </c>
      <c r="B29" s="235">
        <v>26512.98</v>
      </c>
      <c r="C29" s="235">
        <v>0</v>
      </c>
      <c r="D29" s="235">
        <v>44188.30000000001</v>
      </c>
      <c r="E29" s="235">
        <v>0</v>
      </c>
      <c r="F29" s="235">
        <v>70701.279999999999</v>
      </c>
      <c r="G29" s="235">
        <v>0</v>
      </c>
    </row>
    <row r="30" spans="1:7" x14ac:dyDescent="0.35">
      <c r="A30" s="234" t="s">
        <v>57</v>
      </c>
      <c r="B30" s="235">
        <v>33672</v>
      </c>
      <c r="C30" s="235">
        <v>0</v>
      </c>
      <c r="D30" s="235">
        <v>56120</v>
      </c>
      <c r="E30" s="235">
        <v>0</v>
      </c>
      <c r="F30" s="235">
        <v>89792</v>
      </c>
      <c r="G30" s="235">
        <v>0</v>
      </c>
    </row>
    <row r="31" spans="1:7" x14ac:dyDescent="0.35">
      <c r="A31" s="234" t="s">
        <v>58</v>
      </c>
      <c r="B31" s="235">
        <v>9360.06</v>
      </c>
      <c r="C31" s="235">
        <v>0</v>
      </c>
      <c r="D31" s="235">
        <v>15600.1</v>
      </c>
      <c r="E31" s="235">
        <v>0</v>
      </c>
      <c r="F31" s="235">
        <v>24960.16</v>
      </c>
      <c r="G31" s="235">
        <v>0</v>
      </c>
    </row>
    <row r="32" spans="1:7" x14ac:dyDescent="0.35">
      <c r="A32" s="234" t="s">
        <v>59</v>
      </c>
      <c r="B32" s="235">
        <v>40547.699999999997</v>
      </c>
      <c r="C32" s="235">
        <v>0</v>
      </c>
      <c r="D32" s="235">
        <v>67579.5</v>
      </c>
      <c r="E32" s="235">
        <v>0</v>
      </c>
      <c r="F32" s="235">
        <v>108127.2</v>
      </c>
      <c r="G32" s="235">
        <v>0</v>
      </c>
    </row>
    <row r="33" spans="1:7" x14ac:dyDescent="0.35">
      <c r="A33" s="234" t="s">
        <v>60</v>
      </c>
      <c r="B33" s="235">
        <v>23669.219999999998</v>
      </c>
      <c r="C33" s="235">
        <v>0</v>
      </c>
      <c r="D33" s="235">
        <v>39448.700000000004</v>
      </c>
      <c r="E33" s="235">
        <v>0</v>
      </c>
      <c r="F33" s="235">
        <v>63117.920000000006</v>
      </c>
      <c r="G33" s="235">
        <v>0</v>
      </c>
    </row>
    <row r="34" spans="1:7" x14ac:dyDescent="0.35">
      <c r="A34" s="234" t="s">
        <v>61</v>
      </c>
      <c r="B34" s="235">
        <v>34142.58</v>
      </c>
      <c r="C34" s="235">
        <v>0</v>
      </c>
      <c r="D34" s="235">
        <v>56904.30000000001</v>
      </c>
      <c r="E34" s="235">
        <v>0</v>
      </c>
      <c r="F34" s="235">
        <v>91046.88</v>
      </c>
      <c r="G34" s="235">
        <v>0</v>
      </c>
    </row>
    <row r="35" spans="1:7" x14ac:dyDescent="0.35">
      <c r="A35" s="234" t="s">
        <v>62</v>
      </c>
      <c r="B35" s="235">
        <v>60020.159999999996</v>
      </c>
      <c r="C35" s="235">
        <v>0</v>
      </c>
      <c r="D35" s="235">
        <v>100033.60000000002</v>
      </c>
      <c r="E35" s="235">
        <v>0</v>
      </c>
      <c r="F35" s="235">
        <v>160053.76000000001</v>
      </c>
      <c r="G35" s="235">
        <v>0</v>
      </c>
    </row>
    <row r="36" spans="1:7" x14ac:dyDescent="0.35">
      <c r="A36" s="234" t="s">
        <v>63</v>
      </c>
      <c r="B36" s="235">
        <v>21381.84</v>
      </c>
      <c r="C36" s="235">
        <v>0</v>
      </c>
      <c r="D36" s="235">
        <v>35636.400000000001</v>
      </c>
      <c r="E36" s="235">
        <v>0</v>
      </c>
      <c r="F36" s="235">
        <v>57018.239999999998</v>
      </c>
      <c r="G36" s="235">
        <v>0</v>
      </c>
    </row>
    <row r="37" spans="1:7" x14ac:dyDescent="0.35">
      <c r="A37" s="234" t="s">
        <v>64</v>
      </c>
      <c r="B37" s="235">
        <v>36364.619999999995</v>
      </c>
      <c r="C37" s="235">
        <v>0</v>
      </c>
      <c r="D37" s="235">
        <v>60607.700000000004</v>
      </c>
      <c r="E37" s="235">
        <v>0</v>
      </c>
      <c r="F37" s="235">
        <v>96972.32</v>
      </c>
      <c r="G37" s="235">
        <v>0</v>
      </c>
    </row>
    <row r="38" spans="1:7" x14ac:dyDescent="0.35">
      <c r="A38" s="234" t="s">
        <v>65</v>
      </c>
      <c r="B38" s="235">
        <v>18551.52</v>
      </c>
      <c r="C38" s="235">
        <v>0</v>
      </c>
      <c r="D38" s="235">
        <v>30919.200000000001</v>
      </c>
      <c r="E38" s="235">
        <v>0</v>
      </c>
      <c r="F38" s="235">
        <v>49470.720000000001</v>
      </c>
      <c r="G38" s="235">
        <v>0</v>
      </c>
    </row>
    <row r="39" spans="1:7" x14ac:dyDescent="0.35">
      <c r="A39" s="234" t="s">
        <v>66</v>
      </c>
      <c r="B39" s="235">
        <v>1659428.7000000002</v>
      </c>
      <c r="C39" s="235">
        <v>0</v>
      </c>
      <c r="D39" s="235">
        <v>2765714.5000000005</v>
      </c>
      <c r="E39" s="235">
        <v>0</v>
      </c>
      <c r="F39" s="235">
        <v>4425143.2</v>
      </c>
      <c r="G39" s="235">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  1 < / s t r i n g > < / k e y > < v a l u e > < i n t > 1 2 5 < / i n t > < / v a l u e > < / i t e m > < i t e m > < k e y > < s t r i n g > J a n - 2 3 < / s t r i n g > < / k e y > < v a l u e > < i n t > 1 0 8 < / i n t > < / v a l u e > < / i t e m > < i t e m > < k e y > < s t r i n g > F e b - 2 3 < / s t r i n g > < / k e y > < v a l u e > < i n t > 1 1 1 < / i n t > < / v a l u e > < / i t e m > < i t e m > < k e y > < s t r i n g > M a r - 2 3 < / s t r i n g > < / k e y > < v a l u e > < i n t > 1 1 5 < / i n t > < / v a l u e > < / i t e m > < i t e m > < k e y > < s t r i n g > A p r - 2 3 < / s t r i n g > < / k e y > < v a l u e > < i n t > 1 1 0 < / i n t > < / v a l u e > < / i t e m > < i t e m > < k e y > < s t r i n g > M a y - 2 3 < / s t r i n g > < / k e y > < v a l u e > < i n t > 1 1 8 < / i n t > < / v a l u e > < / i t e m > < i t e m > < k e y > < s t r i n g > J u n - 2 3 < / s t r i n g > < / k e y > < v a l u e > < i n t > 1 0 9 < / i n t > < / v a l u e > < / i t e m > < i t e m > < k e y > < s t r i n g > J u l - 2 3 < / s t r i n g > < / k e y > < v a l u e > < i n t > 1 0 2 < / i n t > < / v a l u e > < / i t e m > < i t e m > < k e y > < s t r i n g > A u g - 2 3 < / s t r i n g > < / k e y > < v a l u e > < i n t > 1 1 3 < / i n t > < / v a l u e > < / i t e m > < i t e m > < k e y > < s t r i n g > S e p - 2 3 < / s t r i n g > < / k e y > < v a l u e > < i n t > 1 1 1 < / i n t > < / v a l u e > < / i t e m > < i t e m > < k e y > < s t r i n g > O c t - 2 3 < / s t r i n g > < / k e y > < v a l u e > < i n t > 1 0 8 < / i n t > < / v a l u e > < / i t e m > < i t e m > < k e y > < s t r i n g > N o v - 2 3 < / s t r i n g > < / k e y > < v a l u e > < i n t > 1 1 3 < / i n t > < / v a l u e > < / i t e m > < i t e m > < k e y > < s t r i n g > D e c - 2 3 < / s t r i n g > < / k e y > < v a l u e > < i n t > 1 1 2 < / i n t > < / v a l u e > < / i t e m > < / C o l u m n W i d t h s > < C o l u m n D i s p l a y I n d e x > < i t e m > < k e y > < s t r i n g > A d m i n   1 < / s t r i n g > < / k e y > < v a l u e > < i n t > 0 < / i n t > < / v a l u e > < / i t e m > < i t e m > < k e y > < s t r i n g > J a n - 2 3 < / s t r i n g > < / k e y > < v a l u e > < i n t > 1 < / i n t > < / v a l u e > < / i t e m > < i t e m > < k e y > < s t r i n g > F e b - 2 3 < / s t r i n g > < / k e y > < v a l u e > < i n t > 2 < / i n t > < / v a l u e > < / i t e m > < i t e m > < k e y > < s t r i n g > M a r - 2 3 < / s t r i n g > < / k e y > < v a l u e > < i n t > 3 < / i n t > < / v a l u e > < / i t e m > < i t e m > < k e y > < s t r i n g > A p r - 2 3 < / s t r i n g > < / k e y > < v a l u e > < i n t > 4 < / i n t > < / v a l u e > < / i t e m > < i t e m > < k e y > < s t r i n g > M a y - 2 3 < / s t r i n g > < / k e y > < v a l u e > < i n t > 5 < / i n t > < / v a l u e > < / i t e m > < i t e m > < k e y > < s t r i n g > J u n - 2 3 < / s t r i n g > < / k e y > < v a l u e > < i n t > 6 < / i n t > < / v a l u e > < / i t e m > < i t e m > < k e y > < s t r i n g > J u l - 2 3 < / s t r i n g > < / k e y > < v a l u e > < i n t > 7 < / i n t > < / v a l u e > < / i t e m > < i t e m > < k e y > < s t r i n g > A u g - 2 3 < / s t r i n g > < / k e y > < v a l u e > < i n t > 8 < / i n t > < / v a l u e > < / i t e m > < i t e m > < k e y > < s t r i n g > S e p - 2 3 < / s t r i n g > < / k e y > < v a l u e > < i n t > 9 < / i n t > < / v a l u e > < / i t e m > < i t e m > < k e y > < s t r i n g > O c t - 2 3 < / s t r i n g > < / k e y > < v a l u e > < i n t > 1 0 < / i n t > < / v a l u e > < / i t e m > < i t e m > < k e y > < s t r i n g > N o v - 2 3 < / s t r i n g > < / k e y > < v a l u e > < i n t > 1 1 < / i n t > < / v a l u e > < / i t e m > < i t e m > < k e y > < s t r i n g > D e c - 2 3 < / s t r i n g > < / k e y > < v a l u e > < i n t > 1 2 < / i n t > < / v a l u e > < / i t e m > < / C o l u m n D i s p l a y I n d e x > < C o l u m n F r o z e n   / > < C o l u m n C h e c k e d   / > < C o l u m n F i l t e r   / > < S e l e c t i o n F i l t e r   / > < F i l t e r P a r a m e t e r s   / > < I s S o r t D e s c e n d i n g > f a l s e < / I s S o r t D e s c e n d i n g > < / T a b l e W i d g e t G r i d S e r i a l i z a t i o n > ] ] > < / C u s t o m C o n t e n t > < / G e m i n i > 
</file>

<file path=customXml/item12.xml><?xml version="1.0" encoding="utf-8"?>
<?mso-contentType ?>
<FormTemplates xmlns="http://schemas.microsoft.com/sharepoint/v3/contenttype/forms">
  <Display>DocumentLibraryForm</Display>
  <Edit>DocumentLibraryForm</Edit>
  <New>DocumentLibraryForm</New>
</FormTemplates>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  1 < / 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  1 < / 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T a b l e 1 ] ] > < / C u s t o m C o n t e n t > < / G e m i n i > 
</file>

<file path=customXml/item15.xml>��< ? x m l   v e r s i o n = " 1 . 0 "   e n c o d i n g = " u t f - 1 6 " ? > < D a t a M a s h u p   x m l n s = " h t t p : / / s c h e m a s . m i c r o s o f t . c o m / D a t a M a s h u p " > A A A A A O k D A A B Q S w M E F A A C A A g A Y r k / 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Y r 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5 P 1 i 7 8 L o R 4 w A A A A Q C A A A T A B w A R m 9 y b X V s Y X M v U 2 V j d G l v b j E u b S C i G A A o o B Q A A A A A A A A A A A A A A A A A A A A A A A A A A A B 1 0 T G L w j A U B / C 9 0 O 8 Q c o t C F X q O 4 i A 9 b y j o D R U c x C G N 7 7 S Y v F f S 5 F B K v / t F q 5 N p l s D 7 v f z / Q x q Q t i J k R X + n 8 z i K o + Y s D B z Z V p Q K 0 h l b M A U 2 j p g / B T k j w U 9 W V w l q m j l j A O 2 O z K U k u o z G 7 X 4 j N C z 4 8 y k / d P u M 0 P q d Q 9 I n f P D s L P B 0 j 7 / V w H 3 U Y 3 e 6 N Q K b X z I 6 I + U 0 3 r E Z 9 X V J 2 / L l U V f I U p 4 w 6 4 V Z u N o u Y S 3 P B U 4 + Z 6 8 x O l 2 C e c A 3 l G F Y C x O G Z T 0 A a 3 E L Q + 4 G y n O n B j r c K Q w F 1 G H 4 k T Y M G / o L w x f I d + j G c V R h 8 A v m / 1 B L A Q I t A B Q A A g A I A G K 5 P 1 j 0 d A 9 2 p A A A A P Y A A A A S A A A A A A A A A A A A A A A A A A A A A A B D b 2 5 m a W c v U G F j a 2 F n Z S 5 4 b W x Q S w E C L Q A U A A I A C A B i u T 9 Y D 8 r p q 6 Q A A A D p A A A A E w A A A A A A A A A A A A A A A A D w A A A A W 0 N v b n R l b n R f V H l w Z X N d L n h t b F B L A Q I t A B Q A A g A I A G K 5 P 1 i 7 8 L o R 4 w A A A A Q C A A A T A A A A A A A A A A A A A A A A A O E B A A B G b 3 J t d W x h c y 9 T Z W N 0 a W 9 u M S 5 t U E s F B g A A A A A D A A M A w g A A A B 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O A A A A A A A A x 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j M y N D A 1 Y y 1 h N z B m L T Q 4 Y m U t O G I x Z C 0 z Z D B i M j k 4 O D l j Y j 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0 L T A y L T A x V D A z O j U 2 O j Q x L j U w O D U y N z J a I i A v P j x F b n R y e S B U e X B l P S J G a W x s Q 2 9 s d W 1 u V H l w Z X M i I F Z h b H V l P S J z Q m d V R k J R V U Z C U V V G Q l F V R k J R P T 0 i I C 8 + P E V u d H J 5 I F R 5 c G U 9 I k Z p b G x D b 2 x 1 b W 5 O Y W 1 l c y I g V m F s d W U 9 I n N b J n F 1 b 3 Q 7 Q W R t a W 4 g M S Z x d W 9 0 O y w m c X V v d D t K Y W 4 t M j M m c X V v d D s s J n F 1 b 3 Q 7 R m V i L T I z J n F 1 b 3 Q 7 L C Z x d W 9 0 O 0 1 h c i 0 y M y Z x d W 9 0 O y w m c X V v d D t B c H I t M j M m c X V v d D s s J n F 1 b 3 Q 7 T W F 5 L T I z J n F 1 b 3 Q 7 L C Z x d W 9 0 O 0 p 1 b i 0 y M y Z x d W 9 0 O y w m c X V v d D t K d W w t M j M m c X V v d D s s J n F 1 b 3 Q 7 Q X V n L T I z J n F 1 b 3 Q 7 L C Z x d W 9 0 O 1 N l c C 0 y M y Z x d W 9 0 O y w m c X V v d D t P Y 3 Q t M j M m c X V v d D s s J n F 1 b 3 Q 7 T m 9 2 L T I z J n F 1 b 3 Q 7 L C Z x d W 9 0 O 0 R l Y y 0 y M 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z L 0 F 1 d G 9 S Z W 1 v d m V k Q 2 9 s d W 1 u c z E u e 0 F k b W l u I D E s M H 0 m c X V v d D s s J n F 1 b 3 Q 7 U 2 V j d G l v b j E v V G F i b G U x M y 9 B d X R v U m V t b 3 Z l Z E N v b H V t b n M x L n t K Y W 4 t M j M s M X 0 m c X V v d D s s J n F 1 b 3 Q 7 U 2 V j d G l v b j E v V G F i b G U x M y 9 B d X R v U m V t b 3 Z l Z E N v b H V t b n M x L n t G Z W I t M j M s M n 0 m c X V v d D s s J n F 1 b 3 Q 7 U 2 V j d G l v b j E v V G F i b G U x M y 9 B d X R v U m V t b 3 Z l Z E N v b H V t b n M x L n t N Y X I t M j M s M 3 0 m c X V v d D s s J n F 1 b 3 Q 7 U 2 V j d G l v b j E v V G F i b G U x M y 9 B d X R v U m V t b 3 Z l Z E N v b H V t b n M x L n t B c H I t M j M s N H 0 m c X V v d D s s J n F 1 b 3 Q 7 U 2 V j d G l v b j E v V G F i b G U x M y 9 B d X R v U m V t b 3 Z l Z E N v b H V t b n M x L n t N Y X k t M j M s N X 0 m c X V v d D s s J n F 1 b 3 Q 7 U 2 V j d G l v b j E v V G F i b G U x M y 9 B d X R v U m V t b 3 Z l Z E N v b H V t b n M x L n t K d W 4 t M j M s N n 0 m c X V v d D s s J n F 1 b 3 Q 7 U 2 V j d G l v b j E v V G F i b G U x M y 9 B d X R v U m V t b 3 Z l Z E N v b H V t b n M x L n t K d W w t M j M s N 3 0 m c X V v d D s s J n F 1 b 3 Q 7 U 2 V j d G l v b j E v V G F i b G U x M y 9 B d X R v U m V t b 3 Z l Z E N v b H V t b n M x L n t B d W c t M j M s O H 0 m c X V v d D s s J n F 1 b 3 Q 7 U 2 V j d G l v b j E v V G F i b G U x M y 9 B d X R v U m V t b 3 Z l Z E N v b H V t b n M x L n t T Z X A t M j M s O X 0 m c X V v d D s s J n F 1 b 3 Q 7 U 2 V j d G l v b j E v V G F i b G U x M y 9 B d X R v U m V t b 3 Z l Z E N v b H V t b n M x L n t P Y 3 Q t M j M s M T B 9 J n F 1 b 3 Q 7 L C Z x d W 9 0 O 1 N l Y 3 R p b 2 4 x L 1 R h Y m x l M T M v Q X V 0 b 1 J l b W 9 2 Z W R D b 2 x 1 b W 5 z M S 5 7 T m 9 2 L T I z L D E x f S Z x d W 9 0 O y w m c X V v d D t T Z W N 0 a W 9 u M S 9 U Y W J s Z T E z L 0 F 1 d G 9 S Z W 1 v d m V k Q 2 9 s d W 1 u c z E u e 0 R l Y y 0 y M y w x M n 0 m c X V v d D t d L C Z x d W 9 0 O 0 N v b H V t b k N v d W 5 0 J n F 1 b 3 Q 7 O j E z L C Z x d W 9 0 O 0 t l e U N v b H V t b k 5 h b W V z J n F 1 b 3 Q 7 O l t d L C Z x d W 9 0 O 0 N v b H V t b k l k Z W 5 0 a X R p Z X M m c X V v d D s 6 W y Z x d W 9 0 O 1 N l Y 3 R p b 2 4 x L 1 R h Y m x l M T M v Q X V 0 b 1 J l b W 9 2 Z W R D b 2 x 1 b W 5 z M S 5 7 Q W R t a W 4 g M S w w f S Z x d W 9 0 O y w m c X V v d D t T Z W N 0 a W 9 u M S 9 U Y W J s Z T E z L 0 F 1 d G 9 S Z W 1 v d m V k Q 2 9 s d W 1 u c z E u e 0 p h b i 0 y M y w x f S Z x d W 9 0 O y w m c X V v d D t T Z W N 0 a W 9 u M S 9 U Y W J s Z T E z L 0 F 1 d G 9 S Z W 1 v d m V k Q 2 9 s d W 1 u c z E u e 0 Z l Y i 0 y M y w y f S Z x d W 9 0 O y w m c X V v d D t T Z W N 0 a W 9 u M S 9 U Y W J s Z T E z L 0 F 1 d G 9 S Z W 1 v d m V k Q 2 9 s d W 1 u c z E u e 0 1 h c i 0 y M y w z f S Z x d W 9 0 O y w m c X V v d D t T Z W N 0 a W 9 u M S 9 U Y W J s Z T E z L 0 F 1 d G 9 S Z W 1 v d m V k Q 2 9 s d W 1 u c z E u e 0 F w c i 0 y M y w 0 f S Z x d W 9 0 O y w m c X V v d D t T Z W N 0 a W 9 u M S 9 U Y W J s Z T E z L 0 F 1 d G 9 S Z W 1 v d m V k Q 2 9 s d W 1 u c z E u e 0 1 h e S 0 y M y w 1 f S Z x d W 9 0 O y w m c X V v d D t T Z W N 0 a W 9 u M S 9 U Y W J s Z T E z L 0 F 1 d G 9 S Z W 1 v d m V k Q 2 9 s d W 1 u c z E u e 0 p 1 b i 0 y M y w 2 f S Z x d W 9 0 O y w m c X V v d D t T Z W N 0 a W 9 u M S 9 U Y W J s Z T E z L 0 F 1 d G 9 S Z W 1 v d m V k Q 2 9 s d W 1 u c z E u e 0 p 1 b C 0 y M y w 3 f S Z x d W 9 0 O y w m c X V v d D t T Z W N 0 a W 9 u M S 9 U Y W J s Z T E z L 0 F 1 d G 9 S Z W 1 v d m V k Q 2 9 s d W 1 u c z E u e 0 F 1 Z y 0 y M y w 4 f S Z x d W 9 0 O y w m c X V v d D t T Z W N 0 a W 9 u M S 9 U Y W J s Z T E z L 0 F 1 d G 9 S Z W 1 v d m V k Q 2 9 s d W 1 u c z E u e 1 N l c C 0 y M y w 5 f S Z x d W 9 0 O y w m c X V v d D t T Z W N 0 a W 9 u M S 9 U Y W J s Z T E z L 0 F 1 d G 9 S Z W 1 v d m V k Q 2 9 s d W 1 u c z E u e 0 9 j d C 0 y M y w x M H 0 m c X V v d D s s J n F 1 b 3 Q 7 U 2 V j d G l v b j E v V G F i b G U x M y 9 B d X R v U m V t b 3 Z l Z E N v b H V t b n M x L n t O b 3 Y t M j M s M T F 9 J n F 1 b 3 Q 7 L C Z x d W 9 0 O 1 N l Y 3 R p b 2 4 x L 1 R h Y m x l M T M v Q X V 0 b 1 J l b W 9 2 Z W R D b 2 x 1 b W 5 z M S 5 7 R G V j L T I z L D E y f S Z x d W 9 0 O 1 0 s J n F 1 b 3 Q 7 U m V s Y X R p b 2 5 z a G l w S W 5 m b y Z x d W 9 0 O z p b X X 0 i I C 8 + P C 9 T d G F i b G V F b n R y a W V z P j w v S X R l b T 4 8 S X R l b T 4 8 S X R l b U x v Y 2 F 0 a W 9 u P j x J d G V t V H l w Z T 5 G b 3 J t d W x h P C 9 J d G V t V H l w Z T 4 8 S X R l b V B h d G g + U 2 V j d G l v b j E v V G F i b G U x M y 9 T b 3 V y Y 2 U 8 L 0 l 0 Z W 1 Q Y X R o P j w v S X R l b U x v Y 2 F 0 a W 9 u P j x T d G F i b G V F b n R y a W V z I C 8 + P C 9 J d G V t P j x J d G V t P j x J d G V t T G 9 j Y X R p b 2 4 + P E l 0 Z W 1 U e X B l P k Z v c m 1 1 b G E 8 L 0 l 0 Z W 1 U e X B l P j x J d G V t U G F 0 a D 5 T Z W N 0 a W 9 u M S 9 U Y W J s Z T E z L 0 N o Y W 5 n Z W Q l M j B U e X B l P C 9 J d G V t U G F 0 a D 4 8 L 0 l 0 Z W 1 M b 2 N h d G l v b j 4 8 U 3 R h Y m x l R W 5 0 c m l l c y A v P j w v S X R l b T 4 8 L 0 l 0 Z W 1 z P j w v T G 9 j Y W x Q Y W N r Y W d l T W V 0 Y W R h d G F G a W x l P h Y A A A B Q S w U G A A A A A A A A A A A A A A A A A A A A A A A A J g E A A A E A A A D Q j J 3 f A R X R E Y x 6 A M B P w p f r A Q A A A A 0 K g a b K p t B M n A D n R O A T D l k A A A A A A g A A A A A A E G Y A A A A B A A A g A A A A o b 8 j c 9 r t s u S Z / l y S x E H V S z Q h X C E L 4 q Y d j d R j 7 d / k u g Q A A A A A D o A A A A A C A A A g A A A A I J V v z m L 7 E L 0 t j j F j c f A t j C g S S B Z T s R n f d w I u V q c 7 c T Z Q A A A A P 3 A 5 V e P G A D z c f 4 3 U P z X N R Y T 2 1 g 9 w Y 8 B 6 X l t P z P d 1 i R h f i J 6 Y 2 I H 9 7 9 3 e Y K s o 3 9 b 9 7 F 7 r A / D l D K C v + z z F 1 R + S K K j x O O h A 3 7 3 M O t i 3 Z 9 B u w o 9 A A A A A f s 7 F M h c f 1 7 C K a D H S g a 6 A W 7 A q H h S o I T s W n q k T W 2 t Y Z Y X u 5 j P 7 A L b D X g 3 F q s X x U t z T z W V z Y h Z B g k j E u i 1 K D r t Y A Q = = < / D a t a M a s h u p > 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 2 0 2 4 - 0 1 - 1 4 T 2 0 : 5 3 : 0 1 . 0 3 7 0 7 8 2 - 0 5 : 0 0 < / L a s t P r o c e s s e d T i m e > < / D a t a M o d e l i n g S a n d b o x . S e r i a l i z e d S a n d b o x E r r o r C a c h 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 A d m i n   1 < / s t r i n g > < / k e y > < v a l u e > < i n t > 1 2 5 < / i n t > < / v a l u e > < / i t e m > < i t e m > < k e y > < s t r i n g > J a n - 2 3 < / s t r i n g > < / k e y > < v a l u e > < i n t > 1 0 8 < / i n t > < / v a l u e > < / i t e m > < i t e m > < k e y > < s t r i n g > F e b - 2 3 < / s t r i n g > < / k e y > < v a l u e > < i n t > 1 1 1 < / i n t > < / v a l u e > < / i t e m > < i t e m > < k e y > < s t r i n g > M a r - 2 3 < / s t r i n g > < / k e y > < v a l u e > < i n t > 1 1 5 < / i n t > < / v a l u e > < / i t e m > < i t e m > < k e y > < s t r i n g > A p r - 2 3 < / s t r i n g > < / k e y > < v a l u e > < i n t > 1 1 0 < / i n t > < / v a l u e > < / i t e m > < i t e m > < k e y > < s t r i n g > M a y - 2 3 < / s t r i n g > < / k e y > < v a l u e > < i n t > 1 1 8 < / i n t > < / v a l u e > < / i t e m > < i t e m > < k e y > < s t r i n g > J u n - 2 3 < / s t r i n g > < / k e y > < v a l u e > < i n t > 1 0 9 < / i n t > < / v a l u e > < / i t e m > < i t e m > < k e y > < s t r i n g > J u l - 2 3 < / s t r i n g > < / k e y > < v a l u e > < i n t > 1 0 2 < / i n t > < / v a l u e > < / i t e m > < i t e m > < k e y > < s t r i n g > A u g - 2 3 < / s t r i n g > < / k e y > < v a l u e > < i n t > 1 1 3 < / i n t > < / v a l u e > < / i t e m > < i t e m > < k e y > < s t r i n g > S e p - 2 3 < / s t r i n g > < / k e y > < v a l u e > < i n t > 1 1 1 < / i n t > < / v a l u e > < / i t e m > < i t e m > < k e y > < s t r i n g > O c t - 2 3 < / s t r i n g > < / k e y > < v a l u e > < i n t > 1 0 8 < / i n t > < / v a l u e > < / i t e m > < i t e m > < k e y > < s t r i n g > N o v - 2 3 < / s t r i n g > < / k e y > < v a l u e > < i n t > 1 1 3 < / i n t > < / v a l u e > < / i t e m > < i t e m > < k e y > < s t r i n g > D e c - 2 3 < / s t r i n g > < / k e y > < v a l u e > < i n t > 1 1 2 < / i n t > < / v a l u e > < / i t e m > < / C o l u m n W i d t h s > < C o l u m n D i s p l a y I n d e x > < i t e m > < k e y > < s t r i n g > A d m i n   1 < / s t r i n g > < / k e y > < v a l u e > < i n t > 0 < / i n t > < / v a l u e > < / i t e m > < i t e m > < k e y > < s t r i n g > J a n - 2 3 < / s t r i n g > < / k e y > < v a l u e > < i n t > 1 < / i n t > < / v a l u e > < / i t e m > < i t e m > < k e y > < s t r i n g > F e b - 2 3 < / s t r i n g > < / k e y > < v a l u e > < i n t > 2 < / i n t > < / v a l u e > < / i t e m > < i t e m > < k e y > < s t r i n g > M a r - 2 3 < / s t r i n g > < / k e y > < v a l u e > < i n t > 3 < / i n t > < / v a l u e > < / i t e m > < i t e m > < k e y > < s t r i n g > A p r - 2 3 < / s t r i n g > < / k e y > < v a l u e > < i n t > 4 < / i n t > < / v a l u e > < / i t e m > < i t e m > < k e y > < s t r i n g > M a y - 2 3 < / s t r i n g > < / k e y > < v a l u e > < i n t > 5 < / i n t > < / v a l u e > < / i t e m > < i t e m > < k e y > < s t r i n g > J u n - 2 3 < / s t r i n g > < / k e y > < v a l u e > < i n t > 6 < / i n t > < / v a l u e > < / i t e m > < i t e m > < k e y > < s t r i n g > J u l - 2 3 < / s t r i n g > < / k e y > < v a l u e > < i n t > 7 < / i n t > < / v a l u e > < / i t e m > < i t e m > < k e y > < s t r i n g > A u g - 2 3 < / s t r i n g > < / k e y > < v a l u e > < i n t > 8 < / i n t > < / v a l u e > < / i t e m > < i t e m > < k e y > < s t r i n g > S e p - 2 3 < / s t r i n g > < / k e y > < v a l u e > < i n t > 9 < / i n t > < / v a l u e > < / i t e m > < i t e m > < k e y > < s t r i n g > O c t - 2 3 < / s t r i n g > < / k e y > < v a l u e > < i n t > 1 0 < / i n t > < / v a l u e > < / i t e m > < i t e m > < k e y > < s t r i n g > N o v - 2 3 < / s t r i n g > < / k e y > < v a l u e > < i n t > 1 1 < / i n t > < / v a l u e > < / i t e m > < i t e m > < k e y > < s t r i n g > D e c - 2 3 < / 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SharedWithUsers xmlns="a8a9630b-75d6-4764-bb6e-6771892ef157">
      <UserInfo>
        <DisplayName>Robert Johnston</DisplayName>
        <AccountId>4042</AccountId>
        <AccountType/>
      </UserInfo>
      <UserInfo>
        <DisplayName>Chika Hayashi</DisplayName>
        <AccountId>857</AccountId>
        <AccountType/>
      </UserInfo>
      <UserInfo>
        <DisplayName>Kirrily De Polnay</DisplayName>
        <AccountId>17475</AccountId>
        <AccountType/>
      </UserInfo>
      <UserInfo>
        <DisplayName>Anteneh Dobamo</DisplayName>
        <AccountId>9222</AccountId>
        <AccountType/>
      </UserInfo>
      <UserInfo>
        <DisplayName>Rasha Al-Ardhi</DisplayName>
        <AccountId>6429</AccountId>
        <AccountType/>
      </UserInfo>
      <UserInfo>
        <DisplayName>Shabib AlQobati</DisplayName>
        <AccountId>4982</AccountId>
        <AccountType/>
      </UserInfo>
      <UserInfo>
        <DisplayName>Anne Celine Delinger</DisplayName>
        <AccountId>16841</AccountId>
        <AccountType/>
      </UserInfo>
      <UserInfo>
        <DisplayName>Hassan Ali Ahmed</DisplayName>
        <AccountId>17230</AccountId>
        <AccountType/>
      </UserInfo>
      <UserInfo>
        <DisplayName>Bulti Assaye</DisplayName>
        <AccountId>965</AccountId>
        <AccountType/>
      </UserInfo>
      <UserInfo>
        <DisplayName>John Mukisa</DisplayName>
        <AccountId>17980</AccountId>
        <AccountType/>
      </UserInfo>
      <UserInfo>
        <DisplayName>Etel Godwill Fagbohoun</DisplayName>
        <AccountId>17910</AccountId>
        <AccountType/>
      </UserInfo>
      <UserInfo>
        <DisplayName>Ann Defraye</DisplayName>
        <AccountId>17263</AccountId>
        <AccountType/>
      </UserInfo>
      <UserInfo>
        <DisplayName>Abubakar Grema Alkali</DisplayName>
        <AccountId>17720</AccountId>
        <AccountType/>
      </UserInfo>
      <UserInfo>
        <DisplayName>Alina Michalska</DisplayName>
        <AccountId>13598</AccountId>
        <AccountType/>
      </UserInfo>
      <UserInfo>
        <DisplayName>Amadou Ndong</DisplayName>
        <AccountId>17911</AccountId>
        <AccountType/>
      </UserInfo>
      <UserInfo>
        <DisplayName>Rosette Mbanza Tshiende</DisplayName>
        <AccountId>18026</AccountId>
        <AccountType/>
      </UserInfo>
    </SharedWithUsers>
  </documentManagement>
</p:properties>
</file>

<file path=customXml/item20.xml>��< ? x m l   v e r s i o n = " 1 . 0 "   e n c o d i n g = " U T F - 1 6 " ? > < G e m i n i   x m l n s = " h t t p : / / g e m i n i / p i v o t c u s t o m i z a t i o n / I s S a n d b o x E m b e d d e d " > < C u s t o m C o n t e n t > < ! [ C D A T A [ y e s ] ] > < / C u s t o m C o n t e n t > < / G e m i n i > 
</file>

<file path=customXml/item21.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T a b l e O r d e r " > < C u s t o m C o n t e n t > < ! [ C D A T A [ T a b l e 1 , R a n g e ] ] > < / C u s t o m C o n t e n t > < / G e m i n i > 
</file>

<file path=customXml/item5.xml>��< ? x m l   v e r s i o n = " 1 . 0 "   e n c o d i n g = " U T F - 1 6 " ? > < G e m i n i   x m l n s = " h t t p : / / g e m i n i / p i v o t c u s t o m i z a t i o n / P o w e r P i v o t V e r s i o n " > < C u s t o m C o n t e n t > < ! [ C D A T A [ 2 0 1 5 . 1 3 0 . 1 6 0 5 . 9 1 3 ] ] > < / 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8" ma:contentTypeDescription="Create a new document." ma:contentTypeScope="" ma:versionID="6d0d1495b15ab7c8eeafa273aee98fe4">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a2425fb96b88f64840f877c72eb4dc16"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 J a n - 2 3   2 < / K e y > < / D i a g r a m O b j e c t K e y > < D i a g r a m O b j e c t K e y > < K e y > M e a s u r e s \ S u m   o f   J a n - 2 3   2 \ T a g I n f o \ F o r m u l a < / K e y > < / D i a g r a m O b j e c t K e y > < D i a g r a m O b j e c t K e y > < K e y > M e a s u r e s \ S u m   o f   J a n - 2 3   2 \ T a g I n f o \ V a l u e < / K e y > < / D i a g r a m O b j e c t K e y > < D i a g r a m O b j e c t K e y > < K e y > M e a s u r e s \ S u m   o f   F e b - 2 3   2 < / K e y > < / D i a g r a m O b j e c t K e y > < D i a g r a m O b j e c t K e y > < K e y > M e a s u r e s \ S u m   o f   F e b - 2 3   2 \ T a g I n f o \ F o r m u l a < / K e y > < / D i a g r a m O b j e c t K e y > < D i a g r a m O b j e c t K e y > < K e y > M e a s u r e s \ S u m   o f   F e b - 2 3   2 \ T a g I n f o \ V a l u e < / K e y > < / D i a g r a m O b j e c t K e y > < D i a g r a m O b j e c t K e y > < K e y > M e a s u r e s \ S u m   o f   M a r - 2 3   2 < / K e y > < / D i a g r a m O b j e c t K e y > < D i a g r a m O b j e c t K e y > < K e y > M e a s u r e s \ S u m   o f   M a r - 2 3   2 \ T a g I n f o \ F o r m u l a < / K e y > < / D i a g r a m O b j e c t K e y > < D i a g r a m O b j e c t K e y > < K e y > M e a s u r e s \ S u m   o f   M a r - 2 3   2 \ T a g I n f o \ V a l u e < / K e y > < / D i a g r a m O b j e c t K e y > < D i a g r a m O b j e c t K e y > < K e y > M e a s u r e s \ S u m   o f   A p r - 2 3   2 < / K e y > < / D i a g r a m O b j e c t K e y > < D i a g r a m O b j e c t K e y > < K e y > M e a s u r e s \ S u m   o f   A p r - 2 3   2 \ T a g I n f o \ F o r m u l a < / K e y > < / D i a g r a m O b j e c t K e y > < D i a g r a m O b j e c t K e y > < K e y > M e a s u r e s \ S u m   o f   A p r - 2 3   2 \ T a g I n f o \ V a l u e < / K e y > < / D i a g r a m O b j e c t K e y > < D i a g r a m O b j e c t K e y > < K e y > M e a s u r e s \ S u m   o f   M a y - 2 3   2 < / K e y > < / D i a g r a m O b j e c t K e y > < D i a g r a m O b j e c t K e y > < K e y > M e a s u r e s \ S u m   o f   M a y - 2 3   2 \ T a g I n f o \ F o r m u l a < / K e y > < / D i a g r a m O b j e c t K e y > < D i a g r a m O b j e c t K e y > < K e y > M e a s u r e s \ S u m   o f   M a y - 2 3   2 \ T a g I n f o \ V a l u e < / K e y > < / D i a g r a m O b j e c t K e y > < D i a g r a m O b j e c t K e y > < K e y > M e a s u r e s \ S u m   o f   J u n - 2 3   2 < / K e y > < / D i a g r a m O b j e c t K e y > < D i a g r a m O b j e c t K e y > < K e y > M e a s u r e s \ S u m   o f   J u n - 2 3   2 \ T a g I n f o \ F o r m u l a < / K e y > < / D i a g r a m O b j e c t K e y > < D i a g r a m O b j e c t K e y > < K e y > M e a s u r e s \ S u m   o f   J u n - 2 3   2 \ T a g I n f o \ V a l u e < / K e y > < / D i a g r a m O b j e c t K e y > < D i a g r a m O b j e c t K e y > < K e y > M e a s u r e s \ S u m   o f   J u l - 2 3   2 < / K e y > < / D i a g r a m O b j e c t K e y > < D i a g r a m O b j e c t K e y > < K e y > M e a s u r e s \ S u m   o f   J u l - 2 3   2 \ T a g I n f o \ F o r m u l a < / K e y > < / D i a g r a m O b j e c t K e y > < D i a g r a m O b j e c t K e y > < K e y > M e a s u r e s \ S u m   o f   J u l - 2 3   2 \ T a g I n f o \ V a l u e < / K e y > < / D i a g r a m O b j e c t K e y > < D i a g r a m O b j e c t K e y > < K e y > M e a s u r e s \ S u m   o f   A u g - 2 3   2 < / K e y > < / D i a g r a m O b j e c t K e y > < D i a g r a m O b j e c t K e y > < K e y > M e a s u r e s \ S u m   o f   A u g - 2 3   2 \ T a g I n f o \ F o r m u l a < / K e y > < / D i a g r a m O b j e c t K e y > < D i a g r a m O b j e c t K e y > < K e y > M e a s u r e s \ S u m   o f   A u g - 2 3   2 \ T a g I n f o \ V a l u e < / K e y > < / D i a g r a m O b j e c t K e y > < D i a g r a m O b j e c t K e y > < K e y > M e a s u r e s \ S u m   o f   S e p - 2 3   2 < / K e y > < / D i a g r a m O b j e c t K e y > < D i a g r a m O b j e c t K e y > < K e y > M e a s u r e s \ S u m   o f   S e p - 2 3   2 \ T a g I n f o \ F o r m u l a < / K e y > < / D i a g r a m O b j e c t K e y > < D i a g r a m O b j e c t K e y > < K e y > M e a s u r e s \ S u m   o f   S e p - 2 3   2 \ T a g I n f o \ V a l u e < / K e y > < / D i a g r a m O b j e c t K e y > < D i a g r a m O b j e c t K e y > < K e y > M e a s u r e s \ S u m   o f   O c t - 2 3   2 < / K e y > < / D i a g r a m O b j e c t K e y > < D i a g r a m O b j e c t K e y > < K e y > M e a s u r e s \ S u m   o f   O c t - 2 3   2 \ T a g I n f o \ F o r m u l a < / K e y > < / D i a g r a m O b j e c t K e y > < D i a g r a m O b j e c t K e y > < K e y > M e a s u r e s \ S u m   o f   O c t - 2 3   2 \ T a g I n f o \ V a l u e < / K e y > < / D i a g r a m O b j e c t K e y > < D i a g r a m O b j e c t K e y > < K e y > M e a s u r e s \ S u m   o f   N o v - 2 3   2 < / K e y > < / D i a g r a m O b j e c t K e y > < D i a g r a m O b j e c t K e y > < K e y > M e a s u r e s \ S u m   o f   N o v - 2 3   2 \ T a g I n f o \ F o r m u l a < / K e y > < / D i a g r a m O b j e c t K e y > < D i a g r a m O b j e c t K e y > < K e y > M e a s u r e s \ S u m   o f   N o v - 2 3   2 \ T a g I n f o \ V a l u e < / K e y > < / D i a g r a m O b j e c t K e y > < D i a g r a m O b j e c t K e y > < K e y > M e a s u r e s \ S u m   o f   D e c - 2 3   2 < / K e y > < / D i a g r a m O b j e c t K e y > < D i a g r a m O b j e c t K e y > < K e y > M e a s u r e s \ S u m   o f   D e c - 2 3   2 \ T a g I n f o \ F o r m u l a < / K e y > < / D i a g r a m O b j e c t K e y > < D i a g r a m O b j e c t K e y > < K e y > M e a s u r e s \ S u m   o f   D e c - 2 3   2 \ T a g I n f o \ V a l u e < / K e y > < / D i a g r a m O b j e c t K e y > < D i a g r a m O b j e c t K e y > < K e y > C o l u m n s \ A d m i n   1 < / K e y > < / D i a g r a m O b j e c t K e y > < D i a g r a m O b j e c t K e y > < K e y > C o l u m n s \ J a n - 2 3 < / K e y > < / D i a g r a m O b j e c t K e y > < D i a g r a m O b j e c t K e y > < K e y > C o l u m n s \ F e b - 2 3 < / K e y > < / D i a g r a m O b j e c t K e y > < D i a g r a m O b j e c t K e y > < K e y > C o l u m n s \ M a r - 2 3 < / K e y > < / D i a g r a m O b j e c t K e y > < D i a g r a m O b j e c t K e y > < K e y > C o l u m n s \ A p r - 2 3 < / K e y > < / D i a g r a m O b j e c t K e y > < D i a g r a m O b j e c t K e y > < K e y > C o l u m n s \ M a y - 2 3 < / K e y > < / D i a g r a m O b j e c t K e y > < D i a g r a m O b j e c t K e y > < K e y > C o l u m n s \ J u n - 2 3 < / K e y > < / D i a g r a m O b j e c t K e y > < D i a g r a m O b j e c t K e y > < K e y > C o l u m n s \ J u l - 2 3 < / K e y > < / D i a g r a m O b j e c t K e y > < D i a g r a m O b j e c t K e y > < K e y > C o l u m n s \ A u g - 2 3 < / K e y > < / D i a g r a m O b j e c t K e y > < D i a g r a m O b j e c t K e y > < K e y > C o l u m n s \ S e p - 2 3 < / K e y > < / D i a g r a m O b j e c t K e y > < D i a g r a m O b j e c t K e y > < K e y > C o l u m n s \ O c t - 2 3 < / K e y > < / D i a g r a m O b j e c t K e y > < D i a g r a m O b j e c t K e y > < K e y > C o l u m n s \ N o v - 2 3 < / K e y > < / D i a g r a m O b j e c t K e y > < D i a g r a m O b j e c t K e y > < K e y > C o l u m n s \ D e c - 2 3 < / K e y > < / D i a g r a m O b j e c t K e y > < D i a g r a m O b j e c t K e y > < K e y > L i n k s \ & l t ; C o l u m n s \ S u m   o f   J a n - 2 3   2 & g t ; - & l t ; M e a s u r e s \ J a n - 2 3 & g t ; < / K e y > < / D i a g r a m O b j e c t K e y > < D i a g r a m O b j e c t K e y > < K e y > L i n k s \ & l t ; C o l u m n s \ S u m   o f   J a n - 2 3   2 & g t ; - & l t ; M e a s u r e s \ J a n - 2 3 & g t ; \ C O L U M N < / K e y > < / D i a g r a m O b j e c t K e y > < D i a g r a m O b j e c t K e y > < K e y > L i n k s \ & l t ; C o l u m n s \ S u m   o f   J a n - 2 3   2 & g t ; - & l t ; M e a s u r e s \ J a n - 2 3 & g t ; \ M E A S U R E < / K e y > < / D i a g r a m O b j e c t K e y > < D i a g r a m O b j e c t K e y > < K e y > L i n k s \ & l t ; C o l u m n s \ S u m   o f   F e b - 2 3   2 & g t ; - & l t ; M e a s u r e s \ F e b - 2 3 & g t ; < / K e y > < / D i a g r a m O b j e c t K e y > < D i a g r a m O b j e c t K e y > < K e y > L i n k s \ & l t ; C o l u m n s \ S u m   o f   F e b - 2 3   2 & g t ; - & l t ; M e a s u r e s \ F e b - 2 3 & g t ; \ C O L U M N < / K e y > < / D i a g r a m O b j e c t K e y > < D i a g r a m O b j e c t K e y > < K e y > L i n k s \ & l t ; C o l u m n s \ S u m   o f   F e b - 2 3   2 & g t ; - & l t ; M e a s u r e s \ F e b - 2 3 & g t ; \ M E A S U R E < / K e y > < / D i a g r a m O b j e c t K e y > < D i a g r a m O b j e c t K e y > < K e y > L i n k s \ & l t ; C o l u m n s \ S u m   o f   M a r - 2 3   2 & g t ; - & l t ; M e a s u r e s \ M a r - 2 3 & g t ; < / K e y > < / D i a g r a m O b j e c t K e y > < D i a g r a m O b j e c t K e y > < K e y > L i n k s \ & l t ; C o l u m n s \ S u m   o f   M a r - 2 3   2 & g t ; - & l t ; M e a s u r e s \ M a r - 2 3 & g t ; \ C O L U M N < / K e y > < / D i a g r a m O b j e c t K e y > < D i a g r a m O b j e c t K e y > < K e y > L i n k s \ & l t ; C o l u m n s \ S u m   o f   M a r - 2 3   2 & g t ; - & l t ; M e a s u r e s \ M a r - 2 3 & g t ; \ M E A S U R E < / K e y > < / D i a g r a m O b j e c t K e y > < D i a g r a m O b j e c t K e y > < K e y > L i n k s \ & l t ; C o l u m n s \ S u m   o f   A p r - 2 3   2 & g t ; - & l t ; M e a s u r e s \ A p r - 2 3 & g t ; < / K e y > < / D i a g r a m O b j e c t K e y > < D i a g r a m O b j e c t K e y > < K e y > L i n k s \ & l t ; C o l u m n s \ S u m   o f   A p r - 2 3   2 & g t ; - & l t ; M e a s u r e s \ A p r - 2 3 & g t ; \ C O L U M N < / K e y > < / D i a g r a m O b j e c t K e y > < D i a g r a m O b j e c t K e y > < K e y > L i n k s \ & l t ; C o l u m n s \ S u m   o f   A p r - 2 3   2 & g t ; - & l t ; M e a s u r e s \ A p r - 2 3 & g t ; \ M E A S U R E < / K e y > < / D i a g r a m O b j e c t K e y > < D i a g r a m O b j e c t K e y > < K e y > L i n k s \ & l t ; C o l u m n s \ S u m   o f   M a y - 2 3   2 & g t ; - & l t ; M e a s u r e s \ M a y - 2 3 & g t ; < / K e y > < / D i a g r a m O b j e c t K e y > < D i a g r a m O b j e c t K e y > < K e y > L i n k s \ & l t ; C o l u m n s \ S u m   o f   M a y - 2 3   2 & g t ; - & l t ; M e a s u r e s \ M a y - 2 3 & g t ; \ C O L U M N < / K e y > < / D i a g r a m O b j e c t K e y > < D i a g r a m O b j e c t K e y > < K e y > L i n k s \ & l t ; C o l u m n s \ S u m   o f   M a y - 2 3   2 & g t ; - & l t ; M e a s u r e s \ M a y - 2 3 & g t ; \ M E A S U R E < / K e y > < / D i a g r a m O b j e c t K e y > < D i a g r a m O b j e c t K e y > < K e y > L i n k s \ & l t ; C o l u m n s \ S u m   o f   J u n - 2 3   2 & g t ; - & l t ; M e a s u r e s \ J u n - 2 3 & g t ; < / K e y > < / D i a g r a m O b j e c t K e y > < D i a g r a m O b j e c t K e y > < K e y > L i n k s \ & l t ; C o l u m n s \ S u m   o f   J u n - 2 3   2 & g t ; - & l t ; M e a s u r e s \ J u n - 2 3 & g t ; \ C O L U M N < / K e y > < / D i a g r a m O b j e c t K e y > < D i a g r a m O b j e c t K e y > < K e y > L i n k s \ & l t ; C o l u m n s \ S u m   o f   J u n - 2 3   2 & g t ; - & l t ; M e a s u r e s \ J u n - 2 3 & g t ; \ M E A S U R E < / K e y > < / D i a g r a m O b j e c t K e y > < D i a g r a m O b j e c t K e y > < K e y > L i n k s \ & l t ; C o l u m n s \ S u m   o f   J u l - 2 3   2 & g t ; - & l t ; M e a s u r e s \ J u l - 2 3 & g t ; < / K e y > < / D i a g r a m O b j e c t K e y > < D i a g r a m O b j e c t K e y > < K e y > L i n k s \ & l t ; C o l u m n s \ S u m   o f   J u l - 2 3   2 & g t ; - & l t ; M e a s u r e s \ J u l - 2 3 & g t ; \ C O L U M N < / K e y > < / D i a g r a m O b j e c t K e y > < D i a g r a m O b j e c t K e y > < K e y > L i n k s \ & l t ; C o l u m n s \ S u m   o f   J u l - 2 3   2 & g t ; - & l t ; M e a s u r e s \ J u l - 2 3 & g t ; \ M E A S U R E < / K e y > < / D i a g r a m O b j e c t K e y > < D i a g r a m O b j e c t K e y > < K e y > L i n k s \ & l t ; C o l u m n s \ S u m   o f   A u g - 2 3   2 & g t ; - & l t ; M e a s u r e s \ A u g - 2 3 & g t ; < / K e y > < / D i a g r a m O b j e c t K e y > < D i a g r a m O b j e c t K e y > < K e y > L i n k s \ & l t ; C o l u m n s \ S u m   o f   A u g - 2 3   2 & g t ; - & l t ; M e a s u r e s \ A u g - 2 3 & g t ; \ C O L U M N < / K e y > < / D i a g r a m O b j e c t K e y > < D i a g r a m O b j e c t K e y > < K e y > L i n k s \ & l t ; C o l u m n s \ S u m   o f   A u g - 2 3   2 & g t ; - & l t ; M e a s u r e s \ A u g - 2 3 & g t ; \ M E A S U R E < / K e y > < / D i a g r a m O b j e c t K e y > < D i a g r a m O b j e c t K e y > < K e y > L i n k s \ & l t ; C o l u m n s \ S u m   o f   S e p - 2 3   2 & g t ; - & l t ; M e a s u r e s \ S e p - 2 3 & g t ; < / K e y > < / D i a g r a m O b j e c t K e y > < D i a g r a m O b j e c t K e y > < K e y > L i n k s \ & l t ; C o l u m n s \ S u m   o f   S e p - 2 3   2 & g t ; - & l t ; M e a s u r e s \ S e p - 2 3 & g t ; \ C O L U M N < / K e y > < / D i a g r a m O b j e c t K e y > < D i a g r a m O b j e c t K e y > < K e y > L i n k s \ & l t ; C o l u m n s \ S u m   o f   S e p - 2 3   2 & g t ; - & l t ; M e a s u r e s \ S e p - 2 3 & g t ; \ M E A S U R E < / K e y > < / D i a g r a m O b j e c t K e y > < D i a g r a m O b j e c t K e y > < K e y > L i n k s \ & l t ; C o l u m n s \ S u m   o f   O c t - 2 3   2 & g t ; - & l t ; M e a s u r e s \ O c t - 2 3 & g t ; < / K e y > < / D i a g r a m O b j e c t K e y > < D i a g r a m O b j e c t K e y > < K e y > L i n k s \ & l t ; C o l u m n s \ S u m   o f   O c t - 2 3   2 & g t ; - & l t ; M e a s u r e s \ O c t - 2 3 & g t ; \ C O L U M N < / K e y > < / D i a g r a m O b j e c t K e y > < D i a g r a m O b j e c t K e y > < K e y > L i n k s \ & l t ; C o l u m n s \ S u m   o f   O c t - 2 3   2 & g t ; - & l t ; M e a s u r e s \ O c t - 2 3 & g t ; \ M E A S U R E < / K e y > < / D i a g r a m O b j e c t K e y > < D i a g r a m O b j e c t K e y > < K e y > L i n k s \ & l t ; C o l u m n s \ S u m   o f   N o v - 2 3   2 & g t ; - & l t ; M e a s u r e s \ N o v - 2 3 & g t ; < / K e y > < / D i a g r a m O b j e c t K e y > < D i a g r a m O b j e c t K e y > < K e y > L i n k s \ & l t ; C o l u m n s \ S u m   o f   N o v - 2 3   2 & g t ; - & l t ; M e a s u r e s \ N o v - 2 3 & g t ; \ C O L U M N < / K e y > < / D i a g r a m O b j e c t K e y > < D i a g r a m O b j e c t K e y > < K e y > L i n k s \ & l t ; C o l u m n s \ S u m   o f   N o v - 2 3   2 & g t ; - & l t ; M e a s u r e s \ N o v - 2 3 & g t ; \ M E A S U R E < / K e y > < / D i a g r a m O b j e c t K e y > < D i a g r a m O b j e c t K e y > < K e y > L i n k s \ & l t ; C o l u m n s \ S u m   o f   D e c - 2 3   2 & g t ; - & l t ; M e a s u r e s \ D e c - 2 3 & g t ; < / K e y > < / D i a g r a m O b j e c t K e y > < D i a g r a m O b j e c t K e y > < K e y > L i n k s \ & l t ; C o l u m n s \ S u m   o f   D e c - 2 3   2 & g t ; - & l t ; M e a s u r e s \ D e c - 2 3 & g t ; \ C O L U M N < / K e y > < / D i a g r a m O b j e c t K e y > < D i a g r a m O b j e c t K e y > < K e y > L i n k s \ & l t ; C o l u m n s \ S u m   o f   D e c - 2 3   2 & g t ; - & l t ; M e a s u r e s \ D e c - 2 3 & g t ; \ M E A S U R E 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 J a n - 2 3   2 < / K e y > < / a : K e y > < a : V a l u e   i : t y p e = " M e a s u r e G r i d N o d e V i e w S t a t e " > < C o l u m n > 1 < / C o l u m n > < L a y e d O u t > t r u e < / L a y e d O u t > < W a s U I I n v i s i b l e > t r u e < / W a s U I I n v i s i b l e > < / a : V a l u e > < / a : K e y V a l u e O f D i a g r a m O b j e c t K e y a n y T y p e z b w N T n L X > < a : K e y V a l u e O f D i a g r a m O b j e c t K e y a n y T y p e z b w N T n L X > < a : K e y > < K e y > M e a s u r e s \ S u m   o f   J a n - 2 3   2 \ T a g I n f o \ F o r m u l a < / K e y > < / a : K e y > < a : V a l u e   i : t y p e = " M e a s u r e G r i d V i e w S t a t e I D i a g r a m T a g A d d i t i o n a l I n f o " / > < / a : K e y V a l u e O f D i a g r a m O b j e c t K e y a n y T y p e z b w N T n L X > < a : K e y V a l u e O f D i a g r a m O b j e c t K e y a n y T y p e z b w N T n L X > < a : K e y > < K e y > M e a s u r e s \ S u m   o f   J a n - 2 3   2 \ T a g I n f o \ V a l u e < / K e y > < / a : K e y > < a : V a l u e   i : t y p e = " M e a s u r e G r i d V i e w S t a t e I D i a g r a m T a g A d d i t i o n a l I n f o " / > < / a : K e y V a l u e O f D i a g r a m O b j e c t K e y a n y T y p e z b w N T n L X > < a : K e y V a l u e O f D i a g r a m O b j e c t K e y a n y T y p e z b w N T n L X > < a : K e y > < K e y > M e a s u r e s \ S u m   o f   F e b - 2 3   2 < / K e y > < / a : K e y > < a : V a l u e   i : t y p e = " M e a s u r e G r i d N o d e V i e w S t a t e " > < C o l u m n > 2 < / C o l u m n > < L a y e d O u t > t r u e < / L a y e d O u t > < W a s U I I n v i s i b l e > t r u e < / W a s U I I n v i s i b l e > < / a : V a l u e > < / a : K e y V a l u e O f D i a g r a m O b j e c t K e y a n y T y p e z b w N T n L X > < a : K e y V a l u e O f D i a g r a m O b j e c t K e y a n y T y p e z b w N T n L X > < a : K e y > < K e y > M e a s u r e s \ S u m   o f   F e b - 2 3   2 \ T a g I n f o \ F o r m u l a < / K e y > < / a : K e y > < a : V a l u e   i : t y p e = " M e a s u r e G r i d V i e w S t a t e I D i a g r a m T a g A d d i t i o n a l I n f o " / > < / a : K e y V a l u e O f D i a g r a m O b j e c t K e y a n y T y p e z b w N T n L X > < a : K e y V a l u e O f D i a g r a m O b j e c t K e y a n y T y p e z b w N T n L X > < a : K e y > < K e y > M e a s u r e s \ S u m   o f   F e b - 2 3   2 \ T a g I n f o \ V a l u e < / K e y > < / a : K e y > < a : V a l u e   i : t y p e = " M e a s u r e G r i d V i e w S t a t e I D i a g r a m T a g A d d i t i o n a l I n f o " / > < / a : K e y V a l u e O f D i a g r a m O b j e c t K e y a n y T y p e z b w N T n L X > < a : K e y V a l u e O f D i a g r a m O b j e c t K e y a n y T y p e z b w N T n L X > < a : K e y > < K e y > M e a s u r e s \ S u m   o f   M a r - 2 3   2 < / K e y > < / a : K e y > < a : V a l u e   i : t y p e = " M e a s u r e G r i d N o d e V i e w S t a t e " > < C o l u m n > 3 < / C o l u m n > < L a y e d O u t > t r u e < / L a y e d O u t > < W a s U I I n v i s i b l e > t r u e < / W a s U I I n v i s i b l e > < / a : V a l u e > < / a : K e y V a l u e O f D i a g r a m O b j e c t K e y a n y T y p e z b w N T n L X > < a : K e y V a l u e O f D i a g r a m O b j e c t K e y a n y T y p e z b w N T n L X > < a : K e y > < K e y > M e a s u r e s \ S u m   o f   M a r - 2 3   2 \ T a g I n f o \ F o r m u l a < / K e y > < / a : K e y > < a : V a l u e   i : t y p e = " M e a s u r e G r i d V i e w S t a t e I D i a g r a m T a g A d d i t i o n a l I n f o " / > < / a : K e y V a l u e O f D i a g r a m O b j e c t K e y a n y T y p e z b w N T n L X > < a : K e y V a l u e O f D i a g r a m O b j e c t K e y a n y T y p e z b w N T n L X > < a : K e y > < K e y > M e a s u r e s \ S u m   o f   M a r - 2 3   2 \ T a g I n f o \ V a l u e < / K e y > < / a : K e y > < a : V a l u e   i : t y p e = " M e a s u r e G r i d V i e w S t a t e I D i a g r a m T a g A d d i t i o n a l I n f o " / > < / a : K e y V a l u e O f D i a g r a m O b j e c t K e y a n y T y p e z b w N T n L X > < a : K e y V a l u e O f D i a g r a m O b j e c t K e y a n y T y p e z b w N T n L X > < a : K e y > < K e y > M e a s u r e s \ S u m   o f   A p r - 2 3   2 < / K e y > < / a : K e y > < a : V a l u e   i : t y p e = " M e a s u r e G r i d N o d e V i e w S t a t e " > < C o l u m n > 4 < / C o l u m n > < L a y e d O u t > t r u e < / L a y e d O u t > < W a s U I I n v i s i b l e > t r u e < / W a s U I I n v i s i b l e > < / a : V a l u e > < / a : K e y V a l u e O f D i a g r a m O b j e c t K e y a n y T y p e z b w N T n L X > < a : K e y V a l u e O f D i a g r a m O b j e c t K e y a n y T y p e z b w N T n L X > < a : K e y > < K e y > M e a s u r e s \ S u m   o f   A p r - 2 3   2 \ T a g I n f o \ F o r m u l a < / K e y > < / a : K e y > < a : V a l u e   i : t y p e = " M e a s u r e G r i d V i e w S t a t e I D i a g r a m T a g A d d i t i o n a l I n f o " / > < / a : K e y V a l u e O f D i a g r a m O b j e c t K e y a n y T y p e z b w N T n L X > < a : K e y V a l u e O f D i a g r a m O b j e c t K e y a n y T y p e z b w N T n L X > < a : K e y > < K e y > M e a s u r e s \ S u m   o f   A p r - 2 3   2 \ T a g I n f o \ V a l u e < / K e y > < / a : K e y > < a : V a l u e   i : t y p e = " M e a s u r e G r i d V i e w S t a t e I D i a g r a m T a g A d d i t i o n a l I n f o " / > < / a : K e y V a l u e O f D i a g r a m O b j e c t K e y a n y T y p e z b w N T n L X > < a : K e y V a l u e O f D i a g r a m O b j e c t K e y a n y T y p e z b w N T n L X > < a : K e y > < K e y > M e a s u r e s \ S u m   o f   M a y - 2 3   2 < / K e y > < / a : K e y > < a : V a l u e   i : t y p e = " M e a s u r e G r i d N o d e V i e w S t a t e " > < C o l u m n > 5 < / C o l u m n > < L a y e d O u t > t r u e < / L a y e d O u t > < W a s U I I n v i s i b l e > t r u e < / W a s U I I n v i s i b l e > < / a : V a l u e > < / a : K e y V a l u e O f D i a g r a m O b j e c t K e y a n y T y p e z b w N T n L X > < a : K e y V a l u e O f D i a g r a m O b j e c t K e y a n y T y p e z b w N T n L X > < a : K e y > < K e y > M e a s u r e s \ S u m   o f   M a y - 2 3   2 \ T a g I n f o \ F o r m u l a < / K e y > < / a : K e y > < a : V a l u e   i : t y p e = " M e a s u r e G r i d V i e w S t a t e I D i a g r a m T a g A d d i t i o n a l I n f o " / > < / a : K e y V a l u e O f D i a g r a m O b j e c t K e y a n y T y p e z b w N T n L X > < a : K e y V a l u e O f D i a g r a m O b j e c t K e y a n y T y p e z b w N T n L X > < a : K e y > < K e y > M e a s u r e s \ S u m   o f   M a y - 2 3   2 \ T a g I n f o \ V a l u e < / K e y > < / a : K e y > < a : V a l u e   i : t y p e = " M e a s u r e G r i d V i e w S t a t e I D i a g r a m T a g A d d i t i o n a l I n f o " / > < / a : K e y V a l u e O f D i a g r a m O b j e c t K e y a n y T y p e z b w N T n L X > < a : K e y V a l u e O f D i a g r a m O b j e c t K e y a n y T y p e z b w N T n L X > < a : K e y > < K e y > M e a s u r e s \ S u m   o f   J u n - 2 3   2 < / K e y > < / a : K e y > < a : V a l u e   i : t y p e = " M e a s u r e G r i d N o d e V i e w S t a t e " > < C o l u m n > 6 < / C o l u m n > < L a y e d O u t > t r u e < / L a y e d O u t > < W a s U I I n v i s i b l e > t r u e < / W a s U I I n v i s i b l e > < / a : V a l u e > < / a : K e y V a l u e O f D i a g r a m O b j e c t K e y a n y T y p e z b w N T n L X > < a : K e y V a l u e O f D i a g r a m O b j e c t K e y a n y T y p e z b w N T n L X > < a : K e y > < K e y > M e a s u r e s \ S u m   o f   J u n - 2 3   2 \ T a g I n f o \ F o r m u l a < / K e y > < / a : K e y > < a : V a l u e   i : t y p e = " M e a s u r e G r i d V i e w S t a t e I D i a g r a m T a g A d d i t i o n a l I n f o " / > < / a : K e y V a l u e O f D i a g r a m O b j e c t K e y a n y T y p e z b w N T n L X > < a : K e y V a l u e O f D i a g r a m O b j e c t K e y a n y T y p e z b w N T n L X > < a : K e y > < K e y > M e a s u r e s \ S u m   o f   J u n - 2 3   2 \ T a g I n f o \ V a l u e < / K e y > < / a : K e y > < a : V a l u e   i : t y p e = " M e a s u r e G r i d V i e w S t a t e I D i a g r a m T a g A d d i t i o n a l I n f o " / > < / a : K e y V a l u e O f D i a g r a m O b j e c t K e y a n y T y p e z b w N T n L X > < a : K e y V a l u e O f D i a g r a m O b j e c t K e y a n y T y p e z b w N T n L X > < a : K e y > < K e y > M e a s u r e s \ S u m   o f   J u l - 2 3   2 < / K e y > < / a : K e y > < a : V a l u e   i : t y p e = " M e a s u r e G r i d N o d e V i e w S t a t e " > < C o l u m n > 7 < / C o l u m n > < L a y e d O u t > t r u e < / L a y e d O u t > < W a s U I I n v i s i b l e > t r u e < / W a s U I I n v i s i b l e > < / a : V a l u e > < / a : K e y V a l u e O f D i a g r a m O b j e c t K e y a n y T y p e z b w N T n L X > < a : K e y V a l u e O f D i a g r a m O b j e c t K e y a n y T y p e z b w N T n L X > < a : K e y > < K e y > M e a s u r e s \ S u m   o f   J u l - 2 3   2 \ T a g I n f o \ F o r m u l a < / K e y > < / a : K e y > < a : V a l u e   i : t y p e = " M e a s u r e G r i d V i e w S t a t e I D i a g r a m T a g A d d i t i o n a l I n f o " / > < / a : K e y V a l u e O f D i a g r a m O b j e c t K e y a n y T y p e z b w N T n L X > < a : K e y V a l u e O f D i a g r a m O b j e c t K e y a n y T y p e z b w N T n L X > < a : K e y > < K e y > M e a s u r e s \ S u m   o f   J u l - 2 3   2 \ T a g I n f o \ V a l u e < / K e y > < / a : K e y > < a : V a l u e   i : t y p e = " M e a s u r e G r i d V i e w S t a t e I D i a g r a m T a g A d d i t i o n a l I n f o " / > < / a : K e y V a l u e O f D i a g r a m O b j e c t K e y a n y T y p e z b w N T n L X > < a : K e y V a l u e O f D i a g r a m O b j e c t K e y a n y T y p e z b w N T n L X > < a : K e y > < K e y > M e a s u r e s \ S u m   o f   A u g - 2 3   2 < / K e y > < / a : K e y > < a : V a l u e   i : t y p e = " M e a s u r e G r i d N o d e V i e w S t a t e " > < C o l u m n > 8 < / C o l u m n > < L a y e d O u t > t r u e < / L a y e d O u t > < W a s U I I n v i s i b l e > t r u e < / W a s U I I n v i s i b l e > < / a : V a l u e > < / a : K e y V a l u e O f D i a g r a m O b j e c t K e y a n y T y p e z b w N T n L X > < a : K e y V a l u e O f D i a g r a m O b j e c t K e y a n y T y p e z b w N T n L X > < a : K e y > < K e y > M e a s u r e s \ S u m   o f   A u g - 2 3   2 \ T a g I n f o \ F o r m u l a < / K e y > < / a : K e y > < a : V a l u e   i : t y p e = " M e a s u r e G r i d V i e w S t a t e I D i a g r a m T a g A d d i t i o n a l I n f o " / > < / a : K e y V a l u e O f D i a g r a m O b j e c t K e y a n y T y p e z b w N T n L X > < a : K e y V a l u e O f D i a g r a m O b j e c t K e y a n y T y p e z b w N T n L X > < a : K e y > < K e y > M e a s u r e s \ S u m   o f   A u g - 2 3   2 \ T a g I n f o \ V a l u e < / K e y > < / a : K e y > < a : V a l u e   i : t y p e = " M e a s u r e G r i d V i e w S t a t e I D i a g r a m T a g A d d i t i o n a l I n f o " / > < / a : K e y V a l u e O f D i a g r a m O b j e c t K e y a n y T y p e z b w N T n L X > < a : K e y V a l u e O f D i a g r a m O b j e c t K e y a n y T y p e z b w N T n L X > < a : K e y > < K e y > M e a s u r e s \ S u m   o f   S e p - 2 3   2 < / K e y > < / a : K e y > < a : V a l u e   i : t y p e = " M e a s u r e G r i d N o d e V i e w S t a t e " > < C o l u m n > 9 < / C o l u m n > < L a y e d O u t > t r u e < / L a y e d O u t > < W a s U I I n v i s i b l e > t r u e < / W a s U I I n v i s i b l e > < / a : V a l u e > < / a : K e y V a l u e O f D i a g r a m O b j e c t K e y a n y T y p e z b w N T n L X > < a : K e y V a l u e O f D i a g r a m O b j e c t K e y a n y T y p e z b w N T n L X > < a : K e y > < K e y > M e a s u r e s \ S u m   o f   S e p - 2 3   2 \ T a g I n f o \ F o r m u l a < / K e y > < / a : K e y > < a : V a l u e   i : t y p e = " M e a s u r e G r i d V i e w S t a t e I D i a g r a m T a g A d d i t i o n a l I n f o " / > < / a : K e y V a l u e O f D i a g r a m O b j e c t K e y a n y T y p e z b w N T n L X > < a : K e y V a l u e O f D i a g r a m O b j e c t K e y a n y T y p e z b w N T n L X > < a : K e y > < K e y > M e a s u r e s \ S u m   o f   S e p - 2 3   2 \ T a g I n f o \ V a l u e < / K e y > < / a : K e y > < a : V a l u e   i : t y p e = " M e a s u r e G r i d V i e w S t a t e I D i a g r a m T a g A d d i t i o n a l I n f o " / > < / a : K e y V a l u e O f D i a g r a m O b j e c t K e y a n y T y p e z b w N T n L X > < a : K e y V a l u e O f D i a g r a m O b j e c t K e y a n y T y p e z b w N T n L X > < a : K e y > < K e y > M e a s u r e s \ S u m   o f   O c t - 2 3   2 < / K e y > < / a : K e y > < a : V a l u e   i : t y p e = " M e a s u r e G r i d N o d e V i e w S t a t e " > < C o l u m n > 1 0 < / C o l u m n > < L a y e d O u t > t r u e < / L a y e d O u t > < W a s U I I n v i s i b l e > t r u e < / W a s U I I n v i s i b l e > < / a : V a l u e > < / a : K e y V a l u e O f D i a g r a m O b j e c t K e y a n y T y p e z b w N T n L X > < a : K e y V a l u e O f D i a g r a m O b j e c t K e y a n y T y p e z b w N T n L X > < a : K e y > < K e y > M e a s u r e s \ S u m   o f   O c t - 2 3   2 \ T a g I n f o \ F o r m u l a < / K e y > < / a : K e y > < a : V a l u e   i : t y p e = " M e a s u r e G r i d V i e w S t a t e I D i a g r a m T a g A d d i t i o n a l I n f o " / > < / a : K e y V a l u e O f D i a g r a m O b j e c t K e y a n y T y p e z b w N T n L X > < a : K e y V a l u e O f D i a g r a m O b j e c t K e y a n y T y p e z b w N T n L X > < a : K e y > < K e y > M e a s u r e s \ S u m   o f   O c t - 2 3   2 \ T a g I n f o \ V a l u e < / K e y > < / a : K e y > < a : V a l u e   i : t y p e = " M e a s u r e G r i d V i e w S t a t e I D i a g r a m T a g A d d i t i o n a l I n f o " / > < / a : K e y V a l u e O f D i a g r a m O b j e c t K e y a n y T y p e z b w N T n L X > < a : K e y V a l u e O f D i a g r a m O b j e c t K e y a n y T y p e z b w N T n L X > < a : K e y > < K e y > M e a s u r e s \ S u m   o f   N o v - 2 3   2 < / K e y > < / a : K e y > < a : V a l u e   i : t y p e = " M e a s u r e G r i d N o d e V i e w S t a t e " > < C o l u m n > 1 1 < / C o l u m n > < L a y e d O u t > t r u e < / L a y e d O u t > < W a s U I I n v i s i b l e > t r u e < / W a s U I I n v i s i b l e > < / a : V a l u e > < / a : K e y V a l u e O f D i a g r a m O b j e c t K e y a n y T y p e z b w N T n L X > < a : K e y V a l u e O f D i a g r a m O b j e c t K e y a n y T y p e z b w N T n L X > < a : K e y > < K e y > M e a s u r e s \ S u m   o f   N o v - 2 3   2 \ T a g I n f o \ F o r m u l a < / K e y > < / a : K e y > < a : V a l u e   i : t y p e = " M e a s u r e G r i d V i e w S t a t e I D i a g r a m T a g A d d i t i o n a l I n f o " / > < / a : K e y V a l u e O f D i a g r a m O b j e c t K e y a n y T y p e z b w N T n L X > < a : K e y V a l u e O f D i a g r a m O b j e c t K e y a n y T y p e z b w N T n L X > < a : K e y > < K e y > M e a s u r e s \ S u m   o f   N o v - 2 3   2 \ T a g I n f o \ V a l u e < / K e y > < / a : K e y > < a : V a l u e   i : t y p e = " M e a s u r e G r i d V i e w S t a t e I D i a g r a m T a g A d d i t i o n a l I n f o " / > < / a : K e y V a l u e O f D i a g r a m O b j e c t K e y a n y T y p e z b w N T n L X > < a : K e y V a l u e O f D i a g r a m O b j e c t K e y a n y T y p e z b w N T n L X > < a : K e y > < K e y > M e a s u r e s \ S u m   o f   D e c - 2 3   2 < / K e y > < / a : K e y > < a : V a l u e   i : t y p e = " M e a s u r e G r i d N o d e V i e w S t a t e " > < C o l u m n > 1 2 < / C o l u m n > < L a y e d O u t > t r u e < / L a y e d O u t > < W a s U I I n v i s i b l e > t r u e < / W a s U I I n v i s i b l e > < / a : V a l u e > < / a : K e y V a l u e O f D i a g r a m O b j e c t K e y a n y T y p e z b w N T n L X > < a : K e y V a l u e O f D i a g r a m O b j e c t K e y a n y T y p e z b w N T n L X > < a : K e y > < K e y > M e a s u r e s \ S u m   o f   D e c - 2 3   2 \ T a g I n f o \ F o r m u l a < / K e y > < / a : K e y > < a : V a l u e   i : t y p e = " M e a s u r e G r i d V i e w S t a t e I D i a g r a m T a g A d d i t i o n a l I n f o " / > < / a : K e y V a l u e O f D i a g r a m O b j e c t K e y a n y T y p e z b w N T n L X > < a : K e y V a l u e O f D i a g r a m O b j e c t K e y a n y T y p e z b w N T n L X > < a : K e y > < K e y > M e a s u r e s \ S u m   o f   D e c - 2 3   2 \ T a g I n f o \ V a l u e < / K e y > < / a : K e y > < a : V a l u e   i : t y p e = " M e a s u r e G r i d V i e w S t a t e I D i a g r a m T a g A d d i t i o n a l I n f o " / > < / a : K e y V a l u e O f D i a g r a m O b j e c t K e y a n y T y p e z b w N T n L X > < a : K e y V a l u e O f D i a g r a m O b j e c t K e y a n y T y p e z b w N T n L X > < a : K e y > < K e y > C o l u m n s \ A d m i n   1 < / K e y > < / a : K e y > < a : V a l u e   i : t y p e = " M e a s u r e G r i d N o d e V i e w S t a t e " > < L a y e d O u t > t r u e < / L a y e d O u t > < / a : V a l u e > < / a : K e y V a l u e O f D i a g r a m O b j e c t K e y a n y T y p e z b w N T n L X > < a : K e y V a l u e O f D i a g r a m O b j e c t K e y a n y T y p e z b w N T n L X > < a : K e y > < K e y > C o l u m n s \ J a n - 2 3 < / K e y > < / a : K e y > < a : V a l u e   i : t y p e = " M e a s u r e G r i d N o d e V i e w S t a t e " > < C o l u m n > 1 < / C o l u m n > < L a y e d O u t > t r u e < / L a y e d O u t > < / a : V a l u e > < / a : K e y V a l u e O f D i a g r a m O b j e c t K e y a n y T y p e z b w N T n L X > < a : K e y V a l u e O f D i a g r a m O b j e c t K e y a n y T y p e z b w N T n L X > < a : K e y > < K e y > C o l u m n s \ F e b - 2 3 < / K e y > < / a : K e y > < a : V a l u e   i : t y p e = " M e a s u r e G r i d N o d e V i e w S t a t e " > < C o l u m n > 2 < / C o l u m n > < L a y e d O u t > t r u e < / L a y e d O u t > < / a : V a l u e > < / a : K e y V a l u e O f D i a g r a m O b j e c t K e y a n y T y p e z b w N T n L X > < a : K e y V a l u e O f D i a g r a m O b j e c t K e y a n y T y p e z b w N T n L X > < a : K e y > < K e y > C o l u m n s \ M a r - 2 3 < / K e y > < / a : K e y > < a : V a l u e   i : t y p e = " M e a s u r e G r i d N o d e V i e w S t a t e " > < C o l u m n > 3 < / C o l u m n > < L a y e d O u t > t r u e < / L a y e d O u t > < / a : V a l u e > < / a : K e y V a l u e O f D i a g r a m O b j e c t K e y a n y T y p e z b w N T n L X > < a : K e y V a l u e O f D i a g r a m O b j e c t K e y a n y T y p e z b w N T n L X > < a : K e y > < K e y > C o l u m n s \ A p r - 2 3 < / K e y > < / a : K e y > < a : V a l u e   i : t y p e = " M e a s u r e G r i d N o d e V i e w S t a t e " > < C o l u m n > 4 < / C o l u m n > < L a y e d O u t > t r u e < / L a y e d O u t > < / a : V a l u e > < / a : K e y V a l u e O f D i a g r a m O b j e c t K e y a n y T y p e z b w N T n L X > < a : K e y V a l u e O f D i a g r a m O b j e c t K e y a n y T y p e z b w N T n L X > < a : K e y > < K e y > C o l u m n s \ M a y - 2 3 < / K e y > < / a : K e y > < a : V a l u e   i : t y p e = " M e a s u r e G r i d N o d e V i e w S t a t e " > < C o l u m n > 5 < / C o l u m n > < L a y e d O u t > t r u e < / L a y e d O u t > < / a : V a l u e > < / a : K e y V a l u e O f D i a g r a m O b j e c t K e y a n y T y p e z b w N T n L X > < a : K e y V a l u e O f D i a g r a m O b j e c t K e y a n y T y p e z b w N T n L X > < a : K e y > < K e y > C o l u m n s \ J u n - 2 3 < / K e y > < / a : K e y > < a : V a l u e   i : t y p e = " M e a s u r e G r i d N o d e V i e w S t a t e " > < C o l u m n > 6 < / C o l u m n > < L a y e d O u t > t r u e < / L a y e d O u t > < / a : V a l u e > < / a : K e y V a l u e O f D i a g r a m O b j e c t K e y a n y T y p e z b w N T n L X > < a : K e y V a l u e O f D i a g r a m O b j e c t K e y a n y T y p e z b w N T n L X > < a : K e y > < K e y > C o l u m n s \ J u l - 2 3 < / K e y > < / a : K e y > < a : V a l u e   i : t y p e = " M e a s u r e G r i d N o d e V i e w S t a t e " > < C o l u m n > 7 < / C o l u m n > < L a y e d O u t > t r u e < / L a y e d O u t > < / a : V a l u e > < / a : K e y V a l u e O f D i a g r a m O b j e c t K e y a n y T y p e z b w N T n L X > < a : K e y V a l u e O f D i a g r a m O b j e c t K e y a n y T y p e z b w N T n L X > < a : K e y > < K e y > C o l u m n s \ A u g - 2 3 < / K e y > < / a : K e y > < a : V a l u e   i : t y p e = " M e a s u r e G r i d N o d e V i e w S t a t e " > < C o l u m n > 8 < / C o l u m n > < L a y e d O u t > t r u e < / L a y e d O u t > < / a : V a l u e > < / a : K e y V a l u e O f D i a g r a m O b j e c t K e y a n y T y p e z b w N T n L X > < a : K e y V a l u e O f D i a g r a m O b j e c t K e y a n y T y p e z b w N T n L X > < a : K e y > < K e y > C o l u m n s \ S e p - 2 3 < / K e y > < / a : K e y > < a : V a l u e   i : t y p e = " M e a s u r e G r i d N o d e V i e w S t a t e " > < C o l u m n > 9 < / C o l u m n > < L a y e d O u t > t r u e < / L a y e d O u t > < / a : V a l u e > < / a : K e y V a l u e O f D i a g r a m O b j e c t K e y a n y T y p e z b w N T n L X > < a : K e y V a l u e O f D i a g r a m O b j e c t K e y a n y T y p e z b w N T n L X > < a : K e y > < K e y > C o l u m n s \ O c t - 2 3 < / K e y > < / a : K e y > < a : V a l u e   i : t y p e = " M e a s u r e G r i d N o d e V i e w S t a t e " > < C o l u m n > 1 0 < / C o l u m n > < L a y e d O u t > t r u e < / L a y e d O u t > < / a : V a l u e > < / a : K e y V a l u e O f D i a g r a m O b j e c t K e y a n y T y p e z b w N T n L X > < a : K e y V a l u e O f D i a g r a m O b j e c t K e y a n y T y p e z b w N T n L X > < a : K e y > < K e y > C o l u m n s \ N o v - 2 3 < / K e y > < / a : K e y > < a : V a l u e   i : t y p e = " M e a s u r e G r i d N o d e V i e w S t a t e " > < C o l u m n > 1 1 < / C o l u m n > < L a y e d O u t > t r u e < / L a y e d O u t > < / a : V a l u e > < / a : K e y V a l u e O f D i a g r a m O b j e c t K e y a n y T y p e z b w N T n L X > < a : K e y V a l u e O f D i a g r a m O b j e c t K e y a n y T y p e z b w N T n L X > < a : K e y > < K e y > C o l u m n s \ D e c - 2 3 < / K e y > < / a : K e y > < a : V a l u e   i : t y p e = " M e a s u r e G r i d N o d e V i e w S t a t e " > < C o l u m n > 1 2 < / C o l u m n > < L a y e d O u t > t r u e < / L a y e d O u t > < / a : V a l u e > < / a : K e y V a l u e O f D i a g r a m O b j e c t K e y a n y T y p e z b w N T n L X > < a : K e y V a l u e O f D i a g r a m O b j e c t K e y a n y T y p e z b w N T n L X > < a : K e y > < K e y > L i n k s \ & l t ; C o l u m n s \ S u m   o f   J a n - 2 3   2 & g t ; - & l t ; M e a s u r e s \ J a n - 2 3 & g t ; < / K e y > < / a : K e y > < a : V a l u e   i : t y p e = " M e a s u r e G r i d V i e w S t a t e I D i a g r a m L i n k " / > < / a : K e y V a l u e O f D i a g r a m O b j e c t K e y a n y T y p e z b w N T n L X > < a : K e y V a l u e O f D i a g r a m O b j e c t K e y a n y T y p e z b w N T n L X > < a : K e y > < K e y > L i n k s \ & l t ; C o l u m n s \ S u m   o f   J a n - 2 3   2 & g t ; - & l t ; M e a s u r e s \ J a n - 2 3 & g t ; \ C O L U M N < / K e y > < / a : K e y > < a : V a l u e   i : t y p e = " M e a s u r e G r i d V i e w S t a t e I D i a g r a m L i n k E n d p o i n t " / > < / a : K e y V a l u e O f D i a g r a m O b j e c t K e y a n y T y p e z b w N T n L X > < a : K e y V a l u e O f D i a g r a m O b j e c t K e y a n y T y p e z b w N T n L X > < a : K e y > < K e y > L i n k s \ & l t ; C o l u m n s \ S u m   o f   J a n - 2 3   2 & g t ; - & l t ; M e a s u r e s \ J a n - 2 3 & g t ; \ M E A S U R E < / K e y > < / a : K e y > < a : V a l u e   i : t y p e = " M e a s u r e G r i d V i e w S t a t e I D i a g r a m L i n k E n d p o i n t " / > < / a : K e y V a l u e O f D i a g r a m O b j e c t K e y a n y T y p e z b w N T n L X > < a : K e y V a l u e O f D i a g r a m O b j e c t K e y a n y T y p e z b w N T n L X > < a : K e y > < K e y > L i n k s \ & l t ; C o l u m n s \ S u m   o f   F e b - 2 3   2 & g t ; - & l t ; M e a s u r e s \ F e b - 2 3 & g t ; < / K e y > < / a : K e y > < a : V a l u e   i : t y p e = " M e a s u r e G r i d V i e w S t a t e I D i a g r a m L i n k " / > < / a : K e y V a l u e O f D i a g r a m O b j e c t K e y a n y T y p e z b w N T n L X > < a : K e y V a l u e O f D i a g r a m O b j e c t K e y a n y T y p e z b w N T n L X > < a : K e y > < K e y > L i n k s \ & l t ; C o l u m n s \ S u m   o f   F e b - 2 3   2 & g t ; - & l t ; M e a s u r e s \ F e b - 2 3 & g t ; \ C O L U M N < / K e y > < / a : K e y > < a : V a l u e   i : t y p e = " M e a s u r e G r i d V i e w S t a t e I D i a g r a m L i n k E n d p o i n t " / > < / a : K e y V a l u e O f D i a g r a m O b j e c t K e y a n y T y p e z b w N T n L X > < a : K e y V a l u e O f D i a g r a m O b j e c t K e y a n y T y p e z b w N T n L X > < a : K e y > < K e y > L i n k s \ & l t ; C o l u m n s \ S u m   o f   F e b - 2 3   2 & g t ; - & l t ; M e a s u r e s \ F e b - 2 3 & g t ; \ M E A S U R E < / K e y > < / a : K e y > < a : V a l u e   i : t y p e = " M e a s u r e G r i d V i e w S t a t e I D i a g r a m L i n k E n d p o i n t " / > < / a : K e y V a l u e O f D i a g r a m O b j e c t K e y a n y T y p e z b w N T n L X > < a : K e y V a l u e O f D i a g r a m O b j e c t K e y a n y T y p e z b w N T n L X > < a : K e y > < K e y > L i n k s \ & l t ; C o l u m n s \ S u m   o f   M a r - 2 3   2 & g t ; - & l t ; M e a s u r e s \ M a r - 2 3 & g t ; < / K e y > < / a : K e y > < a : V a l u e   i : t y p e = " M e a s u r e G r i d V i e w S t a t e I D i a g r a m L i n k " / > < / a : K e y V a l u e O f D i a g r a m O b j e c t K e y a n y T y p e z b w N T n L X > < a : K e y V a l u e O f D i a g r a m O b j e c t K e y a n y T y p e z b w N T n L X > < a : K e y > < K e y > L i n k s \ & l t ; C o l u m n s \ S u m   o f   M a r - 2 3   2 & g t ; - & l t ; M e a s u r e s \ M a r - 2 3 & g t ; \ C O L U M N < / K e y > < / a : K e y > < a : V a l u e   i : t y p e = " M e a s u r e G r i d V i e w S t a t e I D i a g r a m L i n k E n d p o i n t " / > < / a : K e y V a l u e O f D i a g r a m O b j e c t K e y a n y T y p e z b w N T n L X > < a : K e y V a l u e O f D i a g r a m O b j e c t K e y a n y T y p e z b w N T n L X > < a : K e y > < K e y > L i n k s \ & l t ; C o l u m n s \ S u m   o f   M a r - 2 3   2 & g t ; - & l t ; M e a s u r e s \ M a r - 2 3 & g t ; \ M E A S U R E < / K e y > < / a : K e y > < a : V a l u e   i : t y p e = " M e a s u r e G r i d V i e w S t a t e I D i a g r a m L i n k E n d p o i n t " / > < / a : K e y V a l u e O f D i a g r a m O b j e c t K e y a n y T y p e z b w N T n L X > < a : K e y V a l u e O f D i a g r a m O b j e c t K e y a n y T y p e z b w N T n L X > < a : K e y > < K e y > L i n k s \ & l t ; C o l u m n s \ S u m   o f   A p r - 2 3   2 & g t ; - & l t ; M e a s u r e s \ A p r - 2 3 & g t ; < / K e y > < / a : K e y > < a : V a l u e   i : t y p e = " M e a s u r e G r i d V i e w S t a t e I D i a g r a m L i n k " / > < / a : K e y V a l u e O f D i a g r a m O b j e c t K e y a n y T y p e z b w N T n L X > < a : K e y V a l u e O f D i a g r a m O b j e c t K e y a n y T y p e z b w N T n L X > < a : K e y > < K e y > L i n k s \ & l t ; C o l u m n s \ S u m   o f   A p r - 2 3   2 & g t ; - & l t ; M e a s u r e s \ A p r - 2 3 & g t ; \ C O L U M N < / K e y > < / a : K e y > < a : V a l u e   i : t y p e = " M e a s u r e G r i d V i e w S t a t e I D i a g r a m L i n k E n d p o i n t " / > < / a : K e y V a l u e O f D i a g r a m O b j e c t K e y a n y T y p e z b w N T n L X > < a : K e y V a l u e O f D i a g r a m O b j e c t K e y a n y T y p e z b w N T n L X > < a : K e y > < K e y > L i n k s \ & l t ; C o l u m n s \ S u m   o f   A p r - 2 3   2 & g t ; - & l t ; M e a s u r e s \ A p r - 2 3 & g t ; \ M E A S U R E < / K e y > < / a : K e y > < a : V a l u e   i : t y p e = " M e a s u r e G r i d V i e w S t a t e I D i a g r a m L i n k E n d p o i n t " / > < / a : K e y V a l u e O f D i a g r a m O b j e c t K e y a n y T y p e z b w N T n L X > < a : K e y V a l u e O f D i a g r a m O b j e c t K e y a n y T y p e z b w N T n L X > < a : K e y > < K e y > L i n k s \ & l t ; C o l u m n s \ S u m   o f   M a y - 2 3   2 & g t ; - & l t ; M e a s u r e s \ M a y - 2 3 & g t ; < / K e y > < / a : K e y > < a : V a l u e   i : t y p e = " M e a s u r e G r i d V i e w S t a t e I D i a g r a m L i n k " / > < / a : K e y V a l u e O f D i a g r a m O b j e c t K e y a n y T y p e z b w N T n L X > < a : K e y V a l u e O f D i a g r a m O b j e c t K e y a n y T y p e z b w N T n L X > < a : K e y > < K e y > L i n k s \ & l t ; C o l u m n s \ S u m   o f   M a y - 2 3   2 & g t ; - & l t ; M e a s u r e s \ M a y - 2 3 & g t ; \ C O L U M N < / K e y > < / a : K e y > < a : V a l u e   i : t y p e = " M e a s u r e G r i d V i e w S t a t e I D i a g r a m L i n k E n d p o i n t " / > < / a : K e y V a l u e O f D i a g r a m O b j e c t K e y a n y T y p e z b w N T n L X > < a : K e y V a l u e O f D i a g r a m O b j e c t K e y a n y T y p e z b w N T n L X > < a : K e y > < K e y > L i n k s \ & l t ; C o l u m n s \ S u m   o f   M a y - 2 3   2 & g t ; - & l t ; M e a s u r e s \ M a y - 2 3 & g t ; \ M E A S U R E < / K e y > < / a : K e y > < a : V a l u e   i : t y p e = " M e a s u r e G r i d V i e w S t a t e I D i a g r a m L i n k E n d p o i n t " / > < / a : K e y V a l u e O f D i a g r a m O b j e c t K e y a n y T y p e z b w N T n L X > < a : K e y V a l u e O f D i a g r a m O b j e c t K e y a n y T y p e z b w N T n L X > < a : K e y > < K e y > L i n k s \ & l t ; C o l u m n s \ S u m   o f   J u n - 2 3   2 & g t ; - & l t ; M e a s u r e s \ J u n - 2 3 & g t ; < / K e y > < / a : K e y > < a : V a l u e   i : t y p e = " M e a s u r e G r i d V i e w S t a t e I D i a g r a m L i n k " / > < / a : K e y V a l u e O f D i a g r a m O b j e c t K e y a n y T y p e z b w N T n L X > < a : K e y V a l u e O f D i a g r a m O b j e c t K e y a n y T y p e z b w N T n L X > < a : K e y > < K e y > L i n k s \ & l t ; C o l u m n s \ S u m   o f   J u n - 2 3   2 & g t ; - & l t ; M e a s u r e s \ J u n - 2 3 & g t ; \ C O L U M N < / K e y > < / a : K e y > < a : V a l u e   i : t y p e = " M e a s u r e G r i d V i e w S t a t e I D i a g r a m L i n k E n d p o i n t " / > < / a : K e y V a l u e O f D i a g r a m O b j e c t K e y a n y T y p e z b w N T n L X > < a : K e y V a l u e O f D i a g r a m O b j e c t K e y a n y T y p e z b w N T n L X > < a : K e y > < K e y > L i n k s \ & l t ; C o l u m n s \ S u m   o f   J u n - 2 3   2 & g t ; - & l t ; M e a s u r e s \ J u n - 2 3 & g t ; \ M E A S U R E < / K e y > < / a : K e y > < a : V a l u e   i : t y p e = " M e a s u r e G r i d V i e w S t a t e I D i a g r a m L i n k E n d p o i n t " / > < / a : K e y V a l u e O f D i a g r a m O b j e c t K e y a n y T y p e z b w N T n L X > < a : K e y V a l u e O f D i a g r a m O b j e c t K e y a n y T y p e z b w N T n L X > < a : K e y > < K e y > L i n k s \ & l t ; C o l u m n s \ S u m   o f   J u l - 2 3   2 & g t ; - & l t ; M e a s u r e s \ J u l - 2 3 & g t ; < / K e y > < / a : K e y > < a : V a l u e   i : t y p e = " M e a s u r e G r i d V i e w S t a t e I D i a g r a m L i n k " / > < / a : K e y V a l u e O f D i a g r a m O b j e c t K e y a n y T y p e z b w N T n L X > < a : K e y V a l u e O f D i a g r a m O b j e c t K e y a n y T y p e z b w N T n L X > < a : K e y > < K e y > L i n k s \ & l t ; C o l u m n s \ S u m   o f   J u l - 2 3   2 & g t ; - & l t ; M e a s u r e s \ J u l - 2 3 & g t ; \ C O L U M N < / K e y > < / a : K e y > < a : V a l u e   i : t y p e = " M e a s u r e G r i d V i e w S t a t e I D i a g r a m L i n k E n d p o i n t " / > < / a : K e y V a l u e O f D i a g r a m O b j e c t K e y a n y T y p e z b w N T n L X > < a : K e y V a l u e O f D i a g r a m O b j e c t K e y a n y T y p e z b w N T n L X > < a : K e y > < K e y > L i n k s \ & l t ; C o l u m n s \ S u m   o f   J u l - 2 3   2 & g t ; - & l t ; M e a s u r e s \ J u l - 2 3 & g t ; \ M E A S U R E < / K e y > < / a : K e y > < a : V a l u e   i : t y p e = " M e a s u r e G r i d V i e w S t a t e I D i a g r a m L i n k E n d p o i n t " / > < / a : K e y V a l u e O f D i a g r a m O b j e c t K e y a n y T y p e z b w N T n L X > < a : K e y V a l u e O f D i a g r a m O b j e c t K e y a n y T y p e z b w N T n L X > < a : K e y > < K e y > L i n k s \ & l t ; C o l u m n s \ S u m   o f   A u g - 2 3   2 & g t ; - & l t ; M e a s u r e s \ A u g - 2 3 & g t ; < / K e y > < / a : K e y > < a : V a l u e   i : t y p e = " M e a s u r e G r i d V i e w S t a t e I D i a g r a m L i n k " / > < / a : K e y V a l u e O f D i a g r a m O b j e c t K e y a n y T y p e z b w N T n L X > < a : K e y V a l u e O f D i a g r a m O b j e c t K e y a n y T y p e z b w N T n L X > < a : K e y > < K e y > L i n k s \ & l t ; C o l u m n s \ S u m   o f   A u g - 2 3   2 & g t ; - & l t ; M e a s u r e s \ A u g - 2 3 & g t ; \ C O L U M N < / K e y > < / a : K e y > < a : V a l u e   i : t y p e = " M e a s u r e G r i d V i e w S t a t e I D i a g r a m L i n k E n d p o i n t " / > < / a : K e y V a l u e O f D i a g r a m O b j e c t K e y a n y T y p e z b w N T n L X > < a : K e y V a l u e O f D i a g r a m O b j e c t K e y a n y T y p e z b w N T n L X > < a : K e y > < K e y > L i n k s \ & l t ; C o l u m n s \ S u m   o f   A u g - 2 3   2 & g t ; - & l t ; M e a s u r e s \ A u g - 2 3 & g t ; \ M E A S U R E < / K e y > < / a : K e y > < a : V a l u e   i : t y p e = " M e a s u r e G r i d V i e w S t a t e I D i a g r a m L i n k E n d p o i n t " / > < / a : K e y V a l u e O f D i a g r a m O b j e c t K e y a n y T y p e z b w N T n L X > < a : K e y V a l u e O f D i a g r a m O b j e c t K e y a n y T y p e z b w N T n L X > < a : K e y > < K e y > L i n k s \ & l t ; C o l u m n s \ S u m   o f   S e p - 2 3   2 & g t ; - & l t ; M e a s u r e s \ S e p - 2 3 & g t ; < / K e y > < / a : K e y > < a : V a l u e   i : t y p e = " M e a s u r e G r i d V i e w S t a t e I D i a g r a m L i n k " / > < / a : K e y V a l u e O f D i a g r a m O b j e c t K e y a n y T y p e z b w N T n L X > < a : K e y V a l u e O f D i a g r a m O b j e c t K e y a n y T y p e z b w N T n L X > < a : K e y > < K e y > L i n k s \ & l t ; C o l u m n s \ S u m   o f   S e p - 2 3   2 & g t ; - & l t ; M e a s u r e s \ S e p - 2 3 & g t ; \ C O L U M N < / K e y > < / a : K e y > < a : V a l u e   i : t y p e = " M e a s u r e G r i d V i e w S t a t e I D i a g r a m L i n k E n d p o i n t " / > < / a : K e y V a l u e O f D i a g r a m O b j e c t K e y a n y T y p e z b w N T n L X > < a : K e y V a l u e O f D i a g r a m O b j e c t K e y a n y T y p e z b w N T n L X > < a : K e y > < K e y > L i n k s \ & l t ; C o l u m n s \ S u m   o f   S e p - 2 3   2 & g t ; - & l t ; M e a s u r e s \ S e p - 2 3 & g t ; \ M E A S U R E < / K e y > < / a : K e y > < a : V a l u e   i : t y p e = " M e a s u r e G r i d V i e w S t a t e I D i a g r a m L i n k E n d p o i n t " / > < / a : K e y V a l u e O f D i a g r a m O b j e c t K e y a n y T y p e z b w N T n L X > < a : K e y V a l u e O f D i a g r a m O b j e c t K e y a n y T y p e z b w N T n L X > < a : K e y > < K e y > L i n k s \ & l t ; C o l u m n s \ S u m   o f   O c t - 2 3   2 & g t ; - & l t ; M e a s u r e s \ O c t - 2 3 & g t ; < / K e y > < / a : K e y > < a : V a l u e   i : t y p e = " M e a s u r e G r i d V i e w S t a t e I D i a g r a m L i n k " / > < / a : K e y V a l u e O f D i a g r a m O b j e c t K e y a n y T y p e z b w N T n L X > < a : K e y V a l u e O f D i a g r a m O b j e c t K e y a n y T y p e z b w N T n L X > < a : K e y > < K e y > L i n k s \ & l t ; C o l u m n s \ S u m   o f   O c t - 2 3   2 & g t ; - & l t ; M e a s u r e s \ O c t - 2 3 & g t ; \ C O L U M N < / K e y > < / a : K e y > < a : V a l u e   i : t y p e = " M e a s u r e G r i d V i e w S t a t e I D i a g r a m L i n k E n d p o i n t " / > < / a : K e y V a l u e O f D i a g r a m O b j e c t K e y a n y T y p e z b w N T n L X > < a : K e y V a l u e O f D i a g r a m O b j e c t K e y a n y T y p e z b w N T n L X > < a : K e y > < K e y > L i n k s \ & l t ; C o l u m n s \ S u m   o f   O c t - 2 3   2 & g t ; - & l t ; M e a s u r e s \ O c t - 2 3 & g t ; \ M E A S U R E < / K e y > < / a : K e y > < a : V a l u e   i : t y p e = " M e a s u r e G r i d V i e w S t a t e I D i a g r a m L i n k E n d p o i n t " / > < / a : K e y V a l u e O f D i a g r a m O b j e c t K e y a n y T y p e z b w N T n L X > < a : K e y V a l u e O f D i a g r a m O b j e c t K e y a n y T y p e z b w N T n L X > < a : K e y > < K e y > L i n k s \ & l t ; C o l u m n s \ S u m   o f   N o v - 2 3   2 & g t ; - & l t ; M e a s u r e s \ N o v - 2 3 & g t ; < / K e y > < / a : K e y > < a : V a l u e   i : t y p e = " M e a s u r e G r i d V i e w S t a t e I D i a g r a m L i n k " / > < / a : K e y V a l u e O f D i a g r a m O b j e c t K e y a n y T y p e z b w N T n L X > < a : K e y V a l u e O f D i a g r a m O b j e c t K e y a n y T y p e z b w N T n L X > < a : K e y > < K e y > L i n k s \ & l t ; C o l u m n s \ S u m   o f   N o v - 2 3   2 & g t ; - & l t ; M e a s u r e s \ N o v - 2 3 & g t ; \ C O L U M N < / K e y > < / a : K e y > < a : V a l u e   i : t y p e = " M e a s u r e G r i d V i e w S t a t e I D i a g r a m L i n k E n d p o i n t " / > < / a : K e y V a l u e O f D i a g r a m O b j e c t K e y a n y T y p e z b w N T n L X > < a : K e y V a l u e O f D i a g r a m O b j e c t K e y a n y T y p e z b w N T n L X > < a : K e y > < K e y > L i n k s \ & l t ; C o l u m n s \ S u m   o f   N o v - 2 3   2 & g t ; - & l t ; M e a s u r e s \ N o v - 2 3 & g t ; \ M E A S U R E < / K e y > < / a : K e y > < a : V a l u e   i : t y p e = " M e a s u r e G r i d V i e w S t a t e I D i a g r a m L i n k E n d p o i n t " / > < / a : K e y V a l u e O f D i a g r a m O b j e c t K e y a n y T y p e z b w N T n L X > < a : K e y V a l u e O f D i a g r a m O b j e c t K e y a n y T y p e z b w N T n L X > < a : K e y > < K e y > L i n k s \ & l t ; C o l u m n s \ S u m   o f   D e c - 2 3   2 & g t ; - & l t ; M e a s u r e s \ D e c - 2 3 & g t ; < / K e y > < / a : K e y > < a : V a l u e   i : t y p e = " M e a s u r e G r i d V i e w S t a t e I D i a g r a m L i n k " / > < / a : K e y V a l u e O f D i a g r a m O b j e c t K e y a n y T y p e z b w N T n L X > < a : K e y V a l u e O f D i a g r a m O b j e c t K e y a n y T y p e z b w N T n L X > < a : K e y > < K e y > L i n k s \ & l t ; C o l u m n s \ S u m   o f   D e c - 2 3   2 & g t ; - & l t ; M e a s u r e s \ D e c - 2 3 & g t ; \ C O L U M N < / K e y > < / a : K e y > < a : V a l u e   i : t y p e = " M e a s u r e G r i d V i e w S t a t e I D i a g r a m L i n k E n d p o i n t " / > < / a : K e y V a l u e O f D i a g r a m O b j e c t K e y a n y T y p e z b w N T n L X > < a : K e y V a l u e O f D i a g r a m O b j e c t K e y a n y T y p e z b w N T n L X > < a : K e y > < K e y > L i n k s \ & l t ; C o l u m n s \ S u m   o f   D e c - 2 3   2 & g t ; - & l t ; M e a s u r e s \ D e c - 2 3 & g t ; \ M E A S U R E 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 J a n - 2 3 < / K e y > < / D i a g r a m O b j e c t K e y > < D i a g r a m O b j e c t K e y > < K e y > M e a s u r e s \ S u m   o f   J a n - 2 3 \ T a g I n f o \ F o r m u l a < / K e y > < / D i a g r a m O b j e c t K e y > < D i a g r a m O b j e c t K e y > < K e y > M e a s u r e s \ S u m   o f   J a n - 2 3 \ T a g I n f o \ V a l u e < / K e y > < / D i a g r a m O b j e c t K e y > < D i a g r a m O b j e c t K e y > < K e y > M e a s u r e s \ S u m   o f   F e b - 2 3 < / K e y > < / D i a g r a m O b j e c t K e y > < D i a g r a m O b j e c t K e y > < K e y > M e a s u r e s \ S u m   o f   F e b - 2 3 \ T a g I n f o \ F o r m u l a < / K e y > < / D i a g r a m O b j e c t K e y > < D i a g r a m O b j e c t K e y > < K e y > M e a s u r e s \ S u m   o f   F e b - 2 3 \ T a g I n f o \ V a l u e < / K e y > < / D i a g r a m O b j e c t K e y > < D i a g r a m O b j e c t K e y > < K e y > M e a s u r e s \ S u m   o f   M a r - 2 3 < / K e y > < / D i a g r a m O b j e c t K e y > < D i a g r a m O b j e c t K e y > < K e y > M e a s u r e s \ S u m   o f   M a r - 2 3 \ T a g I n f o \ F o r m u l a < / K e y > < / D i a g r a m O b j e c t K e y > < D i a g r a m O b j e c t K e y > < K e y > M e a s u r e s \ S u m   o f   M a r - 2 3 \ T a g I n f o \ V a l u e < / K e y > < / D i a g r a m O b j e c t K e y > < D i a g r a m O b j e c t K e y > < K e y > M e a s u r e s \ S u m   o f   A p r - 2 3 < / K e y > < / D i a g r a m O b j e c t K e y > < D i a g r a m O b j e c t K e y > < K e y > M e a s u r e s \ S u m   o f   A p r - 2 3 \ T a g I n f o \ F o r m u l a < / K e y > < / D i a g r a m O b j e c t K e y > < D i a g r a m O b j e c t K e y > < K e y > M e a s u r e s \ S u m   o f   A p r - 2 3 \ T a g I n f o \ V a l u e < / K e y > < / D i a g r a m O b j e c t K e y > < D i a g r a m O b j e c t K e y > < K e y > M e a s u r e s \ S u m   o f   M a y - 2 3 < / K e y > < / D i a g r a m O b j e c t K e y > < D i a g r a m O b j e c t K e y > < K e y > M e a s u r e s \ S u m   o f   M a y - 2 3 \ T a g I n f o \ F o r m u l a < / K e y > < / D i a g r a m O b j e c t K e y > < D i a g r a m O b j e c t K e y > < K e y > M e a s u r e s \ S u m   o f   M a y - 2 3 \ T a g I n f o \ V a l u e < / K e y > < / D i a g r a m O b j e c t K e y > < D i a g r a m O b j e c t K e y > < K e y > M e a s u r e s \ A v e r a g e   o f   J a n - 2 3 < / K e y > < / D i a g r a m O b j e c t K e y > < D i a g r a m O b j e c t K e y > < K e y > M e a s u r e s \ A v e r a g e   o f   J a n - 2 3 \ T a g I n f o \ F o r m u l a < / K e y > < / D i a g r a m O b j e c t K e y > < D i a g r a m O b j e c t K e y > < K e y > M e a s u r e s \ A v e r a g e   o f   J a n - 2 3 \ T a g I n f o \ V a l u e < / K e y > < / D i a g r a m O b j e c t K e y > < D i a g r a m O b j e c t K e y > < K e y > M e a s u r e s \ S u m   o f   J u n - 2 3 < / K e y > < / D i a g r a m O b j e c t K e y > < D i a g r a m O b j e c t K e y > < K e y > M e a s u r e s \ S u m   o f   J u n - 2 3 \ T a g I n f o \ F o r m u l a < / K e y > < / D i a g r a m O b j e c t K e y > < D i a g r a m O b j e c t K e y > < K e y > M e a s u r e s \ S u m   o f   J u n - 2 3 \ T a g I n f o \ V a l u e < / K e y > < / D i a g r a m O b j e c t K e y > < D i a g r a m O b j e c t K e y > < K e y > M e a s u r e s \ S u m   o f   J u l - 2 3 < / K e y > < / D i a g r a m O b j e c t K e y > < D i a g r a m O b j e c t K e y > < K e y > M e a s u r e s \ S u m   o f   J u l - 2 3 \ T a g I n f o \ F o r m u l a < / K e y > < / D i a g r a m O b j e c t K e y > < D i a g r a m O b j e c t K e y > < K e y > M e a s u r e s \ S u m   o f   J u l - 2 3 \ T a g I n f o \ V a l u e < / K e y > < / D i a g r a m O b j e c t K e y > < D i a g r a m O b j e c t K e y > < K e y > M e a s u r e s \ S u m   o f   A u g - 2 3 < / K e y > < / D i a g r a m O b j e c t K e y > < D i a g r a m O b j e c t K e y > < K e y > M e a s u r e s \ S u m   o f   A u g - 2 3 \ T a g I n f o \ F o r m u l a < / K e y > < / D i a g r a m O b j e c t K e y > < D i a g r a m O b j e c t K e y > < K e y > M e a s u r e s \ S u m   o f   A u g - 2 3 \ T a g I n f o \ V a l u e < / K e y > < / D i a g r a m O b j e c t K e y > < D i a g r a m O b j e c t K e y > < K e y > M e a s u r e s \ S u m   o f   S e p - 2 3 < / K e y > < / D i a g r a m O b j e c t K e y > < D i a g r a m O b j e c t K e y > < K e y > M e a s u r e s \ S u m   o f   S e p - 2 3 \ T a g I n f o \ F o r m u l a < / K e y > < / D i a g r a m O b j e c t K e y > < D i a g r a m O b j e c t K e y > < K e y > M e a s u r e s \ S u m   o f   S e p - 2 3 \ T a g I n f o \ V a l u e < / K e y > < / D i a g r a m O b j e c t K e y > < D i a g r a m O b j e c t K e y > < K e y > M e a s u r e s \ S u m   o f   O c t - 2 3 < / K e y > < / D i a g r a m O b j e c t K e y > < D i a g r a m O b j e c t K e y > < K e y > M e a s u r e s \ S u m   o f   O c t - 2 3 \ T a g I n f o \ F o r m u l a < / K e y > < / D i a g r a m O b j e c t K e y > < D i a g r a m O b j e c t K e y > < K e y > M e a s u r e s \ S u m   o f   O c t - 2 3 \ T a g I n f o \ V a l u e < / K e y > < / D i a g r a m O b j e c t K e y > < D i a g r a m O b j e c t K e y > < K e y > M e a s u r e s \ S u m   o f   N o v - 2 3 < / K e y > < / D i a g r a m O b j e c t K e y > < D i a g r a m O b j e c t K e y > < K e y > M e a s u r e s \ S u m   o f   N o v - 2 3 \ T a g I n f o \ F o r m u l a < / K e y > < / D i a g r a m O b j e c t K e y > < D i a g r a m O b j e c t K e y > < K e y > M e a s u r e s \ S u m   o f   N o v - 2 3 \ T a g I n f o \ V a l u e < / K e y > < / D i a g r a m O b j e c t K e y > < D i a g r a m O b j e c t K e y > < K e y > M e a s u r e s \ S u m   o f   D e c - 2 3 < / K e y > < / D i a g r a m O b j e c t K e y > < D i a g r a m O b j e c t K e y > < K e y > M e a s u r e s \ S u m   o f   D e c - 2 3 \ T a g I n f o \ F o r m u l a < / K e y > < / D i a g r a m O b j e c t K e y > < D i a g r a m O b j e c t K e y > < K e y > M e a s u r e s \ S u m   o f   D e c - 2 3 \ T a g I n f o \ V a l u e < / K e y > < / D i a g r a m O b j e c t K e y > < D i a g r a m O b j e c t K e y > < K e y > M e a s u r e s \ A v e r a g e   o f   F e b - 2 3 < / K e y > < / D i a g r a m O b j e c t K e y > < D i a g r a m O b j e c t K e y > < K e y > M e a s u r e s \ A v e r a g e   o f   F e b - 2 3 \ T a g I n f o \ F o r m u l a < / K e y > < / D i a g r a m O b j e c t K e y > < D i a g r a m O b j e c t K e y > < K e y > M e a s u r e s \ A v e r a g e   o f   F e b - 2 3 \ T a g I n f o \ V a l u e < / K e y > < / D i a g r a m O b j e c t K e y > < D i a g r a m O b j e c t K e y > < K e y > M e a s u r e s \ A v e r a g e   o f   M a r - 2 3 < / K e y > < / D i a g r a m O b j e c t K e y > < D i a g r a m O b j e c t K e y > < K e y > M e a s u r e s \ A v e r a g e   o f   M a r - 2 3 \ T a g I n f o \ F o r m u l a < / K e y > < / D i a g r a m O b j e c t K e y > < D i a g r a m O b j e c t K e y > < K e y > M e a s u r e s \ A v e r a g e   o f   M a r - 2 3 \ T a g I n f o \ V a l u e < / K e y > < / D i a g r a m O b j e c t K e y > < D i a g r a m O b j e c t K e y > < K e y > M e a s u r e s \ A v e r a g e   o f   A p r - 2 3 < / K e y > < / D i a g r a m O b j e c t K e y > < D i a g r a m O b j e c t K e y > < K e y > M e a s u r e s \ A v e r a g e   o f   A p r - 2 3 \ T a g I n f o \ F o r m u l a < / K e y > < / D i a g r a m O b j e c t K e y > < D i a g r a m O b j e c t K e y > < K e y > M e a s u r e s \ A v e r a g e   o f   A p r - 2 3 \ T a g I n f o \ V a l u e < / K e y > < / D i a g r a m O b j e c t K e y > < D i a g r a m O b j e c t K e y > < K e y > M e a s u r e s \ A v e r a g e   o f   M a y - 2 3 < / K e y > < / D i a g r a m O b j e c t K e y > < D i a g r a m O b j e c t K e y > < K e y > M e a s u r e s \ A v e r a g e   o f   M a y - 2 3 \ T a g I n f o \ F o r m u l a < / K e y > < / D i a g r a m O b j e c t K e y > < D i a g r a m O b j e c t K e y > < K e y > M e a s u r e s \ A v e r a g e   o f   M a y - 2 3 \ T a g I n f o \ V a l u e < / K e y > < / D i a g r a m O b j e c t K e y > < D i a g r a m O b j e c t K e y > < K e y > M e a s u r e s \ A v e r a g e   o f   J u n - 2 3 < / K e y > < / D i a g r a m O b j e c t K e y > < D i a g r a m O b j e c t K e y > < K e y > M e a s u r e s \ A v e r a g e   o f   J u n - 2 3 \ T a g I n f o \ F o r m u l a < / K e y > < / D i a g r a m O b j e c t K e y > < D i a g r a m O b j e c t K e y > < K e y > M e a s u r e s \ A v e r a g e   o f   J u n - 2 3 \ T a g I n f o \ V a l u e < / K e y > < / D i a g r a m O b j e c t K e y > < D i a g r a m O b j e c t K e y > < K e y > M e a s u r e s \ A v e r a g e   o f   J u l - 2 3 < / K e y > < / D i a g r a m O b j e c t K e y > < D i a g r a m O b j e c t K e y > < K e y > M e a s u r e s \ A v e r a g e   o f   J u l - 2 3 \ T a g I n f o \ F o r m u l a < / K e y > < / D i a g r a m O b j e c t K e y > < D i a g r a m O b j e c t K e y > < K e y > M e a s u r e s \ A v e r a g e   o f   J u l - 2 3 \ T a g I n f o \ V a l u e < / K e y > < / D i a g r a m O b j e c t K e y > < D i a g r a m O b j e c t K e y > < K e y > M e a s u r e s \ A v e r a g e   o f   A u g - 2 3 < / K e y > < / D i a g r a m O b j e c t K e y > < D i a g r a m O b j e c t K e y > < K e y > M e a s u r e s \ A v e r a g e   o f   A u g - 2 3 \ T a g I n f o \ F o r m u l a < / K e y > < / D i a g r a m O b j e c t K e y > < D i a g r a m O b j e c t K e y > < K e y > M e a s u r e s \ A v e r a g e   o f   A u g - 2 3 \ T a g I n f o \ V a l u e < / K e y > < / D i a g r a m O b j e c t K e y > < D i a g r a m O b j e c t K e y > < K e y > M e a s u r e s \ A v e r a g e   o f   S e p - 2 3 < / K e y > < / D i a g r a m O b j e c t K e y > < D i a g r a m O b j e c t K e y > < K e y > M e a s u r e s \ A v e r a g e   o f   S e p - 2 3 \ T a g I n f o \ F o r m u l a < / K e y > < / D i a g r a m O b j e c t K e y > < D i a g r a m O b j e c t K e y > < K e y > M e a s u r e s \ A v e r a g e   o f   S e p - 2 3 \ T a g I n f o \ V a l u e < / K e y > < / D i a g r a m O b j e c t K e y > < D i a g r a m O b j e c t K e y > < K e y > M e a s u r e s \ A v e r a g e   o f   O c t - 2 3 < / K e y > < / D i a g r a m O b j e c t K e y > < D i a g r a m O b j e c t K e y > < K e y > M e a s u r e s \ A v e r a g e   o f   O c t - 2 3 \ T a g I n f o \ F o r m u l a < / K e y > < / D i a g r a m O b j e c t K e y > < D i a g r a m O b j e c t K e y > < K e y > M e a s u r e s \ A v e r a g e   o f   O c t - 2 3 \ T a g I n f o \ V a l u e < / K e y > < / D i a g r a m O b j e c t K e y > < D i a g r a m O b j e c t K e y > < K e y > M e a s u r e s \ A v e r a g e   o f   N o v - 2 3 < / K e y > < / D i a g r a m O b j e c t K e y > < D i a g r a m O b j e c t K e y > < K e y > M e a s u r e s \ A v e r a g e   o f   N o v - 2 3 \ T a g I n f o \ F o r m u l a < / K e y > < / D i a g r a m O b j e c t K e y > < D i a g r a m O b j e c t K e y > < K e y > M e a s u r e s \ A v e r a g e   o f   N o v - 2 3 \ T a g I n f o \ V a l u e < / K e y > < / D i a g r a m O b j e c t K e y > < D i a g r a m O b j e c t K e y > < K e y > M e a s u r e s \ A v e r a g e   o f   D e c - 2 3 < / K e y > < / D i a g r a m O b j e c t K e y > < D i a g r a m O b j e c t K e y > < K e y > M e a s u r e s \ A v e r a g e   o f   D e c - 2 3 \ T a g I n f o \ F o r m u l a < / K e y > < / D i a g r a m O b j e c t K e y > < D i a g r a m O b j e c t K e y > < K e y > M e a s u r e s \ A v e r a g e   o f   D e c - 2 3 \ T a g I n f o \ V a l u e < / K e y > < / D i a g r a m O b j e c t K e y > < D i a g r a m O b j e c t K e y > < K e y > C o l u m n s \ A d m i n   1 < / K e y > < / D i a g r a m O b j e c t K e y > < D i a g r a m O b j e c t K e y > < K e y > C o l u m n s \ J a n - 2 3 < / K e y > < / D i a g r a m O b j e c t K e y > < D i a g r a m O b j e c t K e y > < K e y > C o l u m n s \ F e b - 2 3 < / K e y > < / D i a g r a m O b j e c t K e y > < D i a g r a m O b j e c t K e y > < K e y > C o l u m n s \ M a r - 2 3 < / K e y > < / D i a g r a m O b j e c t K e y > < D i a g r a m O b j e c t K e y > < K e y > C o l u m n s \ A p r - 2 3 < / K e y > < / D i a g r a m O b j e c t K e y > < D i a g r a m O b j e c t K e y > < K e y > C o l u m n s \ M a y - 2 3 < / K e y > < / D i a g r a m O b j e c t K e y > < D i a g r a m O b j e c t K e y > < K e y > C o l u m n s \ J u n - 2 3 < / K e y > < / D i a g r a m O b j e c t K e y > < D i a g r a m O b j e c t K e y > < K e y > C o l u m n s \ J u l - 2 3 < / K e y > < / D i a g r a m O b j e c t K e y > < D i a g r a m O b j e c t K e y > < K e y > C o l u m n s \ A u g - 2 3 < / K e y > < / D i a g r a m O b j e c t K e y > < D i a g r a m O b j e c t K e y > < K e y > C o l u m n s \ S e p - 2 3 < / K e y > < / D i a g r a m O b j e c t K e y > < D i a g r a m O b j e c t K e y > < K e y > C o l u m n s \ O c t - 2 3 < / K e y > < / D i a g r a m O b j e c t K e y > < D i a g r a m O b j e c t K e y > < K e y > C o l u m n s \ N o v - 2 3 < / K e y > < / D i a g r a m O b j e c t K e y > < D i a g r a m O b j e c t K e y > < K e y > C o l u m n s \ D e c - 2 3 < / K e y > < / D i a g r a m O b j e c t K e y > < D i a g r a m O b j e c t K e y > < K e y > L i n k s \ & l t ; C o l u m n s \ S u m   o f   J a n - 2 3 & g t ; - & l t ; M e a s u r e s \ J a n - 2 3 & g t ; < / K e y > < / D i a g r a m O b j e c t K e y > < D i a g r a m O b j e c t K e y > < K e y > L i n k s \ & l t ; C o l u m n s \ S u m   o f   J a n - 2 3 & g t ; - & l t ; M e a s u r e s \ J a n - 2 3 & g t ; \ C O L U M N < / K e y > < / D i a g r a m O b j e c t K e y > < D i a g r a m O b j e c t K e y > < K e y > L i n k s \ & l t ; C o l u m n s \ S u m   o f   J a n - 2 3 & g t ; - & l t ; M e a s u r e s \ J a n - 2 3 & g t ; \ M E A S U R E < / K e y > < / D i a g r a m O b j e c t K e y > < D i a g r a m O b j e c t K e y > < K e y > L i n k s \ & l t ; C o l u m n s \ S u m   o f   F e b - 2 3 & g t ; - & l t ; M e a s u r e s \ F e b - 2 3 & g t ; < / K e y > < / D i a g r a m O b j e c t K e y > < D i a g r a m O b j e c t K e y > < K e y > L i n k s \ & l t ; C o l u m n s \ S u m   o f   F e b - 2 3 & g t ; - & l t ; M e a s u r e s \ F e b - 2 3 & g t ; \ C O L U M N < / K e y > < / D i a g r a m O b j e c t K e y > < D i a g r a m O b j e c t K e y > < K e y > L i n k s \ & l t ; C o l u m n s \ S u m   o f   F e b - 2 3 & g t ; - & l t ; M e a s u r e s \ F e b - 2 3 & g t ; \ M E A S U R E < / K e y > < / D i a g r a m O b j e c t K e y > < D i a g r a m O b j e c t K e y > < K e y > L i n k s \ & l t ; C o l u m n s \ S u m   o f   M a r - 2 3 & g t ; - & l t ; M e a s u r e s \ M a r - 2 3 & g t ; < / K e y > < / D i a g r a m O b j e c t K e y > < D i a g r a m O b j e c t K e y > < K e y > L i n k s \ & l t ; C o l u m n s \ S u m   o f   M a r - 2 3 & g t ; - & l t ; M e a s u r e s \ M a r - 2 3 & g t ; \ C O L U M N < / K e y > < / D i a g r a m O b j e c t K e y > < D i a g r a m O b j e c t K e y > < K e y > L i n k s \ & l t ; C o l u m n s \ S u m   o f   M a r - 2 3 & g t ; - & l t ; M e a s u r e s \ M a r - 2 3 & g t ; \ M E A S U R E < / K e y > < / D i a g r a m O b j e c t K e y > < D i a g r a m O b j e c t K e y > < K e y > L i n k s \ & l t ; C o l u m n s \ S u m   o f   A p r - 2 3 & g t ; - & l t ; M e a s u r e s \ A p r - 2 3 & g t ; < / K e y > < / D i a g r a m O b j e c t K e y > < D i a g r a m O b j e c t K e y > < K e y > L i n k s \ & l t ; C o l u m n s \ S u m   o f   A p r - 2 3 & g t ; - & l t ; M e a s u r e s \ A p r - 2 3 & g t ; \ C O L U M N < / K e y > < / D i a g r a m O b j e c t K e y > < D i a g r a m O b j e c t K e y > < K e y > L i n k s \ & l t ; C o l u m n s \ S u m   o f   A p r - 2 3 & g t ; - & l t ; M e a s u r e s \ A p r - 2 3 & g t ; \ M E A S U R E < / K e y > < / D i a g r a m O b j e c t K e y > < D i a g r a m O b j e c t K e y > < K e y > L i n k s \ & l t ; C o l u m n s \ S u m   o f   M a y - 2 3 & g t ; - & l t ; M e a s u r e s \ M a y - 2 3 & g t ; < / K e y > < / D i a g r a m O b j e c t K e y > < D i a g r a m O b j e c t K e y > < K e y > L i n k s \ & l t ; C o l u m n s \ S u m   o f   M a y - 2 3 & g t ; - & l t ; M e a s u r e s \ M a y - 2 3 & g t ; \ C O L U M N < / K e y > < / D i a g r a m O b j e c t K e y > < D i a g r a m O b j e c t K e y > < K e y > L i n k s \ & l t ; C o l u m n s \ S u m   o f   M a y - 2 3 & g t ; - & l t ; M e a s u r e s \ M a y - 2 3 & g t ; \ M E A S U R E < / K e y > < / D i a g r a m O b j e c t K e y > < D i a g r a m O b j e c t K e y > < K e y > L i n k s \ & l t ; C o l u m n s \ A v e r a g e   o f   J a n - 2 3 & g t ; - & l t ; M e a s u r e s \ J a n - 2 3 & g t ; < / K e y > < / D i a g r a m O b j e c t K e y > < D i a g r a m O b j e c t K e y > < K e y > L i n k s \ & l t ; C o l u m n s \ A v e r a g e   o f   J a n - 2 3 & g t ; - & l t ; M e a s u r e s \ J a n - 2 3 & g t ; \ C O L U M N < / K e y > < / D i a g r a m O b j e c t K e y > < D i a g r a m O b j e c t K e y > < K e y > L i n k s \ & l t ; C o l u m n s \ A v e r a g e   o f   J a n - 2 3 & g t ; - & l t ; M e a s u r e s \ J a n - 2 3 & g t ; \ M E A S U R E < / K e y > < / D i a g r a m O b j e c t K e y > < D i a g r a m O b j e c t K e y > < K e y > L i n k s \ & l t ; C o l u m n s \ S u m   o f   J u n - 2 3 & g t ; - & l t ; M e a s u r e s \ J u n - 2 3 & g t ; < / K e y > < / D i a g r a m O b j e c t K e y > < D i a g r a m O b j e c t K e y > < K e y > L i n k s \ & l t ; C o l u m n s \ S u m   o f   J u n - 2 3 & g t ; - & l t ; M e a s u r e s \ J u n - 2 3 & g t ; \ C O L U M N < / K e y > < / D i a g r a m O b j e c t K e y > < D i a g r a m O b j e c t K e y > < K e y > L i n k s \ & l t ; C o l u m n s \ S u m   o f   J u n - 2 3 & g t ; - & l t ; M e a s u r e s \ J u n - 2 3 & g t ; \ M E A S U R E < / K e y > < / D i a g r a m O b j e c t K e y > < D i a g r a m O b j e c t K e y > < K e y > L i n k s \ & l t ; C o l u m n s \ S u m   o f   J u l - 2 3 & g t ; - & l t ; M e a s u r e s \ J u l - 2 3 & g t ; < / K e y > < / D i a g r a m O b j e c t K e y > < D i a g r a m O b j e c t K e y > < K e y > L i n k s \ & l t ; C o l u m n s \ S u m   o f   J u l - 2 3 & g t ; - & l t ; M e a s u r e s \ J u l - 2 3 & g t ; \ C O L U M N < / K e y > < / D i a g r a m O b j e c t K e y > < D i a g r a m O b j e c t K e y > < K e y > L i n k s \ & l t ; C o l u m n s \ S u m   o f   J u l - 2 3 & g t ; - & l t ; M e a s u r e s \ J u l - 2 3 & g t ; \ M E A S U R E < / K e y > < / D i a g r a m O b j e c t K e y > < D i a g r a m O b j e c t K e y > < K e y > L i n k s \ & l t ; C o l u m n s \ S u m   o f   A u g - 2 3 & g t ; - & l t ; M e a s u r e s \ A u g - 2 3 & g t ; < / K e y > < / D i a g r a m O b j e c t K e y > < D i a g r a m O b j e c t K e y > < K e y > L i n k s \ & l t ; C o l u m n s \ S u m   o f   A u g - 2 3 & g t ; - & l t ; M e a s u r e s \ A u g - 2 3 & g t ; \ C O L U M N < / K e y > < / D i a g r a m O b j e c t K e y > < D i a g r a m O b j e c t K e y > < K e y > L i n k s \ & l t ; C o l u m n s \ S u m   o f   A u g - 2 3 & g t ; - & l t ; M e a s u r e s \ A u g - 2 3 & g t ; \ M E A S U R E < / K e y > < / D i a g r a m O b j e c t K e y > < D i a g r a m O b j e c t K e y > < K e y > L i n k s \ & l t ; C o l u m n s \ S u m   o f   S e p - 2 3 & g t ; - & l t ; M e a s u r e s \ S e p - 2 3 & g t ; < / K e y > < / D i a g r a m O b j e c t K e y > < D i a g r a m O b j e c t K e y > < K e y > L i n k s \ & l t ; C o l u m n s \ S u m   o f   S e p - 2 3 & g t ; - & l t ; M e a s u r e s \ S e p - 2 3 & g t ; \ C O L U M N < / K e y > < / D i a g r a m O b j e c t K e y > < D i a g r a m O b j e c t K e y > < K e y > L i n k s \ & l t ; C o l u m n s \ S u m   o f   S e p - 2 3 & g t ; - & l t ; M e a s u r e s \ S e p - 2 3 & g t ; \ M E A S U R E < / K e y > < / D i a g r a m O b j e c t K e y > < D i a g r a m O b j e c t K e y > < K e y > L i n k s \ & l t ; C o l u m n s \ S u m   o f   O c t - 2 3 & g t ; - & l t ; M e a s u r e s \ O c t - 2 3 & g t ; < / K e y > < / D i a g r a m O b j e c t K e y > < D i a g r a m O b j e c t K e y > < K e y > L i n k s \ & l t ; C o l u m n s \ S u m   o f   O c t - 2 3 & g t ; - & l t ; M e a s u r e s \ O c t - 2 3 & g t ; \ C O L U M N < / K e y > < / D i a g r a m O b j e c t K e y > < D i a g r a m O b j e c t K e y > < K e y > L i n k s \ & l t ; C o l u m n s \ S u m   o f   O c t - 2 3 & g t ; - & l t ; M e a s u r e s \ O c t - 2 3 & g t ; \ M E A S U R E < / K e y > < / D i a g r a m O b j e c t K e y > < D i a g r a m O b j e c t K e y > < K e y > L i n k s \ & l t ; C o l u m n s \ S u m   o f   N o v - 2 3 & g t ; - & l t ; M e a s u r e s \ N o v - 2 3 & g t ; < / K e y > < / D i a g r a m O b j e c t K e y > < D i a g r a m O b j e c t K e y > < K e y > L i n k s \ & l t ; C o l u m n s \ S u m   o f   N o v - 2 3 & g t ; - & l t ; M e a s u r e s \ N o v - 2 3 & g t ; \ C O L U M N < / K e y > < / D i a g r a m O b j e c t K e y > < D i a g r a m O b j e c t K e y > < K e y > L i n k s \ & l t ; C o l u m n s \ S u m   o f   N o v - 2 3 & g t ; - & l t ; M e a s u r e s \ N o v - 2 3 & g t ; \ M E A S U R E < / K e y > < / D i a g r a m O b j e c t K e y > < D i a g r a m O b j e c t K e y > < K e y > L i n k s \ & l t ; C o l u m n s \ S u m   o f   D e c - 2 3 & g t ; - & l t ; M e a s u r e s \ D e c - 2 3 & g t ; < / K e y > < / D i a g r a m O b j e c t K e y > < D i a g r a m O b j e c t K e y > < K e y > L i n k s \ & l t ; C o l u m n s \ S u m   o f   D e c - 2 3 & g t ; - & l t ; M e a s u r e s \ D e c - 2 3 & g t ; \ C O L U M N < / K e y > < / D i a g r a m O b j e c t K e y > < D i a g r a m O b j e c t K e y > < K e y > L i n k s \ & l t ; C o l u m n s \ S u m   o f   D e c - 2 3 & g t ; - & l t ; M e a s u r e s \ D e c - 2 3 & g t ; \ M E A S U R E < / K e y > < / D i a g r a m O b j e c t K e y > < D i a g r a m O b j e c t K e y > < K e y > L i n k s \ & l t ; C o l u m n s \ A v e r a g e   o f   F e b - 2 3 & g t ; - & l t ; M e a s u r e s \ F e b - 2 3 & g t ; < / K e y > < / D i a g r a m O b j e c t K e y > < D i a g r a m O b j e c t K e y > < K e y > L i n k s \ & l t ; C o l u m n s \ A v e r a g e   o f   F e b - 2 3 & g t ; - & l t ; M e a s u r e s \ F e b - 2 3 & g t ; \ C O L U M N < / K e y > < / D i a g r a m O b j e c t K e y > < D i a g r a m O b j e c t K e y > < K e y > L i n k s \ & l t ; C o l u m n s \ A v e r a g e   o f   F e b - 2 3 & g t ; - & l t ; M e a s u r e s \ F e b - 2 3 & g t ; \ M E A S U R E < / K e y > < / D i a g r a m O b j e c t K e y > < D i a g r a m O b j e c t K e y > < K e y > L i n k s \ & l t ; C o l u m n s \ A v e r a g e   o f   M a r - 2 3 & g t ; - & l t ; M e a s u r e s \ M a r - 2 3 & g t ; < / K e y > < / D i a g r a m O b j e c t K e y > < D i a g r a m O b j e c t K e y > < K e y > L i n k s \ & l t ; C o l u m n s \ A v e r a g e   o f   M a r - 2 3 & g t ; - & l t ; M e a s u r e s \ M a r - 2 3 & g t ; \ C O L U M N < / K e y > < / D i a g r a m O b j e c t K e y > < D i a g r a m O b j e c t K e y > < K e y > L i n k s \ & l t ; C o l u m n s \ A v e r a g e   o f   M a r - 2 3 & g t ; - & l t ; M e a s u r e s \ M a r - 2 3 & g t ; \ M E A S U R E < / K e y > < / D i a g r a m O b j e c t K e y > < D i a g r a m O b j e c t K e y > < K e y > L i n k s \ & l t ; C o l u m n s \ A v e r a g e   o f   A p r - 2 3 & g t ; - & l t ; M e a s u r e s \ A p r - 2 3 & g t ; < / K e y > < / D i a g r a m O b j e c t K e y > < D i a g r a m O b j e c t K e y > < K e y > L i n k s \ & l t ; C o l u m n s \ A v e r a g e   o f   A p r - 2 3 & g t ; - & l t ; M e a s u r e s \ A p r - 2 3 & g t ; \ C O L U M N < / K e y > < / D i a g r a m O b j e c t K e y > < D i a g r a m O b j e c t K e y > < K e y > L i n k s \ & l t ; C o l u m n s \ A v e r a g e   o f   A p r - 2 3 & g t ; - & l t ; M e a s u r e s \ A p r - 2 3 & g t ; \ M E A S U R E < / K e y > < / D i a g r a m O b j e c t K e y > < D i a g r a m O b j e c t K e y > < K e y > L i n k s \ & l t ; C o l u m n s \ A v e r a g e   o f   M a y - 2 3 & g t ; - & l t ; M e a s u r e s \ M a y - 2 3 & g t ; < / K e y > < / D i a g r a m O b j e c t K e y > < D i a g r a m O b j e c t K e y > < K e y > L i n k s \ & l t ; C o l u m n s \ A v e r a g e   o f   M a y - 2 3 & g t ; - & l t ; M e a s u r e s \ M a y - 2 3 & g t ; \ C O L U M N < / K e y > < / D i a g r a m O b j e c t K e y > < D i a g r a m O b j e c t K e y > < K e y > L i n k s \ & l t ; C o l u m n s \ A v e r a g e   o f   M a y - 2 3 & g t ; - & l t ; M e a s u r e s \ M a y - 2 3 & g t ; \ M E A S U R E < / K e y > < / D i a g r a m O b j e c t K e y > < D i a g r a m O b j e c t K e y > < K e y > L i n k s \ & l t ; C o l u m n s \ A v e r a g e   o f   J u n - 2 3 & g t ; - & l t ; M e a s u r e s \ J u n - 2 3 & g t ; < / K e y > < / D i a g r a m O b j e c t K e y > < D i a g r a m O b j e c t K e y > < K e y > L i n k s \ & l t ; C o l u m n s \ A v e r a g e   o f   J u n - 2 3 & g t ; - & l t ; M e a s u r e s \ J u n - 2 3 & g t ; \ C O L U M N < / K e y > < / D i a g r a m O b j e c t K e y > < D i a g r a m O b j e c t K e y > < K e y > L i n k s \ & l t ; C o l u m n s \ A v e r a g e   o f   J u n - 2 3 & g t ; - & l t ; M e a s u r e s \ J u n - 2 3 & g t ; \ M E A S U R E < / K e y > < / D i a g r a m O b j e c t K e y > < D i a g r a m O b j e c t K e y > < K e y > L i n k s \ & l t ; C o l u m n s \ A v e r a g e   o f   J u l - 2 3 & g t ; - & l t ; M e a s u r e s \ J u l - 2 3 & g t ; < / K e y > < / D i a g r a m O b j e c t K e y > < D i a g r a m O b j e c t K e y > < K e y > L i n k s \ & l t ; C o l u m n s \ A v e r a g e   o f   J u l - 2 3 & g t ; - & l t ; M e a s u r e s \ J u l - 2 3 & g t ; \ C O L U M N < / K e y > < / D i a g r a m O b j e c t K e y > < D i a g r a m O b j e c t K e y > < K e y > L i n k s \ & l t ; C o l u m n s \ A v e r a g e   o f   J u l - 2 3 & g t ; - & l t ; M e a s u r e s \ J u l - 2 3 & g t ; \ M E A S U R E < / K e y > < / D i a g r a m O b j e c t K e y > < D i a g r a m O b j e c t K e y > < K e y > L i n k s \ & l t ; C o l u m n s \ A v e r a g e   o f   A u g - 2 3 & g t ; - & l t ; M e a s u r e s \ A u g - 2 3 & g t ; < / K e y > < / D i a g r a m O b j e c t K e y > < D i a g r a m O b j e c t K e y > < K e y > L i n k s \ & l t ; C o l u m n s \ A v e r a g e   o f   A u g - 2 3 & g t ; - & l t ; M e a s u r e s \ A u g - 2 3 & g t ; \ C O L U M N < / K e y > < / D i a g r a m O b j e c t K e y > < D i a g r a m O b j e c t K e y > < K e y > L i n k s \ & l t ; C o l u m n s \ A v e r a g e   o f   A u g - 2 3 & g t ; - & l t ; M e a s u r e s \ A u g - 2 3 & g t ; \ M E A S U R E < / K e y > < / D i a g r a m O b j e c t K e y > < D i a g r a m O b j e c t K e y > < K e y > L i n k s \ & l t ; C o l u m n s \ A v e r a g e   o f   S e p - 2 3 & g t ; - & l t ; M e a s u r e s \ S e p - 2 3 & g t ; < / K e y > < / D i a g r a m O b j e c t K e y > < D i a g r a m O b j e c t K e y > < K e y > L i n k s \ & l t ; C o l u m n s \ A v e r a g e   o f   S e p - 2 3 & g t ; - & l t ; M e a s u r e s \ S e p - 2 3 & g t ; \ C O L U M N < / K e y > < / D i a g r a m O b j e c t K e y > < D i a g r a m O b j e c t K e y > < K e y > L i n k s \ & l t ; C o l u m n s \ A v e r a g e   o f   S e p - 2 3 & g t ; - & l t ; M e a s u r e s \ S e p - 2 3 & g t ; \ M E A S U R E < / K e y > < / D i a g r a m O b j e c t K e y > < D i a g r a m O b j e c t K e y > < K e y > L i n k s \ & l t ; C o l u m n s \ A v e r a g e   o f   O c t - 2 3 & g t ; - & l t ; M e a s u r e s \ O c t - 2 3 & g t ; < / K e y > < / D i a g r a m O b j e c t K e y > < D i a g r a m O b j e c t K e y > < K e y > L i n k s \ & l t ; C o l u m n s \ A v e r a g e   o f   O c t - 2 3 & g t ; - & l t ; M e a s u r e s \ O c t - 2 3 & g t ; \ C O L U M N < / K e y > < / D i a g r a m O b j e c t K e y > < D i a g r a m O b j e c t K e y > < K e y > L i n k s \ & l t ; C o l u m n s \ A v e r a g e   o f   O c t - 2 3 & g t ; - & l t ; M e a s u r e s \ O c t - 2 3 & g t ; \ M E A S U R E < / K e y > < / D i a g r a m O b j e c t K e y > < D i a g r a m O b j e c t K e y > < K e y > L i n k s \ & l t ; C o l u m n s \ A v e r a g e   o f   N o v - 2 3 & g t ; - & l t ; M e a s u r e s \ N o v - 2 3 & g t ; < / K e y > < / D i a g r a m O b j e c t K e y > < D i a g r a m O b j e c t K e y > < K e y > L i n k s \ & l t ; C o l u m n s \ A v e r a g e   o f   N o v - 2 3 & g t ; - & l t ; M e a s u r e s \ N o v - 2 3 & g t ; \ C O L U M N < / K e y > < / D i a g r a m O b j e c t K e y > < D i a g r a m O b j e c t K e y > < K e y > L i n k s \ & l t ; C o l u m n s \ A v e r a g e   o f   N o v - 2 3 & g t ; - & l t ; M e a s u r e s \ N o v - 2 3 & g t ; \ M E A S U R E < / K e y > < / D i a g r a m O b j e c t K e y > < D i a g r a m O b j e c t K e y > < K e y > L i n k s \ & l t ; C o l u m n s \ A v e r a g e   o f   D e c - 2 3 & g t ; - & l t ; M e a s u r e s \ D e c - 2 3 & g t ; < / K e y > < / D i a g r a m O b j e c t K e y > < D i a g r a m O b j e c t K e y > < K e y > L i n k s \ & l t ; C o l u m n s \ A v e r a g e   o f   D e c - 2 3 & g t ; - & l t ; M e a s u r e s \ D e c - 2 3 & g t ; \ C O L U M N < / K e y > < / D i a g r a m O b j e c t K e y > < D i a g r a m O b j e c t K e y > < K e y > L i n k s \ & l t ; C o l u m n s \ A v e r a g e   o f   D e c - 2 3 & g t ; - & l t ; M e a s u r e s \ D e c - 2 3 & g t ; \ M E A S U R E 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 J a n - 2 3 < / K e y > < / a : K e y > < a : V a l u e   i : t y p e = " M e a s u r e G r i d N o d e V i e w S t a t e " > < C o l u m n > 1 < / C o l u m n > < L a y e d O u t > t r u e < / L a y e d O u t > < W a s U I I n v i s i b l e > t r u e < / W a s U I I n v i s i b l e > < / a : V a l u e > < / a : K e y V a l u e O f D i a g r a m O b j e c t K e y a n y T y p e z b w N T n L X > < a : K e y V a l u e O f D i a g r a m O b j e c t K e y a n y T y p e z b w N T n L X > < a : K e y > < K e y > M e a s u r e s \ S u m   o f   J a n - 2 3 \ T a g I n f o \ F o r m u l a < / K e y > < / a : K e y > < a : V a l u e   i : t y p e = " M e a s u r e G r i d V i e w S t a t e I D i a g r a m T a g A d d i t i o n a l I n f o " / > < / a : K e y V a l u e O f D i a g r a m O b j e c t K e y a n y T y p e z b w N T n L X > < a : K e y V a l u e O f D i a g r a m O b j e c t K e y a n y T y p e z b w N T n L X > < a : K e y > < K e y > M e a s u r e s \ S u m   o f   J a n - 2 3 \ T a g I n f o \ V a l u e < / K e y > < / a : K e y > < a : V a l u e   i : t y p e = " M e a s u r e G r i d V i e w S t a t e I D i a g r a m T a g A d d i t i o n a l I n f o " / > < / a : K e y V a l u e O f D i a g r a m O b j e c t K e y a n y T y p e z b w N T n L X > < a : K e y V a l u e O f D i a g r a m O b j e c t K e y a n y T y p e z b w N T n L X > < a : K e y > < K e y > M e a s u r e s \ S u m   o f   F e b - 2 3 < / K e y > < / a : K e y > < a : V a l u e   i : t y p e = " M e a s u r e G r i d N o d e V i e w S t a t e " > < C o l u m n > 2 < / C o l u m n > < L a y e d O u t > t r u e < / L a y e d O u t > < W a s U I I n v i s i b l e > t r u e < / W a s U I I n v i s i b l e > < / a : V a l u e > < / a : K e y V a l u e O f D i a g r a m O b j e c t K e y a n y T y p e z b w N T n L X > < a : K e y V a l u e O f D i a g r a m O b j e c t K e y a n y T y p e z b w N T n L X > < a : K e y > < K e y > M e a s u r e s \ S u m   o f   F e b - 2 3 \ T a g I n f o \ F o r m u l a < / K e y > < / a : K e y > < a : V a l u e   i : t y p e = " M e a s u r e G r i d V i e w S t a t e I D i a g r a m T a g A d d i t i o n a l I n f o " / > < / a : K e y V a l u e O f D i a g r a m O b j e c t K e y a n y T y p e z b w N T n L X > < a : K e y V a l u e O f D i a g r a m O b j e c t K e y a n y T y p e z b w N T n L X > < a : K e y > < K e y > M e a s u r e s \ S u m   o f   F e b - 2 3 \ T a g I n f o \ V a l u e < / K e y > < / a : K e y > < a : V a l u e   i : t y p e = " M e a s u r e G r i d V i e w S t a t e I D i a g r a m T a g A d d i t i o n a l I n f o " / > < / a : K e y V a l u e O f D i a g r a m O b j e c t K e y a n y T y p e z b w N T n L X > < a : K e y V a l u e O f D i a g r a m O b j e c t K e y a n y T y p e z b w N T n L X > < a : K e y > < K e y > M e a s u r e s \ S u m   o f   M a r - 2 3 < / K e y > < / a : K e y > < a : V a l u e   i : t y p e = " M e a s u r e G r i d N o d e V i e w S t a t e " > < C o l u m n > 3 < / C o l u m n > < L a y e d O u t > t r u e < / L a y e d O u t > < W a s U I I n v i s i b l e > t r u e < / W a s U I I n v i s i b l e > < / a : V a l u e > < / a : K e y V a l u e O f D i a g r a m O b j e c t K e y a n y T y p e z b w N T n L X > < a : K e y V a l u e O f D i a g r a m O b j e c t K e y a n y T y p e z b w N T n L X > < a : K e y > < K e y > M e a s u r e s \ S u m   o f   M a r - 2 3 \ T a g I n f o \ F o r m u l a < / K e y > < / a : K e y > < a : V a l u e   i : t y p e = " M e a s u r e G r i d V i e w S t a t e I D i a g r a m T a g A d d i t i o n a l I n f o " / > < / a : K e y V a l u e O f D i a g r a m O b j e c t K e y a n y T y p e z b w N T n L X > < a : K e y V a l u e O f D i a g r a m O b j e c t K e y a n y T y p e z b w N T n L X > < a : K e y > < K e y > M e a s u r e s \ S u m   o f   M a r - 2 3 \ T a g I n f o \ V a l u e < / K e y > < / a : K e y > < a : V a l u e   i : t y p e = " M e a s u r e G r i d V i e w S t a t e I D i a g r a m T a g A d d i t i o n a l I n f o " / > < / a : K e y V a l u e O f D i a g r a m O b j e c t K e y a n y T y p e z b w N T n L X > < a : K e y V a l u e O f D i a g r a m O b j e c t K e y a n y T y p e z b w N T n L X > < a : K e y > < K e y > M e a s u r e s \ S u m   o f   A p r - 2 3 < / K e y > < / a : K e y > < a : V a l u e   i : t y p e = " M e a s u r e G r i d N o d e V i e w S t a t e " > < C o l u m n > 4 < / C o l u m n > < L a y e d O u t > t r u e < / L a y e d O u t > < W a s U I I n v i s i b l e > t r u e < / W a s U I I n v i s i b l e > < / a : V a l u e > < / a : K e y V a l u e O f D i a g r a m O b j e c t K e y a n y T y p e z b w N T n L X > < a : K e y V a l u e O f D i a g r a m O b j e c t K e y a n y T y p e z b w N T n L X > < a : K e y > < K e y > M e a s u r e s \ S u m   o f   A p r - 2 3 \ T a g I n f o \ F o r m u l a < / K e y > < / a : K e y > < a : V a l u e   i : t y p e = " M e a s u r e G r i d V i e w S t a t e I D i a g r a m T a g A d d i t i o n a l I n f o " / > < / a : K e y V a l u e O f D i a g r a m O b j e c t K e y a n y T y p e z b w N T n L X > < a : K e y V a l u e O f D i a g r a m O b j e c t K e y a n y T y p e z b w N T n L X > < a : K e y > < K e y > M e a s u r e s \ S u m   o f   A p r - 2 3 \ T a g I n f o \ V a l u e < / K e y > < / a : K e y > < a : V a l u e   i : t y p e = " M e a s u r e G r i d V i e w S t a t e I D i a g r a m T a g A d d i t i o n a l I n f o " / > < / a : K e y V a l u e O f D i a g r a m O b j e c t K e y a n y T y p e z b w N T n L X > < a : K e y V a l u e O f D i a g r a m O b j e c t K e y a n y T y p e z b w N T n L X > < a : K e y > < K e y > M e a s u r e s \ S u m   o f   M a y - 2 3 < / K e y > < / a : K e y > < a : V a l u e   i : t y p e = " M e a s u r e G r i d N o d e V i e w S t a t e " > < C o l u m n > 5 < / C o l u m n > < L a y e d O u t > t r u e < / L a y e d O u t > < W a s U I I n v i s i b l e > t r u e < / W a s U I I n v i s i b l e > < / a : V a l u e > < / a : K e y V a l u e O f D i a g r a m O b j e c t K e y a n y T y p e z b w N T n L X > < a : K e y V a l u e O f D i a g r a m O b j e c t K e y a n y T y p e z b w N T n L X > < a : K e y > < K e y > M e a s u r e s \ S u m   o f   M a y - 2 3 \ T a g I n f o \ F o r m u l a < / K e y > < / a : K e y > < a : V a l u e   i : t y p e = " M e a s u r e G r i d V i e w S t a t e I D i a g r a m T a g A d d i t i o n a l I n f o " / > < / a : K e y V a l u e O f D i a g r a m O b j e c t K e y a n y T y p e z b w N T n L X > < a : K e y V a l u e O f D i a g r a m O b j e c t K e y a n y T y p e z b w N T n L X > < a : K e y > < K e y > M e a s u r e s \ S u m   o f   M a y - 2 3 \ T a g I n f o \ V a l u e < / K e y > < / a : K e y > < a : V a l u e   i : t y p e = " M e a s u r e G r i d V i e w S t a t e I D i a g r a m T a g A d d i t i o n a l I n f o " / > < / a : K e y V a l u e O f D i a g r a m O b j e c t K e y a n y T y p e z b w N T n L X > < a : K e y V a l u e O f D i a g r a m O b j e c t K e y a n y T y p e z b w N T n L X > < a : K e y > < K e y > M e a s u r e s \ A v e r a g e   o f   J a n - 2 3 < / K e y > < / a : K e y > < a : V a l u e   i : t y p e = " M e a s u r e G r i d N o d e V i e w S t a t e " > < C o l u m n > 1 < / C o l u m n > < L a y e d O u t > t r u e < / L a y e d O u t > < W a s U I I n v i s i b l e > t r u e < / W a s U I I n v i s i b l e > < / a : V a l u e > < / a : K e y V a l u e O f D i a g r a m O b j e c t K e y a n y T y p e z b w N T n L X > < a : K e y V a l u e O f D i a g r a m O b j e c t K e y a n y T y p e z b w N T n L X > < a : K e y > < K e y > M e a s u r e s \ A v e r a g e   o f   J a n - 2 3 \ T a g I n f o \ F o r m u l a < / K e y > < / a : K e y > < a : V a l u e   i : t y p e = " M e a s u r e G r i d V i e w S t a t e I D i a g r a m T a g A d d i t i o n a l I n f o " / > < / a : K e y V a l u e O f D i a g r a m O b j e c t K e y a n y T y p e z b w N T n L X > < a : K e y V a l u e O f D i a g r a m O b j e c t K e y a n y T y p e z b w N T n L X > < a : K e y > < K e y > M e a s u r e s \ A v e r a g e   o f   J a n - 2 3 \ T a g I n f o \ V a l u e < / K e y > < / a : K e y > < a : V a l u e   i : t y p e = " M e a s u r e G r i d V i e w S t a t e I D i a g r a m T a g A d d i t i o n a l I n f o " / > < / a : K e y V a l u e O f D i a g r a m O b j e c t K e y a n y T y p e z b w N T n L X > < a : K e y V a l u e O f D i a g r a m O b j e c t K e y a n y T y p e z b w N T n L X > < a : K e y > < K e y > M e a s u r e s \ S u m   o f   J u n - 2 3 < / K e y > < / a : K e y > < a : V a l u e   i : t y p e = " M e a s u r e G r i d N o d e V i e w S t a t e " > < C o l u m n > 6 < / C o l u m n > < L a y e d O u t > t r u e < / L a y e d O u t > < W a s U I I n v i s i b l e > t r u e < / W a s U I I n v i s i b l e > < / a : V a l u e > < / a : K e y V a l u e O f D i a g r a m O b j e c t K e y a n y T y p e z b w N T n L X > < a : K e y V a l u e O f D i a g r a m O b j e c t K e y a n y T y p e z b w N T n L X > < a : K e y > < K e y > M e a s u r e s \ S u m   o f   J u n - 2 3 \ T a g I n f o \ F o r m u l a < / K e y > < / a : K e y > < a : V a l u e   i : t y p e = " M e a s u r e G r i d V i e w S t a t e I D i a g r a m T a g A d d i t i o n a l I n f o " / > < / a : K e y V a l u e O f D i a g r a m O b j e c t K e y a n y T y p e z b w N T n L X > < a : K e y V a l u e O f D i a g r a m O b j e c t K e y a n y T y p e z b w N T n L X > < a : K e y > < K e y > M e a s u r e s \ S u m   o f   J u n - 2 3 \ T a g I n f o \ V a l u e < / K e y > < / a : K e y > < a : V a l u e   i : t y p e = " M e a s u r e G r i d V i e w S t a t e I D i a g r a m T a g A d d i t i o n a l I n f o " / > < / a : K e y V a l u e O f D i a g r a m O b j e c t K e y a n y T y p e z b w N T n L X > < a : K e y V a l u e O f D i a g r a m O b j e c t K e y a n y T y p e z b w N T n L X > < a : K e y > < K e y > M e a s u r e s \ S u m   o f   J u l - 2 3 < / K e y > < / a : K e y > < a : V a l u e   i : t y p e = " M e a s u r e G r i d N o d e V i e w S t a t e " > < C o l u m n > 7 < / C o l u m n > < L a y e d O u t > t r u e < / L a y e d O u t > < W a s U I I n v i s i b l e > t r u e < / W a s U I I n v i s i b l e > < / a : V a l u e > < / a : K e y V a l u e O f D i a g r a m O b j e c t K e y a n y T y p e z b w N T n L X > < a : K e y V a l u e O f D i a g r a m O b j e c t K e y a n y T y p e z b w N T n L X > < a : K e y > < K e y > M e a s u r e s \ S u m   o f   J u l - 2 3 \ T a g I n f o \ F o r m u l a < / K e y > < / a : K e y > < a : V a l u e   i : t y p e = " M e a s u r e G r i d V i e w S t a t e I D i a g r a m T a g A d d i t i o n a l I n f o " / > < / a : K e y V a l u e O f D i a g r a m O b j e c t K e y a n y T y p e z b w N T n L X > < a : K e y V a l u e O f D i a g r a m O b j e c t K e y a n y T y p e z b w N T n L X > < a : K e y > < K e y > M e a s u r e s \ S u m   o f   J u l - 2 3 \ T a g I n f o \ V a l u e < / K e y > < / a : K e y > < a : V a l u e   i : t y p e = " M e a s u r e G r i d V i e w S t a t e I D i a g r a m T a g A d d i t i o n a l I n f o " / > < / a : K e y V a l u e O f D i a g r a m O b j e c t K e y a n y T y p e z b w N T n L X > < a : K e y V a l u e O f D i a g r a m O b j e c t K e y a n y T y p e z b w N T n L X > < a : K e y > < K e y > M e a s u r e s \ S u m   o f   A u g - 2 3 < / K e y > < / a : K e y > < a : V a l u e   i : t y p e = " M e a s u r e G r i d N o d e V i e w S t a t e " > < C o l u m n > 8 < / C o l u m n > < L a y e d O u t > t r u e < / L a y e d O u t > < W a s U I I n v i s i b l e > t r u e < / W a s U I I n v i s i b l e > < / a : V a l u e > < / a : K e y V a l u e O f D i a g r a m O b j e c t K e y a n y T y p e z b w N T n L X > < a : K e y V a l u e O f D i a g r a m O b j e c t K e y a n y T y p e z b w N T n L X > < a : K e y > < K e y > M e a s u r e s \ S u m   o f   A u g - 2 3 \ T a g I n f o \ F o r m u l a < / K e y > < / a : K e y > < a : V a l u e   i : t y p e = " M e a s u r e G r i d V i e w S t a t e I D i a g r a m T a g A d d i t i o n a l I n f o " / > < / a : K e y V a l u e O f D i a g r a m O b j e c t K e y a n y T y p e z b w N T n L X > < a : K e y V a l u e O f D i a g r a m O b j e c t K e y a n y T y p e z b w N T n L X > < a : K e y > < K e y > M e a s u r e s \ S u m   o f   A u g - 2 3 \ T a g I n f o \ V a l u e < / K e y > < / a : K e y > < a : V a l u e   i : t y p e = " M e a s u r e G r i d V i e w S t a t e I D i a g r a m T a g A d d i t i o n a l I n f o " / > < / a : K e y V a l u e O f D i a g r a m O b j e c t K e y a n y T y p e z b w N T n L X > < a : K e y V a l u e O f D i a g r a m O b j e c t K e y a n y T y p e z b w N T n L X > < a : K e y > < K e y > M e a s u r e s \ S u m   o f   S e p - 2 3 < / K e y > < / a : K e y > < a : V a l u e   i : t y p e = " M e a s u r e G r i d N o d e V i e w S t a t e " > < C o l u m n > 9 < / C o l u m n > < L a y e d O u t > t r u e < / L a y e d O u t > < W a s U I I n v i s i b l e > t r u e < / W a s U I I n v i s i b l e > < / a : V a l u e > < / a : K e y V a l u e O f D i a g r a m O b j e c t K e y a n y T y p e z b w N T n L X > < a : K e y V a l u e O f D i a g r a m O b j e c t K e y a n y T y p e z b w N T n L X > < a : K e y > < K e y > M e a s u r e s \ S u m   o f   S e p - 2 3 \ T a g I n f o \ F o r m u l a < / K e y > < / a : K e y > < a : V a l u e   i : t y p e = " M e a s u r e G r i d V i e w S t a t e I D i a g r a m T a g A d d i t i o n a l I n f o " / > < / a : K e y V a l u e O f D i a g r a m O b j e c t K e y a n y T y p e z b w N T n L X > < a : K e y V a l u e O f D i a g r a m O b j e c t K e y a n y T y p e z b w N T n L X > < a : K e y > < K e y > M e a s u r e s \ S u m   o f   S e p - 2 3 \ T a g I n f o \ V a l u e < / K e y > < / a : K e y > < a : V a l u e   i : t y p e = " M e a s u r e G r i d V i e w S t a t e I D i a g r a m T a g A d d i t i o n a l I n f o " / > < / a : K e y V a l u e O f D i a g r a m O b j e c t K e y a n y T y p e z b w N T n L X > < a : K e y V a l u e O f D i a g r a m O b j e c t K e y a n y T y p e z b w N T n L X > < a : K e y > < K e y > M e a s u r e s \ S u m   o f   O c t - 2 3 < / K e y > < / a : K e y > < a : V a l u e   i : t y p e = " M e a s u r e G r i d N o d e V i e w S t a t e " > < C o l u m n > 1 0 < / C o l u m n > < L a y e d O u t > t r u e < / L a y e d O u t > < W a s U I I n v i s i b l e > t r u e < / W a s U I I n v i s i b l e > < / a : V a l u e > < / a : K e y V a l u e O f D i a g r a m O b j e c t K e y a n y T y p e z b w N T n L X > < a : K e y V a l u e O f D i a g r a m O b j e c t K e y a n y T y p e z b w N T n L X > < a : K e y > < K e y > M e a s u r e s \ S u m   o f   O c t - 2 3 \ T a g I n f o \ F o r m u l a < / K e y > < / a : K e y > < a : V a l u e   i : t y p e = " M e a s u r e G r i d V i e w S t a t e I D i a g r a m T a g A d d i t i o n a l I n f o " / > < / a : K e y V a l u e O f D i a g r a m O b j e c t K e y a n y T y p e z b w N T n L X > < a : K e y V a l u e O f D i a g r a m O b j e c t K e y a n y T y p e z b w N T n L X > < a : K e y > < K e y > M e a s u r e s \ S u m   o f   O c t - 2 3 \ T a g I n f o \ V a l u e < / K e y > < / a : K e y > < a : V a l u e   i : t y p e = " M e a s u r e G r i d V i e w S t a t e I D i a g r a m T a g A d d i t i o n a l I n f o " / > < / a : K e y V a l u e O f D i a g r a m O b j e c t K e y a n y T y p e z b w N T n L X > < a : K e y V a l u e O f D i a g r a m O b j e c t K e y a n y T y p e z b w N T n L X > < a : K e y > < K e y > M e a s u r e s \ S u m   o f   N o v - 2 3 < / K e y > < / a : K e y > < a : V a l u e   i : t y p e = " M e a s u r e G r i d N o d e V i e w S t a t e " > < C o l u m n > 1 1 < / C o l u m n > < L a y e d O u t > t r u e < / L a y e d O u t > < W a s U I I n v i s i b l e > t r u e < / W a s U I I n v i s i b l e > < / a : V a l u e > < / a : K e y V a l u e O f D i a g r a m O b j e c t K e y a n y T y p e z b w N T n L X > < a : K e y V a l u e O f D i a g r a m O b j e c t K e y a n y T y p e z b w N T n L X > < a : K e y > < K e y > M e a s u r e s \ S u m   o f   N o v - 2 3 \ T a g I n f o \ F o r m u l a < / K e y > < / a : K e y > < a : V a l u e   i : t y p e = " M e a s u r e G r i d V i e w S t a t e I D i a g r a m T a g A d d i t i o n a l I n f o " / > < / a : K e y V a l u e O f D i a g r a m O b j e c t K e y a n y T y p e z b w N T n L X > < a : K e y V a l u e O f D i a g r a m O b j e c t K e y a n y T y p e z b w N T n L X > < a : K e y > < K e y > M e a s u r e s \ S u m   o f   N o v - 2 3 \ T a g I n f o \ V a l u e < / K e y > < / a : K e y > < a : V a l u e   i : t y p e = " M e a s u r e G r i d V i e w S t a t e I D i a g r a m T a g A d d i t i o n a l I n f o " / > < / a : K e y V a l u e O f D i a g r a m O b j e c t K e y a n y T y p e z b w N T n L X > < a : K e y V a l u e O f D i a g r a m O b j e c t K e y a n y T y p e z b w N T n L X > < a : K e y > < K e y > M e a s u r e s \ S u m   o f   D e c - 2 3 < / K e y > < / a : K e y > < a : V a l u e   i : t y p e = " M e a s u r e G r i d N o d e V i e w S t a t e " > < C o l u m n > 1 2 < / C o l u m n > < L a y e d O u t > t r u e < / L a y e d O u t > < W a s U I I n v i s i b l e > t r u e < / W a s U I I n v i s i b l e > < / a : V a l u e > < / a : K e y V a l u e O f D i a g r a m O b j e c t K e y a n y T y p e z b w N T n L X > < a : K e y V a l u e O f D i a g r a m O b j e c t K e y a n y T y p e z b w N T n L X > < a : K e y > < K e y > M e a s u r e s \ S u m   o f   D e c - 2 3 \ T a g I n f o \ F o r m u l a < / K e y > < / a : K e y > < a : V a l u e   i : t y p e = " M e a s u r e G r i d V i e w S t a t e I D i a g r a m T a g A d d i t i o n a l I n f o " / > < / a : K e y V a l u e O f D i a g r a m O b j e c t K e y a n y T y p e z b w N T n L X > < a : K e y V a l u e O f D i a g r a m O b j e c t K e y a n y T y p e z b w N T n L X > < a : K e y > < K e y > M e a s u r e s \ S u m   o f   D e c - 2 3 \ T a g I n f o \ V a l u e < / K e y > < / a : K e y > < a : V a l u e   i : t y p e = " M e a s u r e G r i d V i e w S t a t e I D i a g r a m T a g A d d i t i o n a l I n f o " / > < / a : K e y V a l u e O f D i a g r a m O b j e c t K e y a n y T y p e z b w N T n L X > < a : K e y V a l u e O f D i a g r a m O b j e c t K e y a n y T y p e z b w N T n L X > < a : K e y > < K e y > M e a s u r e s \ A v e r a g e   o f   F e b - 2 3 < / K e y > < / a : K e y > < a : V a l u e   i : t y p e = " M e a s u r e G r i d N o d e V i e w S t a t e " > < C o l u m n > 2 < / C o l u m n > < L a y e d O u t > t r u e < / L a y e d O u t > < W a s U I I n v i s i b l e > t r u e < / W a s U I I n v i s i b l e > < / a : V a l u e > < / a : K e y V a l u e O f D i a g r a m O b j e c t K e y a n y T y p e z b w N T n L X > < a : K e y V a l u e O f D i a g r a m O b j e c t K e y a n y T y p e z b w N T n L X > < a : K e y > < K e y > M e a s u r e s \ A v e r a g e   o f   F e b - 2 3 \ T a g I n f o \ F o r m u l a < / K e y > < / a : K e y > < a : V a l u e   i : t y p e = " M e a s u r e G r i d V i e w S t a t e I D i a g r a m T a g A d d i t i o n a l I n f o " / > < / a : K e y V a l u e O f D i a g r a m O b j e c t K e y a n y T y p e z b w N T n L X > < a : K e y V a l u e O f D i a g r a m O b j e c t K e y a n y T y p e z b w N T n L X > < a : K e y > < K e y > M e a s u r e s \ A v e r a g e   o f   F e b - 2 3 \ T a g I n f o \ V a l u e < / K e y > < / a : K e y > < a : V a l u e   i : t y p e = " M e a s u r e G r i d V i e w S t a t e I D i a g r a m T a g A d d i t i o n a l I n f o " / > < / a : K e y V a l u e O f D i a g r a m O b j e c t K e y a n y T y p e z b w N T n L X > < a : K e y V a l u e O f D i a g r a m O b j e c t K e y a n y T y p e z b w N T n L X > < a : K e y > < K e y > M e a s u r e s \ A v e r a g e   o f   M a r - 2 3 < / K e y > < / a : K e y > < a : V a l u e   i : t y p e = " M e a s u r e G r i d N o d e V i e w S t a t e " > < C o l u m n > 3 < / C o l u m n > < L a y e d O u t > t r u e < / L a y e d O u t > < W a s U I I n v i s i b l e > t r u e < / W a s U I I n v i s i b l e > < / a : V a l u e > < / a : K e y V a l u e O f D i a g r a m O b j e c t K e y a n y T y p e z b w N T n L X > < a : K e y V a l u e O f D i a g r a m O b j e c t K e y a n y T y p e z b w N T n L X > < a : K e y > < K e y > M e a s u r e s \ A v e r a g e   o f   M a r - 2 3 \ T a g I n f o \ F o r m u l a < / K e y > < / a : K e y > < a : V a l u e   i : t y p e = " M e a s u r e G r i d V i e w S t a t e I D i a g r a m T a g A d d i t i o n a l I n f o " / > < / a : K e y V a l u e O f D i a g r a m O b j e c t K e y a n y T y p e z b w N T n L X > < a : K e y V a l u e O f D i a g r a m O b j e c t K e y a n y T y p e z b w N T n L X > < a : K e y > < K e y > M e a s u r e s \ A v e r a g e   o f   M a r - 2 3 \ T a g I n f o \ V a l u e < / K e y > < / a : K e y > < a : V a l u e   i : t y p e = " M e a s u r e G r i d V i e w S t a t e I D i a g r a m T a g A d d i t i o n a l I n f o " / > < / a : K e y V a l u e O f D i a g r a m O b j e c t K e y a n y T y p e z b w N T n L X > < a : K e y V a l u e O f D i a g r a m O b j e c t K e y a n y T y p e z b w N T n L X > < a : K e y > < K e y > M e a s u r e s \ A v e r a g e   o f   A p r - 2 3 < / K e y > < / a : K e y > < a : V a l u e   i : t y p e = " M e a s u r e G r i d N o d e V i e w S t a t e " > < C o l u m n > 4 < / C o l u m n > < L a y e d O u t > t r u e < / L a y e d O u t > < W a s U I I n v i s i b l e > t r u e < / W a s U I I n v i s i b l e > < / a : V a l u e > < / a : K e y V a l u e O f D i a g r a m O b j e c t K e y a n y T y p e z b w N T n L X > < a : K e y V a l u e O f D i a g r a m O b j e c t K e y a n y T y p e z b w N T n L X > < a : K e y > < K e y > M e a s u r e s \ A v e r a g e   o f   A p r - 2 3 \ T a g I n f o \ F o r m u l a < / K e y > < / a : K e y > < a : V a l u e   i : t y p e = " M e a s u r e G r i d V i e w S t a t e I D i a g r a m T a g A d d i t i o n a l I n f o " / > < / a : K e y V a l u e O f D i a g r a m O b j e c t K e y a n y T y p e z b w N T n L X > < a : K e y V a l u e O f D i a g r a m O b j e c t K e y a n y T y p e z b w N T n L X > < a : K e y > < K e y > M e a s u r e s \ A v e r a g e   o f   A p r - 2 3 \ T a g I n f o \ V a l u e < / K e y > < / a : K e y > < a : V a l u e   i : t y p e = " M e a s u r e G r i d V i e w S t a t e I D i a g r a m T a g A d d i t i o n a l I n f o " / > < / a : K e y V a l u e O f D i a g r a m O b j e c t K e y a n y T y p e z b w N T n L X > < a : K e y V a l u e O f D i a g r a m O b j e c t K e y a n y T y p e z b w N T n L X > < a : K e y > < K e y > M e a s u r e s \ A v e r a g e   o f   M a y - 2 3 < / K e y > < / a : K e y > < a : V a l u e   i : t y p e = " M e a s u r e G r i d N o d e V i e w S t a t e " > < C o l u m n > 5 < / C o l u m n > < L a y e d O u t > t r u e < / L a y e d O u t > < W a s U I I n v i s i b l e > t r u e < / W a s U I I n v i s i b l e > < / a : V a l u e > < / a : K e y V a l u e O f D i a g r a m O b j e c t K e y a n y T y p e z b w N T n L X > < a : K e y V a l u e O f D i a g r a m O b j e c t K e y a n y T y p e z b w N T n L X > < a : K e y > < K e y > M e a s u r e s \ A v e r a g e   o f   M a y - 2 3 \ T a g I n f o \ F o r m u l a < / K e y > < / a : K e y > < a : V a l u e   i : t y p e = " M e a s u r e G r i d V i e w S t a t e I D i a g r a m T a g A d d i t i o n a l I n f o " / > < / a : K e y V a l u e O f D i a g r a m O b j e c t K e y a n y T y p e z b w N T n L X > < a : K e y V a l u e O f D i a g r a m O b j e c t K e y a n y T y p e z b w N T n L X > < a : K e y > < K e y > M e a s u r e s \ A v e r a g e   o f   M a y - 2 3 \ T a g I n f o \ V a l u e < / K e y > < / a : K e y > < a : V a l u e   i : t y p e = " M e a s u r e G r i d V i e w S t a t e I D i a g r a m T a g A d d i t i o n a l I n f o " / > < / a : K e y V a l u e O f D i a g r a m O b j e c t K e y a n y T y p e z b w N T n L X > < a : K e y V a l u e O f D i a g r a m O b j e c t K e y a n y T y p e z b w N T n L X > < a : K e y > < K e y > M e a s u r e s \ A v e r a g e   o f   J u n - 2 3 < / K e y > < / a : K e y > < a : V a l u e   i : t y p e = " M e a s u r e G r i d N o d e V i e w S t a t e " > < C o l u m n > 6 < / C o l u m n > < L a y e d O u t > t r u e < / L a y e d O u t > < W a s U I I n v i s i b l e > t r u e < / W a s U I I n v i s i b l e > < / a : V a l u e > < / a : K e y V a l u e O f D i a g r a m O b j e c t K e y a n y T y p e z b w N T n L X > < a : K e y V a l u e O f D i a g r a m O b j e c t K e y a n y T y p e z b w N T n L X > < a : K e y > < K e y > M e a s u r e s \ A v e r a g e   o f   J u n - 2 3 \ T a g I n f o \ F o r m u l a < / K e y > < / a : K e y > < a : V a l u e   i : t y p e = " M e a s u r e G r i d V i e w S t a t e I D i a g r a m T a g A d d i t i o n a l I n f o " / > < / a : K e y V a l u e O f D i a g r a m O b j e c t K e y a n y T y p e z b w N T n L X > < a : K e y V a l u e O f D i a g r a m O b j e c t K e y a n y T y p e z b w N T n L X > < a : K e y > < K e y > M e a s u r e s \ A v e r a g e   o f   J u n - 2 3 \ T a g I n f o \ V a l u e < / K e y > < / a : K e y > < a : V a l u e   i : t y p e = " M e a s u r e G r i d V i e w S t a t e I D i a g r a m T a g A d d i t i o n a l I n f o " / > < / a : K e y V a l u e O f D i a g r a m O b j e c t K e y a n y T y p e z b w N T n L X > < a : K e y V a l u e O f D i a g r a m O b j e c t K e y a n y T y p e z b w N T n L X > < a : K e y > < K e y > M e a s u r e s \ A v e r a g e   o f   J u l - 2 3 < / K e y > < / a : K e y > < a : V a l u e   i : t y p e = " M e a s u r e G r i d N o d e V i e w S t a t e " > < C o l u m n > 7 < / C o l u m n > < L a y e d O u t > t r u e < / L a y e d O u t > < W a s U I I n v i s i b l e > t r u e < / W a s U I I n v i s i b l e > < / a : V a l u e > < / a : K e y V a l u e O f D i a g r a m O b j e c t K e y a n y T y p e z b w N T n L X > < a : K e y V a l u e O f D i a g r a m O b j e c t K e y a n y T y p e z b w N T n L X > < a : K e y > < K e y > M e a s u r e s \ A v e r a g e   o f   J u l - 2 3 \ T a g I n f o \ F o r m u l a < / K e y > < / a : K e y > < a : V a l u e   i : t y p e = " M e a s u r e G r i d V i e w S t a t e I D i a g r a m T a g A d d i t i o n a l I n f o " / > < / a : K e y V a l u e O f D i a g r a m O b j e c t K e y a n y T y p e z b w N T n L X > < a : K e y V a l u e O f D i a g r a m O b j e c t K e y a n y T y p e z b w N T n L X > < a : K e y > < K e y > M e a s u r e s \ A v e r a g e   o f   J u l - 2 3 \ T a g I n f o \ V a l u e < / K e y > < / a : K e y > < a : V a l u e   i : t y p e = " M e a s u r e G r i d V i e w S t a t e I D i a g r a m T a g A d d i t i o n a l I n f o " / > < / a : K e y V a l u e O f D i a g r a m O b j e c t K e y a n y T y p e z b w N T n L X > < a : K e y V a l u e O f D i a g r a m O b j e c t K e y a n y T y p e z b w N T n L X > < a : K e y > < K e y > M e a s u r e s \ A v e r a g e   o f   A u g - 2 3 < / K e y > < / a : K e y > < a : V a l u e   i : t y p e = " M e a s u r e G r i d N o d e V i e w S t a t e " > < C o l u m n > 8 < / C o l u m n > < L a y e d O u t > t r u e < / L a y e d O u t > < W a s U I I n v i s i b l e > t r u e < / W a s U I I n v i s i b l e > < / a : V a l u e > < / a : K e y V a l u e O f D i a g r a m O b j e c t K e y a n y T y p e z b w N T n L X > < a : K e y V a l u e O f D i a g r a m O b j e c t K e y a n y T y p e z b w N T n L X > < a : K e y > < K e y > M e a s u r e s \ A v e r a g e   o f   A u g - 2 3 \ T a g I n f o \ F o r m u l a < / K e y > < / a : K e y > < a : V a l u e   i : t y p e = " M e a s u r e G r i d V i e w S t a t e I D i a g r a m T a g A d d i t i o n a l I n f o " / > < / a : K e y V a l u e O f D i a g r a m O b j e c t K e y a n y T y p e z b w N T n L X > < a : K e y V a l u e O f D i a g r a m O b j e c t K e y a n y T y p e z b w N T n L X > < a : K e y > < K e y > M e a s u r e s \ A v e r a g e   o f   A u g - 2 3 \ T a g I n f o \ V a l u e < / K e y > < / a : K e y > < a : V a l u e   i : t y p e = " M e a s u r e G r i d V i e w S t a t e I D i a g r a m T a g A d d i t i o n a l I n f o " / > < / a : K e y V a l u e O f D i a g r a m O b j e c t K e y a n y T y p e z b w N T n L X > < a : K e y V a l u e O f D i a g r a m O b j e c t K e y a n y T y p e z b w N T n L X > < a : K e y > < K e y > M e a s u r e s \ A v e r a g e   o f   S e p - 2 3 < / K e y > < / a : K e y > < a : V a l u e   i : t y p e = " M e a s u r e G r i d N o d e V i e w S t a t e " > < C o l u m n > 9 < / C o l u m n > < L a y e d O u t > t r u e < / L a y e d O u t > < W a s U I I n v i s i b l e > t r u e < / W a s U I I n v i s i b l e > < / a : V a l u e > < / a : K e y V a l u e O f D i a g r a m O b j e c t K e y a n y T y p e z b w N T n L X > < a : K e y V a l u e O f D i a g r a m O b j e c t K e y a n y T y p e z b w N T n L X > < a : K e y > < K e y > M e a s u r e s \ A v e r a g e   o f   S e p - 2 3 \ T a g I n f o \ F o r m u l a < / K e y > < / a : K e y > < a : V a l u e   i : t y p e = " M e a s u r e G r i d V i e w S t a t e I D i a g r a m T a g A d d i t i o n a l I n f o " / > < / a : K e y V a l u e O f D i a g r a m O b j e c t K e y a n y T y p e z b w N T n L X > < a : K e y V a l u e O f D i a g r a m O b j e c t K e y a n y T y p e z b w N T n L X > < a : K e y > < K e y > M e a s u r e s \ A v e r a g e   o f   S e p - 2 3 \ T a g I n f o \ V a l u e < / K e y > < / a : K e y > < a : V a l u e   i : t y p e = " M e a s u r e G r i d V i e w S t a t e I D i a g r a m T a g A d d i t i o n a l I n f o " / > < / a : K e y V a l u e O f D i a g r a m O b j e c t K e y a n y T y p e z b w N T n L X > < a : K e y V a l u e O f D i a g r a m O b j e c t K e y a n y T y p e z b w N T n L X > < a : K e y > < K e y > M e a s u r e s \ A v e r a g e   o f   O c t - 2 3 < / K e y > < / a : K e y > < a : V a l u e   i : t y p e = " M e a s u r e G r i d N o d e V i e w S t a t e " > < C o l u m n > 1 0 < / C o l u m n > < L a y e d O u t > t r u e < / L a y e d O u t > < W a s U I I n v i s i b l e > t r u e < / W a s U I I n v i s i b l e > < / a : V a l u e > < / a : K e y V a l u e O f D i a g r a m O b j e c t K e y a n y T y p e z b w N T n L X > < a : K e y V a l u e O f D i a g r a m O b j e c t K e y a n y T y p e z b w N T n L X > < a : K e y > < K e y > M e a s u r e s \ A v e r a g e   o f   O c t - 2 3 \ T a g I n f o \ F o r m u l a < / K e y > < / a : K e y > < a : V a l u e   i : t y p e = " M e a s u r e G r i d V i e w S t a t e I D i a g r a m T a g A d d i t i o n a l I n f o " / > < / a : K e y V a l u e O f D i a g r a m O b j e c t K e y a n y T y p e z b w N T n L X > < a : K e y V a l u e O f D i a g r a m O b j e c t K e y a n y T y p e z b w N T n L X > < a : K e y > < K e y > M e a s u r e s \ A v e r a g e   o f   O c t - 2 3 \ T a g I n f o \ V a l u e < / K e y > < / a : K e y > < a : V a l u e   i : t y p e = " M e a s u r e G r i d V i e w S t a t e I D i a g r a m T a g A d d i t i o n a l I n f o " / > < / a : K e y V a l u e O f D i a g r a m O b j e c t K e y a n y T y p e z b w N T n L X > < a : K e y V a l u e O f D i a g r a m O b j e c t K e y a n y T y p e z b w N T n L X > < a : K e y > < K e y > M e a s u r e s \ A v e r a g e   o f   N o v - 2 3 < / K e y > < / a : K e y > < a : V a l u e   i : t y p e = " M e a s u r e G r i d N o d e V i e w S t a t e " > < C o l u m n > 1 1 < / C o l u m n > < L a y e d O u t > t r u e < / L a y e d O u t > < W a s U I I n v i s i b l e > t r u e < / W a s U I I n v i s i b l e > < / a : V a l u e > < / a : K e y V a l u e O f D i a g r a m O b j e c t K e y a n y T y p e z b w N T n L X > < a : K e y V a l u e O f D i a g r a m O b j e c t K e y a n y T y p e z b w N T n L X > < a : K e y > < K e y > M e a s u r e s \ A v e r a g e   o f   N o v - 2 3 \ T a g I n f o \ F o r m u l a < / K e y > < / a : K e y > < a : V a l u e   i : t y p e = " M e a s u r e G r i d V i e w S t a t e I D i a g r a m T a g A d d i t i o n a l I n f o " / > < / a : K e y V a l u e O f D i a g r a m O b j e c t K e y a n y T y p e z b w N T n L X > < a : K e y V a l u e O f D i a g r a m O b j e c t K e y a n y T y p e z b w N T n L X > < a : K e y > < K e y > M e a s u r e s \ A v e r a g e   o f   N o v - 2 3 \ T a g I n f o \ V a l u e < / K e y > < / a : K e y > < a : V a l u e   i : t y p e = " M e a s u r e G r i d V i e w S t a t e I D i a g r a m T a g A d d i t i o n a l I n f o " / > < / a : K e y V a l u e O f D i a g r a m O b j e c t K e y a n y T y p e z b w N T n L X > < a : K e y V a l u e O f D i a g r a m O b j e c t K e y a n y T y p e z b w N T n L X > < a : K e y > < K e y > M e a s u r e s \ A v e r a g e   o f   D e c - 2 3 < / K e y > < / a : K e y > < a : V a l u e   i : t y p e = " M e a s u r e G r i d N o d e V i e w S t a t e " > < C o l u m n > 1 2 < / C o l u m n > < L a y e d O u t > t r u e < / L a y e d O u t > < W a s U I I n v i s i b l e > t r u e < / W a s U I I n v i s i b l e > < / a : V a l u e > < / a : K e y V a l u e O f D i a g r a m O b j e c t K e y a n y T y p e z b w N T n L X > < a : K e y V a l u e O f D i a g r a m O b j e c t K e y a n y T y p e z b w N T n L X > < a : K e y > < K e y > M e a s u r e s \ A v e r a g e   o f   D e c - 2 3 \ T a g I n f o \ F o r m u l a < / K e y > < / a : K e y > < a : V a l u e   i : t y p e = " M e a s u r e G r i d V i e w S t a t e I D i a g r a m T a g A d d i t i o n a l I n f o " / > < / a : K e y V a l u e O f D i a g r a m O b j e c t K e y a n y T y p e z b w N T n L X > < a : K e y V a l u e O f D i a g r a m O b j e c t K e y a n y T y p e z b w N T n L X > < a : K e y > < K e y > M e a s u r e s \ A v e r a g e   o f   D e c - 2 3 \ T a g I n f o \ V a l u e < / K e y > < / a : K e y > < a : V a l u e   i : t y p e = " M e a s u r e G r i d V i e w S t a t e I D i a g r a m T a g A d d i t i o n a l I n f o " / > < / a : K e y V a l u e O f D i a g r a m O b j e c t K e y a n y T y p e z b w N T n L X > < a : K e y V a l u e O f D i a g r a m O b j e c t K e y a n y T y p e z b w N T n L X > < a : K e y > < K e y > C o l u m n s \ A d m i n   1 < / K e y > < / a : K e y > < a : V a l u e   i : t y p e = " M e a s u r e G r i d N o d e V i e w S t a t e " > < L a y e d O u t > t r u e < / L a y e d O u t > < / a : V a l u e > < / a : K e y V a l u e O f D i a g r a m O b j e c t K e y a n y T y p e z b w N T n L X > < a : K e y V a l u e O f D i a g r a m O b j e c t K e y a n y T y p e z b w N T n L X > < a : K e y > < K e y > C o l u m n s \ J a n - 2 3 < / K e y > < / a : K e y > < a : V a l u e   i : t y p e = " M e a s u r e G r i d N o d e V i e w S t a t e " > < C o l u m n > 1 < / C o l u m n > < L a y e d O u t > t r u e < / L a y e d O u t > < / a : V a l u e > < / a : K e y V a l u e O f D i a g r a m O b j e c t K e y a n y T y p e z b w N T n L X > < a : K e y V a l u e O f D i a g r a m O b j e c t K e y a n y T y p e z b w N T n L X > < a : K e y > < K e y > C o l u m n s \ F e b - 2 3 < / K e y > < / a : K e y > < a : V a l u e   i : t y p e = " M e a s u r e G r i d N o d e V i e w S t a t e " > < C o l u m n > 2 < / C o l u m n > < L a y e d O u t > t r u e < / L a y e d O u t > < / a : V a l u e > < / a : K e y V a l u e O f D i a g r a m O b j e c t K e y a n y T y p e z b w N T n L X > < a : K e y V a l u e O f D i a g r a m O b j e c t K e y a n y T y p e z b w N T n L X > < a : K e y > < K e y > C o l u m n s \ M a r - 2 3 < / K e y > < / a : K e y > < a : V a l u e   i : t y p e = " M e a s u r e G r i d N o d e V i e w S t a t e " > < C o l u m n > 3 < / C o l u m n > < L a y e d O u t > t r u e < / L a y e d O u t > < / a : V a l u e > < / a : K e y V a l u e O f D i a g r a m O b j e c t K e y a n y T y p e z b w N T n L X > < a : K e y V a l u e O f D i a g r a m O b j e c t K e y a n y T y p e z b w N T n L X > < a : K e y > < K e y > C o l u m n s \ A p r - 2 3 < / K e y > < / a : K e y > < a : V a l u e   i : t y p e = " M e a s u r e G r i d N o d e V i e w S t a t e " > < C o l u m n > 4 < / C o l u m n > < L a y e d O u t > t r u e < / L a y e d O u t > < / a : V a l u e > < / a : K e y V a l u e O f D i a g r a m O b j e c t K e y a n y T y p e z b w N T n L X > < a : K e y V a l u e O f D i a g r a m O b j e c t K e y a n y T y p e z b w N T n L X > < a : K e y > < K e y > C o l u m n s \ M a y - 2 3 < / K e y > < / a : K e y > < a : V a l u e   i : t y p e = " M e a s u r e G r i d N o d e V i e w S t a t e " > < C o l u m n > 5 < / C o l u m n > < L a y e d O u t > t r u e < / L a y e d O u t > < / a : V a l u e > < / a : K e y V a l u e O f D i a g r a m O b j e c t K e y a n y T y p e z b w N T n L X > < a : K e y V a l u e O f D i a g r a m O b j e c t K e y a n y T y p e z b w N T n L X > < a : K e y > < K e y > C o l u m n s \ J u n - 2 3 < / K e y > < / a : K e y > < a : V a l u e   i : t y p e = " M e a s u r e G r i d N o d e V i e w S t a t e " > < C o l u m n > 6 < / C o l u m n > < L a y e d O u t > t r u e < / L a y e d O u t > < / a : V a l u e > < / a : K e y V a l u e O f D i a g r a m O b j e c t K e y a n y T y p e z b w N T n L X > < a : K e y V a l u e O f D i a g r a m O b j e c t K e y a n y T y p e z b w N T n L X > < a : K e y > < K e y > C o l u m n s \ J u l - 2 3 < / K e y > < / a : K e y > < a : V a l u e   i : t y p e = " M e a s u r e G r i d N o d e V i e w S t a t e " > < C o l u m n > 7 < / C o l u m n > < L a y e d O u t > t r u e < / L a y e d O u t > < / a : V a l u e > < / a : K e y V a l u e O f D i a g r a m O b j e c t K e y a n y T y p e z b w N T n L X > < a : K e y V a l u e O f D i a g r a m O b j e c t K e y a n y T y p e z b w N T n L X > < a : K e y > < K e y > C o l u m n s \ A u g - 2 3 < / K e y > < / a : K e y > < a : V a l u e   i : t y p e = " M e a s u r e G r i d N o d e V i e w S t a t e " > < C o l u m n > 8 < / C o l u m n > < L a y e d O u t > t r u e < / L a y e d O u t > < / a : V a l u e > < / a : K e y V a l u e O f D i a g r a m O b j e c t K e y a n y T y p e z b w N T n L X > < a : K e y V a l u e O f D i a g r a m O b j e c t K e y a n y T y p e z b w N T n L X > < a : K e y > < K e y > C o l u m n s \ S e p - 2 3 < / K e y > < / a : K e y > < a : V a l u e   i : t y p e = " M e a s u r e G r i d N o d e V i e w S t a t e " > < C o l u m n > 9 < / C o l u m n > < L a y e d O u t > t r u e < / L a y e d O u t > < / a : V a l u e > < / a : K e y V a l u e O f D i a g r a m O b j e c t K e y a n y T y p e z b w N T n L X > < a : K e y V a l u e O f D i a g r a m O b j e c t K e y a n y T y p e z b w N T n L X > < a : K e y > < K e y > C o l u m n s \ O c t - 2 3 < / K e y > < / a : K e y > < a : V a l u e   i : t y p e = " M e a s u r e G r i d N o d e V i e w S t a t e " > < C o l u m n > 1 0 < / C o l u m n > < L a y e d O u t > t r u e < / L a y e d O u t > < / a : V a l u e > < / a : K e y V a l u e O f D i a g r a m O b j e c t K e y a n y T y p e z b w N T n L X > < a : K e y V a l u e O f D i a g r a m O b j e c t K e y a n y T y p e z b w N T n L X > < a : K e y > < K e y > C o l u m n s \ N o v - 2 3 < / K e y > < / a : K e y > < a : V a l u e   i : t y p e = " M e a s u r e G r i d N o d e V i e w S t a t e " > < C o l u m n > 1 1 < / C o l u m n > < L a y e d O u t > t r u e < / L a y e d O u t > < / a : V a l u e > < / a : K e y V a l u e O f D i a g r a m O b j e c t K e y a n y T y p e z b w N T n L X > < a : K e y V a l u e O f D i a g r a m O b j e c t K e y a n y T y p e z b w N T n L X > < a : K e y > < K e y > C o l u m n s \ D e c - 2 3 < / K e y > < / a : K e y > < a : V a l u e   i : t y p e = " M e a s u r e G r i d N o d e V i e w S t a t e " > < C o l u m n > 1 2 < / C o l u m n > < L a y e d O u t > t r u e < / L a y e d O u t > < / a : V a l u e > < / a : K e y V a l u e O f D i a g r a m O b j e c t K e y a n y T y p e z b w N T n L X > < a : K e y V a l u e O f D i a g r a m O b j e c t K e y a n y T y p e z b w N T n L X > < a : K e y > < K e y > L i n k s \ & l t ; C o l u m n s \ S u m   o f   J a n - 2 3 & g t ; - & l t ; M e a s u r e s \ J a n - 2 3 & g t ; < / K e y > < / a : K e y > < a : V a l u e   i : t y p e = " M e a s u r e G r i d V i e w S t a t e I D i a g r a m L i n k " / > < / a : K e y V a l u e O f D i a g r a m O b j e c t K e y a n y T y p e z b w N T n L X > < a : K e y V a l u e O f D i a g r a m O b j e c t K e y a n y T y p e z b w N T n L X > < a : K e y > < K e y > L i n k s \ & l t ; C o l u m n s \ S u m   o f   J a n - 2 3 & g t ; - & l t ; M e a s u r e s \ J a n - 2 3 & g t ; \ C O L U M N < / K e y > < / a : K e y > < a : V a l u e   i : t y p e = " M e a s u r e G r i d V i e w S t a t e I D i a g r a m L i n k E n d p o i n t " / > < / a : K e y V a l u e O f D i a g r a m O b j e c t K e y a n y T y p e z b w N T n L X > < a : K e y V a l u e O f D i a g r a m O b j e c t K e y a n y T y p e z b w N T n L X > < a : K e y > < K e y > L i n k s \ & l t ; C o l u m n s \ S u m   o f   J a n - 2 3 & g t ; - & l t ; M e a s u r e s \ J a n - 2 3 & g t ; \ M E A S U R E < / K e y > < / a : K e y > < a : V a l u e   i : t y p e = " M e a s u r e G r i d V i e w S t a t e I D i a g r a m L i n k E n d p o i n t " / > < / a : K e y V a l u e O f D i a g r a m O b j e c t K e y a n y T y p e z b w N T n L X > < a : K e y V a l u e O f D i a g r a m O b j e c t K e y a n y T y p e z b w N T n L X > < a : K e y > < K e y > L i n k s \ & l t ; C o l u m n s \ S u m   o f   F e b - 2 3 & g t ; - & l t ; M e a s u r e s \ F e b - 2 3 & g t ; < / K e y > < / a : K e y > < a : V a l u e   i : t y p e = " M e a s u r e G r i d V i e w S t a t e I D i a g r a m L i n k " / > < / a : K e y V a l u e O f D i a g r a m O b j e c t K e y a n y T y p e z b w N T n L X > < a : K e y V a l u e O f D i a g r a m O b j e c t K e y a n y T y p e z b w N T n L X > < a : K e y > < K e y > L i n k s \ & l t ; C o l u m n s \ S u m   o f   F e b - 2 3 & g t ; - & l t ; M e a s u r e s \ F e b - 2 3 & g t ; \ C O L U M N < / K e y > < / a : K e y > < a : V a l u e   i : t y p e = " M e a s u r e G r i d V i e w S t a t e I D i a g r a m L i n k E n d p o i n t " / > < / a : K e y V a l u e O f D i a g r a m O b j e c t K e y a n y T y p e z b w N T n L X > < a : K e y V a l u e O f D i a g r a m O b j e c t K e y a n y T y p e z b w N T n L X > < a : K e y > < K e y > L i n k s \ & l t ; C o l u m n s \ S u m   o f   F e b - 2 3 & g t ; - & l t ; M e a s u r e s \ F e b - 2 3 & g t ; \ M E A S U R E < / K e y > < / a : K e y > < a : V a l u e   i : t y p e = " M e a s u r e G r i d V i e w S t a t e I D i a g r a m L i n k E n d p o i n t " / > < / a : K e y V a l u e O f D i a g r a m O b j e c t K e y a n y T y p e z b w N T n L X > < a : K e y V a l u e O f D i a g r a m O b j e c t K e y a n y T y p e z b w N T n L X > < a : K e y > < K e y > L i n k s \ & l t ; C o l u m n s \ S u m   o f   M a r - 2 3 & g t ; - & l t ; M e a s u r e s \ M a r - 2 3 & g t ; < / K e y > < / a : K e y > < a : V a l u e   i : t y p e = " M e a s u r e G r i d V i e w S t a t e I D i a g r a m L i n k " / > < / a : K e y V a l u e O f D i a g r a m O b j e c t K e y a n y T y p e z b w N T n L X > < a : K e y V a l u e O f D i a g r a m O b j e c t K e y a n y T y p e z b w N T n L X > < a : K e y > < K e y > L i n k s \ & l t ; C o l u m n s \ S u m   o f   M a r - 2 3 & g t ; - & l t ; M e a s u r e s \ M a r - 2 3 & g t ; \ C O L U M N < / K e y > < / a : K e y > < a : V a l u e   i : t y p e = " M e a s u r e G r i d V i e w S t a t e I D i a g r a m L i n k E n d p o i n t " / > < / a : K e y V a l u e O f D i a g r a m O b j e c t K e y a n y T y p e z b w N T n L X > < a : K e y V a l u e O f D i a g r a m O b j e c t K e y a n y T y p e z b w N T n L X > < a : K e y > < K e y > L i n k s \ & l t ; C o l u m n s \ S u m   o f   M a r - 2 3 & g t ; - & l t ; M e a s u r e s \ M a r - 2 3 & g t ; \ M E A S U R E < / K e y > < / a : K e y > < a : V a l u e   i : t y p e = " M e a s u r e G r i d V i e w S t a t e I D i a g r a m L i n k E n d p o i n t " / > < / a : K e y V a l u e O f D i a g r a m O b j e c t K e y a n y T y p e z b w N T n L X > < a : K e y V a l u e O f D i a g r a m O b j e c t K e y a n y T y p e z b w N T n L X > < a : K e y > < K e y > L i n k s \ & l t ; C o l u m n s \ S u m   o f   A p r - 2 3 & g t ; - & l t ; M e a s u r e s \ A p r - 2 3 & g t ; < / K e y > < / a : K e y > < a : V a l u e   i : t y p e = " M e a s u r e G r i d V i e w S t a t e I D i a g r a m L i n k " / > < / a : K e y V a l u e O f D i a g r a m O b j e c t K e y a n y T y p e z b w N T n L X > < a : K e y V a l u e O f D i a g r a m O b j e c t K e y a n y T y p e z b w N T n L X > < a : K e y > < K e y > L i n k s \ & l t ; C o l u m n s \ S u m   o f   A p r - 2 3 & g t ; - & l t ; M e a s u r e s \ A p r - 2 3 & g t ; \ C O L U M N < / K e y > < / a : K e y > < a : V a l u e   i : t y p e = " M e a s u r e G r i d V i e w S t a t e I D i a g r a m L i n k E n d p o i n t " / > < / a : K e y V a l u e O f D i a g r a m O b j e c t K e y a n y T y p e z b w N T n L X > < a : K e y V a l u e O f D i a g r a m O b j e c t K e y a n y T y p e z b w N T n L X > < a : K e y > < K e y > L i n k s \ & l t ; C o l u m n s \ S u m   o f   A p r - 2 3 & g t ; - & l t ; M e a s u r e s \ A p r - 2 3 & g t ; \ M E A S U R E < / K e y > < / a : K e y > < a : V a l u e   i : t y p e = " M e a s u r e G r i d V i e w S t a t e I D i a g r a m L i n k E n d p o i n t " / > < / a : K e y V a l u e O f D i a g r a m O b j e c t K e y a n y T y p e z b w N T n L X > < a : K e y V a l u e O f D i a g r a m O b j e c t K e y a n y T y p e z b w N T n L X > < a : K e y > < K e y > L i n k s \ & l t ; C o l u m n s \ S u m   o f   M a y - 2 3 & g t ; - & l t ; M e a s u r e s \ M a y - 2 3 & g t ; < / K e y > < / a : K e y > < a : V a l u e   i : t y p e = " M e a s u r e G r i d V i e w S t a t e I D i a g r a m L i n k " / > < / a : K e y V a l u e O f D i a g r a m O b j e c t K e y a n y T y p e z b w N T n L X > < a : K e y V a l u e O f D i a g r a m O b j e c t K e y a n y T y p e z b w N T n L X > < a : K e y > < K e y > L i n k s \ & l t ; C o l u m n s \ S u m   o f   M a y - 2 3 & g t ; - & l t ; M e a s u r e s \ M a y - 2 3 & g t ; \ C O L U M N < / K e y > < / a : K e y > < a : V a l u e   i : t y p e = " M e a s u r e G r i d V i e w S t a t e I D i a g r a m L i n k E n d p o i n t " / > < / a : K e y V a l u e O f D i a g r a m O b j e c t K e y a n y T y p e z b w N T n L X > < a : K e y V a l u e O f D i a g r a m O b j e c t K e y a n y T y p e z b w N T n L X > < a : K e y > < K e y > L i n k s \ & l t ; C o l u m n s \ S u m   o f   M a y - 2 3 & g t ; - & l t ; M e a s u r e s \ M a y - 2 3 & g t ; \ M E A S U R E < / K e y > < / a : K e y > < a : V a l u e   i : t y p e = " M e a s u r e G r i d V i e w S t a t e I D i a g r a m L i n k E n d p o i n t " / > < / a : K e y V a l u e O f D i a g r a m O b j e c t K e y a n y T y p e z b w N T n L X > < a : K e y V a l u e O f D i a g r a m O b j e c t K e y a n y T y p e z b w N T n L X > < a : K e y > < K e y > L i n k s \ & l t ; C o l u m n s \ A v e r a g e   o f   J a n - 2 3 & g t ; - & l t ; M e a s u r e s \ J a n - 2 3 & g t ; < / K e y > < / a : K e y > < a : V a l u e   i : t y p e = " M e a s u r e G r i d V i e w S t a t e I D i a g r a m L i n k " / > < / a : K e y V a l u e O f D i a g r a m O b j e c t K e y a n y T y p e z b w N T n L X > < a : K e y V a l u e O f D i a g r a m O b j e c t K e y a n y T y p e z b w N T n L X > < a : K e y > < K e y > L i n k s \ & l t ; C o l u m n s \ A v e r a g e   o f   J a n - 2 3 & g t ; - & l t ; M e a s u r e s \ J a n - 2 3 & g t ; \ C O L U M N < / K e y > < / a : K e y > < a : V a l u e   i : t y p e = " M e a s u r e G r i d V i e w S t a t e I D i a g r a m L i n k E n d p o i n t " / > < / a : K e y V a l u e O f D i a g r a m O b j e c t K e y a n y T y p e z b w N T n L X > < a : K e y V a l u e O f D i a g r a m O b j e c t K e y a n y T y p e z b w N T n L X > < a : K e y > < K e y > L i n k s \ & l t ; C o l u m n s \ A v e r a g e   o f   J a n - 2 3 & g t ; - & l t ; M e a s u r e s \ J a n - 2 3 & g t ; \ M E A S U R E < / K e y > < / a : K e y > < a : V a l u e   i : t y p e = " M e a s u r e G r i d V i e w S t a t e I D i a g r a m L i n k E n d p o i n t " / > < / a : K e y V a l u e O f D i a g r a m O b j e c t K e y a n y T y p e z b w N T n L X > < a : K e y V a l u e O f D i a g r a m O b j e c t K e y a n y T y p e z b w N T n L X > < a : K e y > < K e y > L i n k s \ & l t ; C o l u m n s \ S u m   o f   J u n - 2 3 & g t ; - & l t ; M e a s u r e s \ J u n - 2 3 & g t ; < / K e y > < / a : K e y > < a : V a l u e   i : t y p e = " M e a s u r e G r i d V i e w S t a t e I D i a g r a m L i n k " / > < / a : K e y V a l u e O f D i a g r a m O b j e c t K e y a n y T y p e z b w N T n L X > < a : K e y V a l u e O f D i a g r a m O b j e c t K e y a n y T y p e z b w N T n L X > < a : K e y > < K e y > L i n k s \ & l t ; C o l u m n s \ S u m   o f   J u n - 2 3 & g t ; - & l t ; M e a s u r e s \ J u n - 2 3 & g t ; \ C O L U M N < / K e y > < / a : K e y > < a : V a l u e   i : t y p e = " M e a s u r e G r i d V i e w S t a t e I D i a g r a m L i n k E n d p o i n t " / > < / a : K e y V a l u e O f D i a g r a m O b j e c t K e y a n y T y p e z b w N T n L X > < a : K e y V a l u e O f D i a g r a m O b j e c t K e y a n y T y p e z b w N T n L X > < a : K e y > < K e y > L i n k s \ & l t ; C o l u m n s \ S u m   o f   J u n - 2 3 & g t ; - & l t ; M e a s u r e s \ J u n - 2 3 & g t ; \ M E A S U R E < / K e y > < / a : K e y > < a : V a l u e   i : t y p e = " M e a s u r e G r i d V i e w S t a t e I D i a g r a m L i n k E n d p o i n t " / > < / a : K e y V a l u e O f D i a g r a m O b j e c t K e y a n y T y p e z b w N T n L X > < a : K e y V a l u e O f D i a g r a m O b j e c t K e y a n y T y p e z b w N T n L X > < a : K e y > < K e y > L i n k s \ & l t ; C o l u m n s \ S u m   o f   J u l - 2 3 & g t ; - & l t ; M e a s u r e s \ J u l - 2 3 & g t ; < / K e y > < / a : K e y > < a : V a l u e   i : t y p e = " M e a s u r e G r i d V i e w S t a t e I D i a g r a m L i n k " / > < / a : K e y V a l u e O f D i a g r a m O b j e c t K e y a n y T y p e z b w N T n L X > < a : K e y V a l u e O f D i a g r a m O b j e c t K e y a n y T y p e z b w N T n L X > < a : K e y > < K e y > L i n k s \ & l t ; C o l u m n s \ S u m   o f   J u l - 2 3 & g t ; - & l t ; M e a s u r e s \ J u l - 2 3 & g t ; \ C O L U M N < / K e y > < / a : K e y > < a : V a l u e   i : t y p e = " M e a s u r e G r i d V i e w S t a t e I D i a g r a m L i n k E n d p o i n t " / > < / a : K e y V a l u e O f D i a g r a m O b j e c t K e y a n y T y p e z b w N T n L X > < a : K e y V a l u e O f D i a g r a m O b j e c t K e y a n y T y p e z b w N T n L X > < a : K e y > < K e y > L i n k s \ & l t ; C o l u m n s \ S u m   o f   J u l - 2 3 & g t ; - & l t ; M e a s u r e s \ J u l - 2 3 & g t ; \ M E A S U R E < / K e y > < / a : K e y > < a : V a l u e   i : t y p e = " M e a s u r e G r i d V i e w S t a t e I D i a g r a m L i n k E n d p o i n t " / > < / a : K e y V a l u e O f D i a g r a m O b j e c t K e y a n y T y p e z b w N T n L X > < a : K e y V a l u e O f D i a g r a m O b j e c t K e y a n y T y p e z b w N T n L X > < a : K e y > < K e y > L i n k s \ & l t ; C o l u m n s \ S u m   o f   A u g - 2 3 & g t ; - & l t ; M e a s u r e s \ A u g - 2 3 & g t ; < / K e y > < / a : K e y > < a : V a l u e   i : t y p e = " M e a s u r e G r i d V i e w S t a t e I D i a g r a m L i n k " / > < / a : K e y V a l u e O f D i a g r a m O b j e c t K e y a n y T y p e z b w N T n L X > < a : K e y V a l u e O f D i a g r a m O b j e c t K e y a n y T y p e z b w N T n L X > < a : K e y > < K e y > L i n k s \ & l t ; C o l u m n s \ S u m   o f   A u g - 2 3 & g t ; - & l t ; M e a s u r e s \ A u g - 2 3 & g t ; \ C O L U M N < / K e y > < / a : K e y > < a : V a l u e   i : t y p e = " M e a s u r e G r i d V i e w S t a t e I D i a g r a m L i n k E n d p o i n t " / > < / a : K e y V a l u e O f D i a g r a m O b j e c t K e y a n y T y p e z b w N T n L X > < a : K e y V a l u e O f D i a g r a m O b j e c t K e y a n y T y p e z b w N T n L X > < a : K e y > < K e y > L i n k s \ & l t ; C o l u m n s \ S u m   o f   A u g - 2 3 & g t ; - & l t ; M e a s u r e s \ A u g - 2 3 & g t ; \ M E A S U R E < / K e y > < / a : K e y > < a : V a l u e   i : t y p e = " M e a s u r e G r i d V i e w S t a t e I D i a g r a m L i n k E n d p o i n t " / > < / a : K e y V a l u e O f D i a g r a m O b j e c t K e y a n y T y p e z b w N T n L X > < a : K e y V a l u e O f D i a g r a m O b j e c t K e y a n y T y p e z b w N T n L X > < a : K e y > < K e y > L i n k s \ & l t ; C o l u m n s \ S u m   o f   S e p - 2 3 & g t ; - & l t ; M e a s u r e s \ S e p - 2 3 & g t ; < / K e y > < / a : K e y > < a : V a l u e   i : t y p e = " M e a s u r e G r i d V i e w S t a t e I D i a g r a m L i n k " / > < / a : K e y V a l u e O f D i a g r a m O b j e c t K e y a n y T y p e z b w N T n L X > < a : K e y V a l u e O f D i a g r a m O b j e c t K e y a n y T y p e z b w N T n L X > < a : K e y > < K e y > L i n k s \ & l t ; C o l u m n s \ S u m   o f   S e p - 2 3 & g t ; - & l t ; M e a s u r e s \ S e p - 2 3 & g t ; \ C O L U M N < / K e y > < / a : K e y > < a : V a l u e   i : t y p e = " M e a s u r e G r i d V i e w S t a t e I D i a g r a m L i n k E n d p o i n t " / > < / a : K e y V a l u e O f D i a g r a m O b j e c t K e y a n y T y p e z b w N T n L X > < a : K e y V a l u e O f D i a g r a m O b j e c t K e y a n y T y p e z b w N T n L X > < a : K e y > < K e y > L i n k s \ & l t ; C o l u m n s \ S u m   o f   S e p - 2 3 & g t ; - & l t ; M e a s u r e s \ S e p - 2 3 & g t ; \ M E A S U R E < / K e y > < / a : K e y > < a : V a l u e   i : t y p e = " M e a s u r e G r i d V i e w S t a t e I D i a g r a m L i n k E n d p o i n t " / > < / a : K e y V a l u e O f D i a g r a m O b j e c t K e y a n y T y p e z b w N T n L X > < a : K e y V a l u e O f D i a g r a m O b j e c t K e y a n y T y p e z b w N T n L X > < a : K e y > < K e y > L i n k s \ & l t ; C o l u m n s \ S u m   o f   O c t - 2 3 & g t ; - & l t ; M e a s u r e s \ O c t - 2 3 & g t ; < / K e y > < / a : K e y > < a : V a l u e   i : t y p e = " M e a s u r e G r i d V i e w S t a t e I D i a g r a m L i n k " / > < / a : K e y V a l u e O f D i a g r a m O b j e c t K e y a n y T y p e z b w N T n L X > < a : K e y V a l u e O f D i a g r a m O b j e c t K e y a n y T y p e z b w N T n L X > < a : K e y > < K e y > L i n k s \ & l t ; C o l u m n s \ S u m   o f   O c t - 2 3 & g t ; - & l t ; M e a s u r e s \ O c t - 2 3 & g t ; \ C O L U M N < / K e y > < / a : K e y > < a : V a l u e   i : t y p e = " M e a s u r e G r i d V i e w S t a t e I D i a g r a m L i n k E n d p o i n t " / > < / a : K e y V a l u e O f D i a g r a m O b j e c t K e y a n y T y p e z b w N T n L X > < a : K e y V a l u e O f D i a g r a m O b j e c t K e y a n y T y p e z b w N T n L X > < a : K e y > < K e y > L i n k s \ & l t ; C o l u m n s \ S u m   o f   O c t - 2 3 & g t ; - & l t ; M e a s u r e s \ O c t - 2 3 & g t ; \ M E A S U R E < / K e y > < / a : K e y > < a : V a l u e   i : t y p e = " M e a s u r e G r i d V i e w S t a t e I D i a g r a m L i n k E n d p o i n t " / > < / a : K e y V a l u e O f D i a g r a m O b j e c t K e y a n y T y p e z b w N T n L X > < a : K e y V a l u e O f D i a g r a m O b j e c t K e y a n y T y p e z b w N T n L X > < a : K e y > < K e y > L i n k s \ & l t ; C o l u m n s \ S u m   o f   N o v - 2 3 & g t ; - & l t ; M e a s u r e s \ N o v - 2 3 & g t ; < / K e y > < / a : K e y > < a : V a l u e   i : t y p e = " M e a s u r e G r i d V i e w S t a t e I D i a g r a m L i n k " / > < / a : K e y V a l u e O f D i a g r a m O b j e c t K e y a n y T y p e z b w N T n L X > < a : K e y V a l u e O f D i a g r a m O b j e c t K e y a n y T y p e z b w N T n L X > < a : K e y > < K e y > L i n k s \ & l t ; C o l u m n s \ S u m   o f   N o v - 2 3 & g t ; - & l t ; M e a s u r e s \ N o v - 2 3 & g t ; \ C O L U M N < / K e y > < / a : K e y > < a : V a l u e   i : t y p e = " M e a s u r e G r i d V i e w S t a t e I D i a g r a m L i n k E n d p o i n t " / > < / a : K e y V a l u e O f D i a g r a m O b j e c t K e y a n y T y p e z b w N T n L X > < a : K e y V a l u e O f D i a g r a m O b j e c t K e y a n y T y p e z b w N T n L X > < a : K e y > < K e y > L i n k s \ & l t ; C o l u m n s \ S u m   o f   N o v - 2 3 & g t ; - & l t ; M e a s u r e s \ N o v - 2 3 & g t ; \ M E A S U R E < / K e y > < / a : K e y > < a : V a l u e   i : t y p e = " M e a s u r e G r i d V i e w S t a t e I D i a g r a m L i n k E n d p o i n t " / > < / a : K e y V a l u e O f D i a g r a m O b j e c t K e y a n y T y p e z b w N T n L X > < a : K e y V a l u e O f D i a g r a m O b j e c t K e y a n y T y p e z b w N T n L X > < a : K e y > < K e y > L i n k s \ & l t ; C o l u m n s \ S u m   o f   D e c - 2 3 & g t ; - & l t ; M e a s u r e s \ D e c - 2 3 & g t ; < / K e y > < / a : K e y > < a : V a l u e   i : t y p e = " M e a s u r e G r i d V i e w S t a t e I D i a g r a m L i n k " / > < / a : K e y V a l u e O f D i a g r a m O b j e c t K e y a n y T y p e z b w N T n L X > < a : K e y V a l u e O f D i a g r a m O b j e c t K e y a n y T y p e z b w N T n L X > < a : K e y > < K e y > L i n k s \ & l t ; C o l u m n s \ S u m   o f   D e c - 2 3 & g t ; - & l t ; M e a s u r e s \ D e c - 2 3 & g t ; \ C O L U M N < / K e y > < / a : K e y > < a : V a l u e   i : t y p e = " M e a s u r e G r i d V i e w S t a t e I D i a g r a m L i n k E n d p o i n t " / > < / a : K e y V a l u e O f D i a g r a m O b j e c t K e y a n y T y p e z b w N T n L X > < a : K e y V a l u e O f D i a g r a m O b j e c t K e y a n y T y p e z b w N T n L X > < a : K e y > < K e y > L i n k s \ & l t ; C o l u m n s \ S u m   o f   D e c - 2 3 & g t ; - & l t ; M e a s u r e s \ D e c - 2 3 & g t ; \ M E A S U R E < / K e y > < / a : K e y > < a : V a l u e   i : t y p e = " M e a s u r e G r i d V i e w S t a t e I D i a g r a m L i n k E n d p o i n t " / > < / a : K e y V a l u e O f D i a g r a m O b j e c t K e y a n y T y p e z b w N T n L X > < a : K e y V a l u e O f D i a g r a m O b j e c t K e y a n y T y p e z b w N T n L X > < a : K e y > < K e y > L i n k s \ & l t ; C o l u m n s \ A v e r a g e   o f   F e b - 2 3 & g t ; - & l t ; M e a s u r e s \ F e b - 2 3 & g t ; < / K e y > < / a : K e y > < a : V a l u e   i : t y p e = " M e a s u r e G r i d V i e w S t a t e I D i a g r a m L i n k " / > < / a : K e y V a l u e O f D i a g r a m O b j e c t K e y a n y T y p e z b w N T n L X > < a : K e y V a l u e O f D i a g r a m O b j e c t K e y a n y T y p e z b w N T n L X > < a : K e y > < K e y > L i n k s \ & l t ; C o l u m n s \ A v e r a g e   o f   F e b - 2 3 & g t ; - & l t ; M e a s u r e s \ F e b - 2 3 & g t ; \ C O L U M N < / K e y > < / a : K e y > < a : V a l u e   i : t y p e = " M e a s u r e G r i d V i e w S t a t e I D i a g r a m L i n k E n d p o i n t " / > < / a : K e y V a l u e O f D i a g r a m O b j e c t K e y a n y T y p e z b w N T n L X > < a : K e y V a l u e O f D i a g r a m O b j e c t K e y a n y T y p e z b w N T n L X > < a : K e y > < K e y > L i n k s \ & l t ; C o l u m n s \ A v e r a g e   o f   F e b - 2 3 & g t ; - & l t ; M e a s u r e s \ F e b - 2 3 & g t ; \ M E A S U R E < / K e y > < / a : K e y > < a : V a l u e   i : t y p e = " M e a s u r e G r i d V i e w S t a t e I D i a g r a m L i n k E n d p o i n t " / > < / a : K e y V a l u e O f D i a g r a m O b j e c t K e y a n y T y p e z b w N T n L X > < a : K e y V a l u e O f D i a g r a m O b j e c t K e y a n y T y p e z b w N T n L X > < a : K e y > < K e y > L i n k s \ & l t ; C o l u m n s \ A v e r a g e   o f   M a r - 2 3 & g t ; - & l t ; M e a s u r e s \ M a r - 2 3 & g t ; < / K e y > < / a : K e y > < a : V a l u e   i : t y p e = " M e a s u r e G r i d V i e w S t a t e I D i a g r a m L i n k " / > < / a : K e y V a l u e O f D i a g r a m O b j e c t K e y a n y T y p e z b w N T n L X > < a : K e y V a l u e O f D i a g r a m O b j e c t K e y a n y T y p e z b w N T n L X > < a : K e y > < K e y > L i n k s \ & l t ; C o l u m n s \ A v e r a g e   o f   M a r - 2 3 & g t ; - & l t ; M e a s u r e s \ M a r - 2 3 & g t ; \ C O L U M N < / K e y > < / a : K e y > < a : V a l u e   i : t y p e = " M e a s u r e G r i d V i e w S t a t e I D i a g r a m L i n k E n d p o i n t " / > < / a : K e y V a l u e O f D i a g r a m O b j e c t K e y a n y T y p e z b w N T n L X > < a : K e y V a l u e O f D i a g r a m O b j e c t K e y a n y T y p e z b w N T n L X > < a : K e y > < K e y > L i n k s \ & l t ; C o l u m n s \ A v e r a g e   o f   M a r - 2 3 & g t ; - & l t ; M e a s u r e s \ M a r - 2 3 & g t ; \ M E A S U R E < / K e y > < / a : K e y > < a : V a l u e   i : t y p e = " M e a s u r e G r i d V i e w S t a t e I D i a g r a m L i n k E n d p o i n t " / > < / a : K e y V a l u e O f D i a g r a m O b j e c t K e y a n y T y p e z b w N T n L X > < a : K e y V a l u e O f D i a g r a m O b j e c t K e y a n y T y p e z b w N T n L X > < a : K e y > < K e y > L i n k s \ & l t ; C o l u m n s \ A v e r a g e   o f   A p r - 2 3 & g t ; - & l t ; M e a s u r e s \ A p r - 2 3 & g t ; < / K e y > < / a : K e y > < a : V a l u e   i : t y p e = " M e a s u r e G r i d V i e w S t a t e I D i a g r a m L i n k " / > < / a : K e y V a l u e O f D i a g r a m O b j e c t K e y a n y T y p e z b w N T n L X > < a : K e y V a l u e O f D i a g r a m O b j e c t K e y a n y T y p e z b w N T n L X > < a : K e y > < K e y > L i n k s \ & l t ; C o l u m n s \ A v e r a g e   o f   A p r - 2 3 & g t ; - & l t ; M e a s u r e s \ A p r - 2 3 & g t ; \ C O L U M N < / K e y > < / a : K e y > < a : V a l u e   i : t y p e = " M e a s u r e G r i d V i e w S t a t e I D i a g r a m L i n k E n d p o i n t " / > < / a : K e y V a l u e O f D i a g r a m O b j e c t K e y a n y T y p e z b w N T n L X > < a : K e y V a l u e O f D i a g r a m O b j e c t K e y a n y T y p e z b w N T n L X > < a : K e y > < K e y > L i n k s \ & l t ; C o l u m n s \ A v e r a g e   o f   A p r - 2 3 & g t ; - & l t ; M e a s u r e s \ A p r - 2 3 & g t ; \ M E A S U R E < / K e y > < / a : K e y > < a : V a l u e   i : t y p e = " M e a s u r e G r i d V i e w S t a t e I D i a g r a m L i n k E n d p o i n t " / > < / a : K e y V a l u e O f D i a g r a m O b j e c t K e y a n y T y p e z b w N T n L X > < a : K e y V a l u e O f D i a g r a m O b j e c t K e y a n y T y p e z b w N T n L X > < a : K e y > < K e y > L i n k s \ & l t ; C o l u m n s \ A v e r a g e   o f   M a y - 2 3 & g t ; - & l t ; M e a s u r e s \ M a y - 2 3 & g t ; < / K e y > < / a : K e y > < a : V a l u e   i : t y p e = " M e a s u r e G r i d V i e w S t a t e I D i a g r a m L i n k " / > < / a : K e y V a l u e O f D i a g r a m O b j e c t K e y a n y T y p e z b w N T n L X > < a : K e y V a l u e O f D i a g r a m O b j e c t K e y a n y T y p e z b w N T n L X > < a : K e y > < K e y > L i n k s \ & l t ; C o l u m n s \ A v e r a g e   o f   M a y - 2 3 & g t ; - & l t ; M e a s u r e s \ M a y - 2 3 & g t ; \ C O L U M N < / K e y > < / a : K e y > < a : V a l u e   i : t y p e = " M e a s u r e G r i d V i e w S t a t e I D i a g r a m L i n k E n d p o i n t " / > < / a : K e y V a l u e O f D i a g r a m O b j e c t K e y a n y T y p e z b w N T n L X > < a : K e y V a l u e O f D i a g r a m O b j e c t K e y a n y T y p e z b w N T n L X > < a : K e y > < K e y > L i n k s \ & l t ; C o l u m n s \ A v e r a g e   o f   M a y - 2 3 & g t ; - & l t ; M e a s u r e s \ M a y - 2 3 & g t ; \ M E A S U R E < / K e y > < / a : K e y > < a : V a l u e   i : t y p e = " M e a s u r e G r i d V i e w S t a t e I D i a g r a m L i n k E n d p o i n t " / > < / a : K e y V a l u e O f D i a g r a m O b j e c t K e y a n y T y p e z b w N T n L X > < a : K e y V a l u e O f D i a g r a m O b j e c t K e y a n y T y p e z b w N T n L X > < a : K e y > < K e y > L i n k s \ & l t ; C o l u m n s \ A v e r a g e   o f   J u n - 2 3 & g t ; - & l t ; M e a s u r e s \ J u n - 2 3 & g t ; < / K e y > < / a : K e y > < a : V a l u e   i : t y p e = " M e a s u r e G r i d V i e w S t a t e I D i a g r a m L i n k " / > < / a : K e y V a l u e O f D i a g r a m O b j e c t K e y a n y T y p e z b w N T n L X > < a : K e y V a l u e O f D i a g r a m O b j e c t K e y a n y T y p e z b w N T n L X > < a : K e y > < K e y > L i n k s \ & l t ; C o l u m n s \ A v e r a g e   o f   J u n - 2 3 & g t ; - & l t ; M e a s u r e s \ J u n - 2 3 & g t ; \ C O L U M N < / K e y > < / a : K e y > < a : V a l u e   i : t y p e = " M e a s u r e G r i d V i e w S t a t e I D i a g r a m L i n k E n d p o i n t " / > < / a : K e y V a l u e O f D i a g r a m O b j e c t K e y a n y T y p e z b w N T n L X > < a : K e y V a l u e O f D i a g r a m O b j e c t K e y a n y T y p e z b w N T n L X > < a : K e y > < K e y > L i n k s \ & l t ; C o l u m n s \ A v e r a g e   o f   J u n - 2 3 & g t ; - & l t ; M e a s u r e s \ J u n - 2 3 & g t ; \ M E A S U R E < / K e y > < / a : K e y > < a : V a l u e   i : t y p e = " M e a s u r e G r i d V i e w S t a t e I D i a g r a m L i n k E n d p o i n t " / > < / a : K e y V a l u e O f D i a g r a m O b j e c t K e y a n y T y p e z b w N T n L X > < a : K e y V a l u e O f D i a g r a m O b j e c t K e y a n y T y p e z b w N T n L X > < a : K e y > < K e y > L i n k s \ & l t ; C o l u m n s \ A v e r a g e   o f   J u l - 2 3 & g t ; - & l t ; M e a s u r e s \ J u l - 2 3 & g t ; < / K e y > < / a : K e y > < a : V a l u e   i : t y p e = " M e a s u r e G r i d V i e w S t a t e I D i a g r a m L i n k " / > < / a : K e y V a l u e O f D i a g r a m O b j e c t K e y a n y T y p e z b w N T n L X > < a : K e y V a l u e O f D i a g r a m O b j e c t K e y a n y T y p e z b w N T n L X > < a : K e y > < K e y > L i n k s \ & l t ; C o l u m n s \ A v e r a g e   o f   J u l - 2 3 & g t ; - & l t ; M e a s u r e s \ J u l - 2 3 & g t ; \ C O L U M N < / K e y > < / a : K e y > < a : V a l u e   i : t y p e = " M e a s u r e G r i d V i e w S t a t e I D i a g r a m L i n k E n d p o i n t " / > < / a : K e y V a l u e O f D i a g r a m O b j e c t K e y a n y T y p e z b w N T n L X > < a : K e y V a l u e O f D i a g r a m O b j e c t K e y a n y T y p e z b w N T n L X > < a : K e y > < K e y > L i n k s \ & l t ; C o l u m n s \ A v e r a g e   o f   J u l - 2 3 & g t ; - & l t ; M e a s u r e s \ J u l - 2 3 & g t ; \ M E A S U R E < / K e y > < / a : K e y > < a : V a l u e   i : t y p e = " M e a s u r e G r i d V i e w S t a t e I D i a g r a m L i n k E n d p o i n t " / > < / a : K e y V a l u e O f D i a g r a m O b j e c t K e y a n y T y p e z b w N T n L X > < a : K e y V a l u e O f D i a g r a m O b j e c t K e y a n y T y p e z b w N T n L X > < a : K e y > < K e y > L i n k s \ & l t ; C o l u m n s \ A v e r a g e   o f   A u g - 2 3 & g t ; - & l t ; M e a s u r e s \ A u g - 2 3 & g t ; < / K e y > < / a : K e y > < a : V a l u e   i : t y p e = " M e a s u r e G r i d V i e w S t a t e I D i a g r a m L i n k " / > < / a : K e y V a l u e O f D i a g r a m O b j e c t K e y a n y T y p e z b w N T n L X > < a : K e y V a l u e O f D i a g r a m O b j e c t K e y a n y T y p e z b w N T n L X > < a : K e y > < K e y > L i n k s \ & l t ; C o l u m n s \ A v e r a g e   o f   A u g - 2 3 & g t ; - & l t ; M e a s u r e s \ A u g - 2 3 & g t ; \ C O L U M N < / K e y > < / a : K e y > < a : V a l u e   i : t y p e = " M e a s u r e G r i d V i e w S t a t e I D i a g r a m L i n k E n d p o i n t " / > < / a : K e y V a l u e O f D i a g r a m O b j e c t K e y a n y T y p e z b w N T n L X > < a : K e y V a l u e O f D i a g r a m O b j e c t K e y a n y T y p e z b w N T n L X > < a : K e y > < K e y > L i n k s \ & l t ; C o l u m n s \ A v e r a g e   o f   A u g - 2 3 & g t ; - & l t ; M e a s u r e s \ A u g - 2 3 & g t ; \ M E A S U R E < / K e y > < / a : K e y > < a : V a l u e   i : t y p e = " M e a s u r e G r i d V i e w S t a t e I D i a g r a m L i n k E n d p o i n t " / > < / a : K e y V a l u e O f D i a g r a m O b j e c t K e y a n y T y p e z b w N T n L X > < a : K e y V a l u e O f D i a g r a m O b j e c t K e y a n y T y p e z b w N T n L X > < a : K e y > < K e y > L i n k s \ & l t ; C o l u m n s \ A v e r a g e   o f   S e p - 2 3 & g t ; - & l t ; M e a s u r e s \ S e p - 2 3 & g t ; < / K e y > < / a : K e y > < a : V a l u e   i : t y p e = " M e a s u r e G r i d V i e w S t a t e I D i a g r a m L i n k " / > < / a : K e y V a l u e O f D i a g r a m O b j e c t K e y a n y T y p e z b w N T n L X > < a : K e y V a l u e O f D i a g r a m O b j e c t K e y a n y T y p e z b w N T n L X > < a : K e y > < K e y > L i n k s \ & l t ; C o l u m n s \ A v e r a g e   o f   S e p - 2 3 & g t ; - & l t ; M e a s u r e s \ S e p - 2 3 & g t ; \ C O L U M N < / K e y > < / a : K e y > < a : V a l u e   i : t y p e = " M e a s u r e G r i d V i e w S t a t e I D i a g r a m L i n k E n d p o i n t " / > < / a : K e y V a l u e O f D i a g r a m O b j e c t K e y a n y T y p e z b w N T n L X > < a : K e y V a l u e O f D i a g r a m O b j e c t K e y a n y T y p e z b w N T n L X > < a : K e y > < K e y > L i n k s \ & l t ; C o l u m n s \ A v e r a g e   o f   S e p - 2 3 & g t ; - & l t ; M e a s u r e s \ S e p - 2 3 & g t ; \ M E A S U R E < / K e y > < / a : K e y > < a : V a l u e   i : t y p e = " M e a s u r e G r i d V i e w S t a t e I D i a g r a m L i n k E n d p o i n t " / > < / a : K e y V a l u e O f D i a g r a m O b j e c t K e y a n y T y p e z b w N T n L X > < a : K e y V a l u e O f D i a g r a m O b j e c t K e y a n y T y p e z b w N T n L X > < a : K e y > < K e y > L i n k s \ & l t ; C o l u m n s \ A v e r a g e   o f   O c t - 2 3 & g t ; - & l t ; M e a s u r e s \ O c t - 2 3 & g t ; < / K e y > < / a : K e y > < a : V a l u e   i : t y p e = " M e a s u r e G r i d V i e w S t a t e I D i a g r a m L i n k " / > < / a : K e y V a l u e O f D i a g r a m O b j e c t K e y a n y T y p e z b w N T n L X > < a : K e y V a l u e O f D i a g r a m O b j e c t K e y a n y T y p e z b w N T n L X > < a : K e y > < K e y > L i n k s \ & l t ; C o l u m n s \ A v e r a g e   o f   O c t - 2 3 & g t ; - & l t ; M e a s u r e s \ O c t - 2 3 & g t ; \ C O L U M N < / K e y > < / a : K e y > < a : V a l u e   i : t y p e = " M e a s u r e G r i d V i e w S t a t e I D i a g r a m L i n k E n d p o i n t " / > < / a : K e y V a l u e O f D i a g r a m O b j e c t K e y a n y T y p e z b w N T n L X > < a : K e y V a l u e O f D i a g r a m O b j e c t K e y a n y T y p e z b w N T n L X > < a : K e y > < K e y > L i n k s \ & l t ; C o l u m n s \ A v e r a g e   o f   O c t - 2 3 & g t ; - & l t ; M e a s u r e s \ O c t - 2 3 & g t ; \ M E A S U R E < / K e y > < / a : K e y > < a : V a l u e   i : t y p e = " M e a s u r e G r i d V i e w S t a t e I D i a g r a m L i n k E n d p o i n t " / > < / a : K e y V a l u e O f D i a g r a m O b j e c t K e y a n y T y p e z b w N T n L X > < a : K e y V a l u e O f D i a g r a m O b j e c t K e y a n y T y p e z b w N T n L X > < a : K e y > < K e y > L i n k s \ & l t ; C o l u m n s \ A v e r a g e   o f   N o v - 2 3 & g t ; - & l t ; M e a s u r e s \ N o v - 2 3 & g t ; < / K e y > < / a : K e y > < a : V a l u e   i : t y p e = " M e a s u r e G r i d V i e w S t a t e I D i a g r a m L i n k " / > < / a : K e y V a l u e O f D i a g r a m O b j e c t K e y a n y T y p e z b w N T n L X > < a : K e y V a l u e O f D i a g r a m O b j e c t K e y a n y T y p e z b w N T n L X > < a : K e y > < K e y > L i n k s \ & l t ; C o l u m n s \ A v e r a g e   o f   N o v - 2 3 & g t ; - & l t ; M e a s u r e s \ N o v - 2 3 & g t ; \ C O L U M N < / K e y > < / a : K e y > < a : V a l u e   i : t y p e = " M e a s u r e G r i d V i e w S t a t e I D i a g r a m L i n k E n d p o i n t " / > < / a : K e y V a l u e O f D i a g r a m O b j e c t K e y a n y T y p e z b w N T n L X > < a : K e y V a l u e O f D i a g r a m O b j e c t K e y a n y T y p e z b w N T n L X > < a : K e y > < K e y > L i n k s \ & l t ; C o l u m n s \ A v e r a g e   o f   N o v - 2 3 & g t ; - & l t ; M e a s u r e s \ N o v - 2 3 & g t ; \ M E A S U R E < / K e y > < / a : K e y > < a : V a l u e   i : t y p e = " M e a s u r e G r i d V i e w S t a t e I D i a g r a m L i n k E n d p o i n t " / > < / a : K e y V a l u e O f D i a g r a m O b j e c t K e y a n y T y p e z b w N T n L X > < a : K e y V a l u e O f D i a g r a m O b j e c t K e y a n y T y p e z b w N T n L X > < a : K e y > < K e y > L i n k s \ & l t ; C o l u m n s \ A v e r a g e   o f   D e c - 2 3 & g t ; - & l t ; M e a s u r e s \ D e c - 2 3 & g t ; < / K e y > < / a : K e y > < a : V a l u e   i : t y p e = " M e a s u r e G r i d V i e w S t a t e I D i a g r a m L i n k " / > < / a : K e y V a l u e O f D i a g r a m O b j e c t K e y a n y T y p e z b w N T n L X > < a : K e y V a l u e O f D i a g r a m O b j e c t K e y a n y T y p e z b w N T n L X > < a : K e y > < K e y > L i n k s \ & l t ; C o l u m n s \ A v e r a g e   o f   D e c - 2 3 & g t ; - & l t ; M e a s u r e s \ D e c - 2 3 & g t ; \ C O L U M N < / K e y > < / a : K e y > < a : V a l u e   i : t y p e = " M e a s u r e G r i d V i e w S t a t e I D i a g r a m L i n k E n d p o i n t " / > < / a : K e y V a l u e O f D i a g r a m O b j e c t K e y a n y T y p e z b w N T n L X > < a : K e y V a l u e O f D i a g r a m O b j e c t K e y a n y T y p e z b w N T n L X > < a : K e y > < K e y > L i n k s \ & l t ; C o l u m n s \ A v e r a g e   o f   D e c - 2 3 & g t ; - & l t ; M e a s u r e s \ D e c - 2 3 & g t ; \ M E A S U R E 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9FAF5A9-66EE-4BBC-ADF8-4F78FC015A94}">
  <ds:schemaRefs>
    <ds:schemaRef ds:uri="http://gemini/pivotcustomization/RelationshipAutoDetectionEnabled"/>
  </ds:schemaRefs>
</ds:datastoreItem>
</file>

<file path=customXml/itemProps10.xml><?xml version="1.0" encoding="utf-8"?>
<ds:datastoreItem xmlns:ds="http://schemas.openxmlformats.org/officeDocument/2006/customXml" ds:itemID="{997FABF5-9E2B-408C-9244-98EFF0A854A1}">
  <ds:schemaRefs>
    <ds:schemaRef ds:uri="http://gemini/pivotcustomization/ShowHidden"/>
  </ds:schemaRefs>
</ds:datastoreItem>
</file>

<file path=customXml/itemProps11.xml><?xml version="1.0" encoding="utf-8"?>
<ds:datastoreItem xmlns:ds="http://schemas.openxmlformats.org/officeDocument/2006/customXml" ds:itemID="{728F9ED0-FD9D-4CBA-8132-449072CD4DB4}">
  <ds:schemaRefs>
    <ds:schemaRef ds:uri="http://gemini/pivotcustomization/TableXML_Range"/>
  </ds:schemaRefs>
</ds:datastoreItem>
</file>

<file path=customXml/itemProps12.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3.xml><?xml version="1.0" encoding="utf-8"?>
<ds:datastoreItem xmlns:ds="http://schemas.openxmlformats.org/officeDocument/2006/customXml" ds:itemID="{C4DF3FCE-08A5-426B-B407-2DF4D866A03C}">
  <ds:schemaRefs>
    <ds:schemaRef ds:uri="http://gemini/pivotcustomization/TableWidget"/>
  </ds:schemaRefs>
</ds:datastoreItem>
</file>

<file path=customXml/itemProps14.xml><?xml version="1.0" encoding="utf-8"?>
<ds:datastoreItem xmlns:ds="http://schemas.openxmlformats.org/officeDocument/2006/customXml" ds:itemID="{E2F61FE1-D1D8-4163-AE93-EE689D99B264}">
  <ds:schemaRefs>
    <ds:schemaRef ds:uri="http://gemini/pivotcustomization/ClientWindowXML"/>
  </ds:schemaRefs>
</ds:datastoreItem>
</file>

<file path=customXml/itemProps15.xml><?xml version="1.0" encoding="utf-8"?>
<ds:datastoreItem xmlns:ds="http://schemas.openxmlformats.org/officeDocument/2006/customXml" ds:itemID="{2CC701F1-E446-4687-8820-A6757D819DB6}">
  <ds:schemaRefs>
    <ds:schemaRef ds:uri="http://schemas.microsoft.com/DataMashup"/>
  </ds:schemaRefs>
</ds:datastoreItem>
</file>

<file path=customXml/itemProps16.xml><?xml version="1.0" encoding="utf-8"?>
<ds:datastoreItem xmlns:ds="http://schemas.openxmlformats.org/officeDocument/2006/customXml" ds:itemID="{FC4030B0-78A3-4675-A5FA-CA93513848F7}">
  <ds:schemaRefs>
    <ds:schemaRef ds:uri="http://gemini/pivotcustomization/LinkedTableUpdateMode"/>
  </ds:schemaRefs>
</ds:datastoreItem>
</file>

<file path=customXml/itemProps17.xml><?xml version="1.0" encoding="utf-8"?>
<ds:datastoreItem xmlns:ds="http://schemas.openxmlformats.org/officeDocument/2006/customXml" ds:itemID="{722124E5-CBA7-4FE8-82F5-49D7CD9B3F81}">
  <ds:schemaRefs>
    <ds:schemaRef ds:uri="http://gemini/pivotcustomization/ErrorCache"/>
  </ds:schemaRefs>
</ds:datastoreItem>
</file>

<file path=customXml/itemProps18.xml><?xml version="1.0" encoding="utf-8"?>
<ds:datastoreItem xmlns:ds="http://schemas.openxmlformats.org/officeDocument/2006/customXml" ds:itemID="{120F59F5-B97D-49FF-80C6-12A3DEF0A4B2}">
  <ds:schemaRefs>
    <ds:schemaRef ds:uri="http://gemini/pivotcustomization/TableXML_Table1"/>
  </ds:schemaRefs>
</ds:datastoreItem>
</file>

<file path=customXml/itemProps19.xml><?xml version="1.0" encoding="utf-8"?>
<ds:datastoreItem xmlns:ds="http://schemas.openxmlformats.org/officeDocument/2006/customXml" ds:itemID="{C25CB56B-391D-400F-A6D0-11320EADA807}">
  <ds:schemaRefs>
    <ds:schemaRef ds:uri="http://gemini/pivotcustomization/ShowImplicitMeasures"/>
  </ds:schemaRefs>
</ds:datastoreItem>
</file>

<file path=customXml/itemProps2.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 ds:uri="a8a9630b-75d6-4764-bb6e-6771892ef157"/>
  </ds:schemaRefs>
</ds:datastoreItem>
</file>

<file path=customXml/itemProps20.xml><?xml version="1.0" encoding="utf-8"?>
<ds:datastoreItem xmlns:ds="http://schemas.openxmlformats.org/officeDocument/2006/customXml" ds:itemID="{4B764DD4-295F-4579-BD06-BAFF8575EB95}">
  <ds:schemaRefs>
    <ds:schemaRef ds:uri="http://gemini/pivotcustomization/IsSandboxEmbedded"/>
  </ds:schemaRefs>
</ds:datastoreItem>
</file>

<file path=customXml/itemProps21.xml><?xml version="1.0" encoding="utf-8"?>
<ds:datastoreItem xmlns:ds="http://schemas.openxmlformats.org/officeDocument/2006/customXml" ds:itemID="{A3C68FA3-718B-45A1-9C65-3ABEA3B203D1}">
  <ds:schemaRefs>
    <ds:schemaRef ds:uri="http://gemini/pivotcustomization/ManualCalcMode"/>
  </ds:schemaRefs>
</ds:datastoreItem>
</file>

<file path=customXml/itemProps3.xml><?xml version="1.0" encoding="utf-8"?>
<ds:datastoreItem xmlns:ds="http://schemas.openxmlformats.org/officeDocument/2006/customXml" ds:itemID="{0B7DB84D-D12C-4524-B836-7827903E4749}">
  <ds:schemaRefs>
    <ds:schemaRef ds:uri="http://gemini/pivotcustomization/SandboxNonEmpty"/>
  </ds:schemaRefs>
</ds:datastoreItem>
</file>

<file path=customXml/itemProps4.xml><?xml version="1.0" encoding="utf-8"?>
<ds:datastoreItem xmlns:ds="http://schemas.openxmlformats.org/officeDocument/2006/customXml" ds:itemID="{69756D4F-E4B9-48DA-98A6-94AEDED99406}">
  <ds:schemaRefs>
    <ds:schemaRef ds:uri="http://gemini/pivotcustomization/TableOrder"/>
  </ds:schemaRefs>
</ds:datastoreItem>
</file>

<file path=customXml/itemProps5.xml><?xml version="1.0" encoding="utf-8"?>
<ds:datastoreItem xmlns:ds="http://schemas.openxmlformats.org/officeDocument/2006/customXml" ds:itemID="{A839FAA9-1D29-4E9A-B833-DE750D0F3D57}">
  <ds:schemaRefs>
    <ds:schemaRef ds:uri="http://gemini/pivotcustomization/PowerPivotVersion"/>
  </ds:schemaRefs>
</ds:datastoreItem>
</file>

<file path=customXml/itemProps6.xml><?xml version="1.0" encoding="utf-8"?>
<ds:datastoreItem xmlns:ds="http://schemas.openxmlformats.org/officeDocument/2006/customXml" ds:itemID="{C3CC67C4-F530-464F-9C39-2AE896C513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8.xml><?xml version="1.0" encoding="utf-8"?>
<ds:datastoreItem xmlns:ds="http://schemas.openxmlformats.org/officeDocument/2006/customXml" ds:itemID="{5F3AB3BD-1A79-4A5E-9976-6085FE96E5AE}">
  <ds:schemaRefs>
    <ds:schemaRef ds:uri="http://gemini/pivotcustomization/MeasureGridState"/>
  </ds:schemaRefs>
</ds:datastoreItem>
</file>

<file path=customXml/itemProps9.xml><?xml version="1.0" encoding="utf-8"?>
<ds:datastoreItem xmlns:ds="http://schemas.openxmlformats.org/officeDocument/2006/customXml" ds:itemID="{2F99BEAC-39EA-417A-84EC-9F6D12C93A8B}">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Prevalence</vt:lpstr>
      <vt:lpstr>Burden</vt:lpstr>
      <vt:lpstr>Amplitude</vt:lpstr>
      <vt:lpstr>Other interventions</vt:lpstr>
      <vt:lpstr>Selected supplies</vt:lpstr>
      <vt:lpstr>CMAM summary</vt:lpstr>
      <vt:lpstr>Other interventions summary</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2024-06-15T13:47:26Z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