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71b7034787fda6/Real Estate/New Underwriting/Website/Hibiscus/"/>
    </mc:Choice>
  </mc:AlternateContent>
  <xr:revisionPtr revIDLastSave="227" documentId="13_ncr:1_{C380E6EC-2785-4D3E-AD88-7E7CD0E12192}" xr6:coauthVersionLast="47" xr6:coauthVersionMax="47" xr10:uidLastSave="{78E2D856-47FD-4495-A838-3F8D55F6F328}"/>
  <bookViews>
    <workbookView xWindow="57480" yWindow="-120" windowWidth="29040" windowHeight="16440" firstSheet="1" activeTab="7" xr2:uid="{4CD379FD-058C-4655-85C2-4E328067049C}"/>
  </bookViews>
  <sheets>
    <sheet name="Renovations" sheetId="24" state="hidden" r:id="rId1"/>
    <sheet name="Summary" sheetId="26" r:id="rId2"/>
    <sheet name="Unit Mix" sheetId="30" r:id="rId3"/>
    <sheet name="Income Statements" sheetId="27" r:id="rId4"/>
    <sheet name="Renovation Costs" sheetId="28" r:id="rId5"/>
    <sheet name="Monthly DCF" sheetId="29" r:id="rId6"/>
    <sheet name="Yearly Roll Up" sheetId="31" r:id="rId7"/>
    <sheet name="Sale Comps" sheetId="25" r:id="rId8"/>
    <sheet name="Rent Comps" sheetId="23" r:id="rId9"/>
  </sheets>
  <definedNames>
    <definedName name="AMORT">#REF!</definedName>
    <definedName name="ANNPMT">#REF!</definedName>
    <definedName name="BEDS">#REF!</definedName>
    <definedName name="CAP">#REF!</definedName>
    <definedName name="CITY">#REF!</definedName>
    <definedName name="COST">#REF!</definedName>
    <definedName name="EGI">#REF!</definedName>
    <definedName name="GI">#REF!</definedName>
    <definedName name="IPEGI">#REF!</definedName>
    <definedName name="IPNOI">#REF!</definedName>
    <definedName name="IPUCF">#REF!</definedName>
    <definedName name="K">#REF!</definedName>
    <definedName name="LEASINC">#REF!</definedName>
    <definedName name="loan">#REF!</definedName>
    <definedName name="LTV">#REF!</definedName>
    <definedName name="MAXLTV">#REF!</definedName>
    <definedName name="MOPMT">#REF!</definedName>
    <definedName name="name">#REF!</definedName>
    <definedName name="NOI">#REF!</definedName>
    <definedName name="nrsf">#REF!</definedName>
    <definedName name="OPEXP">#REF!</definedName>
    <definedName name="PARCEL">#REF!</definedName>
    <definedName name="PGI">#REF!</definedName>
    <definedName name="RATE">#REF!</definedName>
    <definedName name="STREET">#REF!</definedName>
    <definedName name="suites">#REF!</definedName>
    <definedName name="TERM">#REF!</definedName>
    <definedName name="UCF">#REF!</definedName>
    <definedName name="units">#REF!</definedName>
    <definedName name="VAC">#REF!</definedName>
    <definedName name="value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6" l="1"/>
  <c r="C11" i="26"/>
  <c r="A7" i="29"/>
  <c r="I7" i="30"/>
  <c r="I6" i="27"/>
  <c r="C4" i="27"/>
  <c r="C6" i="27" s="1"/>
  <c r="I4" i="27"/>
  <c r="J5" i="30"/>
  <c r="J6" i="30"/>
  <c r="J4" i="30"/>
  <c r="I5" i="30"/>
  <c r="I6" i="30"/>
  <c r="I4" i="30"/>
  <c r="D28" i="29"/>
  <c r="C28" i="29"/>
  <c r="I46" i="23"/>
  <c r="I45" i="23"/>
  <c r="I44" i="23"/>
  <c r="I43" i="23"/>
  <c r="D11" i="29"/>
  <c r="G7" i="30"/>
  <c r="C36" i="31"/>
  <c r="E2" i="29"/>
  <c r="E11" i="26"/>
  <c r="E44" i="23"/>
  <c r="E45" i="23"/>
  <c r="E43" i="23"/>
  <c r="I41" i="23"/>
  <c r="I25" i="23"/>
  <c r="I15" i="23"/>
  <c r="I16" i="23"/>
  <c r="I19" i="23"/>
  <c r="I20" i="23"/>
  <c r="I23" i="23"/>
  <c r="I24" i="23"/>
  <c r="I27" i="23"/>
  <c r="I28" i="23"/>
  <c r="I31" i="23"/>
  <c r="I32" i="23"/>
  <c r="I35" i="23"/>
  <c r="I36" i="23"/>
  <c r="I39" i="23"/>
  <c r="I40" i="23"/>
  <c r="G18" i="23"/>
  <c r="G22" i="23"/>
  <c r="G26" i="23"/>
  <c r="G30" i="23"/>
  <c r="G34" i="23"/>
  <c r="G38" i="23"/>
  <c r="G42" i="23"/>
  <c r="E18" i="23"/>
  <c r="I18" i="23" s="1"/>
  <c r="E22" i="23"/>
  <c r="E26" i="23"/>
  <c r="E30" i="23"/>
  <c r="E34" i="23"/>
  <c r="E38" i="23"/>
  <c r="I38" i="23" s="1"/>
  <c r="E42" i="23"/>
  <c r="G14" i="23"/>
  <c r="E14" i="23"/>
  <c r="I14" i="23" s="1"/>
  <c r="I11" i="23"/>
  <c r="G10" i="23"/>
  <c r="I7" i="23"/>
  <c r="E10" i="23"/>
  <c r="I12" i="23"/>
  <c r="I8" i="23"/>
  <c r="I4" i="23"/>
  <c r="I5" i="23"/>
  <c r="G6" i="23"/>
  <c r="E6" i="23"/>
  <c r="I6" i="23" s="1"/>
  <c r="J49" i="25"/>
  <c r="J48" i="25"/>
  <c r="E14" i="26" s="1"/>
  <c r="H32" i="27" s="1"/>
  <c r="J41" i="25"/>
  <c r="J40" i="25"/>
  <c r="J36" i="25"/>
  <c r="J35" i="25"/>
  <c r="J31" i="25"/>
  <c r="J30" i="25"/>
  <c r="J26" i="25"/>
  <c r="J25" i="25"/>
  <c r="J21" i="25"/>
  <c r="J20" i="25"/>
  <c r="J16" i="25"/>
  <c r="J15" i="25"/>
  <c r="J11" i="25"/>
  <c r="J10" i="25"/>
  <c r="J6" i="25"/>
  <c r="J5" i="25"/>
  <c r="E59" i="25"/>
  <c r="E58" i="25"/>
  <c r="E46" i="25"/>
  <c r="E45" i="25"/>
  <c r="E20" i="25"/>
  <c r="E21" i="25"/>
  <c r="E25" i="25"/>
  <c r="E26" i="25"/>
  <c r="E30" i="25"/>
  <c r="E31" i="25"/>
  <c r="E35" i="25"/>
  <c r="E36" i="25"/>
  <c r="E40" i="25"/>
  <c r="E41" i="25"/>
  <c r="E50" i="25"/>
  <c r="E51" i="25"/>
  <c r="E15" i="25"/>
  <c r="E16" i="25"/>
  <c r="E11" i="25"/>
  <c r="E10" i="25"/>
  <c r="E6" i="25"/>
  <c r="E5" i="25"/>
  <c r="AC6" i="29"/>
  <c r="AD6" i="29"/>
  <c r="AE6" i="29"/>
  <c r="AF6" i="29"/>
  <c r="AG6" i="29"/>
  <c r="AH6" i="29"/>
  <c r="AI6" i="29"/>
  <c r="AJ6" i="29"/>
  <c r="AK6" i="29"/>
  <c r="AL6" i="29"/>
  <c r="AM6" i="29"/>
  <c r="AC11" i="29"/>
  <c r="AD11" i="29"/>
  <c r="AE11" i="29"/>
  <c r="AF11" i="29"/>
  <c r="AG11" i="29"/>
  <c r="AH11" i="29"/>
  <c r="AI11" i="29"/>
  <c r="AJ11" i="29"/>
  <c r="AK11" i="29"/>
  <c r="AL11" i="29"/>
  <c r="AM11" i="29"/>
  <c r="C20" i="28"/>
  <c r="D20" i="28" s="1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R6" i="29"/>
  <c r="S6" i="29"/>
  <c r="T6" i="29"/>
  <c r="U6" i="29"/>
  <c r="V6" i="29"/>
  <c r="W6" i="29"/>
  <c r="X6" i="29"/>
  <c r="Y6" i="29"/>
  <c r="Z6" i="29"/>
  <c r="AA6" i="29"/>
  <c r="AB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D6" i="29"/>
  <c r="D5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AC5" i="29"/>
  <c r="AD5" i="29"/>
  <c r="AE5" i="29"/>
  <c r="AF5" i="29"/>
  <c r="AG5" i="29"/>
  <c r="AH5" i="29"/>
  <c r="AI5" i="29"/>
  <c r="AJ5" i="29"/>
  <c r="AK5" i="29"/>
  <c r="AL5" i="29"/>
  <c r="AM5" i="29"/>
  <c r="E3" i="29"/>
  <c r="G33" i="28"/>
  <c r="G32" i="28"/>
  <c r="H33" i="28" s="1"/>
  <c r="C21" i="28"/>
  <c r="E6" i="26" s="1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H5" i="30"/>
  <c r="H6" i="30"/>
  <c r="H4" i="30"/>
  <c r="F5" i="30"/>
  <c r="F7" i="30" s="1"/>
  <c r="F6" i="30"/>
  <c r="F4" i="30"/>
  <c r="D7" i="30"/>
  <c r="C10" i="26"/>
  <c r="F2" i="29" l="1"/>
  <c r="E28" i="29"/>
  <c r="H7" i="30"/>
  <c r="U7" i="29"/>
  <c r="V7" i="29"/>
  <c r="F7" i="29"/>
  <c r="N7" i="29"/>
  <c r="D6" i="27"/>
  <c r="E6" i="27"/>
  <c r="E14" i="27"/>
  <c r="E18" i="27"/>
  <c r="K21" i="27"/>
  <c r="K20" i="27"/>
  <c r="E11" i="27"/>
  <c r="E13" i="27"/>
  <c r="E19" i="27"/>
  <c r="E7" i="30"/>
  <c r="K14" i="27"/>
  <c r="E20" i="27"/>
  <c r="C8" i="26"/>
  <c r="E8" i="26" s="1"/>
  <c r="K19" i="27"/>
  <c r="K18" i="27"/>
  <c r="K17" i="27"/>
  <c r="K15" i="27"/>
  <c r="K13" i="27"/>
  <c r="K12" i="27"/>
  <c r="K11" i="27"/>
  <c r="K7" i="27"/>
  <c r="E12" i="27"/>
  <c r="E15" i="27"/>
  <c r="E17" i="27"/>
  <c r="E21" i="27"/>
  <c r="E7" i="27"/>
  <c r="J7" i="27"/>
  <c r="B5" i="30"/>
  <c r="B6" i="30"/>
  <c r="B4" i="30"/>
  <c r="B7" i="30" s="1"/>
  <c r="D13" i="27"/>
  <c r="D15" i="27"/>
  <c r="D18" i="27"/>
  <c r="D20" i="27"/>
  <c r="D7" i="27"/>
  <c r="I25" i="27"/>
  <c r="K25" i="27" s="1"/>
  <c r="AC7" i="29"/>
  <c r="D11" i="27"/>
  <c r="J21" i="27"/>
  <c r="D12" i="27"/>
  <c r="D14" i="27"/>
  <c r="D17" i="27"/>
  <c r="D21" i="27"/>
  <c r="J14" i="27"/>
  <c r="J20" i="27"/>
  <c r="J19" i="27"/>
  <c r="C25" i="27"/>
  <c r="E25" i="27" s="1"/>
  <c r="J18" i="27"/>
  <c r="J17" i="27"/>
  <c r="J15" i="27"/>
  <c r="J13" i="27"/>
  <c r="J12" i="27"/>
  <c r="D19" i="27"/>
  <c r="J11" i="27"/>
  <c r="C7" i="26"/>
  <c r="F26" i="29"/>
  <c r="G26" i="29"/>
  <c r="H26" i="29"/>
  <c r="I26" i="29"/>
  <c r="D26" i="29"/>
  <c r="E20" i="28"/>
  <c r="E26" i="29"/>
  <c r="E6" i="28"/>
  <c r="E18" i="26"/>
  <c r="J25" i="29"/>
  <c r="L25" i="29"/>
  <c r="O25" i="29"/>
  <c r="R25" i="29"/>
  <c r="U25" i="29"/>
  <c r="W25" i="29"/>
  <c r="Y25" i="29"/>
  <c r="AC25" i="29"/>
  <c r="AE25" i="29"/>
  <c r="AG25" i="29"/>
  <c r="AI25" i="29"/>
  <c r="AM25" i="29"/>
  <c r="E36" i="28"/>
  <c r="F25" i="29"/>
  <c r="I25" i="29"/>
  <c r="K25" i="29"/>
  <c r="M25" i="29"/>
  <c r="N25" i="29"/>
  <c r="Q25" i="29"/>
  <c r="S25" i="29"/>
  <c r="V25" i="29"/>
  <c r="Z25" i="29"/>
  <c r="AB25" i="29"/>
  <c r="AF25" i="29"/>
  <c r="AH25" i="29"/>
  <c r="AJ25" i="29"/>
  <c r="D25" i="29"/>
  <c r="E25" i="29"/>
  <c r="H25" i="29"/>
  <c r="G25" i="29"/>
  <c r="P25" i="29"/>
  <c r="AL25" i="29"/>
  <c r="X25" i="29"/>
  <c r="AA25" i="29"/>
  <c r="AD25" i="29"/>
  <c r="AK25" i="29"/>
  <c r="T25" i="29"/>
  <c r="E46" i="23"/>
  <c r="F3" i="29"/>
  <c r="I42" i="23"/>
  <c r="I34" i="23"/>
  <c r="I30" i="23"/>
  <c r="I26" i="23"/>
  <c r="I22" i="23"/>
  <c r="I10" i="23"/>
  <c r="J46" i="25"/>
  <c r="J47" i="25"/>
  <c r="J45" i="25"/>
  <c r="J44" i="25"/>
  <c r="E56" i="25"/>
  <c r="E57" i="25"/>
  <c r="E54" i="25"/>
  <c r="E55" i="25"/>
  <c r="AK7" i="29"/>
  <c r="AK13" i="29" s="1"/>
  <c r="AL7" i="29"/>
  <c r="AL13" i="29" s="1"/>
  <c r="AD7" i="29"/>
  <c r="AE7" i="29"/>
  <c r="AF7" i="29"/>
  <c r="AG7" i="29"/>
  <c r="AG13" i="29" s="1"/>
  <c r="AI7" i="29"/>
  <c r="AI13" i="29" s="1"/>
  <c r="AJ7" i="29"/>
  <c r="AM7" i="29"/>
  <c r="AH7" i="29"/>
  <c r="E35" i="28"/>
  <c r="E34" i="28"/>
  <c r="H32" i="28"/>
  <c r="E32" i="28"/>
  <c r="E33" i="28"/>
  <c r="Z7" i="29"/>
  <c r="Z13" i="29" s="1"/>
  <c r="R7" i="29"/>
  <c r="R13" i="29" s="1"/>
  <c r="J7" i="29"/>
  <c r="J13" i="29" s="1"/>
  <c r="D7" i="29"/>
  <c r="D12" i="29" s="1"/>
  <c r="Y7" i="29"/>
  <c r="Y13" i="29" s="1"/>
  <c r="Q7" i="29"/>
  <c r="Q13" i="29" s="1"/>
  <c r="M7" i="29"/>
  <c r="M13" i="29" s="1"/>
  <c r="I7" i="29"/>
  <c r="I13" i="29" s="1"/>
  <c r="E7" i="29"/>
  <c r="E13" i="29" s="1"/>
  <c r="AB7" i="29"/>
  <c r="X7" i="29"/>
  <c r="X13" i="29" s="1"/>
  <c r="T7" i="29"/>
  <c r="T13" i="29" s="1"/>
  <c r="P7" i="29"/>
  <c r="P13" i="29" s="1"/>
  <c r="L7" i="29"/>
  <c r="L13" i="29" s="1"/>
  <c r="H7" i="29"/>
  <c r="H13" i="29" s="1"/>
  <c r="AA7" i="29"/>
  <c r="AA13" i="29" s="1"/>
  <c r="W7" i="29"/>
  <c r="W13" i="29" s="1"/>
  <c r="S7" i="29"/>
  <c r="S13" i="29" s="1"/>
  <c r="O7" i="29"/>
  <c r="O13" i="29" s="1"/>
  <c r="K7" i="29"/>
  <c r="K13" i="29" s="1"/>
  <c r="G7" i="29"/>
  <c r="G13" i="29" s="1"/>
  <c r="E12" i="28"/>
  <c r="E16" i="28"/>
  <c r="E7" i="28"/>
  <c r="E3" i="28"/>
  <c r="D21" i="28"/>
  <c r="E18" i="28"/>
  <c r="E14" i="28"/>
  <c r="E9" i="28"/>
  <c r="E4" i="28"/>
  <c r="E19" i="28"/>
  <c r="E15" i="28"/>
  <c r="E11" i="28"/>
  <c r="E5" i="28"/>
  <c r="E17" i="28"/>
  <c r="E13" i="28"/>
  <c r="E8" i="28"/>
  <c r="E10" i="28"/>
  <c r="C5" i="27"/>
  <c r="C8" i="27" s="1"/>
  <c r="D4" i="27"/>
  <c r="E4" i="27"/>
  <c r="F28" i="29" l="1"/>
  <c r="G2" i="29"/>
  <c r="U10" i="29"/>
  <c r="U13" i="29"/>
  <c r="V10" i="29"/>
  <c r="V13" i="29"/>
  <c r="F10" i="29"/>
  <c r="F13" i="29"/>
  <c r="N10" i="29"/>
  <c r="N13" i="29"/>
  <c r="AC10" i="29"/>
  <c r="AC13" i="29"/>
  <c r="AD10" i="29"/>
  <c r="AD13" i="29"/>
  <c r="AE10" i="29"/>
  <c r="AE13" i="29"/>
  <c r="AF10" i="29"/>
  <c r="AF13" i="29"/>
  <c r="AJ10" i="29"/>
  <c r="AJ13" i="29"/>
  <c r="AM10" i="29"/>
  <c r="AM13" i="29"/>
  <c r="AH10" i="29"/>
  <c r="AH13" i="29"/>
  <c r="D10" i="29"/>
  <c r="D13" i="29"/>
  <c r="AB10" i="29"/>
  <c r="AB13" i="29"/>
  <c r="C12" i="26"/>
  <c r="C14" i="26" s="1"/>
  <c r="E7" i="26"/>
  <c r="C54" i="25"/>
  <c r="A22" i="29"/>
  <c r="C22" i="29" s="1"/>
  <c r="C22" i="31" s="1"/>
  <c r="C16" i="27"/>
  <c r="C22" i="27" s="1"/>
  <c r="H47" i="25"/>
  <c r="C57" i="25"/>
  <c r="H46" i="25"/>
  <c r="C56" i="25"/>
  <c r="D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H45" i="25"/>
  <c r="H44" i="25"/>
  <c r="C55" i="25"/>
  <c r="G3" i="29"/>
  <c r="AI10" i="29"/>
  <c r="AK10" i="29"/>
  <c r="AL10" i="29"/>
  <c r="AG10" i="29"/>
  <c r="Z10" i="29"/>
  <c r="R10" i="29"/>
  <c r="J10" i="29"/>
  <c r="Y10" i="29"/>
  <c r="Q10" i="29"/>
  <c r="M10" i="29"/>
  <c r="I10" i="29"/>
  <c r="E10" i="29"/>
  <c r="X10" i="29"/>
  <c r="T10" i="29"/>
  <c r="P10" i="29"/>
  <c r="L10" i="29"/>
  <c r="H10" i="29"/>
  <c r="AA10" i="29"/>
  <c r="W10" i="29"/>
  <c r="S10" i="29"/>
  <c r="O10" i="29"/>
  <c r="K10" i="29"/>
  <c r="G10" i="29"/>
  <c r="F6" i="27"/>
  <c r="C16" i="26"/>
  <c r="F33" i="28" a="1"/>
  <c r="F36" i="28" a="1"/>
  <c r="F34" i="28" a="1"/>
  <c r="F32" i="28" a="1"/>
  <c r="F35" i="28" a="1"/>
  <c r="E21" i="28"/>
  <c r="D5" i="27"/>
  <c r="E5" i="27"/>
  <c r="F5" i="27"/>
  <c r="G28" i="29" l="1"/>
  <c r="H2" i="29"/>
  <c r="E16" i="26"/>
  <c r="E17" i="26" s="1"/>
  <c r="C13" i="26"/>
  <c r="E16" i="27"/>
  <c r="E22" i="27" s="1"/>
  <c r="D16" i="27"/>
  <c r="D22" i="27" s="1"/>
  <c r="C17" i="26"/>
  <c r="C24" i="27"/>
  <c r="H3" i="29"/>
  <c r="I3" i="29" s="1"/>
  <c r="J3" i="29" s="1"/>
  <c r="K3" i="29" s="1"/>
  <c r="L3" i="29" s="1"/>
  <c r="M3" i="29" s="1"/>
  <c r="N3" i="29" s="1"/>
  <c r="O3" i="29" s="1"/>
  <c r="P3" i="29" s="1"/>
  <c r="E8" i="27"/>
  <c r="D8" i="27"/>
  <c r="F11" i="27"/>
  <c r="F15" i="27"/>
  <c r="F19" i="27"/>
  <c r="F14" i="27"/>
  <c r="F22" i="27"/>
  <c r="F12" i="27"/>
  <c r="F16" i="27"/>
  <c r="F20" i="27"/>
  <c r="F8" i="27"/>
  <c r="F18" i="27"/>
  <c r="F7" i="27"/>
  <c r="F13" i="27"/>
  <c r="F17" i="27"/>
  <c r="F21" i="27"/>
  <c r="F25" i="27"/>
  <c r="F4" i="27"/>
  <c r="H28" i="29" l="1"/>
  <c r="I2" i="29"/>
  <c r="C18" i="26"/>
  <c r="C19" i="26"/>
  <c r="C20" i="26" s="1"/>
  <c r="C59" i="25"/>
  <c r="C58" i="25"/>
  <c r="Q3" i="29"/>
  <c r="F24" i="27"/>
  <c r="C26" i="27"/>
  <c r="E24" i="27"/>
  <c r="D24" i="27"/>
  <c r="I28" i="29" l="1"/>
  <c r="J2" i="29"/>
  <c r="R3" i="29"/>
  <c r="S3" i="29" s="1"/>
  <c r="T3" i="29" s="1"/>
  <c r="U3" i="29" s="1"/>
  <c r="V3" i="29" s="1"/>
  <c r="W3" i="29" s="1"/>
  <c r="X3" i="29" s="1"/>
  <c r="Y3" i="29" s="1"/>
  <c r="Z3" i="29" s="1"/>
  <c r="AA3" i="29" s="1"/>
  <c r="AB3" i="29" s="1"/>
  <c r="AC3" i="29" s="1"/>
  <c r="E22" i="26"/>
  <c r="I17" i="26" s="1"/>
  <c r="C30" i="29"/>
  <c r="F26" i="27"/>
  <c r="E26" i="27"/>
  <c r="D26" i="27"/>
  <c r="J28" i="29" l="1"/>
  <c r="K2" i="29"/>
  <c r="B36" i="31"/>
  <c r="B35" i="31"/>
  <c r="AD3" i="29"/>
  <c r="C30" i="31"/>
  <c r="K28" i="29" l="1"/>
  <c r="L2" i="29"/>
  <c r="AE3" i="29"/>
  <c r="AF3" i="29" s="1"/>
  <c r="AG3" i="29" s="1"/>
  <c r="AH3" i="29" s="1"/>
  <c r="AI3" i="29" s="1"/>
  <c r="AJ3" i="29" s="1"/>
  <c r="AK3" i="29" s="1"/>
  <c r="AL3" i="29" s="1"/>
  <c r="AM3" i="29" s="1"/>
  <c r="L28" i="29" l="1"/>
  <c r="M2" i="29"/>
  <c r="E19" i="31"/>
  <c r="D19" i="31"/>
  <c r="F11" i="31"/>
  <c r="D26" i="31"/>
  <c r="F36" i="31"/>
  <c r="D4" i="31"/>
  <c r="D5" i="31" s="1"/>
  <c r="D6" i="31" s="1"/>
  <c r="D7" i="31" s="1"/>
  <c r="E4" i="31"/>
  <c r="E10" i="31"/>
  <c r="D10" i="31"/>
  <c r="E25" i="31"/>
  <c r="D11" i="31"/>
  <c r="D36" i="31"/>
  <c r="F10" i="31"/>
  <c r="E11" i="31"/>
  <c r="E36" i="31"/>
  <c r="F19" i="31"/>
  <c r="F4" i="31"/>
  <c r="M28" i="29" l="1"/>
  <c r="N2" i="29"/>
  <c r="E5" i="31"/>
  <c r="E6" i="31" s="1"/>
  <c r="E7" i="31" s="1"/>
  <c r="F5" i="31"/>
  <c r="F6" i="31" s="1"/>
  <c r="F7" i="31" s="1"/>
  <c r="D25" i="31"/>
  <c r="N28" i="29" l="1"/>
  <c r="O2" i="29"/>
  <c r="G7" i="24"/>
  <c r="N5" i="24"/>
  <c r="Y4" i="24"/>
  <c r="X4" i="24"/>
  <c r="Y3" i="24"/>
  <c r="X3" i="24"/>
  <c r="Z124" i="24"/>
  <c r="Z123" i="24"/>
  <c r="Y110" i="24"/>
  <c r="Y109" i="24"/>
  <c r="Y99" i="24"/>
  <c r="AA98" i="24"/>
  <c r="Z98" i="24"/>
  <c r="Y98" i="24"/>
  <c r="W72" i="24"/>
  <c r="Y69" i="24"/>
  <c r="W35" i="24"/>
  <c r="W36" i="24"/>
  <c r="O28" i="29" l="1"/>
  <c r="P2" i="29"/>
  <c r="B35" i="29"/>
  <c r="B36" i="29"/>
  <c r="E19" i="26"/>
  <c r="P28" i="29" l="1"/>
  <c r="Q2" i="29"/>
  <c r="C35" i="29"/>
  <c r="Q28" i="29" l="1"/>
  <c r="R2" i="29"/>
  <c r="C37" i="29"/>
  <c r="C35" i="31"/>
  <c r="C39" i="29"/>
  <c r="R28" i="29" l="1"/>
  <c r="S2" i="29"/>
  <c r="C43" i="29"/>
  <c r="C43" i="31" s="1"/>
  <c r="C37" i="31"/>
  <c r="C39" i="31"/>
  <c r="S28" i="29" l="1"/>
  <c r="T2" i="29"/>
  <c r="C40" i="31"/>
  <c r="T28" i="29" l="1"/>
  <c r="U2" i="29"/>
  <c r="C41" i="31"/>
  <c r="D39" i="29"/>
  <c r="D40" i="29" s="1"/>
  <c r="U28" i="29" l="1"/>
  <c r="V2" i="29"/>
  <c r="I5" i="27"/>
  <c r="K6" i="27"/>
  <c r="J6" i="27"/>
  <c r="K4" i="27"/>
  <c r="J4" i="27"/>
  <c r="F12" i="29"/>
  <c r="G12" i="29"/>
  <c r="AF12" i="29"/>
  <c r="AH12" i="29"/>
  <c r="H12" i="29"/>
  <c r="I12" i="29"/>
  <c r="J12" i="29"/>
  <c r="AJ12" i="29"/>
  <c r="AK12" i="29"/>
  <c r="AL12" i="29"/>
  <c r="K12" i="29"/>
  <c r="L12" i="29"/>
  <c r="N12" i="29"/>
  <c r="P12" i="29"/>
  <c r="AM12" i="29"/>
  <c r="Q12" i="29"/>
  <c r="R12" i="29"/>
  <c r="S12" i="29"/>
  <c r="T12" i="29"/>
  <c r="U12" i="29"/>
  <c r="V12" i="29"/>
  <c r="Z12" i="29"/>
  <c r="O12" i="29"/>
  <c r="J7" i="30"/>
  <c r="M12" i="29"/>
  <c r="W12" i="29"/>
  <c r="AI12" i="29"/>
  <c r="X12" i="29"/>
  <c r="Y12" i="29"/>
  <c r="AA12" i="29"/>
  <c r="AB12" i="29"/>
  <c r="AC12" i="29"/>
  <c r="AD12" i="29"/>
  <c r="AE12" i="29"/>
  <c r="AG12" i="29"/>
  <c r="E12" i="29"/>
  <c r="V28" i="29" l="1"/>
  <c r="W2" i="29"/>
  <c r="I8" i="27"/>
  <c r="I16" i="27" s="1"/>
  <c r="J5" i="27"/>
  <c r="K5" i="27"/>
  <c r="Y14" i="29"/>
  <c r="N14" i="29"/>
  <c r="O14" i="29"/>
  <c r="U14" i="29"/>
  <c r="S14" i="29"/>
  <c r="AK14" i="29"/>
  <c r="AJ14" i="29"/>
  <c r="L14" i="29"/>
  <c r="AL14" i="29"/>
  <c r="R14" i="29"/>
  <c r="V14" i="29"/>
  <c r="I14" i="29"/>
  <c r="M14" i="29"/>
  <c r="AH14" i="29"/>
  <c r="E14" i="29"/>
  <c r="G14" i="29"/>
  <c r="H14" i="29"/>
  <c r="J14" i="29"/>
  <c r="P14" i="29"/>
  <c r="T14" i="29"/>
  <c r="AI14" i="29"/>
  <c r="W14" i="29"/>
  <c r="X14" i="29"/>
  <c r="Z14" i="29"/>
  <c r="AA14" i="29"/>
  <c r="AB14" i="29"/>
  <c r="AD14" i="29"/>
  <c r="AE14" i="29"/>
  <c r="AF14" i="29"/>
  <c r="AG14" i="29"/>
  <c r="AM14" i="29"/>
  <c r="D12" i="31"/>
  <c r="F12" i="31"/>
  <c r="F14" i="29"/>
  <c r="K14" i="29"/>
  <c r="E12" i="31"/>
  <c r="W28" i="29" l="1"/>
  <c r="X2" i="29"/>
  <c r="J16" i="27"/>
  <c r="J22" i="27" s="1"/>
  <c r="K16" i="27"/>
  <c r="K22" i="27" s="1"/>
  <c r="I22" i="27"/>
  <c r="L22" i="27" s="1"/>
  <c r="C22" i="26"/>
  <c r="L11" i="27"/>
  <c r="L19" i="27"/>
  <c r="K8" i="27"/>
  <c r="L12" i="27"/>
  <c r="L13" i="27"/>
  <c r="L20" i="27"/>
  <c r="L21" i="27"/>
  <c r="L4" i="27"/>
  <c r="L7" i="27"/>
  <c r="J8" i="27"/>
  <c r="L5" i="27"/>
  <c r="L6" i="27"/>
  <c r="L18" i="27"/>
  <c r="L8" i="27"/>
  <c r="L17" i="27"/>
  <c r="L15" i="27"/>
  <c r="L25" i="27"/>
  <c r="L14" i="27"/>
  <c r="L16" i="27"/>
  <c r="D14" i="29"/>
  <c r="D13" i="31"/>
  <c r="AC14" i="29"/>
  <c r="F13" i="31"/>
  <c r="E13" i="31"/>
  <c r="Q14" i="29"/>
  <c r="X28" i="29" l="1"/>
  <c r="Y2" i="29"/>
  <c r="T16" i="29"/>
  <c r="T18" i="29" s="1"/>
  <c r="T20" i="29" s="1"/>
  <c r="T30" i="29" s="1"/>
  <c r="R16" i="29"/>
  <c r="R18" i="29" s="1"/>
  <c r="R20" i="29" s="1"/>
  <c r="R30" i="29" s="1"/>
  <c r="AG16" i="29"/>
  <c r="AG18" i="29" s="1"/>
  <c r="AG20" i="29" s="1"/>
  <c r="AK16" i="29"/>
  <c r="AK18" i="29" s="1"/>
  <c r="AK20" i="29" s="1"/>
  <c r="AB16" i="29"/>
  <c r="AH16" i="29"/>
  <c r="AH18" i="29" s="1"/>
  <c r="AH20" i="29" s="1"/>
  <c r="AE16" i="29"/>
  <c r="AE18" i="29" s="1"/>
  <c r="AE20" i="29" s="1"/>
  <c r="K16" i="29"/>
  <c r="K18" i="29" s="1"/>
  <c r="K20" i="29" s="1"/>
  <c r="K30" i="29" s="1"/>
  <c r="P16" i="29"/>
  <c r="AM16" i="29"/>
  <c r="AM18" i="29" s="1"/>
  <c r="G16" i="29"/>
  <c r="G18" i="29" s="1"/>
  <c r="G20" i="29" s="1"/>
  <c r="G30" i="29" s="1"/>
  <c r="F16" i="29"/>
  <c r="F18" i="29" s="1"/>
  <c r="F20" i="29" s="1"/>
  <c r="F30" i="29" s="1"/>
  <c r="AA16" i="29"/>
  <c r="AA18" i="29" s="1"/>
  <c r="AA20" i="29" s="1"/>
  <c r="Y16" i="29"/>
  <c r="Y18" i="29" s="1"/>
  <c r="Y20" i="29" s="1"/>
  <c r="Z16" i="29"/>
  <c r="Z18" i="29" s="1"/>
  <c r="Z20" i="29" s="1"/>
  <c r="AI16" i="29"/>
  <c r="AI18" i="29" s="1"/>
  <c r="AI20" i="29" s="1"/>
  <c r="AC16" i="29"/>
  <c r="AC18" i="29" s="1"/>
  <c r="AJ16" i="29"/>
  <c r="AJ18" i="29" s="1"/>
  <c r="AJ20" i="29" s="1"/>
  <c r="S16" i="29"/>
  <c r="S18" i="29" s="1"/>
  <c r="S20" i="29" s="1"/>
  <c r="S30" i="29" s="1"/>
  <c r="X16" i="29"/>
  <c r="X18" i="29" s="1"/>
  <c r="X20" i="29" s="1"/>
  <c r="E16" i="29"/>
  <c r="E18" i="29" s="1"/>
  <c r="E20" i="29" s="1"/>
  <c r="E30" i="29" s="1"/>
  <c r="M16" i="29"/>
  <c r="M18" i="29" s="1"/>
  <c r="M20" i="29" s="1"/>
  <c r="M30" i="29" s="1"/>
  <c r="W16" i="29"/>
  <c r="W18" i="29" s="1"/>
  <c r="W20" i="29" s="1"/>
  <c r="W30" i="29" s="1"/>
  <c r="L16" i="29"/>
  <c r="L18" i="29" s="1"/>
  <c r="L20" i="29" s="1"/>
  <c r="L30" i="29" s="1"/>
  <c r="Q16" i="29"/>
  <c r="Q18" i="29" s="1"/>
  <c r="U16" i="29"/>
  <c r="U18" i="29" s="1"/>
  <c r="U20" i="29" s="1"/>
  <c r="U30" i="29" s="1"/>
  <c r="V16" i="29"/>
  <c r="V18" i="29" s="1"/>
  <c r="V20" i="29" s="1"/>
  <c r="V30" i="29" s="1"/>
  <c r="N16" i="29"/>
  <c r="N18" i="29" s="1"/>
  <c r="N20" i="29" s="1"/>
  <c r="N30" i="29" s="1"/>
  <c r="D16" i="29"/>
  <c r="D18" i="29" s="1"/>
  <c r="AD16" i="29"/>
  <c r="AD18" i="29" s="1"/>
  <c r="AD20" i="29" s="1"/>
  <c r="AF16" i="29"/>
  <c r="AF18" i="29" s="1"/>
  <c r="AF20" i="29" s="1"/>
  <c r="O16" i="29"/>
  <c r="O18" i="29" s="1"/>
  <c r="O20" i="29" s="1"/>
  <c r="O30" i="29" s="1"/>
  <c r="I16" i="29"/>
  <c r="I18" i="29" s="1"/>
  <c r="I20" i="29" s="1"/>
  <c r="I30" i="29" s="1"/>
  <c r="J16" i="29"/>
  <c r="J18" i="29" s="1"/>
  <c r="J20" i="29" s="1"/>
  <c r="J30" i="29" s="1"/>
  <c r="AL16" i="29"/>
  <c r="AL18" i="29" s="1"/>
  <c r="AL20" i="29" s="1"/>
  <c r="H16" i="29"/>
  <c r="H18" i="29" s="1"/>
  <c r="H20" i="29" s="1"/>
  <c r="H30" i="29" s="1"/>
  <c r="C23" i="26"/>
  <c r="C25" i="26" s="1"/>
  <c r="I24" i="27"/>
  <c r="D14" i="31"/>
  <c r="F14" i="31"/>
  <c r="E14" i="31"/>
  <c r="X30" i="29" l="1"/>
  <c r="Y28" i="29"/>
  <c r="Y30" i="29" s="1"/>
  <c r="Z2" i="29"/>
  <c r="I31" i="27"/>
  <c r="H48" i="25"/>
  <c r="L24" i="27"/>
  <c r="H49" i="25"/>
  <c r="I26" i="27"/>
  <c r="K26" i="27" s="1"/>
  <c r="K24" i="27"/>
  <c r="J24" i="27"/>
  <c r="C24" i="26"/>
  <c r="AB18" i="29"/>
  <c r="F16" i="31"/>
  <c r="P18" i="29"/>
  <c r="E16" i="31"/>
  <c r="AM20" i="29"/>
  <c r="D16" i="31"/>
  <c r="AC20" i="29"/>
  <c r="D18" i="31"/>
  <c r="D20" i="29"/>
  <c r="Q20" i="29"/>
  <c r="Z28" i="29" l="1"/>
  <c r="Z30" i="29" s="1"/>
  <c r="AA2" i="29"/>
  <c r="J26" i="27"/>
  <c r="L26" i="27"/>
  <c r="J31" i="27"/>
  <c r="G16" i="26"/>
  <c r="G18" i="26" s="1"/>
  <c r="G19" i="26" s="1"/>
  <c r="K31" i="27"/>
  <c r="P20" i="29"/>
  <c r="E18" i="31"/>
  <c r="AB20" i="29"/>
  <c r="F18" i="31"/>
  <c r="D20" i="31"/>
  <c r="D30" i="29"/>
  <c r="Q30" i="29"/>
  <c r="AA28" i="29" l="1"/>
  <c r="AA30" i="29" s="1"/>
  <c r="AB2" i="29"/>
  <c r="G17" i="26"/>
  <c r="E24" i="26" a="1"/>
  <c r="F20" i="31"/>
  <c r="P30" i="29"/>
  <c r="E20" i="31"/>
  <c r="D30" i="31"/>
  <c r="D41" i="29"/>
  <c r="E39" i="29" s="1"/>
  <c r="D35" i="29"/>
  <c r="AB28" i="29" l="1"/>
  <c r="AC2" i="29"/>
  <c r="E30" i="31"/>
  <c r="E35" i="29"/>
  <c r="D37" i="29"/>
  <c r="D43" i="29" s="1"/>
  <c r="E40" i="29"/>
  <c r="AB30" i="29" l="1"/>
  <c r="AC28" i="29"/>
  <c r="AC30" i="29" s="1"/>
  <c r="AD2" i="29"/>
  <c r="F35" i="29"/>
  <c r="E37" i="29"/>
  <c r="E43" i="29" s="1"/>
  <c r="E41" i="29"/>
  <c r="F39" i="29" s="1"/>
  <c r="F40" i="29" s="1"/>
  <c r="F41" i="29" s="1"/>
  <c r="G39" i="29" s="1"/>
  <c r="G40" i="29" s="1"/>
  <c r="G41" i="29" s="1"/>
  <c r="H39" i="29" s="1"/>
  <c r="H40" i="29" s="1"/>
  <c r="H41" i="29" s="1"/>
  <c r="I39" i="29" s="1"/>
  <c r="I40" i="29" s="1"/>
  <c r="I41" i="29" s="1"/>
  <c r="J39" i="29" s="1"/>
  <c r="AD28" i="29" l="1"/>
  <c r="AE2" i="29"/>
  <c r="G35" i="29"/>
  <c r="F37" i="29"/>
  <c r="F43" i="29" s="1"/>
  <c r="J40" i="29"/>
  <c r="J41" i="29" s="1"/>
  <c r="K39" i="29" s="1"/>
  <c r="K40" i="29" s="1"/>
  <c r="K41" i="29" s="1"/>
  <c r="L39" i="29" s="1"/>
  <c r="L40" i="29" s="1"/>
  <c r="AD30" i="29" l="1"/>
  <c r="AE28" i="29"/>
  <c r="AE30" i="29" s="1"/>
  <c r="AF2" i="29"/>
  <c r="G37" i="29"/>
  <c r="G43" i="29" s="1"/>
  <c r="H35" i="29"/>
  <c r="L41" i="29"/>
  <c r="AF28" i="29" l="1"/>
  <c r="AG2" i="29"/>
  <c r="H37" i="29"/>
  <c r="H43" i="29" s="1"/>
  <c r="I35" i="29"/>
  <c r="M39" i="29"/>
  <c r="M40" i="29" s="1"/>
  <c r="M41" i="29" s="1"/>
  <c r="N39" i="29" s="1"/>
  <c r="AF30" i="29" l="1"/>
  <c r="AG28" i="29"/>
  <c r="AH2" i="29"/>
  <c r="J35" i="29"/>
  <c r="I37" i="29"/>
  <c r="I43" i="29" s="1"/>
  <c r="N40" i="29"/>
  <c r="AH28" i="29" l="1"/>
  <c r="AH30" i="29" s="1"/>
  <c r="AI2" i="29"/>
  <c r="AG30" i="29"/>
  <c r="J37" i="29"/>
  <c r="J43" i="29" s="1"/>
  <c r="K35" i="29"/>
  <c r="N41" i="29"/>
  <c r="AI28" i="29" l="1"/>
  <c r="AJ2" i="29"/>
  <c r="K37" i="29"/>
  <c r="K43" i="29" s="1"/>
  <c r="L35" i="29"/>
  <c r="L37" i="29" s="1"/>
  <c r="O39" i="29"/>
  <c r="D39" i="31" s="1"/>
  <c r="AI30" i="29" l="1"/>
  <c r="AJ28" i="29"/>
  <c r="AJ30" i="29" s="1"/>
  <c r="AK2" i="29"/>
  <c r="L43" i="29"/>
  <c r="M35" i="29"/>
  <c r="O40" i="29"/>
  <c r="AK28" i="29" l="1"/>
  <c r="AL2" i="29"/>
  <c r="N35" i="29"/>
  <c r="M37" i="29"/>
  <c r="M43" i="29" s="1"/>
  <c r="D40" i="31"/>
  <c r="O41" i="29"/>
  <c r="AK30" i="29" l="1"/>
  <c r="AL28" i="29"/>
  <c r="AM2" i="29"/>
  <c r="AM28" i="29" s="1"/>
  <c r="AM30" i="29" s="1"/>
  <c r="O35" i="29"/>
  <c r="D35" i="31" s="1"/>
  <c r="N37" i="29"/>
  <c r="N43" i="29" s="1"/>
  <c r="P39" i="29"/>
  <c r="D41" i="31"/>
  <c r="AL30" i="29" l="1"/>
  <c r="F30" i="31" s="1"/>
  <c r="F28" i="31"/>
  <c r="P35" i="29"/>
  <c r="O37" i="29"/>
  <c r="P40" i="29"/>
  <c r="C32" i="29" l="1"/>
  <c r="C31" i="29"/>
  <c r="D61" i="29" s="1"/>
  <c r="P37" i="29"/>
  <c r="P43" i="29" s="1"/>
  <c r="Q35" i="29"/>
  <c r="O43" i="29"/>
  <c r="D43" i="31" s="1"/>
  <c r="D37" i="31"/>
  <c r="P41" i="29"/>
  <c r="Q39" i="29" s="1"/>
  <c r="E51" i="29" l="1"/>
  <c r="D51" i="29"/>
  <c r="G23" i="26"/>
  <c r="C32" i="31"/>
  <c r="K61" i="29"/>
  <c r="E61" i="29"/>
  <c r="K51" i="29"/>
  <c r="C31" i="31"/>
  <c r="G22" i="26"/>
  <c r="I71" i="29"/>
  <c r="C71" i="29"/>
  <c r="J61" i="29"/>
  <c r="J51" i="29"/>
  <c r="Q37" i="29"/>
  <c r="R35" i="29"/>
  <c r="Q40" i="29"/>
  <c r="R37" i="29" l="1"/>
  <c r="S35" i="29"/>
  <c r="Q43" i="29"/>
  <c r="Q41" i="29"/>
  <c r="R39" i="29" s="1"/>
  <c r="R40" i="29" s="1"/>
  <c r="S37" i="29" l="1"/>
  <c r="T35" i="29"/>
  <c r="R43" i="29"/>
  <c r="R41" i="29"/>
  <c r="S39" i="29" s="1"/>
  <c r="S40" i="29" s="1"/>
  <c r="U35" i="29" l="1"/>
  <c r="T37" i="29"/>
  <c r="T43" i="29" s="1"/>
  <c r="S43" i="29"/>
  <c r="S41" i="29"/>
  <c r="T39" i="29" s="1"/>
  <c r="U37" i="29" l="1"/>
  <c r="V35" i="29"/>
  <c r="T40" i="29"/>
  <c r="T41" i="29" s="1"/>
  <c r="U39" i="29" s="1"/>
  <c r="W35" i="29" l="1"/>
  <c r="V37" i="29"/>
  <c r="U40" i="29"/>
  <c r="W37" i="29" l="1"/>
  <c r="X35" i="29"/>
  <c r="U41" i="29"/>
  <c r="V39" i="29" s="1"/>
  <c r="U43" i="29"/>
  <c r="X37" i="29" l="1"/>
  <c r="Y35" i="29"/>
  <c r="V40" i="29"/>
  <c r="V43" i="29" s="1"/>
  <c r="Y37" i="29" l="1"/>
  <c r="Z35" i="29"/>
  <c r="V41" i="29"/>
  <c r="W39" i="29" s="1"/>
  <c r="Z37" i="29" l="1"/>
  <c r="AA35" i="29"/>
  <c r="W40" i="29"/>
  <c r="E35" i="31" l="1"/>
  <c r="AA37" i="29"/>
  <c r="E37" i="31" s="1"/>
  <c r="AB35" i="29"/>
  <c r="W41" i="29"/>
  <c r="X39" i="29" s="1"/>
  <c r="X40" i="29" s="1"/>
  <c r="W43" i="29"/>
  <c r="AB37" i="29" l="1"/>
  <c r="AC35" i="29"/>
  <c r="X41" i="29"/>
  <c r="Y39" i="29" s="1"/>
  <c r="X43" i="29"/>
  <c r="AD35" i="29" l="1"/>
  <c r="AC37" i="29"/>
  <c r="Y40" i="29"/>
  <c r="AD37" i="29" l="1"/>
  <c r="AE35" i="29"/>
  <c r="Y41" i="29"/>
  <c r="Z39" i="29" s="1"/>
  <c r="Y43" i="29"/>
  <c r="AE37" i="29" l="1"/>
  <c r="AF35" i="29"/>
  <c r="Z40" i="29"/>
  <c r="AF37" i="29" l="1"/>
  <c r="AG35" i="29"/>
  <c r="Z43" i="29"/>
  <c r="Z41" i="29"/>
  <c r="AH35" i="29" l="1"/>
  <c r="AG37" i="29"/>
  <c r="AA39" i="29"/>
  <c r="E39" i="31" s="1"/>
  <c r="AI35" i="29" l="1"/>
  <c r="AH37" i="29"/>
  <c r="AA40" i="29"/>
  <c r="AJ35" i="29" l="1"/>
  <c r="AI37" i="29"/>
  <c r="AA41" i="29"/>
  <c r="AA43" i="29"/>
  <c r="E43" i="31" s="1"/>
  <c r="E40" i="31"/>
  <c r="AK35" i="29" l="1"/>
  <c r="AJ37" i="29"/>
  <c r="AB39" i="29"/>
  <c r="E41" i="31"/>
  <c r="AL35" i="29" l="1"/>
  <c r="AK37" i="29"/>
  <c r="AB40" i="29"/>
  <c r="AL37" i="29" l="1"/>
  <c r="AM35" i="29"/>
  <c r="AB43" i="29"/>
  <c r="AB41" i="29"/>
  <c r="AC39" i="29" s="1"/>
  <c r="AC40" i="29" s="1"/>
  <c r="AM37" i="29" l="1"/>
  <c r="F35" i="31"/>
  <c r="AC41" i="29"/>
  <c r="AD39" i="29" s="1"/>
  <c r="AC43" i="29"/>
  <c r="F37" i="31" l="1"/>
  <c r="B37" i="31" s="1"/>
  <c r="B37" i="29"/>
  <c r="AD40" i="29"/>
  <c r="AD41" i="29" l="1"/>
  <c r="AE39" i="29" s="1"/>
  <c r="AD43" i="29"/>
  <c r="AE40" i="29" l="1"/>
  <c r="AE41" i="29" l="1"/>
  <c r="AF39" i="29" s="1"/>
  <c r="AE43" i="29"/>
  <c r="AF40" i="29" l="1"/>
  <c r="AF41" i="29" l="1"/>
  <c r="AG39" i="29" s="1"/>
  <c r="AF43" i="29"/>
  <c r="AG40" i="29" l="1"/>
  <c r="AG43" i="29" l="1"/>
  <c r="AG41" i="29"/>
  <c r="AH39" i="29" s="1"/>
  <c r="AH40" i="29" l="1"/>
  <c r="AH43" i="29" l="1"/>
  <c r="AH41" i="29"/>
  <c r="AI39" i="29" s="1"/>
  <c r="AI40" i="29" l="1"/>
  <c r="AI41" i="29" l="1"/>
  <c r="AJ39" i="29" s="1"/>
  <c r="AI43" i="29"/>
  <c r="AJ40" i="29" l="1"/>
  <c r="AJ41" i="29" l="1"/>
  <c r="AK39" i="29" s="1"/>
  <c r="AK40" i="29" s="1"/>
  <c r="AJ43" i="29"/>
  <c r="AK41" i="29" l="1"/>
  <c r="AL39" i="29" s="1"/>
  <c r="AK43" i="29"/>
  <c r="AL40" i="29" l="1"/>
  <c r="AL41" i="29" l="1"/>
  <c r="AL43" i="29"/>
  <c r="AM39" i="29" l="1"/>
  <c r="E20" i="26" s="1"/>
  <c r="F39" i="31" l="1"/>
  <c r="AM40" i="29"/>
  <c r="AM43" i="29" s="1"/>
  <c r="AM41" i="29" l="1"/>
  <c r="F43" i="31"/>
  <c r="F40" i="31"/>
  <c r="F41" i="31" l="1"/>
  <c r="E23" i="26" l="1"/>
  <c r="E21" i="26"/>
  <c r="G20" i="26" s="1"/>
  <c r="I18" i="26" l="1"/>
  <c r="I19" i="26" s="1"/>
  <c r="I26" i="26" s="1"/>
  <c r="I22" i="26"/>
  <c r="C26" i="26"/>
  <c r="G21" i="26" s="1"/>
  <c r="I27" i="27"/>
  <c r="I29" i="27" s="1"/>
  <c r="I20" i="26"/>
  <c r="C45" i="29"/>
  <c r="G51" i="29" s="1"/>
  <c r="C44" i="29"/>
  <c r="F51" i="29" s="1"/>
  <c r="M51" i="29" l="1"/>
  <c r="G61" i="29"/>
  <c r="M61" i="29"/>
  <c r="L51" i="29"/>
  <c r="F61" i="29"/>
  <c r="L61" i="29"/>
  <c r="C45" i="31"/>
  <c r="C44" i="31"/>
  <c r="I25" i="26"/>
  <c r="L27" i="27"/>
  <c r="I28" i="27"/>
  <c r="J28" i="27" s="1"/>
  <c r="J27" i="27"/>
  <c r="K27" i="27"/>
  <c r="G25" i="26"/>
  <c r="G24" i="26"/>
  <c r="L28" i="27" l="1"/>
  <c r="K28" i="27"/>
  <c r="F36" i="28"/>
  <c r="F35" i="28"/>
  <c r="F34" i="28"/>
  <c r="F33" i="28"/>
  <c r="F32" i="28"/>
  <c r="E24" i="26"/>
  <c r="E25" i="26" l="1"/>
  <c r="G26" i="26" s="1"/>
  <c r="E26" i="2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<sst xmlns="http://schemas.openxmlformats.org/spreadsheetml/2006/main" count="1095" uniqueCount="564">
  <si>
    <t>NOI</t>
  </si>
  <si>
    <t>Less Vacancy</t>
  </si>
  <si>
    <t>LTC</t>
  </si>
  <si>
    <t>% of EGI</t>
  </si>
  <si>
    <t>$/SF</t>
  </si>
  <si>
    <t>Rental Income</t>
  </si>
  <si>
    <t>Effective Gross Income</t>
  </si>
  <si>
    <t>Operating Expenses</t>
  </si>
  <si>
    <t>Utilities</t>
  </si>
  <si>
    <t>Annual</t>
  </si>
  <si>
    <t>Other Income</t>
  </si>
  <si>
    <t>Real Estate Taxes</t>
  </si>
  <si>
    <t>Amount</t>
  </si>
  <si>
    <t>Per SF</t>
  </si>
  <si>
    <t>Financing Costs</t>
  </si>
  <si>
    <t>Professional Fees</t>
  </si>
  <si>
    <t>Sale Price</t>
  </si>
  <si>
    <t>Sale Date</t>
  </si>
  <si>
    <t>Dishwasher</t>
  </si>
  <si>
    <t>Refrigerator</t>
  </si>
  <si>
    <t>Scope</t>
  </si>
  <si>
    <t>What I would do</t>
  </si>
  <si>
    <t>Rough cost/unit</t>
  </si>
  <si>
    <t>Demo/disposal</t>
  </si>
  <si>
    <t>Remove counters, appliances, fixtures, cabinet doors as needed</t>
  </si>
  <si>
    <t>$500-$900</t>
  </si>
  <si>
    <t>Cabinets</t>
  </si>
  <si>
    <t>$2,500-$4,000</t>
  </si>
  <si>
    <t>Quartz countertops</t>
  </si>
  <si>
    <t>Basic white/light quartz, standard edge</t>
  </si>
  <si>
    <t>$2,000-$3,000</t>
  </si>
  <si>
    <t>Backsplash</t>
  </si>
  <si>
    <t>Simple subway tile or short quartz backsplash</t>
  </si>
  <si>
    <t>Sink + faucet</t>
  </si>
  <si>
    <t>Stainless undermount sink, modern pull-down faucet</t>
  </si>
  <si>
    <t>$400-$700</t>
  </si>
  <si>
    <t>Basic stainless Energy Star model</t>
  </si>
  <si>
    <t>$800-$1,100</t>
  </si>
  <si>
    <t>Basic stainless model</t>
  </si>
  <si>
    <t>$450-$650</t>
  </si>
  <si>
    <t>Cooking appliances</t>
  </si>
  <si>
    <t>Cooktop + wall oven, or conventional range</t>
  </si>
  <si>
    <t>$1,200-$2,000</t>
  </si>
  <si>
    <t>Hood/microwave</t>
  </si>
  <si>
    <t>Stainless vent hood or over-range microwave</t>
  </si>
  <si>
    <t>$300-$550</t>
  </si>
  <si>
    <t>Lighting</t>
  </si>
  <si>
    <t>Remove fluorescent fixture; install modern LED flush mount/recessed lighting</t>
  </si>
  <si>
    <t>$400-$800</t>
  </si>
  <si>
    <t>Electrical</t>
  </si>
  <si>
    <t>New outlets/switches/GFCI, minor appliance connections</t>
  </si>
  <si>
    <t>$300-$700</t>
  </si>
  <si>
    <t>Plumbing</t>
  </si>
  <si>
    <t>Sink reconnection, disposal, minor work</t>
  </si>
  <si>
    <t>$300-$600</t>
  </si>
  <si>
    <t>Paint/trim</t>
  </si>
  <si>
    <t>Kitchen walls, trim, touch-ups</t>
  </si>
  <si>
    <t>Misc./GC/contingency</t>
  </si>
  <si>
    <t>Punch work, hardware, surprises</t>
  </si>
  <si>
    <t>$1,200-$1,800</t>
  </si>
  <si>
    <t>Likely total</t>
  </si>
  <si>
    <t>~$13,000-$18,500</t>
  </si>
  <si>
    <t>Keep existing boxes, repaint/reface with simple shaker-style doors, new hinges and pulls</t>
  </si>
  <si>
    <t>Phoenix contractors currently quote roughly $15,000-$25,000 for a kitchen refresh that retains the cabinet boxes and layout,</t>
  </si>
  <si>
    <t>Phoenix retail pricing for a cosmetic bath refresh is roughly $4,000-$8,000</t>
  </si>
  <si>
    <t>Item</t>
  </si>
  <si>
    <t>Recommended work</t>
  </si>
  <si>
    <t>Underwriting cost/bath</t>
  </si>
  <si>
    <t>Remove vanity, fixtures, mirror, toilet as needed</t>
  </si>
  <si>
    <t>Vanity cabinet</t>
  </si>
  <si>
    <t>Basic shaker-style 30-36" vanity</t>
  </si>
  <si>
    <t>Quartz top + sink</t>
  </si>
  <si>
    <t>Prefabricated quartz top with undermount sink</t>
  </si>
  <si>
    <t>Sink faucet/plumbing</t>
  </si>
  <si>
    <t>Brushed-nickel faucet, drain, supply lines, install</t>
  </si>
  <si>
    <t>Mirror</t>
  </si>
  <si>
    <t>Simple framed rectangular mirror</t>
  </si>
  <si>
    <t>Vanity lighting</t>
  </si>
  <si>
    <t>Modern 2-3 light fixture, installed</t>
  </si>
  <si>
    <t>Toilet</t>
  </si>
  <si>
    <t>New standard elongated toilet, installed</t>
  </si>
  <si>
    <t>Tub refinishing</t>
  </si>
  <si>
    <t>Reglaze existing tub rather than replace</t>
  </si>
  <si>
    <t>Tub surround</t>
  </si>
  <si>
    <t>Clean/regrout/recaulk existing white tile</t>
  </si>
  <si>
    <t>Shower hardware</t>
  </si>
  <si>
    <t>New valve trim, tub spout and showerhead</t>
  </si>
  <si>
    <t>Bathroom hardware</t>
  </si>
  <si>
    <t>Towel bar, TP holder, shower rod, hooks</t>
  </si>
  <si>
    <t>Flooring</t>
  </si>
  <si>
    <t>Paint</t>
  </si>
  <si>
    <t>Walls, ceiling, trim and door</t>
  </si>
  <si>
    <t>Exhaust/electrical</t>
  </si>
  <si>
    <t>Fan servicing + GFCI/switch/outlet allowance</t>
  </si>
  <si>
    <t>Misc. plumbing/repairs</t>
  </si>
  <si>
    <t>Small unknown repairs behind fixtures</t>
  </si>
  <si>
    <t>Direct cost</t>
  </si>
  <si>
    <t>~$5,825</t>
  </si>
  <si>
    <t>GC/contingency</t>
  </si>
  <si>
    <t>~12%-15%</t>
  </si>
  <si>
    <t>Underwriting total</t>
  </si>
  <si>
    <t>Line item</t>
  </si>
  <si>
    <t>1BR 640 SF</t>
  </si>
  <si>
    <t>2BR 1,200 SF</t>
  </si>
  <si>
    <t>3BR 1,400 SF</t>
  </si>
  <si>
    <t>LVP flooring</t>
  </si>
  <si>
    <t>Midgrade commercial/durable LVP throughout</t>
  </si>
  <si>
    <t>Flooring demo/prep</t>
  </si>
  <si>
    <t>Remove old carpet/tile/LVP as needed, minor leveling</t>
  </si>
  <si>
    <t>Full interior paint</t>
  </si>
  <si>
    <t>Walls, ceilings, trim, doors</t>
  </si>
  <si>
    <t>Baseboards/trim</t>
  </si>
  <si>
    <t>Replace damaged/dated baseboard; caulk/paint</t>
  </si>
  <si>
    <t>Window coverings</t>
  </si>
  <si>
    <t>Replace vertical blinds with simple modern faux-wood blinds or roller shades</t>
  </si>
  <si>
    <t>Interior door refresh</t>
  </si>
  <si>
    <t>Paint existing doors rather than replace wholesale</t>
  </si>
  <si>
    <t>Door hardware</t>
  </si>
  <si>
    <t>Modern matching knobs/levers, hinges where needed</t>
  </si>
  <si>
    <t>Modern flush mounts/ceiling fixtures, bedroom fixtures</t>
  </si>
  <si>
    <t>Ceiling fans</t>
  </si>
  <si>
    <t>Living room + bedrooms where appropriate</t>
  </si>
  <si>
    <t>Electrical finish</t>
  </si>
  <si>
    <t>New outlets, switches, cover plates, minor repairs</t>
  </si>
  <si>
    <t>Closet hardware</t>
  </si>
  <si>
    <t>Rods/shelving/doors as needed</t>
  </si>
  <si>
    <t>Smoke/CO detectors</t>
  </si>
  <si>
    <t>Replace/update as required</t>
  </si>
  <si>
    <t>General punch/repairs</t>
  </si>
  <si>
    <t>Drywall, caulk, trim, miscellaneous</t>
  </si>
  <si>
    <t>Total outside kitchen/bath</t>
  </si>
  <si>
    <t>~$9,850</t>
  </si>
  <si>
    <t>~$15,550</t>
  </si>
  <si>
    <t>~$18,000</t>
  </si>
  <si>
    <t>Laundry</t>
  </si>
  <si>
    <t>Laundry item</t>
  </si>
  <si>
    <t>Per-unit allowance</t>
  </si>
  <si>
    <t>Washer water supply + drain plumbing</t>
  </si>
  <si>
    <t>$800-$1,300</t>
  </si>
  <si>
    <t>Dryer electrical / 240V circuit</t>
  </si>
  <si>
    <t>Dryer venting</t>
  </si>
  <si>
    <t>Wall opening/repair</t>
  </si>
  <si>
    <t>$300-$500</t>
  </si>
  <si>
    <t>Closet/cabinet modification</t>
  </si>
  <si>
    <t>$600-$1,000</t>
  </si>
  <si>
    <t>Drain pan + shutoff/leak protection</t>
  </si>
  <si>
    <t>$150-$250</t>
  </si>
  <si>
    <t>Washer + dryer appliances</t>
  </si>
  <si>
    <t>$1,400-$1,800</t>
  </si>
  <si>
    <t>Delivery/installation</t>
  </si>
  <si>
    <t>Permit/engineering allocation</t>
  </si>
  <si>
    <t>$150-$300</t>
  </si>
  <si>
    <t>Contingency</t>
  </si>
  <si>
    <t>$500-$800</t>
  </si>
  <si>
    <t>Total</t>
  </si>
  <si>
    <t>~$4,850-$7,700/unit</t>
  </si>
  <si>
    <t>Est. cost/patio</t>
  </si>
  <si>
    <t>Pressure wash concrete</t>
  </si>
  <si>
    <t>Clean slab, walls and walkway</t>
  </si>
  <si>
    <t>$100-$175</t>
  </si>
  <si>
    <t>Concrete patch/seal</t>
  </si>
  <si>
    <t>Fill minor cracks/chips and seal where needed</t>
  </si>
  <si>
    <t>$100-$250</t>
  </si>
  <si>
    <t>Paint touch-up</t>
  </si>
  <si>
    <t>Posts, fascia, trim and adjacent exterior wall</t>
  </si>
  <si>
    <t>Landscaping trim</t>
  </si>
  <si>
    <t>Cut back overgrowth/vines and clean planting edges</t>
  </si>
  <si>
    <t>$100-$200</t>
  </si>
  <si>
    <t>Gravel refresh</t>
  </si>
  <si>
    <t>Add/level matching decorative rock</t>
  </si>
  <si>
    <t>$75-$150</t>
  </si>
  <si>
    <t>Screen/slider service</t>
  </si>
  <si>
    <t>Repair rollers, screens, locks and weatherstripping as needed</t>
  </si>
  <si>
    <t>Exterior light</t>
  </si>
  <si>
    <t>Simple modern patio fixture if one is absent/dated</t>
  </si>
  <si>
    <t>$125-$225</t>
  </si>
  <si>
    <t>Misc. cleanup</t>
  </si>
  <si>
    <t>Debris removal, caulk, small hardware repairs</t>
  </si>
  <si>
    <t>$75-$125</t>
  </si>
  <si>
    <t>Typical total</t>
  </si>
  <si>
    <t>~$825-$1,675</t>
  </si>
  <si>
    <t>w pool furniture</t>
  </si>
  <si>
    <t>8-10 commercial-grade loungers plus 3-4 dining/lounge tables and chairs</t>
  </si>
  <si>
    <t>$5,000-$8,000</t>
  </si>
  <si>
    <t>Umbrellas + bases</t>
  </si>
  <si>
    <t>4-5 durable commercial umbrellas</t>
  </si>
  <si>
    <t>$1,500-$2,500</t>
  </si>
  <si>
    <t>Pressure washing</t>
  </si>
  <si>
    <t>Pool deck, coping, walls and surrounding hardscape</t>
  </si>
  <si>
    <t>$750-$1,250</t>
  </si>
  <si>
    <t>Deck repairs</t>
  </si>
  <si>
    <t>Patch cracks/chips and minor concrete repairs</t>
  </si>
  <si>
    <t>$1,000-$2,500</t>
  </si>
  <si>
    <t>Pool handrail refresh</t>
  </si>
  <si>
    <t>Clean/refinish or replace visibly dated rails</t>
  </si>
  <si>
    <t>$500-$1,500</t>
  </si>
  <si>
    <t>Landscape cleanup</t>
  </si>
  <si>
    <t>Trim vegetation, remove dead growth, reshape planting beds</t>
  </si>
  <si>
    <t>$1,500-$3,000</t>
  </si>
  <si>
    <t>Landscape infill</t>
  </si>
  <si>
    <t>Add a limited amount of drought-tolerant planting/rock where sparse</t>
  </si>
  <si>
    <t>$1,000-$2,000</t>
  </si>
  <si>
    <t>Planter refresh</t>
  </si>
  <si>
    <t>Clean/repair the blue-tile planter and replace struggling vegetation if needed</t>
  </si>
  <si>
    <t>$500-$1,000</t>
  </si>
  <si>
    <t>Exterior lighting</t>
  </si>
  <si>
    <t>Replace dated fixtures/add modest warm LED pathway/pool-area lighting</t>
  </si>
  <si>
    <t>Pool equipment allowance</t>
  </si>
  <si>
    <t>Minor pump/filter/heater repairs discovered during diligence</t>
  </si>
  <si>
    <t>$2,000-$4,000 reserve</t>
  </si>
  <si>
    <t>Signage/accessories</t>
  </si>
  <si>
    <t>Updated rules signs, trash receptacles, small side tables</t>
  </si>
  <si>
    <t>Total cosmetic program</t>
  </si>
  <si>
    <t>~$15,000-$28,000</t>
  </si>
  <si>
    <t>Estimated property cost</t>
  </si>
  <si>
    <t>Pressure wash/prep</t>
  </si>
  <si>
    <t>Wash walls, soffits, stairs, railings and fascia before paint</t>
  </si>
  <si>
    <t>$7,500-$12,000</t>
  </si>
  <si>
    <t>Exterior masonry/stucco paint</t>
  </si>
  <si>
    <t>Two-coat repaint of building walls</t>
  </si>
  <si>
    <t>$40,000-$60,000</t>
  </si>
  <si>
    <t>Steel posts/railings/stairs</t>
  </si>
  <si>
    <t>Prep rust, prime and repaint charcoal/bronze</t>
  </si>
  <si>
    <t>$10,000-$16,000</t>
  </si>
  <si>
    <t>Fascia/roof-edge paint</t>
  </si>
  <si>
    <t>Repaint visible fascia and trim</t>
  </si>
  <si>
    <t>$6,000-$10,000</t>
  </si>
  <si>
    <t>Soffits/covered ceilings</t>
  </si>
  <si>
    <t>Repaint undersides of roof overhangs and balcony ceilings</t>
  </si>
  <si>
    <t>Exterior doors</t>
  </si>
  <si>
    <t>Paint/refinish unit and common-area doors</t>
  </si>
  <si>
    <t>$4,000-$7,000</t>
  </si>
  <si>
    <t>Minor masonry/stucco repairs</t>
  </si>
  <si>
    <t>Patch cracks, damaged block, caulking and penetrations</t>
  </si>
  <si>
    <t>$7,500-$12,500</t>
  </si>
  <si>
    <t>Exterior lighting refresh</t>
  </si>
  <si>
    <t>Replace dated wall-mounted fixtures with simple warm LED fixtures</t>
  </si>
  <si>
    <t>Building numbers/signage</t>
  </si>
  <si>
    <t>Clean modern unit/building identification</t>
  </si>
  <si>
    <t>Carport/metal touch-up</t>
  </si>
  <si>
    <t>Paint exposed supports and visible roof edges where needed</t>
  </si>
  <si>
    <t>Approximately 10% for unknown prep/repair</t>
  </si>
  <si>
    <t>$10,000-$15,000</t>
  </si>
  <si>
    <t>~$102,500-$161,500</t>
  </si>
  <si>
    <t>lighting + signage - 5000</t>
  </si>
  <si>
    <t>property landscapping- 50k-100k</t>
  </si>
  <si>
    <t>Base assumption</t>
  </si>
  <si>
    <t>Clean/prep asphalt</t>
  </si>
  <si>
    <t>Crack filling</t>
  </si>
  <si>
    <t>$2,000-$4,000</t>
  </si>
  <si>
    <t>Localized patching</t>
  </si>
  <si>
    <t>Sealcoat entire lot</t>
  </si>
  <si>
    <t>Restripe 48 spaces</t>
  </si>
  <si>
    <t>ADA/fire-lane markings</t>
  </si>
  <si>
    <t>Wheel-stop repairs/replacement</t>
  </si>
  <si>
    <t>$750-$1,500</t>
  </si>
  <si>
    <t>~$13,000-$23,000</t>
  </si>
  <si>
    <t>Carport work</t>
  </si>
  <si>
    <t>Estimated total</t>
  </si>
  <si>
    <t>Pressure wash/clean steel</t>
  </si>
  <si>
    <t>Rust removal/surface prep</t>
  </si>
  <si>
    <t>Rust-inhibiting primer</t>
  </si>
  <si>
    <t>$2,000-$3,500</t>
  </si>
  <si>
    <t>Repaint steel structure charcoal</t>
  </si>
  <si>
    <t>Replace damaged/corroded roof panels</t>
  </si>
  <si>
    <t>Flashing/fastener repairs</t>
  </si>
  <si>
    <t>New space-number markings</t>
  </si>
  <si>
    <t>LED lighting under carports</t>
  </si>
  <si>
    <t>Minor structural/anchor repairs</t>
  </si>
  <si>
    <t>~$25,500-$43,500</t>
  </si>
  <si>
    <t>Total Budget</t>
  </si>
  <si>
    <t>Low End</t>
  </si>
  <si>
    <t>High End</t>
  </si>
  <si>
    <t>per unit</t>
  </si>
  <si>
    <t>You need roughly:</t>
  </si>
  <si>
    <t>$2,000,000 × 6.5% = $130,000</t>
  </si>
  <si>
    <t>of incremental annual NOI merely to create $2 million of additional property value.</t>
  </si>
  <si>
    <t>Units</t>
  </si>
  <si>
    <t>Renovations</t>
  </si>
  <si>
    <t>The Hibiscus</t>
  </si>
  <si>
    <t>5250 North 20th Street, Phoenix, AZ</t>
  </si>
  <si>
    <t>Year Built</t>
  </si>
  <si>
    <t>NRA (SF)</t>
  </si>
  <si>
    <t>Buildings</t>
  </si>
  <si>
    <t>Investment Assumptions</t>
  </si>
  <si>
    <t>Renovation Costs</t>
  </si>
  <si>
    <t>Closing Costs (%)</t>
  </si>
  <si>
    <t>Stabilized Vacancy</t>
  </si>
  <si>
    <t>Renovation Timeline</t>
  </si>
  <si>
    <t>Hold Period</t>
  </si>
  <si>
    <t>Exit Cap</t>
  </si>
  <si>
    <t>Sources &amp; Uses</t>
  </si>
  <si>
    <t>Purchase Price</t>
  </si>
  <si>
    <t>Closing Costs</t>
  </si>
  <si>
    <t>Total Uses</t>
  </si>
  <si>
    <t>Loan</t>
  </si>
  <si>
    <t>Equity</t>
  </si>
  <si>
    <t>Total Sources</t>
  </si>
  <si>
    <t>Returns</t>
  </si>
  <si>
    <t>Expense Ratio</t>
  </si>
  <si>
    <t>Unlevered IRR</t>
  </si>
  <si>
    <t>Levered IRR</t>
  </si>
  <si>
    <t>Unit Mix</t>
  </si>
  <si>
    <t>Type</t>
  </si>
  <si>
    <t># of Units</t>
  </si>
  <si>
    <t>Unit SF</t>
  </si>
  <si>
    <t>Total SF</t>
  </si>
  <si>
    <t>In-Place Rent</t>
  </si>
  <si>
    <t>Stabilized Rent</t>
  </si>
  <si>
    <t>1X1</t>
  </si>
  <si>
    <t>2X2</t>
  </si>
  <si>
    <t>3X2</t>
  </si>
  <si>
    <t>Income</t>
  </si>
  <si>
    <t>Less Concessions/Bad Debt</t>
  </si>
  <si>
    <t>Net Operating Income</t>
  </si>
  <si>
    <t>Cash Flow after Debt Service</t>
  </si>
  <si>
    <t>Per Unit</t>
  </si>
  <si>
    <t>Total Operating Expenses</t>
  </si>
  <si>
    <t>Property Insurance</t>
  </si>
  <si>
    <t>Repairs &amp; Maintenance</t>
  </si>
  <si>
    <t>Janitorial</t>
  </si>
  <si>
    <t>Management Fees</t>
  </si>
  <si>
    <t>Payroll &amp; Benefits</t>
  </si>
  <si>
    <t>Advertising &amp; Marketing</t>
  </si>
  <si>
    <t>General &amp; Administrative</t>
  </si>
  <si>
    <t>Other Expenses</t>
  </si>
  <si>
    <t>Strategy</t>
  </si>
  <si>
    <t>Kitchen refreshes</t>
  </si>
  <si>
    <t>Paint/reface existing cabinets, new hardware, counters, sink/faucet, basic stainless appliances, modest lighting</t>
  </si>
  <si>
    <t>Bathroom refreshes</t>
  </si>
  <si>
    <t>Vanity/top, faucet, mirror, lighting, hardware, tub reglaze/regrout; avoid full gut renovation</t>
  </si>
  <si>
    <t>LVP where needed; retain serviceable tile or flooring rather than replacing everything</t>
  </si>
  <si>
    <t>Walls, ceilings and trim at turnover</t>
  </si>
  <si>
    <t>Lighting, electrical, hardware and blinds</t>
  </si>
  <si>
    <t>Modern fixtures, switches/plates, door hardware and selective blinds</t>
  </si>
  <si>
    <t>Doors, trim, drywall and unit punch</t>
  </si>
  <si>
    <t>Repair and repaint rather than wholesale replacement</t>
  </si>
  <si>
    <t>Total Unit Interiors</t>
  </si>
  <si>
    <t>Common laundry upgrade</t>
  </si>
  <si>
    <t>Refresh laundry room, add/replace machines and modern payment system</t>
  </si>
  <si>
    <t>Pool-area refresh</t>
  </si>
  <si>
    <t>Furniture, pressure washing, landscaping and minor repairs</t>
  </si>
  <si>
    <t>Exterior paint/stucco allowance</t>
  </si>
  <si>
    <t>Targeted repainting and repairs rather than a complete premium repaint</t>
  </si>
  <si>
    <t>Landscaping/curb appeal</t>
  </si>
  <si>
    <t>Cleanup, gravel, selective planting and trimming</t>
  </si>
  <si>
    <t>Patio/balcony refresh</t>
  </si>
  <si>
    <t>Pressure wash, patch, touch-up and minor repairs</t>
  </si>
  <si>
    <t>Asphalt/striping</t>
  </si>
  <si>
    <t>Crack fill, sealcoat, patch and restripe</t>
  </si>
  <si>
    <t>Carport repairs/refresh</t>
  </si>
  <si>
    <t>Rust repair, paint and selective panel repairs</t>
  </si>
  <si>
    <t>Exterior lighting/signage</t>
  </si>
  <si>
    <t>New fixtures, numbers, signage and common-area presentation</t>
  </si>
  <si>
    <t>Deferred-maintenance reserve</t>
  </si>
  <si>
    <t>Plumbing, HVAC, electrical and miscellaneous discoveries</t>
  </si>
  <si>
    <t>Approximately 7.4% of total budget</t>
  </si>
  <si>
    <t>% of Budget</t>
  </si>
  <si>
    <t>Cost</t>
  </si>
  <si>
    <t>Renovation</t>
  </si>
  <si>
    <t>Total Renovation Costs</t>
  </si>
  <si>
    <t>24 Months</t>
  </si>
  <si>
    <t>3 Years</t>
  </si>
  <si>
    <t>Period</t>
  </si>
  <si>
    <t>Units Renovated</t>
  </si>
  <si>
    <t>Months 1-3</t>
  </si>
  <si>
    <t>Months 4-6</t>
  </si>
  <si>
    <t>Months 7-12</t>
  </si>
  <si>
    <t>Months 13-18</t>
  </si>
  <si>
    <t>Months 19-24</t>
  </si>
  <si>
    <t>Exterior Upgrades</t>
  </si>
  <si>
    <t>Cumulative Units</t>
  </si>
  <si>
    <t>$ Amount</t>
  </si>
  <si>
    <t>Cumulative % Interior</t>
  </si>
  <si>
    <t>Cumulative % Exterior</t>
  </si>
  <si>
    <t>Cash Flow Projections</t>
  </si>
  <si>
    <t>Analysis Start Date</t>
  </si>
  <si>
    <t>Renovation Timeline (Months)</t>
  </si>
  <si>
    <t>Concessions/Bad Debt</t>
  </si>
  <si>
    <t>Exterior Renovations</t>
  </si>
  <si>
    <t>Unlevered Cash Flow</t>
  </si>
  <si>
    <t>Gross Rental Income</t>
  </si>
  <si>
    <t>Units renovated by month</t>
  </si>
  <si>
    <t>Cumulative Renovated Units</t>
  </si>
  <si>
    <t>Unrenovated Units Online</t>
  </si>
  <si>
    <t>Renovated Units Online</t>
  </si>
  <si>
    <t>Interior Renovations</t>
  </si>
  <si>
    <t>IRR</t>
  </si>
  <si>
    <t>Reversion Value</t>
  </si>
  <si>
    <t>Purchase Price + Closing Costs</t>
  </si>
  <si>
    <t>Rate</t>
  </si>
  <si>
    <t>Interest Reserve</t>
  </si>
  <si>
    <t>Term</t>
  </si>
  <si>
    <t>Senior Loan</t>
  </si>
  <si>
    <t>Financing Cost</t>
  </si>
  <si>
    <t>Loan Balance</t>
  </si>
  <si>
    <t xml:space="preserve">Interest Expense </t>
  </si>
  <si>
    <t>Levered Cash Flow</t>
  </si>
  <si>
    <t>Interest Reserve Draw</t>
  </si>
  <si>
    <t>Loan Closing Costs</t>
  </si>
  <si>
    <t>Equity Draw</t>
  </si>
  <si>
    <t>Capex</t>
  </si>
  <si>
    <t>Capitalized Interest</t>
  </si>
  <si>
    <t>Operating Cash Flow Retained</t>
  </si>
  <si>
    <t>Free Cash Flow</t>
  </si>
  <si>
    <t>Equity Multiple</t>
  </si>
  <si>
    <t>Sensitivity Analysis</t>
  </si>
  <si>
    <t>Cap Rate</t>
  </si>
  <si>
    <t>Exit Cap Rate</t>
  </si>
  <si>
    <t>Renovated Rents</t>
  </si>
  <si>
    <t>Renovated Avg Rent</t>
  </si>
  <si>
    <t>Reno Cost Factor</t>
  </si>
  <si>
    <t>EMx</t>
  </si>
  <si>
    <t>1970/2017</t>
  </si>
  <si>
    <t>1963/2019</t>
  </si>
  <si>
    <t>1960/2015</t>
  </si>
  <si>
    <t>1979/2020</t>
  </si>
  <si>
    <t>1983/2018</t>
  </si>
  <si>
    <t>1964/2021</t>
  </si>
  <si>
    <t>1968/2015</t>
  </si>
  <si>
    <t>1969/2024</t>
  </si>
  <si>
    <t>Address</t>
  </si>
  <si>
    <t>SF</t>
  </si>
  <si>
    <t>Price/Unit</t>
  </si>
  <si>
    <t>Price/SF</t>
  </si>
  <si>
    <t>Submarket</t>
  </si>
  <si>
    <t xml:space="preserve">Biltmore </t>
  </si>
  <si>
    <t>4200 N 27th St</t>
  </si>
  <si>
    <t>June 2026</t>
  </si>
  <si>
    <t xml:space="preserve">4917 E Holly St </t>
  </si>
  <si>
    <t>South Scottsdale</t>
  </si>
  <si>
    <t>July 2026</t>
  </si>
  <si>
    <t>Papago</t>
  </si>
  <si>
    <t>July 2025</t>
  </si>
  <si>
    <t>7325 E Belleview St</t>
  </si>
  <si>
    <t>25 E Eva St</t>
  </si>
  <si>
    <t>North Mountain</t>
  </si>
  <si>
    <t>March 2026</t>
  </si>
  <si>
    <t>6730 N 17th Ave</t>
  </si>
  <si>
    <t>North Phoenix</t>
  </si>
  <si>
    <t>October 2025</t>
  </si>
  <si>
    <t>5407 W Glenrosa Ave</t>
  </si>
  <si>
    <t>Maryvale</t>
  </si>
  <si>
    <t xml:space="preserve">1806 E Concorda Dr </t>
  </si>
  <si>
    <t>Alameda</t>
  </si>
  <si>
    <t>January 2026</t>
  </si>
  <si>
    <t>2011 N 51st St</t>
  </si>
  <si>
    <t xml:space="preserve">302 E Monte Vista </t>
  </si>
  <si>
    <t>Encanto</t>
  </si>
  <si>
    <t>1820-1860 E Hayden Ln</t>
  </si>
  <si>
    <t>Apache</t>
  </si>
  <si>
    <t>November 2025</t>
  </si>
  <si>
    <t>Median Price/Unit</t>
  </si>
  <si>
    <t>Median Price/SF</t>
  </si>
  <si>
    <t>Median Cap Rate</t>
  </si>
  <si>
    <t>Avg. Cap Rate</t>
  </si>
  <si>
    <t>4231-4237 N 27th St</t>
  </si>
  <si>
    <t>Midtown</t>
  </si>
  <si>
    <t>December 2025</t>
  </si>
  <si>
    <t>31 W 2nd St</t>
  </si>
  <si>
    <t>Downtown Mesa</t>
  </si>
  <si>
    <t>3710 E McDowell Rd</t>
  </si>
  <si>
    <t>2101 W Colter St</t>
  </si>
  <si>
    <t>2339 W Northern Ave</t>
  </si>
  <si>
    <t>May 2025</t>
  </si>
  <si>
    <t>3025 N 32nd St</t>
  </si>
  <si>
    <t>East Phoenix</t>
  </si>
  <si>
    <t>6315 N 16th St</t>
  </si>
  <si>
    <t>Rent Comps-Post Renovation</t>
  </si>
  <si>
    <t>Class</t>
  </si>
  <si>
    <t xml:space="preserve">1 Bed </t>
  </si>
  <si>
    <t>3 Bed</t>
  </si>
  <si>
    <t>Avg.</t>
  </si>
  <si>
    <t>1 Bed SF</t>
  </si>
  <si>
    <t>3 Bed SF</t>
  </si>
  <si>
    <t>Avg. SF</t>
  </si>
  <si>
    <t>2 Bed SF</t>
  </si>
  <si>
    <t>B</t>
  </si>
  <si>
    <t>6201 N 16th St</t>
  </si>
  <si>
    <t>C</t>
  </si>
  <si>
    <t>6702 N 17th Ave</t>
  </si>
  <si>
    <t>1979/2022</t>
  </si>
  <si>
    <t>4811-4815 N 15th Ave</t>
  </si>
  <si>
    <t>1958/2023</t>
  </si>
  <si>
    <t>4150 N 25th St</t>
  </si>
  <si>
    <t>Biltmore</t>
  </si>
  <si>
    <t>1957/2021</t>
  </si>
  <si>
    <t>2242-2302 E Pinchot Ave</t>
  </si>
  <si>
    <t>1967/2021</t>
  </si>
  <si>
    <t>2512 E Thomas Rd</t>
  </si>
  <si>
    <t>1945/2021</t>
  </si>
  <si>
    <t>6725 E Earll Dr</t>
  </si>
  <si>
    <t>Old Town</t>
  </si>
  <si>
    <t>7102 E Oak St</t>
  </si>
  <si>
    <t>1960/2020</t>
  </si>
  <si>
    <t>2019-2025 E Turney Ave</t>
  </si>
  <si>
    <t>Levered Equity Multiple</t>
  </si>
  <si>
    <t>Stabilized Pro Forma</t>
  </si>
  <si>
    <t>Year 0</t>
  </si>
  <si>
    <t xml:space="preserve">Year 1 </t>
  </si>
  <si>
    <t>Year 2</t>
  </si>
  <si>
    <t>Year 3</t>
  </si>
  <si>
    <t>Comments:</t>
  </si>
  <si>
    <t>% of Units</t>
  </si>
  <si>
    <t>DSCR</t>
  </si>
  <si>
    <t>Current Avg. Rent</t>
  </si>
  <si>
    <t xml:space="preserve">Expenses estimated using average per unit costs in the market, and total expenses set to a conservative 50% operating expense ratio. </t>
  </si>
  <si>
    <r>
      <t xml:space="preserve">Comments: </t>
    </r>
    <r>
      <rPr>
        <sz val="11"/>
        <color theme="1"/>
        <rFont val="Calibri"/>
        <family val="2"/>
        <scheme val="minor"/>
      </rPr>
      <t>In-place income statement estimated based on marketed $156,000 NOI.</t>
    </r>
  </si>
  <si>
    <t>Avg. 1 Bed</t>
  </si>
  <si>
    <t>Avg. 2 Bed</t>
  </si>
  <si>
    <t>Avg. 3 Bed</t>
  </si>
  <si>
    <t>Avg. Total</t>
  </si>
  <si>
    <t>Renovated Rents vs Exit Cap</t>
  </si>
  <si>
    <t>Acquisition Comps</t>
  </si>
  <si>
    <t>Exit Sale Comps</t>
  </si>
  <si>
    <t>Med Price/Unit</t>
  </si>
  <si>
    <t>Avg Price/Unit</t>
  </si>
  <si>
    <t>Med Price/SF</t>
  </si>
  <si>
    <t>Avg Price/SF</t>
  </si>
  <si>
    <t>Med Cap Rate</t>
  </si>
  <si>
    <t>Avg Cap Rate</t>
  </si>
  <si>
    <t>Value at Cap Rate of:</t>
  </si>
  <si>
    <t>Exit LTV</t>
  </si>
  <si>
    <t>Current Vacancy</t>
  </si>
  <si>
    <t xml:space="preserve">Unlevered Equity Multiple </t>
  </si>
  <si>
    <t>Reno Cost/Unit</t>
  </si>
  <si>
    <t>Exit Price/Unit</t>
  </si>
  <si>
    <t>Stabilized Avg. Rent</t>
  </si>
  <si>
    <t>Reno Cost/SF</t>
  </si>
  <si>
    <t>Going-in Cap Rate</t>
  </si>
  <si>
    <t>Yield on Cost</t>
  </si>
  <si>
    <t>Selling Costs</t>
  </si>
  <si>
    <t>Net Sale Proceeds</t>
  </si>
  <si>
    <t>All-in Basis/Unit</t>
  </si>
  <si>
    <t>Development Spread</t>
  </si>
  <si>
    <t>Equity Requirement</t>
  </si>
  <si>
    <t>Initial LTV</t>
  </si>
  <si>
    <t>Loan Type</t>
  </si>
  <si>
    <t>Bridge - I/O</t>
  </si>
  <si>
    <t>Total Loan</t>
  </si>
  <si>
    <t>Stabilized DSCR</t>
  </si>
  <si>
    <t>Stabilized Debt Yield</t>
  </si>
  <si>
    <t>Investment Thesis</t>
  </si>
  <si>
    <t>The Hibiscus is a 37-unit, 1960-vintage garden apartment community in Phoenix’s Biltmore area, where limited construction activity reduces direct competition from new supply. All units reportedly remain in classic condition, supporting a meaningful $20,000-per-unit interior and exterior renovation program. Direct rent comps support average stabilized rent of approximately $1,356 without relying on aggressive assumptions.</t>
  </si>
  <si>
    <t>Purchase Price Rationale</t>
  </si>
  <si>
    <t>Selected sale comps range from approximately $130,000 to $200,000 per unit but vary in condition and operating performance. A $2.775 million purchase price reflects the property’s low in-place NOI, capital needs and lease-up risk while limiting the all-in basis to approximately $106,800 per unit.</t>
  </si>
  <si>
    <t>Conclusion</t>
  </si>
  <si>
    <t>A purchase price of $2.775 million or lower represents the preferred basis. A higher price would require stronger support for achievable rents, lower renovation costs or a faster renovation schedule. Final pricing remains subject to verification of the rent roll, operating statements, contractor bids and deferred maintenance.</t>
  </si>
  <si>
    <t>In-Place Operations</t>
  </si>
  <si>
    <t>Implied Property Value</t>
  </si>
  <si>
    <t>Summary</t>
  </si>
  <si>
    <r>
      <rPr>
        <b/>
        <sz val="11"/>
        <color theme="1"/>
        <rFont val="Calibri"/>
        <family val="2"/>
        <scheme val="minor"/>
      </rPr>
      <t>Comments:</t>
    </r>
    <r>
      <rPr>
        <sz val="11"/>
        <color theme="1"/>
        <rFont val="Calibri"/>
        <family val="2"/>
        <scheme val="minor"/>
      </rPr>
      <t xml:space="preserve"> The $20,000-per-unit budget supports a moderate value-add strategy focused on selective interior upgrades, targeted exterior improvements and deferred maintenance rather than heavy renovations.</t>
    </r>
  </si>
  <si>
    <t>Property &amp; Acquisition</t>
  </si>
  <si>
    <t>Loan Assumptions</t>
  </si>
  <si>
    <t>2402 W Devonshire</t>
  </si>
  <si>
    <t>CapEx</t>
  </si>
  <si>
    <t>1971/2022</t>
  </si>
  <si>
    <t>2 Bed</t>
  </si>
  <si>
    <t>Levered EMx</t>
  </si>
  <si>
    <t>Total Exterior Improvements</t>
  </si>
  <si>
    <t>The property’s larger units and Biltmore location may also support in-unit laundry, particularly in two- and three-bedroom units, subject to plumbing, electrical and venting feasibility.</t>
  </si>
  <si>
    <t>No. Units</t>
  </si>
  <si>
    <t>In-place rents estimated based on stated in-place NOI while applying a roughly 50% operating expense ratio.</t>
  </si>
  <si>
    <t>Avg Rents vs Renovation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</si>
</sst>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&lt;=9999999]###\-####;\(###\)\ ###\-####"/>
    <numFmt numFmtId="165" formatCode="&quot;$&quot;#,##0"/>
    <numFmt numFmtId="166" formatCode="0.0%"/>
    <numFmt numFmtId="167" formatCode="&quot;$&quot;#,##0.00"/>
    <numFmt numFmtId="168" formatCode="\(#,##0\);[Red]\(#,##0\)"/>
    <numFmt numFmtId="169" formatCode="_(&quot;$&quot;* #,##0_);_(&quot;$&quot;* \(#,##0\);_(&quot;$&quot;* &quot;-&quot;??_);_(@_)"/>
    <numFmt numFmtId="170" formatCode="m/d/yyyy\ \ h:mm\ AM/PM"/>
    <numFmt numFmtId="171" formatCode="_([$€-2]* #,##0.00_);_([$€-2]* \(#,##0.00\);_([$€-2]* &quot;-&quot;??_)"/>
    <numFmt numFmtId="172" formatCode="mm/yyyy"/>
    <numFmt numFmtId="173" formatCode="_ * #,##0_ ;_ * \-#,##0_ ;_ * &quot;-&quot;_ ;_ @_ "/>
    <numFmt numFmtId="174" formatCode="_ * #,##0.00_ ;_ * \-#,##0.00_ ;_ * &quot;-&quot;??_ ;_ @_ "/>
    <numFmt numFmtId="175" formatCode="_ &quot;S/&quot;* #,##0_ ;_ &quot;S/&quot;* \-#,##0_ ;_ &quot;S/&quot;* &quot;-&quot;_ ;_ @_ "/>
    <numFmt numFmtId="176" formatCode="_ &quot;S/&quot;* #,##0.00_ ;_ &quot;S/&quot;* \-#,##0.00_ ;_ &quot;S/&quot;* &quot;-&quot;??_ ;_ @_ "/>
    <numFmt numFmtId="177" formatCode="0.00_)"/>
    <numFmt numFmtId="178" formatCode="&quot;$&quot;#,##0.00;[Red]\(&quot;$&quot;#,##0.00\)"/>
    <numFmt numFmtId="179" formatCode="mm/dd/yy_)"/>
    <numFmt numFmtId="180" formatCode="0_)"/>
    <numFmt numFmtId="181" formatCode="#,##0;\(#,##0\)"/>
    <numFmt numFmtId="182" formatCode="mmmm\-yy"/>
    <numFmt numFmtId="183" formatCode="_(* #,##0_);_(* \(#,##0\);_(* &quot;-&quot;??_);_(@_)"/>
    <numFmt numFmtId="184" formatCode="&quot;Mo.&quot;##"/>
    <numFmt numFmtId="185" formatCode="&quot;Mo.&quot;\ 0"/>
    <numFmt numFmtId="186" formatCode="#.##&quot;x&quot;"/>
    <numFmt numFmtId="187" formatCode="###\ &quot;bps&quot;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name val="Times New Roman"/>
      <family val="1"/>
    </font>
    <font>
      <sz val="10"/>
      <name val="Helv"/>
    </font>
    <font>
      <sz val="9"/>
      <name val="Times New Roman"/>
      <family val="1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0"/>
      <color indexed="8"/>
      <name val="Times New Roman"/>
      <family val="2"/>
    </font>
    <font>
      <sz val="10"/>
      <color indexed="9"/>
      <name val="Times New Roman"/>
      <family val="2"/>
    </font>
    <font>
      <sz val="9"/>
      <name val="Tahoma"/>
      <family val="2"/>
    </font>
    <font>
      <sz val="10"/>
      <color indexed="20"/>
      <name val="Times New Roman"/>
      <family val="2"/>
    </font>
    <font>
      <b/>
      <sz val="10"/>
      <color indexed="52"/>
      <name val="Times New Roman"/>
      <family val="2"/>
    </font>
    <font>
      <b/>
      <sz val="10"/>
      <color indexed="9"/>
      <name val="Times New Roman"/>
      <family val="2"/>
    </font>
    <font>
      <b/>
      <sz val="9"/>
      <name val="Tahoma"/>
      <family val="2"/>
    </font>
    <font>
      <sz val="10"/>
      <name val="BERNHARD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0"/>
      <color indexed="23"/>
      <name val="Times New Roman"/>
      <family val="2"/>
    </font>
    <font>
      <sz val="10"/>
      <color indexed="17"/>
      <name val="Times New Roman"/>
      <family val="2"/>
    </font>
    <font>
      <b/>
      <sz val="10"/>
      <name val="Tahoma"/>
      <family val="2"/>
    </font>
    <font>
      <sz val="8"/>
      <name val="Arial"/>
      <family val="2"/>
    </font>
    <font>
      <u/>
      <sz val="12"/>
      <name val="Tahoma"/>
      <family val="2"/>
    </font>
    <font>
      <i/>
      <u/>
      <sz val="11"/>
      <name val="Tahoma"/>
      <family val="2"/>
    </font>
    <font>
      <u/>
      <sz val="11"/>
      <name val="Tahoma"/>
      <family val="2"/>
    </font>
    <font>
      <i/>
      <u/>
      <sz val="10"/>
      <name val="Tahoma"/>
      <family val="2"/>
    </font>
    <font>
      <u/>
      <sz val="10"/>
      <name val="Tahoma"/>
      <family val="2"/>
    </font>
    <font>
      <i/>
      <u/>
      <sz val="9"/>
      <name val="Tahoma"/>
      <family val="2"/>
    </font>
    <font>
      <u/>
      <sz val="9"/>
      <name val="Tahoma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0"/>
      <color indexed="62"/>
      <name val="Times New Roman"/>
      <family val="2"/>
    </font>
    <font>
      <sz val="10"/>
      <color indexed="52"/>
      <name val="Times New Roman"/>
      <family val="2"/>
    </font>
    <font>
      <sz val="10"/>
      <color indexed="60"/>
      <name val="Times New Roman"/>
      <family val="2"/>
    </font>
    <font>
      <sz val="7"/>
      <name val="Small Fonts"/>
      <family val="2"/>
    </font>
    <font>
      <b/>
      <i/>
      <sz val="16"/>
      <name val="Helv"/>
    </font>
    <font>
      <sz val="10"/>
      <color theme="1"/>
      <name val="Times New Roman"/>
      <family val="2"/>
    </font>
    <font>
      <sz val="10"/>
      <name val="Arial Narrow"/>
      <family val="2"/>
    </font>
    <font>
      <sz val="12"/>
      <name val="Times New Roman"/>
      <family val="1"/>
    </font>
    <font>
      <b/>
      <sz val="10"/>
      <color indexed="63"/>
      <name val="Times New Roman"/>
      <family val="2"/>
    </font>
    <font>
      <sz val="8"/>
      <name val="Helv"/>
    </font>
    <font>
      <b/>
      <u/>
      <sz val="10"/>
      <name val="Tahoma"/>
      <family val="2"/>
    </font>
    <font>
      <b/>
      <sz val="18"/>
      <color indexed="56"/>
      <name val="Cambria"/>
      <family val="2"/>
    </font>
    <font>
      <b/>
      <sz val="11"/>
      <name val="Tahoma"/>
      <family val="2"/>
    </font>
    <font>
      <b/>
      <sz val="10"/>
      <color indexed="8"/>
      <name val="Times New Roman"/>
      <family val="2"/>
    </font>
    <font>
      <sz val="12"/>
      <name val="Tahoma"/>
      <family val="2"/>
    </font>
    <font>
      <i/>
      <sz val="11"/>
      <name val="Tahoma"/>
      <family val="2"/>
    </font>
    <font>
      <sz val="11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i/>
      <sz val="9"/>
      <name val="Tahoma"/>
      <family val="2"/>
    </font>
    <font>
      <sz val="10"/>
      <color indexed="10"/>
      <name val="Times New Roman"/>
      <family val="2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1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3" fillId="0" borderId="0"/>
    <xf numFmtId="0" fontId="3" fillId="0" borderId="0"/>
    <xf numFmtId="0" fontId="7" fillId="2" borderId="2" applyNumberFormat="0" applyFill="0" applyBorder="0" applyProtection="0">
      <alignment horizontal="left"/>
      <protection locked="0"/>
    </xf>
    <xf numFmtId="37" fontId="7" fillId="0" borderId="0"/>
    <xf numFmtId="168" fontId="7" fillId="0" borderId="0" applyFill="0" applyBorder="0">
      <protection locked="0"/>
    </xf>
    <xf numFmtId="37" fontId="7" fillId="3" borderId="9"/>
    <xf numFmtId="40" fontId="4" fillId="0" borderId="0" applyFont="0" applyFill="0" applyBorder="0" applyAlignment="0" applyProtection="0"/>
    <xf numFmtId="4" fontId="6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8" fontId="7" fillId="3" borderId="0"/>
    <xf numFmtId="37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14" fontId="16" fillId="0" borderId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39" fontId="10" fillId="0" borderId="0" applyFill="0" applyBorder="0" applyAlignment="0" applyProtection="0"/>
    <xf numFmtId="0" fontId="17" fillId="5" borderId="0" applyNumberFormat="0" applyBorder="0" applyAlignment="0" applyProtection="0"/>
    <xf numFmtId="0" fontId="18" fillId="22" borderId="12" applyNumberFormat="0" applyAlignment="0" applyProtection="0"/>
    <xf numFmtId="0" fontId="18" fillId="22" borderId="12" applyNumberFormat="0" applyAlignment="0" applyProtection="0"/>
    <xf numFmtId="0" fontId="18" fillId="22" borderId="12" applyNumberFormat="0" applyAlignment="0" applyProtection="0"/>
    <xf numFmtId="0" fontId="19" fillId="23" borderId="13" applyNumberFormat="0" applyAlignment="0" applyProtection="0"/>
    <xf numFmtId="0" fontId="19" fillId="23" borderId="13" applyNumberFormat="0" applyAlignment="0" applyProtection="0"/>
    <xf numFmtId="0" fontId="20" fillId="24" borderId="0" applyNumberFormat="0">
      <alignment horizontal="center"/>
    </xf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1" fillId="0" borderId="0"/>
    <xf numFmtId="0" fontId="6" fillId="0" borderId="0"/>
    <xf numFmtId="0" fontId="21" fillId="0" borderId="0"/>
    <xf numFmtId="0" fontId="6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8" fillId="0" borderId="0" applyFont="0" applyFill="0" applyBorder="0" applyAlignment="0" applyProtection="0"/>
    <xf numFmtId="7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39" fontId="16" fillId="0" borderId="0">
      <alignment horizontal="right"/>
    </xf>
    <xf numFmtId="170" fontId="10" fillId="0" borderId="0" applyFill="0" applyProtection="0">
      <alignment vertical="center"/>
    </xf>
    <xf numFmtId="0" fontId="2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171" fontId="8" fillId="0" borderId="0" applyFont="0" applyFill="0" applyBorder="0" applyAlignment="0" applyProtection="0"/>
    <xf numFmtId="0" fontId="8" fillId="0" borderId="14" applyNumberFormat="0" applyFont="0" applyFill="0" applyAlignment="0" applyProtection="0"/>
    <xf numFmtId="0" fontId="24" fillId="0" borderId="0" applyNumberFormat="0" applyFill="0" applyBorder="0" applyAlignment="0" applyProtection="0"/>
    <xf numFmtId="166" fontId="16" fillId="0" borderId="0" applyBorder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5" fillId="6" borderId="0" applyNumberFormat="0" applyBorder="0" applyAlignment="0" applyProtection="0"/>
    <xf numFmtId="0" fontId="26" fillId="0" borderId="0">
      <alignment horizontal="left" indent="2"/>
    </xf>
    <xf numFmtId="38" fontId="27" fillId="3" borderId="0" applyNumberFormat="0" applyBorder="0" applyAlignment="0" applyProtection="0"/>
    <xf numFmtId="38" fontId="27" fillId="3" borderId="0" applyNumberFormat="0" applyBorder="0" applyAlignment="0" applyProtection="0"/>
    <xf numFmtId="0" fontId="8" fillId="0" borderId="0"/>
    <xf numFmtId="0" fontId="28" fillId="0" borderId="0" applyNumberFormat="0" applyFill="0" applyBorder="0" applyAlignment="0" applyProtection="0">
      <alignment horizontal="left"/>
    </xf>
    <xf numFmtId="0" fontId="29" fillId="0" borderId="0" applyNumberFormat="0" applyFill="0" applyBorder="0" applyAlignment="0" applyProtection="0">
      <alignment horizontal="left"/>
    </xf>
    <xf numFmtId="0" fontId="30" fillId="0" borderId="0" applyNumberFormat="0" applyFill="0" applyBorder="0" applyAlignment="0" applyProtection="0">
      <alignment horizontal="left"/>
    </xf>
    <xf numFmtId="0" fontId="31" fillId="0" borderId="0" applyNumberFormat="0" applyFill="0" applyBorder="0" applyAlignment="0" applyProtection="0">
      <alignment horizontal="left"/>
    </xf>
    <xf numFmtId="0" fontId="32" fillId="0" borderId="0" applyNumberFormat="0" applyFill="0" applyAlignment="0" applyProtection="0">
      <alignment horizontal="left"/>
    </xf>
    <xf numFmtId="0" fontId="31" fillId="0" borderId="0" applyNumberFormat="0" applyFill="0" applyBorder="0" applyAlignment="0" applyProtection="0">
      <alignment horizontal="left"/>
    </xf>
    <xf numFmtId="0" fontId="32" fillId="0" borderId="0" applyNumberFormat="0" applyFill="0" applyBorder="0" applyAlignment="0" applyProtection="0">
      <alignment horizontal="left"/>
    </xf>
    <xf numFmtId="0" fontId="33" fillId="0" borderId="0" applyNumberFormat="0" applyFill="0" applyBorder="0" applyAlignment="0" applyProtection="0">
      <alignment horizontal="left"/>
    </xf>
    <xf numFmtId="0" fontId="34" fillId="0" borderId="0" applyNumberFormat="0" applyFill="0" applyBorder="0" applyAlignment="0" applyProtection="0">
      <alignment horizontal="left"/>
    </xf>
    <xf numFmtId="0" fontId="11" fillId="0" borderId="15" applyNumberFormat="0" applyAlignment="0" applyProtection="0">
      <alignment horizontal="left" vertical="center"/>
    </xf>
    <xf numFmtId="0" fontId="11" fillId="0" borderId="15" applyNumberFormat="0" applyAlignment="0" applyProtection="0">
      <alignment horizontal="left" vertical="center"/>
    </xf>
    <xf numFmtId="0" fontId="11" fillId="0" borderId="15" applyNumberFormat="0" applyAlignment="0" applyProtection="0">
      <alignment horizontal="left" vertical="center"/>
    </xf>
    <xf numFmtId="0" fontId="11" fillId="0" borderId="16">
      <alignment horizontal="left" vertical="center"/>
    </xf>
    <xf numFmtId="0" fontId="11" fillId="0" borderId="16">
      <alignment horizontal="left" vertical="center"/>
    </xf>
    <xf numFmtId="0" fontId="11" fillId="0" borderId="16">
      <alignment horizontal="left" vertical="center"/>
    </xf>
    <xf numFmtId="0" fontId="11" fillId="0" borderId="16">
      <alignment horizontal="left" vertical="center"/>
    </xf>
    <xf numFmtId="0" fontId="35" fillId="0" borderId="17" applyNumberFormat="0" applyFill="0" applyAlignment="0" applyProtection="0"/>
    <xf numFmtId="0" fontId="36" fillId="0" borderId="18" applyNumberFormat="0" applyFill="0" applyAlignment="0" applyProtection="0"/>
    <xf numFmtId="0" fontId="37" fillId="0" borderId="19" applyNumberFormat="0" applyFill="0" applyAlignment="0" applyProtection="0"/>
    <xf numFmtId="0" fontId="37" fillId="0" borderId="0" applyNumberFormat="0" applyFill="0" applyBorder="0" applyAlignment="0" applyProtection="0"/>
    <xf numFmtId="0" fontId="8" fillId="24" borderId="11" applyNumberFormat="0" applyFont="0" applyBorder="0" applyAlignment="0" applyProtection="0"/>
    <xf numFmtId="0" fontId="8" fillId="24" borderId="11" applyNumberFormat="0" applyFont="0" applyBorder="0" applyAlignment="0" applyProtection="0"/>
    <xf numFmtId="37" fontId="16" fillId="0" borderId="0" applyBorder="0"/>
    <xf numFmtId="10" fontId="27" fillId="25" borderId="20" applyNumberFormat="0" applyBorder="0" applyAlignment="0" applyProtection="0"/>
    <xf numFmtId="10" fontId="27" fillId="25" borderId="20" applyNumberFormat="0" applyBorder="0" applyAlignment="0" applyProtection="0"/>
    <xf numFmtId="10" fontId="27" fillId="25" borderId="20" applyNumberFormat="0" applyBorder="0" applyAlignment="0" applyProtection="0"/>
    <xf numFmtId="10" fontId="27" fillId="25" borderId="20" applyNumberFormat="0" applyBorder="0" applyAlignment="0" applyProtection="0"/>
    <xf numFmtId="10" fontId="27" fillId="25" borderId="20" applyNumberFormat="0" applyBorder="0" applyAlignment="0" applyProtection="0"/>
    <xf numFmtId="10" fontId="27" fillId="25" borderId="20" applyNumberFormat="0" applyBorder="0" applyAlignment="0" applyProtection="0"/>
    <xf numFmtId="10" fontId="27" fillId="25" borderId="20" applyNumberFormat="0" applyBorder="0" applyAlignment="0" applyProtection="0"/>
    <xf numFmtId="0" fontId="38" fillId="9" borderId="12" applyNumberFormat="0" applyAlignment="0" applyProtection="0"/>
    <xf numFmtId="0" fontId="38" fillId="9" borderId="12" applyNumberFormat="0" applyAlignment="0" applyProtection="0"/>
    <xf numFmtId="0" fontId="38" fillId="9" borderId="12" applyNumberFormat="0" applyAlignment="0" applyProtection="0"/>
    <xf numFmtId="0" fontId="38" fillId="9" borderId="12" applyNumberFormat="0" applyAlignment="0" applyProtection="0"/>
    <xf numFmtId="0" fontId="38" fillId="9" borderId="12" applyNumberFormat="0" applyAlignment="0" applyProtection="0"/>
    <xf numFmtId="0" fontId="38" fillId="9" borderId="12" applyNumberFormat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172" fontId="16" fillId="0" borderId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>
      <protection locked="0"/>
    </xf>
    <xf numFmtId="0" fontId="40" fillId="26" borderId="0" applyNumberFormat="0" applyBorder="0" applyAlignment="0" applyProtection="0"/>
    <xf numFmtId="37" fontId="41" fillId="0" borderId="0"/>
    <xf numFmtId="177" fontId="42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178" fontId="12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79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44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1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0" fontId="8" fillId="0" borderId="0"/>
    <xf numFmtId="0" fontId="8" fillId="0" borderId="0"/>
    <xf numFmtId="179" fontId="44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0" fontId="43" fillId="0" borderId="0"/>
    <xf numFmtId="0" fontId="1" fillId="0" borderId="0"/>
    <xf numFmtId="0" fontId="8" fillId="0" borderId="0"/>
    <xf numFmtId="0" fontId="8" fillId="0" borderId="0"/>
    <xf numFmtId="37" fontId="5" fillId="0" borderId="0"/>
    <xf numFmtId="37" fontId="5" fillId="0" borderId="0"/>
    <xf numFmtId="37" fontId="5" fillId="0" borderId="0"/>
    <xf numFmtId="37" fontId="5" fillId="0" borderId="0"/>
    <xf numFmtId="37" fontId="5" fillId="0" borderId="0"/>
    <xf numFmtId="37" fontId="5" fillId="0" borderId="0"/>
    <xf numFmtId="37" fontId="5" fillId="0" borderId="0"/>
    <xf numFmtId="37" fontId="5" fillId="0" borderId="0"/>
    <xf numFmtId="0" fontId="43" fillId="0" borderId="0"/>
    <xf numFmtId="0" fontId="1" fillId="0" borderId="0"/>
    <xf numFmtId="37" fontId="5" fillId="0" borderId="0"/>
    <xf numFmtId="37" fontId="5" fillId="0" borderId="0"/>
    <xf numFmtId="37" fontId="5" fillId="0" borderId="0"/>
    <xf numFmtId="0" fontId="13" fillId="0" borderId="0"/>
    <xf numFmtId="0" fontId="13" fillId="0" borderId="0"/>
    <xf numFmtId="0" fontId="13" fillId="0" borderId="0"/>
    <xf numFmtId="0" fontId="43" fillId="0" borderId="0"/>
    <xf numFmtId="0" fontId="4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7" fontId="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81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/>
    <xf numFmtId="0" fontId="8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0" fontId="8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27" borderId="22" applyNumberFormat="0" applyFont="0" applyAlignment="0" applyProtection="0"/>
    <xf numFmtId="0" fontId="8" fillId="27" borderId="22" applyNumberFormat="0" applyFont="0" applyAlignment="0" applyProtection="0"/>
    <xf numFmtId="0" fontId="8" fillId="27" borderId="22" applyNumberFormat="0" applyFont="0" applyAlignment="0" applyProtection="0"/>
    <xf numFmtId="0" fontId="8" fillId="0" borderId="14" applyNumberFormat="0" applyFont="0" applyFill="0" applyAlignment="0" applyProtection="0"/>
    <xf numFmtId="0" fontId="46" fillId="22" borderId="23" applyNumberFormat="0" applyAlignment="0" applyProtection="0"/>
    <xf numFmtId="0" fontId="46" fillId="22" borderId="23" applyNumberFormat="0" applyAlignment="0" applyProtection="0"/>
    <xf numFmtId="0" fontId="46" fillId="22" borderId="23" applyNumberFormat="0" applyAlignment="0" applyProtection="0"/>
    <xf numFmtId="0" fontId="8" fillId="0" borderId="2" applyNumberFormat="0" applyFont="0" applyFill="0" applyAlignment="0" applyProtection="0"/>
    <xf numFmtId="0" fontId="8" fillId="0" borderId="2" applyNumberFormat="0" applyFont="0" applyFill="0" applyAlignment="0" applyProtection="0"/>
    <xf numFmtId="0" fontId="8" fillId="0" borderId="9" applyNumberFormat="0" applyFont="0" applyFill="0" applyAlignment="0" applyProtection="0"/>
    <xf numFmtId="0" fontId="8" fillId="0" borderId="9" applyNumberFormat="0" applyFont="0" applyFill="0" applyAlignment="0" applyProtection="0"/>
    <xf numFmtId="0" fontId="8" fillId="0" borderId="9" applyNumberFormat="0" applyFont="0" applyFill="0" applyAlignment="0" applyProtection="0"/>
    <xf numFmtId="0" fontId="8" fillId="0" borderId="9" applyNumberFormat="0" applyFont="0" applyFill="0" applyAlignment="0" applyProtection="0"/>
    <xf numFmtId="164" fontId="16" fillId="0" borderId="10" applyBorder="0"/>
    <xf numFmtId="164" fontId="16" fillId="0" borderId="10" applyBorder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2" fillId="0" borderId="0">
      <protection locked="0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38" fontId="47" fillId="0" borderId="0"/>
    <xf numFmtId="0" fontId="8" fillId="24" borderId="0" applyNumberFormat="0" applyBorder="0" applyProtection="0">
      <alignment horizont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48" fillId="0" borderId="0">
      <alignment horizontal="left"/>
    </xf>
    <xf numFmtId="0" fontId="20" fillId="0" borderId="0">
      <alignment horizontal="left" indent="1"/>
    </xf>
    <xf numFmtId="49" fontId="16" fillId="0" borderId="0"/>
    <xf numFmtId="18" fontId="16" fillId="0" borderId="0" applyFill="0" applyProtection="0">
      <alignment horizontal="center"/>
    </xf>
    <xf numFmtId="0" fontId="49" fillId="0" borderId="0" applyNumberFormat="0" applyFill="0" applyBorder="0" applyAlignment="0" applyProtection="0"/>
    <xf numFmtId="0" fontId="50" fillId="0" borderId="0">
      <alignment horizontal="center"/>
    </xf>
    <xf numFmtId="182" fontId="26" fillId="0" borderId="0">
      <alignment horizontal="center"/>
    </xf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2" fillId="0" borderId="0" applyNumberFormat="0" applyFill="0" applyBorder="0" applyAlignment="0" applyProtection="0">
      <alignment horizontal="left"/>
    </xf>
    <xf numFmtId="0" fontId="53" fillId="0" borderId="0" applyNumberFormat="0" applyFill="0" applyBorder="0" applyAlignment="0" applyProtection="0">
      <alignment horizontal="left"/>
    </xf>
    <xf numFmtId="0" fontId="54" fillId="0" borderId="0" applyNumberFormat="0" applyFill="0" applyBorder="0" applyAlignment="0" applyProtection="0">
      <alignment horizontal="left"/>
    </xf>
    <xf numFmtId="0" fontId="55" fillId="0" borderId="0" applyNumberFormat="0" applyFill="0" applyBorder="0" applyAlignment="0" applyProtection="0">
      <alignment horizontal="left"/>
    </xf>
    <xf numFmtId="0" fontId="56" fillId="0" borderId="0" applyNumberFormat="0" applyFill="0" applyBorder="0" applyAlignment="0" applyProtection="0">
      <alignment horizontal="left"/>
    </xf>
    <xf numFmtId="0" fontId="55" fillId="0" borderId="0" applyNumberFormat="0" applyFill="0" applyBorder="0" applyAlignment="0" applyProtection="0">
      <alignment horizontal="left"/>
    </xf>
    <xf numFmtId="0" fontId="56" fillId="0" borderId="0" applyNumberFormat="0" applyFill="0" applyBorder="0" applyAlignment="0" applyProtection="0">
      <alignment horizontal="left"/>
    </xf>
    <xf numFmtId="0" fontId="57" fillId="0" borderId="0">
      <alignment horizontal="left"/>
    </xf>
    <xf numFmtId="0" fontId="16" fillId="0" borderId="0" applyNumberFormat="0" applyFill="0" applyBorder="0" applyAlignment="0" applyProtection="0">
      <alignment horizontal="left"/>
    </xf>
    <xf numFmtId="0" fontId="8" fillId="24" borderId="0" applyNumberFormat="0" applyFont="0" applyBorder="0" applyAlignment="0" applyProtection="0"/>
    <xf numFmtId="0" fontId="8" fillId="0" borderId="10" applyNumberFormat="0" applyFont="0" applyFill="0" applyAlignment="0" applyProtection="0"/>
    <xf numFmtId="0" fontId="8" fillId="0" borderId="10" applyNumberFormat="0" applyFont="0" applyFill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1" fillId="0" borderId="25">
      <alignment horizontal="left" vertical="center"/>
    </xf>
    <xf numFmtId="0" fontId="11" fillId="0" borderId="25">
      <alignment horizontal="left" vertical="center"/>
    </xf>
    <xf numFmtId="0" fontId="11" fillId="0" borderId="25">
      <alignment horizontal="left" vertical="center"/>
    </xf>
    <xf numFmtId="0" fontId="11" fillId="0" borderId="25">
      <alignment horizontal="left" vertical="center"/>
    </xf>
    <xf numFmtId="0" fontId="8" fillId="27" borderId="27" applyNumberFormat="0" applyFont="0" applyAlignment="0" applyProtection="0"/>
    <xf numFmtId="0" fontId="8" fillId="27" borderId="27" applyNumberFormat="0" applyFont="0" applyAlignment="0" applyProtection="0"/>
    <xf numFmtId="0" fontId="8" fillId="27" borderId="27" applyNumberFormat="0" applyFont="0" applyAlignment="0" applyProtection="0"/>
    <xf numFmtId="0" fontId="46" fillId="22" borderId="28" applyNumberFormat="0" applyAlignment="0" applyProtection="0"/>
    <xf numFmtId="0" fontId="46" fillId="22" borderId="28" applyNumberFormat="0" applyAlignment="0" applyProtection="0"/>
    <xf numFmtId="0" fontId="46" fillId="22" borderId="28" applyNumberFormat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Alignment="0" applyProtection="0"/>
    <xf numFmtId="0" fontId="59" fillId="0" borderId="0"/>
    <xf numFmtId="0" fontId="59" fillId="0" borderId="0"/>
    <xf numFmtId="0" fontId="59" fillId="28" borderId="26" applyNumberFormat="0" applyFont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296">
    <xf numFmtId="0" fontId="0" fillId="0" borderId="0" xfId="0"/>
    <xf numFmtId="0" fontId="0" fillId="0" borderId="0" xfId="0" applyAlignment="1">
      <alignment horizontal="center"/>
    </xf>
    <xf numFmtId="0" fontId="60" fillId="0" borderId="0" xfId="0" applyFont="1"/>
    <xf numFmtId="0" fontId="0" fillId="0" borderId="4" xfId="0" applyBorder="1"/>
    <xf numFmtId="0" fontId="0" fillId="0" borderId="7" xfId="0" applyBorder="1"/>
    <xf numFmtId="0" fontId="0" fillId="0" borderId="0" xfId="0" applyAlignment="1">
      <alignment vertical="center" wrapText="1"/>
    </xf>
    <xf numFmtId="169" fontId="0" fillId="0" borderId="0" xfId="2" applyNumberFormat="1" applyFont="1"/>
    <xf numFmtId="169" fontId="0" fillId="0" borderId="0" xfId="0" applyNumberFormat="1"/>
    <xf numFmtId="9" fontId="0" fillId="0" borderId="0" xfId="3" applyFont="1"/>
    <xf numFmtId="0" fontId="6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0" fillId="0" borderId="0" xfId="0" applyFont="1" applyAlignment="1">
      <alignment horizontal="right" vertical="center" wrapText="1"/>
    </xf>
    <xf numFmtId="0" fontId="60" fillId="0" borderId="0" xfId="0" applyFont="1" applyAlignment="1">
      <alignment vertical="center" wrapText="1"/>
    </xf>
    <xf numFmtId="0" fontId="64" fillId="0" borderId="0" xfId="0" applyFont="1"/>
    <xf numFmtId="6" fontId="0" fillId="0" borderId="0" xfId="0" applyNumberFormat="1"/>
    <xf numFmtId="6" fontId="60" fillId="0" borderId="0" xfId="0" applyNumberFormat="1" applyFont="1" applyAlignment="1">
      <alignment horizontal="right" vertical="center" wrapText="1"/>
    </xf>
    <xf numFmtId="0" fontId="65" fillId="0" borderId="0" xfId="0" applyFont="1"/>
    <xf numFmtId="0" fontId="0" fillId="29" borderId="33" xfId="0" applyFill="1" applyBorder="1"/>
    <xf numFmtId="0" fontId="0" fillId="0" borderId="5" xfId="0" applyBorder="1"/>
    <xf numFmtId="6" fontId="0" fillId="0" borderId="8" xfId="0" applyNumberFormat="1" applyBorder="1"/>
    <xf numFmtId="0" fontId="60" fillId="29" borderId="31" xfId="0" applyFont="1" applyFill="1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60" fillId="0" borderId="7" xfId="0" applyFont="1" applyBorder="1"/>
    <xf numFmtId="37" fontId="1" fillId="0" borderId="0" xfId="0" applyNumberFormat="1" applyFont="1" applyAlignment="1">
      <alignment horizontal="left" indent="3"/>
    </xf>
    <xf numFmtId="167" fontId="0" fillId="0" borderId="0" xfId="0" applyNumberFormat="1"/>
    <xf numFmtId="165" fontId="0" fillId="0" borderId="0" xfId="0" applyNumberFormat="1"/>
    <xf numFmtId="165" fontId="60" fillId="0" borderId="0" xfId="0" applyNumberFormat="1" applyFont="1"/>
    <xf numFmtId="167" fontId="60" fillId="0" borderId="0" xfId="0" applyNumberFormat="1" applyFont="1"/>
    <xf numFmtId="9" fontId="0" fillId="0" borderId="8" xfId="3" applyFont="1" applyBorder="1"/>
    <xf numFmtId="6" fontId="0" fillId="0" borderId="0" xfId="0" applyNumberFormat="1" applyAlignment="1">
      <alignment horizontal="center"/>
    </xf>
    <xf numFmtId="6" fontId="60" fillId="0" borderId="0" xfId="0" applyNumberFormat="1" applyFont="1" applyAlignment="1">
      <alignment horizontal="center"/>
    </xf>
    <xf numFmtId="6" fontId="60" fillId="0" borderId="1" xfId="0" applyNumberFormat="1" applyFont="1" applyBorder="1" applyAlignment="1">
      <alignment horizontal="center"/>
    </xf>
    <xf numFmtId="0" fontId="60" fillId="0" borderId="4" xfId="0" applyFont="1" applyBorder="1"/>
    <xf numFmtId="6" fontId="0" fillId="0" borderId="3" xfId="0" applyNumberFormat="1" applyBorder="1" applyAlignment="1">
      <alignment horizontal="center"/>
    </xf>
    <xf numFmtId="6" fontId="60" fillId="0" borderId="3" xfId="0" applyNumberFormat="1" applyFont="1" applyBorder="1" applyAlignment="1">
      <alignment horizontal="center"/>
    </xf>
    <xf numFmtId="6" fontId="60" fillId="0" borderId="6" xfId="0" applyNumberFormat="1" applyFont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60" fillId="0" borderId="6" xfId="3" applyFont="1" applyBorder="1" applyAlignment="1">
      <alignment horizontal="center"/>
    </xf>
    <xf numFmtId="0" fontId="60" fillId="29" borderId="30" xfId="0" applyFont="1" applyFill="1" applyBorder="1" applyAlignment="1">
      <alignment horizontal="center"/>
    </xf>
    <xf numFmtId="0" fontId="60" fillId="29" borderId="32" xfId="0" applyFont="1" applyFill="1" applyBorder="1" applyAlignment="1">
      <alignment horizontal="center"/>
    </xf>
    <xf numFmtId="9" fontId="60" fillId="0" borderId="3" xfId="3" applyFont="1" applyBorder="1" applyAlignment="1">
      <alignment horizontal="center"/>
    </xf>
    <xf numFmtId="169" fontId="0" fillId="0" borderId="5" xfId="2" applyNumberFormat="1" applyFont="1" applyBorder="1"/>
    <xf numFmtId="6" fontId="0" fillId="0" borderId="5" xfId="0" applyNumberFormat="1" applyBorder="1"/>
    <xf numFmtId="9" fontId="0" fillId="0" borderId="5" xfId="0" applyNumberFormat="1" applyBorder="1"/>
    <xf numFmtId="0" fontId="0" fillId="0" borderId="5" xfId="0" applyBorder="1" applyAlignment="1">
      <alignment horizontal="right"/>
    </xf>
    <xf numFmtId="0" fontId="60" fillId="29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60" fillId="29" borderId="30" xfId="0" applyFont="1" applyFill="1" applyBorder="1" applyAlignment="1">
      <alignment horizontal="center" vertical="center" wrapText="1"/>
    </xf>
    <xf numFmtId="0" fontId="60" fillId="29" borderId="32" xfId="0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 wrapText="1"/>
    </xf>
    <xf numFmtId="6" fontId="0" fillId="0" borderId="6" xfId="0" applyNumberFormat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9" fontId="0" fillId="0" borderId="5" xfId="3" applyFont="1" applyBorder="1"/>
    <xf numFmtId="169" fontId="0" fillId="0" borderId="5" xfId="0" applyNumberFormat="1" applyBorder="1"/>
    <xf numFmtId="169" fontId="60" fillId="0" borderId="5" xfId="0" applyNumberFormat="1" applyFont="1" applyBorder="1"/>
    <xf numFmtId="0" fontId="0" fillId="0" borderId="8" xfId="0" applyBorder="1" applyAlignment="1">
      <alignment horizontal="right"/>
    </xf>
    <xf numFmtId="0" fontId="0" fillId="30" borderId="0" xfId="0" applyFill="1"/>
    <xf numFmtId="169" fontId="60" fillId="31" borderId="0" xfId="0" applyNumberFormat="1" applyFont="1" applyFill="1"/>
    <xf numFmtId="0" fontId="0" fillId="31" borderId="0" xfId="0" applyFill="1"/>
    <xf numFmtId="0" fontId="60" fillId="30" borderId="0" xfId="0" applyFont="1" applyFill="1" applyAlignment="1">
      <alignment horizontal="right"/>
    </xf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center"/>
    </xf>
    <xf numFmtId="186" fontId="0" fillId="0" borderId="0" xfId="0" applyNumberFormat="1" applyAlignment="1">
      <alignment horizontal="center"/>
    </xf>
    <xf numFmtId="186" fontId="0" fillId="0" borderId="5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86" fontId="0" fillId="0" borderId="8" xfId="0" applyNumberFormat="1" applyBorder="1" applyAlignment="1">
      <alignment horizontal="center"/>
    </xf>
    <xf numFmtId="169" fontId="0" fillId="0" borderId="4" xfId="2" applyNumberFormat="1" applyFont="1" applyBorder="1" applyAlignment="1">
      <alignment horizontal="center"/>
    </xf>
    <xf numFmtId="9" fontId="60" fillId="0" borderId="0" xfId="0" applyNumberFormat="1" applyFont="1" applyAlignment="1">
      <alignment horizontal="center"/>
    </xf>
    <xf numFmtId="186" fontId="60" fillId="0" borderId="0" xfId="0" applyNumberFormat="1" applyFont="1" applyAlignment="1">
      <alignment horizontal="center"/>
    </xf>
    <xf numFmtId="9" fontId="0" fillId="0" borderId="0" xfId="3" applyFont="1" applyBorder="1" applyAlignment="1">
      <alignment horizontal="center"/>
    </xf>
    <xf numFmtId="169" fontId="0" fillId="0" borderId="7" xfId="2" applyNumberFormat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165" fontId="0" fillId="0" borderId="4" xfId="2" applyNumberFormat="1" applyFont="1" applyBorder="1" applyAlignment="1">
      <alignment horizontal="center"/>
    </xf>
    <xf numFmtId="165" fontId="0" fillId="0" borderId="7" xfId="2" applyNumberFormat="1" applyFont="1" applyBorder="1" applyAlignment="1">
      <alignment horizontal="center"/>
    </xf>
    <xf numFmtId="0" fontId="0" fillId="0" borderId="1" xfId="0" applyBorder="1"/>
    <xf numFmtId="169" fontId="0" fillId="0" borderId="0" xfId="2" applyNumberFormat="1" applyFont="1" applyBorder="1"/>
    <xf numFmtId="0" fontId="0" fillId="0" borderId="33" xfId="0" applyBorder="1" applyAlignment="1">
      <alignment horizontal="right"/>
    </xf>
    <xf numFmtId="6" fontId="0" fillId="0" borderId="5" xfId="0" applyNumberFormat="1" applyBorder="1" applyAlignment="1">
      <alignment horizontal="right"/>
    </xf>
    <xf numFmtId="8" fontId="0" fillId="0" borderId="5" xfId="0" applyNumberFormat="1" applyBorder="1" applyAlignment="1">
      <alignment horizontal="right"/>
    </xf>
    <xf numFmtId="9" fontId="0" fillId="0" borderId="8" xfId="0" applyNumberFormat="1" applyBorder="1" applyAlignment="1">
      <alignment horizontal="right"/>
    </xf>
    <xf numFmtId="183" fontId="0" fillId="0" borderId="33" xfId="1" applyNumberFormat="1" applyFon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183" fontId="0" fillId="0" borderId="0" xfId="1" applyNumberFormat="1" applyFont="1" applyBorder="1" applyAlignment="1">
      <alignment horizontal="right"/>
    </xf>
    <xf numFmtId="6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6" fontId="0" fillId="0" borderId="8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6" fontId="0" fillId="0" borderId="30" xfId="0" applyNumberFormat="1" applyBorder="1"/>
    <xf numFmtId="6" fontId="0" fillId="0" borderId="3" xfId="0" applyNumberFormat="1" applyBorder="1"/>
    <xf numFmtId="8" fontId="0" fillId="0" borderId="3" xfId="0" applyNumberFormat="1" applyBorder="1"/>
    <xf numFmtId="166" fontId="0" fillId="0" borderId="3" xfId="0" applyNumberFormat="1" applyBorder="1"/>
    <xf numFmtId="166" fontId="0" fillId="0" borderId="6" xfId="0" applyNumberFormat="1" applyBorder="1"/>
    <xf numFmtId="0" fontId="0" fillId="0" borderId="33" xfId="0" applyBorder="1"/>
    <xf numFmtId="8" fontId="0" fillId="0" borderId="5" xfId="0" applyNumberFormat="1" applyBorder="1"/>
    <xf numFmtId="165" fontId="0" fillId="0" borderId="33" xfId="2" applyNumberFormat="1" applyFont="1" applyBorder="1"/>
    <xf numFmtId="165" fontId="0" fillId="0" borderId="5" xfId="2" applyNumberFormat="1" applyFont="1" applyBorder="1"/>
    <xf numFmtId="165" fontId="0" fillId="0" borderId="8" xfId="2" applyNumberFormat="1" applyFont="1" applyBorder="1"/>
    <xf numFmtId="165" fontId="0" fillId="0" borderId="33" xfId="1" applyNumberFormat="1" applyFon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7" fontId="0" fillId="0" borderId="5" xfId="0" applyNumberFormat="1" applyBorder="1"/>
    <xf numFmtId="165" fontId="0" fillId="0" borderId="8" xfId="0" applyNumberFormat="1" applyBorder="1" applyAlignment="1">
      <alignment horizontal="right"/>
    </xf>
    <xf numFmtId="167" fontId="0" fillId="0" borderId="8" xfId="0" applyNumberFormat="1" applyBorder="1"/>
    <xf numFmtId="183" fontId="0" fillId="0" borderId="30" xfId="1" applyNumberFormat="1" applyFont="1" applyBorder="1"/>
    <xf numFmtId="183" fontId="0" fillId="0" borderId="3" xfId="1" applyNumberFormat="1" applyFont="1" applyBorder="1"/>
    <xf numFmtId="183" fontId="0" fillId="0" borderId="6" xfId="1" applyNumberFormat="1" applyFont="1" applyBorder="1" applyAlignment="1">
      <alignment horizontal="right"/>
    </xf>
    <xf numFmtId="165" fontId="0" fillId="0" borderId="30" xfId="0" applyNumberFormat="1" applyBorder="1"/>
    <xf numFmtId="165" fontId="0" fillId="0" borderId="3" xfId="0" applyNumberFormat="1" applyBorder="1"/>
    <xf numFmtId="165" fontId="0" fillId="0" borderId="6" xfId="0" applyNumberFormat="1" applyBorder="1"/>
    <xf numFmtId="167" fontId="0" fillId="0" borderId="30" xfId="0" applyNumberFormat="1" applyBorder="1"/>
    <xf numFmtId="167" fontId="0" fillId="0" borderId="3" xfId="0" applyNumberFormat="1" applyBorder="1"/>
    <xf numFmtId="167" fontId="0" fillId="0" borderId="6" xfId="0" applyNumberFormat="1" applyBorder="1"/>
    <xf numFmtId="44" fontId="0" fillId="0" borderId="0" xfId="0" applyNumberFormat="1"/>
    <xf numFmtId="9" fontId="0" fillId="0" borderId="5" xfId="3" applyFont="1" applyBorder="1" applyAlignment="1">
      <alignment horizontal="center"/>
    </xf>
    <xf numFmtId="9" fontId="0" fillId="0" borderId="8" xfId="3" applyFont="1" applyBorder="1" applyAlignment="1">
      <alignment horizontal="center"/>
    </xf>
    <xf numFmtId="166" fontId="0" fillId="0" borderId="5" xfId="3" applyNumberFormat="1" applyFont="1" applyBorder="1"/>
    <xf numFmtId="186" fontId="0" fillId="0" borderId="5" xfId="0" applyNumberFormat="1" applyBorder="1"/>
    <xf numFmtId="0" fontId="60" fillId="0" borderId="31" xfId="0" applyFont="1" applyBorder="1"/>
    <xf numFmtId="0" fontId="60" fillId="30" borderId="31" xfId="0" applyFont="1" applyFill="1" applyBorder="1" applyAlignment="1">
      <alignment horizontal="center"/>
    </xf>
    <xf numFmtId="0" fontId="0" fillId="30" borderId="32" xfId="0" applyFill="1" applyBorder="1"/>
    <xf numFmtId="0" fontId="60" fillId="0" borderId="32" xfId="0" applyFont="1" applyBorder="1" applyAlignment="1">
      <alignment horizontal="center"/>
    </xf>
    <xf numFmtId="0" fontId="60" fillId="0" borderId="33" xfId="0" applyFont="1" applyBorder="1" applyAlignment="1">
      <alignment horizontal="center"/>
    </xf>
    <xf numFmtId="0" fontId="60" fillId="30" borderId="4" xfId="0" applyFont="1" applyFill="1" applyBorder="1" applyAlignment="1">
      <alignment horizontal="center"/>
    </xf>
    <xf numFmtId="0" fontId="60" fillId="30" borderId="4" xfId="0" applyFont="1" applyFill="1" applyBorder="1" applyAlignment="1">
      <alignment horizontal="left"/>
    </xf>
    <xf numFmtId="14" fontId="0" fillId="30" borderId="4" xfId="0" applyNumberFormat="1" applyFill="1" applyBorder="1" applyAlignment="1">
      <alignment horizontal="left"/>
    </xf>
    <xf numFmtId="0" fontId="0" fillId="30" borderId="4" xfId="0" applyFill="1" applyBorder="1" applyAlignment="1">
      <alignment horizontal="left"/>
    </xf>
    <xf numFmtId="0" fontId="60" fillId="30" borderId="4" xfId="0" applyFont="1" applyFill="1" applyBorder="1"/>
    <xf numFmtId="169" fontId="69" fillId="30" borderId="4" xfId="2" applyNumberFormat="1" applyFont="1" applyFill="1" applyBorder="1"/>
    <xf numFmtId="0" fontId="0" fillId="30" borderId="4" xfId="0" applyFill="1" applyBorder="1" applyAlignment="1">
      <alignment horizontal="center"/>
    </xf>
    <xf numFmtId="169" fontId="62" fillId="0" borderId="0" xfId="2" applyNumberFormat="1" applyFont="1" applyBorder="1"/>
    <xf numFmtId="169" fontId="62" fillId="0" borderId="5" xfId="2" applyNumberFormat="1" applyFont="1" applyBorder="1"/>
    <xf numFmtId="0" fontId="0" fillId="30" borderId="4" xfId="0" applyFill="1" applyBorder="1"/>
    <xf numFmtId="0" fontId="60" fillId="30" borderId="0" xfId="0" applyFont="1" applyFill="1"/>
    <xf numFmtId="169" fontId="60" fillId="0" borderId="0" xfId="0" applyNumberFormat="1" applyFont="1"/>
    <xf numFmtId="169" fontId="62" fillId="0" borderId="0" xfId="0" applyNumberFormat="1" applyFont="1"/>
    <xf numFmtId="169" fontId="62" fillId="0" borderId="5" xfId="0" applyNumberFormat="1" applyFont="1" applyBorder="1"/>
    <xf numFmtId="169" fontId="63" fillId="30" borderId="4" xfId="2" applyNumberFormat="1" applyFont="1" applyFill="1" applyBorder="1"/>
    <xf numFmtId="169" fontId="68" fillId="0" borderId="0" xfId="0" applyNumberFormat="1" applyFont="1"/>
    <xf numFmtId="9" fontId="63" fillId="30" borderId="4" xfId="0" applyNumberFormat="1" applyFont="1" applyFill="1" applyBorder="1"/>
    <xf numFmtId="169" fontId="2" fillId="0" borderId="0" xfId="0" applyNumberFormat="1" applyFont="1"/>
    <xf numFmtId="169" fontId="2" fillId="0" borderId="5" xfId="0" applyNumberFormat="1" applyFont="1" applyBorder="1"/>
    <xf numFmtId="44" fontId="62" fillId="0" borderId="0" xfId="0" applyNumberFormat="1" applyFont="1"/>
    <xf numFmtId="44" fontId="62" fillId="0" borderId="5" xfId="0" applyNumberFormat="1" applyFont="1" applyBorder="1"/>
    <xf numFmtId="0" fontId="67" fillId="30" borderId="0" xfId="0" applyFont="1" applyFill="1" applyAlignment="1">
      <alignment horizontal="right"/>
    </xf>
    <xf numFmtId="9" fontId="67" fillId="0" borderId="0" xfId="0" applyNumberFormat="1" applyFont="1"/>
    <xf numFmtId="186" fontId="60" fillId="0" borderId="0" xfId="0" applyNumberFormat="1" applyFont="1"/>
    <xf numFmtId="169" fontId="0" fillId="30" borderId="0" xfId="2" applyNumberFormat="1" applyFont="1" applyFill="1" applyBorder="1"/>
    <xf numFmtId="9" fontId="0" fillId="30" borderId="0" xfId="0" applyNumberFormat="1" applyFill="1"/>
    <xf numFmtId="9" fontId="67" fillId="30" borderId="0" xfId="0" applyNumberFormat="1" applyFont="1" applyFill="1" applyAlignment="1">
      <alignment horizontal="right"/>
    </xf>
    <xf numFmtId="9" fontId="60" fillId="0" borderId="0" xfId="3" applyFont="1" applyBorder="1"/>
    <xf numFmtId="0" fontId="0" fillId="30" borderId="7" xfId="0" applyFill="1" applyBorder="1"/>
    <xf numFmtId="0" fontId="67" fillId="30" borderId="1" xfId="0" applyFont="1" applyFill="1" applyBorder="1" applyAlignment="1">
      <alignment horizontal="right"/>
    </xf>
    <xf numFmtId="186" fontId="60" fillId="0" borderId="1" xfId="0" applyNumberFormat="1" applyFont="1" applyBorder="1"/>
    <xf numFmtId="0" fontId="61" fillId="30" borderId="4" xfId="0" applyFont="1" applyFill="1" applyBorder="1"/>
    <xf numFmtId="14" fontId="0" fillId="0" borderId="32" xfId="0" applyNumberFormat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185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  <xf numFmtId="184" fontId="0" fillId="0" borderId="5" xfId="0" applyNumberFormat="1" applyBorder="1" applyAlignment="1">
      <alignment horizontal="center"/>
    </xf>
    <xf numFmtId="0" fontId="60" fillId="0" borderId="4" xfId="0" applyFont="1" applyBorder="1" applyAlignment="1">
      <alignment wrapText="1"/>
    </xf>
    <xf numFmtId="0" fontId="60" fillId="0" borderId="0" xfId="0" applyFont="1" applyAlignment="1">
      <alignment horizontal="left"/>
    </xf>
    <xf numFmtId="0" fontId="0" fillId="0" borderId="32" xfId="0" applyBorder="1"/>
    <xf numFmtId="0" fontId="60" fillId="29" borderId="31" xfId="0" applyFont="1" applyFill="1" applyBorder="1" applyAlignment="1">
      <alignment horizontal="center"/>
    </xf>
    <xf numFmtId="0" fontId="0" fillId="29" borderId="32" xfId="0" applyFill="1" applyBorder="1"/>
    <xf numFmtId="169" fontId="0" fillId="29" borderId="4" xfId="0" applyNumberFormat="1" applyFill="1" applyBorder="1"/>
    <xf numFmtId="169" fontId="60" fillId="29" borderId="0" xfId="0" applyNumberFormat="1" applyFont="1" applyFill="1"/>
    <xf numFmtId="169" fontId="60" fillId="29" borderId="5" xfId="0" applyNumberFormat="1" applyFont="1" applyFill="1" applyBorder="1"/>
    <xf numFmtId="0" fontId="0" fillId="29" borderId="4" xfId="0" applyFill="1" applyBorder="1"/>
    <xf numFmtId="0" fontId="60" fillId="29" borderId="0" xfId="0" applyFont="1" applyFill="1"/>
    <xf numFmtId="169" fontId="60" fillId="29" borderId="0" xfId="2" applyNumberFormat="1" applyFont="1" applyFill="1" applyBorder="1"/>
    <xf numFmtId="169" fontId="60" fillId="29" borderId="5" xfId="2" applyNumberFormat="1" applyFont="1" applyFill="1" applyBorder="1"/>
    <xf numFmtId="0" fontId="60" fillId="29" borderId="33" xfId="0" applyFont="1" applyFill="1" applyBorder="1" applyAlignment="1">
      <alignment horizontal="center"/>
    </xf>
    <xf numFmtId="0" fontId="60" fillId="29" borderId="31" xfId="0" applyFont="1" applyFill="1" applyBorder="1" applyAlignment="1">
      <alignment wrapText="1"/>
    </xf>
    <xf numFmtId="0" fontId="67" fillId="29" borderId="34" xfId="0" applyFont="1" applyFill="1" applyBorder="1" applyAlignment="1">
      <alignment horizontal="center"/>
    </xf>
    <xf numFmtId="0" fontId="60" fillId="29" borderId="30" xfId="0" applyFont="1" applyFill="1" applyBorder="1"/>
    <xf numFmtId="0" fontId="60" fillId="29" borderId="3" xfId="0" applyFont="1" applyFill="1" applyBorder="1"/>
    <xf numFmtId="0" fontId="60" fillId="29" borderId="6" xfId="0" applyFont="1" applyFill="1" applyBorder="1"/>
    <xf numFmtId="165" fontId="60" fillId="0" borderId="1" xfId="0" applyNumberFormat="1" applyFont="1" applyBorder="1"/>
    <xf numFmtId="167" fontId="60" fillId="0" borderId="1" xfId="0" applyNumberFormat="1" applyFont="1" applyBorder="1"/>
    <xf numFmtId="167" fontId="0" fillId="0" borderId="5" xfId="0" applyNumberFormat="1" applyBorder="1" applyAlignment="1">
      <alignment horizontal="center"/>
    </xf>
    <xf numFmtId="167" fontId="60" fillId="32" borderId="8" xfId="0" applyNumberFormat="1" applyFont="1" applyFill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60" fillId="32" borderId="8" xfId="0" applyNumberFormat="1" applyFont="1" applyFill="1" applyBorder="1" applyAlignment="1">
      <alignment horizontal="center"/>
    </xf>
    <xf numFmtId="183" fontId="0" fillId="0" borderId="5" xfId="1" applyNumberFormat="1" applyFont="1" applyBorder="1" applyAlignment="1"/>
    <xf numFmtId="183" fontId="60" fillId="32" borderId="8" xfId="1" applyNumberFormat="1" applyFont="1" applyFill="1" applyBorder="1" applyAlignment="1"/>
    <xf numFmtId="0" fontId="60" fillId="32" borderId="8" xfId="0" applyFont="1" applyFill="1" applyBorder="1" applyAlignment="1">
      <alignment horizontal="center"/>
    </xf>
    <xf numFmtId="0" fontId="60" fillId="0" borderId="30" xfId="0" applyFont="1" applyBorder="1" applyAlignment="1">
      <alignment horizontal="center"/>
    </xf>
    <xf numFmtId="9" fontId="60" fillId="32" borderId="6" xfId="3" applyFont="1" applyFill="1" applyBorder="1" applyAlignment="1">
      <alignment horizontal="center"/>
    </xf>
    <xf numFmtId="0" fontId="0" fillId="29" borderId="32" xfId="0" applyFill="1" applyBorder="1" applyAlignment="1">
      <alignment horizontal="center"/>
    </xf>
    <xf numFmtId="0" fontId="60" fillId="29" borderId="32" xfId="0" applyFont="1" applyFill="1" applyBorder="1"/>
    <xf numFmtId="0" fontId="60" fillId="29" borderId="1" xfId="0" applyFont="1" applyFill="1" applyBorder="1"/>
    <xf numFmtId="0" fontId="67" fillId="29" borderId="31" xfId="0" applyFont="1" applyFill="1" applyBorder="1"/>
    <xf numFmtId="0" fontId="0" fillId="29" borderId="33" xfId="0" applyFill="1" applyBorder="1" applyAlignment="1">
      <alignment horizontal="center"/>
    </xf>
    <xf numFmtId="37" fontId="1" fillId="0" borderId="4" xfId="0" applyNumberFormat="1" applyFont="1" applyBorder="1" applyAlignment="1">
      <alignment horizontal="left" indent="3"/>
    </xf>
    <xf numFmtId="165" fontId="62" fillId="0" borderId="0" xfId="0" applyNumberFormat="1" applyFont="1"/>
    <xf numFmtId="167" fontId="62" fillId="0" borderId="0" xfId="0" applyNumberFormat="1" applyFont="1"/>
    <xf numFmtId="9" fontId="62" fillId="0" borderId="5" xfId="3" applyFont="1" applyBorder="1"/>
    <xf numFmtId="165" fontId="2" fillId="0" borderId="0" xfId="0" applyNumberFormat="1" applyFont="1"/>
    <xf numFmtId="167" fontId="2" fillId="0" borderId="0" xfId="0" applyNumberFormat="1" applyFont="1"/>
    <xf numFmtId="9" fontId="2" fillId="0" borderId="5" xfId="3" applyFont="1" applyBorder="1"/>
    <xf numFmtId="37" fontId="60" fillId="0" borderId="4" xfId="0" applyNumberFormat="1" applyFont="1" applyBorder="1"/>
    <xf numFmtId="9" fontId="60" fillId="0" borderId="5" xfId="3" applyFont="1" applyBorder="1"/>
    <xf numFmtId="6" fontId="62" fillId="0" borderId="0" xfId="0" applyNumberFormat="1" applyFont="1" applyAlignment="1">
      <alignment vertical="center" wrapText="1"/>
    </xf>
    <xf numFmtId="165" fontId="68" fillId="0" borderId="0" xfId="0" applyNumberFormat="1" applyFont="1"/>
    <xf numFmtId="167" fontId="68" fillId="0" borderId="0" xfId="0" applyNumberFormat="1" applyFont="1"/>
    <xf numFmtId="9" fontId="68" fillId="0" borderId="5" xfId="3" applyFont="1" applyBorder="1"/>
    <xf numFmtId="37" fontId="60" fillId="0" borderId="4" xfId="0" applyNumberFormat="1" applyFont="1" applyBorder="1" applyAlignment="1">
      <alignment horizontal="left" indent="3"/>
    </xf>
    <xf numFmtId="37" fontId="60" fillId="0" borderId="7" xfId="0" applyNumberFormat="1" applyFont="1" applyBorder="1"/>
    <xf numFmtId="9" fontId="60" fillId="0" borderId="8" xfId="3" applyFont="1" applyBorder="1"/>
    <xf numFmtId="2" fontId="0" fillId="0" borderId="0" xfId="0" applyNumberFormat="1"/>
    <xf numFmtId="166" fontId="0" fillId="0" borderId="0" xfId="3" applyNumberFormat="1" applyFont="1"/>
    <xf numFmtId="0" fontId="0" fillId="0" borderId="0" xfId="0" applyAlignment="1">
      <alignment horizontal="left" wrapText="1"/>
    </xf>
    <xf numFmtId="0" fontId="67" fillId="32" borderId="30" xfId="0" applyFont="1" applyFill="1" applyBorder="1"/>
    <xf numFmtId="0" fontId="67" fillId="32" borderId="3" xfId="0" applyFont="1" applyFill="1" applyBorder="1"/>
    <xf numFmtId="0" fontId="67" fillId="32" borderId="6" xfId="0" applyFont="1" applyFill="1" applyBorder="1"/>
    <xf numFmtId="0" fontId="60" fillId="32" borderId="30" xfId="0" applyFont="1" applyFill="1" applyBorder="1"/>
    <xf numFmtId="0" fontId="60" fillId="32" borderId="3" xfId="0" applyFont="1" applyFill="1" applyBorder="1"/>
    <xf numFmtId="0" fontId="60" fillId="32" borderId="6" xfId="0" applyFont="1" applyFill="1" applyBorder="1"/>
    <xf numFmtId="166" fontId="0" fillId="0" borderId="8" xfId="3" applyNumberFormat="1" applyFont="1" applyBorder="1"/>
    <xf numFmtId="9" fontId="1" fillId="0" borderId="5" xfId="3" applyFont="1" applyBorder="1"/>
    <xf numFmtId="0" fontId="60" fillId="32" borderId="31" xfId="0" applyFont="1" applyFill="1" applyBorder="1"/>
    <xf numFmtId="0" fontId="60" fillId="32" borderId="4" xfId="0" applyFont="1" applyFill="1" applyBorder="1"/>
    <xf numFmtId="0" fontId="60" fillId="32" borderId="7" xfId="0" applyFont="1" applyFill="1" applyBorder="1"/>
    <xf numFmtId="0" fontId="67" fillId="0" borderId="0" xfId="0" applyFont="1"/>
    <xf numFmtId="0" fontId="67" fillId="0" borderId="1" xfId="0" applyFont="1" applyBorder="1"/>
    <xf numFmtId="2" fontId="0" fillId="0" borderId="5" xfId="0" applyNumberFormat="1" applyBorder="1"/>
    <xf numFmtId="187" fontId="0" fillId="0" borderId="5" xfId="0" applyNumberFormat="1" applyBorder="1"/>
    <xf numFmtId="6" fontId="60" fillId="0" borderId="0" xfId="0" applyNumberFormat="1" applyFont="1"/>
    <xf numFmtId="6" fontId="60" fillId="0" borderId="1" xfId="0" applyNumberFormat="1" applyFont="1" applyBorder="1"/>
    <xf numFmtId="0" fontId="70" fillId="0" borderId="5" xfId="0" applyFont="1" applyBorder="1"/>
    <xf numFmtId="183" fontId="70" fillId="0" borderId="5" xfId="1" applyNumberFormat="1" applyFont="1" applyBorder="1" applyAlignment="1">
      <alignment horizontal="right"/>
    </xf>
    <xf numFmtId="10" fontId="70" fillId="0" borderId="5" xfId="0" applyNumberFormat="1" applyFont="1" applyBorder="1"/>
    <xf numFmtId="9" fontId="70" fillId="0" borderId="5" xfId="3" applyFont="1" applyBorder="1"/>
    <xf numFmtId="0" fontId="70" fillId="0" borderId="5" xfId="0" applyFont="1" applyBorder="1" applyAlignment="1">
      <alignment horizontal="right"/>
    </xf>
    <xf numFmtId="9" fontId="70" fillId="0" borderId="5" xfId="0" applyNumberFormat="1" applyFont="1" applyBorder="1" applyAlignment="1">
      <alignment horizontal="right"/>
    </xf>
    <xf numFmtId="165" fontId="70" fillId="0" borderId="5" xfId="0" applyNumberFormat="1" applyFont="1" applyBorder="1" applyAlignment="1">
      <alignment horizontal="center"/>
    </xf>
    <xf numFmtId="0" fontId="70" fillId="0" borderId="5" xfId="0" applyFont="1" applyBorder="1" applyAlignment="1">
      <alignment horizontal="center"/>
    </xf>
    <xf numFmtId="183" fontId="70" fillId="0" borderId="5" xfId="1" applyNumberFormat="1" applyFont="1" applyBorder="1" applyAlignment="1"/>
    <xf numFmtId="165" fontId="71" fillId="30" borderId="4" xfId="2" applyNumberFormat="1" applyFont="1" applyFill="1" applyBorder="1" applyAlignment="1">
      <alignment horizontal="left"/>
    </xf>
    <xf numFmtId="9" fontId="70" fillId="30" borderId="4" xfId="0" applyNumberFormat="1" applyFont="1" applyFill="1" applyBorder="1" applyAlignment="1">
      <alignment horizontal="left"/>
    </xf>
    <xf numFmtId="166" fontId="70" fillId="30" borderId="4" xfId="0" applyNumberFormat="1" applyFont="1" applyFill="1" applyBorder="1" applyAlignment="1">
      <alignment horizontal="left"/>
    </xf>
    <xf numFmtId="0" fontId="70" fillId="0" borderId="0" xfId="0" applyFont="1"/>
    <xf numFmtId="0" fontId="60" fillId="0" borderId="4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6" fontId="70" fillId="0" borderId="5" xfId="0" applyNumberFormat="1" applyFont="1" applyBorder="1"/>
    <xf numFmtId="0" fontId="61" fillId="0" borderId="0" xfId="0" applyFont="1" applyAlignment="1">
      <alignment horizontal="left"/>
    </xf>
    <xf numFmtId="0" fontId="61" fillId="0" borderId="0" xfId="0" applyFont="1"/>
    <xf numFmtId="0" fontId="60" fillId="0" borderId="4" xfId="0" applyFont="1" applyBorder="1" applyAlignment="1">
      <alignment horizontal="left"/>
    </xf>
    <xf numFmtId="166" fontId="0" fillId="0" borderId="7" xfId="0" applyNumberFormat="1" applyBorder="1" applyAlignment="1">
      <alignment horizontal="left"/>
    </xf>
    <xf numFmtId="0" fontId="61" fillId="0" borderId="4" xfId="0" applyFont="1" applyBorder="1" applyAlignment="1">
      <alignment horizontal="left" vertical="top" wrapText="1"/>
    </xf>
    <xf numFmtId="0" fontId="61" fillId="0" borderId="0" xfId="0" applyFont="1" applyAlignment="1">
      <alignment horizontal="left" vertical="top" wrapText="1"/>
    </xf>
    <xf numFmtId="0" fontId="61" fillId="0" borderId="5" xfId="0" applyFont="1" applyBorder="1" applyAlignment="1">
      <alignment horizontal="left" vertical="top" wrapText="1"/>
    </xf>
    <xf numFmtId="0" fontId="61" fillId="0" borderId="4" xfId="0" applyFont="1" applyBorder="1" applyAlignment="1">
      <alignment horizontal="left" wrapText="1"/>
    </xf>
    <xf numFmtId="0" fontId="61" fillId="0" borderId="0" xfId="0" applyFont="1" applyAlignment="1">
      <alignment horizontal="left" wrapText="1"/>
    </xf>
    <xf numFmtId="0" fontId="61" fillId="0" borderId="5" xfId="0" applyFont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6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60" fillId="29" borderId="31" xfId="0" applyFont="1" applyFill="1" applyBorder="1" applyAlignment="1">
      <alignment horizontal="center"/>
    </xf>
    <xf numFmtId="0" fontId="60" fillId="29" borderId="32" xfId="0" applyFont="1" applyFill="1" applyBorder="1" applyAlignment="1">
      <alignment horizontal="center"/>
    </xf>
    <xf numFmtId="0" fontId="60" fillId="29" borderId="16" xfId="0" applyFont="1" applyFill="1" applyBorder="1" applyAlignment="1">
      <alignment horizontal="center"/>
    </xf>
    <xf numFmtId="0" fontId="60" fillId="29" borderId="35" xfId="0" applyFont="1" applyFill="1" applyBorder="1" applyAlignment="1">
      <alignment horizontal="center"/>
    </xf>
    <xf numFmtId="0" fontId="60" fillId="32" borderId="34" xfId="0" applyFont="1" applyFill="1" applyBorder="1" applyAlignment="1">
      <alignment horizontal="center"/>
    </xf>
    <xf numFmtId="0" fontId="60" fillId="32" borderId="16" xfId="0" applyFont="1" applyFill="1" applyBorder="1" applyAlignment="1">
      <alignment horizontal="center"/>
    </xf>
    <xf numFmtId="0" fontId="60" fillId="32" borderId="35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186" fontId="60" fillId="0" borderId="5" xfId="0" applyNumberFormat="1" applyFont="1" applyBorder="1" applyAlignment="1">
      <alignment horizontal="center"/>
    </xf>
    <xf numFmtId="9" fontId="67" fillId="0" borderId="4" xfId="0" applyNumberFormat="1" applyFont="1" applyBorder="1" applyAlignment="1">
      <alignment horizontal="center"/>
    </xf>
    <xf numFmtId="166" fontId="60" fillId="0" borderId="0" xfId="3" applyNumberFormat="1" applyFont="1" applyBorder="1" applyAlignment="1">
      <alignment horizontal="center"/>
    </xf>
    <xf numFmtId="166" fontId="60" fillId="0" borderId="5" xfId="3" applyNumberFormat="1" applyFont="1" applyBorder="1" applyAlignment="1">
      <alignment horizontal="center"/>
    </xf>
    <xf numFmtId="165" fontId="60" fillId="0" borderId="0" xfId="2" applyNumberFormat="1" applyFont="1" applyBorder="1" applyAlignment="1">
      <alignment horizontal="center"/>
    </xf>
    <xf numFmtId="165" fontId="60" fillId="0" borderId="5" xfId="2" applyNumberFormat="1" applyFont="1" applyBorder="1" applyAlignment="1">
      <alignment horizontal="center"/>
    </xf>
  </cellXfs>
  <cellStyles count="815">
    <cellStyle name="20% - Accent1 2" xfId="22" xr:uid="{00000000-0005-0000-0000-000000000000}"/>
    <cellStyle name="20% - Accent2 2" xfId="23" xr:uid="{00000000-0005-0000-0000-000001000000}"/>
    <cellStyle name="20% - Accent3 2" xfId="24" xr:uid="{00000000-0005-0000-0000-000002000000}"/>
    <cellStyle name="20% - Accent4 2" xfId="25" xr:uid="{00000000-0005-0000-0000-000003000000}"/>
    <cellStyle name="20% - Accent5 2" xfId="26" xr:uid="{00000000-0005-0000-0000-000004000000}"/>
    <cellStyle name="20% - Accent6 2" xfId="27" xr:uid="{00000000-0005-0000-0000-000005000000}"/>
    <cellStyle name="40% - Accent1 2" xfId="28" xr:uid="{00000000-0005-0000-0000-000007000000}"/>
    <cellStyle name="40% - Accent2 2" xfId="29" xr:uid="{00000000-0005-0000-0000-000008000000}"/>
    <cellStyle name="40% - Accent3 2" xfId="30" xr:uid="{00000000-0005-0000-0000-000009000000}"/>
    <cellStyle name="40% - Accent4 2" xfId="31" xr:uid="{00000000-0005-0000-0000-00000A000000}"/>
    <cellStyle name="40% - Accent5 2" xfId="32" xr:uid="{00000000-0005-0000-0000-00000B000000}"/>
    <cellStyle name="40% - Accent6 2" xfId="33" xr:uid="{00000000-0005-0000-0000-00000C000000}"/>
    <cellStyle name="60% - Accent1 2" xfId="34" xr:uid="{00000000-0005-0000-0000-00000D000000}"/>
    <cellStyle name="60% - Accent2 2" xfId="35" xr:uid="{00000000-0005-0000-0000-00000E000000}"/>
    <cellStyle name="60% - Accent3 2" xfId="36" xr:uid="{00000000-0005-0000-0000-00000F000000}"/>
    <cellStyle name="60% - Accent4 2" xfId="37" xr:uid="{00000000-0005-0000-0000-000010000000}"/>
    <cellStyle name="60% - Accent5 2" xfId="38" xr:uid="{00000000-0005-0000-0000-000011000000}"/>
    <cellStyle name="60% - Accent6 2" xfId="39" xr:uid="{00000000-0005-0000-0000-000012000000}"/>
    <cellStyle name="A" xfId="40" xr:uid="{00000000-0005-0000-0000-000013000000}"/>
    <cellStyle name="Accent1 2" xfId="41" xr:uid="{00000000-0005-0000-0000-000015000000}"/>
    <cellStyle name="Accent2 2" xfId="42" xr:uid="{00000000-0005-0000-0000-000016000000}"/>
    <cellStyle name="Accent3 2" xfId="43" xr:uid="{00000000-0005-0000-0000-000018000000}"/>
    <cellStyle name="Accent4 2" xfId="44" xr:uid="{00000000-0005-0000-0000-000019000000}"/>
    <cellStyle name="Accent5 2" xfId="45" xr:uid="{00000000-0005-0000-0000-00001A000000}"/>
    <cellStyle name="Accent6 2" xfId="46" xr:uid="{00000000-0005-0000-0000-00001B000000}"/>
    <cellStyle name="ACE" xfId="47" xr:uid="{00000000-0005-0000-0000-00001C000000}"/>
    <cellStyle name="AMOSText" xfId="6" xr:uid="{00000000-0005-0000-0000-00001D000000}"/>
    <cellStyle name="Bad 2" xfId="48" xr:uid="{00000000-0005-0000-0000-00001E000000}"/>
    <cellStyle name="Calculation 2" xfId="49" xr:uid="{00000000-0005-0000-0000-00001F000000}"/>
    <cellStyle name="Calculation 2 2" xfId="50" xr:uid="{00000000-0005-0000-0000-000020000000}"/>
    <cellStyle name="Calculation 2 3" xfId="51" xr:uid="{00000000-0005-0000-0000-000021000000}"/>
    <cellStyle name="CashFlow" xfId="7" xr:uid="{00000000-0005-0000-0000-000022000000}"/>
    <cellStyle name="CashFlowExpense" xfId="8" xr:uid="{00000000-0005-0000-0000-000023000000}"/>
    <cellStyle name="CashFlowTotal" xfId="9" xr:uid="{00000000-0005-0000-0000-000024000000}"/>
    <cellStyle name="Check Cell 2" xfId="52" xr:uid="{00000000-0005-0000-0000-000025000000}"/>
    <cellStyle name="Check Cell 3" xfId="53" xr:uid="{00000000-0005-0000-0000-000026000000}"/>
    <cellStyle name="ColumnHeading" xfId="54" xr:uid="{00000000-0005-0000-0000-000027000000}"/>
    <cellStyle name="Comma" xfId="1" builtinId="3"/>
    <cellStyle name="Comma 2" xfId="11" xr:uid="{00000000-0005-0000-0000-000029000000}"/>
    <cellStyle name="Comma 2 2" xfId="55" xr:uid="{00000000-0005-0000-0000-00002A000000}"/>
    <cellStyle name="Comma 2 3" xfId="56" xr:uid="{00000000-0005-0000-0000-00002B000000}"/>
    <cellStyle name="Comma 2 4" xfId="57" xr:uid="{00000000-0005-0000-0000-00002C000000}"/>
    <cellStyle name="Comma 3" xfId="10" xr:uid="{00000000-0005-0000-0000-00002D000000}"/>
    <cellStyle name="Comma 3 2" xfId="58" xr:uid="{00000000-0005-0000-0000-00002E000000}"/>
    <cellStyle name="Comma 3 3" xfId="59" xr:uid="{00000000-0005-0000-0000-00002F000000}"/>
    <cellStyle name="Comma 3 4" xfId="60" xr:uid="{00000000-0005-0000-0000-000030000000}"/>
    <cellStyle name="Comma 4" xfId="61" xr:uid="{00000000-0005-0000-0000-000031000000}"/>
    <cellStyle name="Comma 5" xfId="62" xr:uid="{00000000-0005-0000-0000-000032000000}"/>
    <cellStyle name="Comma0 - Modelo1" xfId="63" xr:uid="{00000000-0005-0000-0000-000033000000}"/>
    <cellStyle name="Comma0 - Style1" xfId="64" xr:uid="{00000000-0005-0000-0000-000034000000}"/>
    <cellStyle name="Comma1 - Modelo2" xfId="65" xr:uid="{00000000-0005-0000-0000-000035000000}"/>
    <cellStyle name="Comma1 - Style2" xfId="66" xr:uid="{00000000-0005-0000-0000-000036000000}"/>
    <cellStyle name="Currency" xfId="2" builtinId="4"/>
    <cellStyle name="Currency 2" xfId="13" xr:uid="{00000000-0005-0000-0000-000038000000}"/>
    <cellStyle name="Currency 2 2" xfId="67" xr:uid="{00000000-0005-0000-0000-000039000000}"/>
    <cellStyle name="Currency 2 3" xfId="68" xr:uid="{00000000-0005-0000-0000-00003A000000}"/>
    <cellStyle name="Currency 2 4" xfId="69" xr:uid="{00000000-0005-0000-0000-00003B000000}"/>
    <cellStyle name="Currency 3" xfId="12" xr:uid="{00000000-0005-0000-0000-00003C000000}"/>
    <cellStyle name="Currency 3 2" xfId="70" xr:uid="{00000000-0005-0000-0000-00003D000000}"/>
    <cellStyle name="Currency 4" xfId="71" xr:uid="{00000000-0005-0000-0000-00003E000000}"/>
    <cellStyle name="Currency 5" xfId="72" xr:uid="{00000000-0005-0000-0000-00003F000000}"/>
    <cellStyle name="Currency 6" xfId="73" xr:uid="{00000000-0005-0000-0000-000040000000}"/>
    <cellStyle name="D" xfId="74" xr:uid="{00000000-0005-0000-0000-000042000000}"/>
    <cellStyle name="DATETIME" xfId="75" xr:uid="{00000000-0005-0000-0000-000043000000}"/>
    <cellStyle name="Dia" xfId="76" xr:uid="{00000000-0005-0000-0000-000044000000}"/>
    <cellStyle name="Encabez1" xfId="77" xr:uid="{00000000-0005-0000-0000-000045000000}"/>
    <cellStyle name="Encabez2" xfId="78" xr:uid="{00000000-0005-0000-0000-000046000000}"/>
    <cellStyle name="Euro" xfId="79" xr:uid="{00000000-0005-0000-0000-000047000000}"/>
    <cellStyle name="EvenBodyShade" xfId="80" xr:uid="{00000000-0005-0000-0000-000048000000}"/>
    <cellStyle name="Explanatory Text 2" xfId="81" xr:uid="{00000000-0005-0000-0000-000049000000}"/>
    <cellStyle name="F1" xfId="82" xr:uid="{00000000-0005-0000-0000-00004A000000}"/>
    <cellStyle name="F2" xfId="83" xr:uid="{00000000-0005-0000-0000-00004B000000}"/>
    <cellStyle name="F3" xfId="84" xr:uid="{00000000-0005-0000-0000-00004C000000}"/>
    <cellStyle name="F4" xfId="85" xr:uid="{00000000-0005-0000-0000-00004D000000}"/>
    <cellStyle name="F5" xfId="86" xr:uid="{00000000-0005-0000-0000-00004E000000}"/>
    <cellStyle name="F6" xfId="87" xr:uid="{00000000-0005-0000-0000-00004F000000}"/>
    <cellStyle name="F7" xfId="88" xr:uid="{00000000-0005-0000-0000-000050000000}"/>
    <cellStyle name="F8" xfId="89" xr:uid="{00000000-0005-0000-0000-000051000000}"/>
    <cellStyle name="Fijo" xfId="90" xr:uid="{00000000-0005-0000-0000-000052000000}"/>
    <cellStyle name="Financiero" xfId="91" xr:uid="{00000000-0005-0000-0000-000053000000}"/>
    <cellStyle name="Good 2" xfId="92" xr:uid="{00000000-0005-0000-0000-000054000000}"/>
    <cellStyle name="GrandTotal" xfId="93" xr:uid="{00000000-0005-0000-0000-000055000000}"/>
    <cellStyle name="Grey" xfId="94" xr:uid="{00000000-0005-0000-0000-000056000000}"/>
    <cellStyle name="Grey 2" xfId="95" xr:uid="{00000000-0005-0000-0000-000057000000}"/>
    <cellStyle name="Head0" xfId="96" xr:uid="{00000000-0005-0000-0000-000058000000}"/>
    <cellStyle name="Head1" xfId="97" xr:uid="{00000000-0005-0000-0000-000059000000}"/>
    <cellStyle name="Head2" xfId="98" xr:uid="{00000000-0005-0000-0000-00005A000000}"/>
    <cellStyle name="Head3" xfId="99" xr:uid="{00000000-0005-0000-0000-00005B000000}"/>
    <cellStyle name="Head4" xfId="100" xr:uid="{00000000-0005-0000-0000-00005C000000}"/>
    <cellStyle name="Head5" xfId="101" xr:uid="{00000000-0005-0000-0000-00005D000000}"/>
    <cellStyle name="Head6" xfId="102" xr:uid="{00000000-0005-0000-0000-00005E000000}"/>
    <cellStyle name="Head7" xfId="103" xr:uid="{00000000-0005-0000-0000-00005F000000}"/>
    <cellStyle name="Head8" xfId="104" xr:uid="{00000000-0005-0000-0000-000060000000}"/>
    <cellStyle name="Head9" xfId="105" xr:uid="{00000000-0005-0000-0000-000061000000}"/>
    <cellStyle name="Header1" xfId="106" xr:uid="{00000000-0005-0000-0000-000062000000}"/>
    <cellStyle name="Header1 2" xfId="107" xr:uid="{00000000-0005-0000-0000-000063000000}"/>
    <cellStyle name="Header1 2 2" xfId="108" xr:uid="{00000000-0005-0000-0000-000064000000}"/>
    <cellStyle name="Header2" xfId="109" xr:uid="{00000000-0005-0000-0000-000065000000}"/>
    <cellStyle name="Header2 2" xfId="110" xr:uid="{00000000-0005-0000-0000-000066000000}"/>
    <cellStyle name="Header2 2 2" xfId="111" xr:uid="{00000000-0005-0000-0000-000067000000}"/>
    <cellStyle name="Header2 2 2 2" xfId="787" xr:uid="{00000000-0005-0000-0000-000068000000}"/>
    <cellStyle name="Header2 2 3" xfId="112" xr:uid="{00000000-0005-0000-0000-000069000000}"/>
    <cellStyle name="Header2 2 3 2" xfId="788" xr:uid="{00000000-0005-0000-0000-00006A000000}"/>
    <cellStyle name="Header2 2 4" xfId="786" xr:uid="{00000000-0005-0000-0000-00006B000000}"/>
    <cellStyle name="Header2 3" xfId="785" xr:uid="{00000000-0005-0000-0000-00006C000000}"/>
    <cellStyle name="Heading 1 2" xfId="113" xr:uid="{00000000-0005-0000-0000-00006D000000}"/>
    <cellStyle name="Heading 2 2" xfId="114" xr:uid="{00000000-0005-0000-0000-00006E000000}"/>
    <cellStyle name="Heading 3 2" xfId="115" xr:uid="{00000000-0005-0000-0000-00006F000000}"/>
    <cellStyle name="Heading 4 2" xfId="116" xr:uid="{00000000-0005-0000-0000-000070000000}"/>
    <cellStyle name="HeadShade" xfId="117" xr:uid="{00000000-0005-0000-0000-000071000000}"/>
    <cellStyle name="HeadShade 2" xfId="118" xr:uid="{00000000-0005-0000-0000-000072000000}"/>
    <cellStyle name="I" xfId="119" xr:uid="{00000000-0005-0000-0000-000074000000}"/>
    <cellStyle name="Input [yellow]" xfId="120" xr:uid="{00000000-0005-0000-0000-000075000000}"/>
    <cellStyle name="Input [yellow] 2" xfId="121" xr:uid="{00000000-0005-0000-0000-000076000000}"/>
    <cellStyle name="Input [yellow] 2 2" xfId="122" xr:uid="{00000000-0005-0000-0000-000077000000}"/>
    <cellStyle name="Input [yellow] 2 3" xfId="123" xr:uid="{00000000-0005-0000-0000-000078000000}"/>
    <cellStyle name="Input [yellow] 3" xfId="124" xr:uid="{00000000-0005-0000-0000-000079000000}"/>
    <cellStyle name="Input [yellow] 3 2" xfId="125" xr:uid="{00000000-0005-0000-0000-00007A000000}"/>
    <cellStyle name="Input [yellow] 3 3" xfId="126" xr:uid="{00000000-0005-0000-0000-00007B000000}"/>
    <cellStyle name="Input 2" xfId="127" xr:uid="{00000000-0005-0000-0000-00007C000000}"/>
    <cellStyle name="Input 2 2" xfId="128" xr:uid="{00000000-0005-0000-0000-00007D000000}"/>
    <cellStyle name="Input 2 3" xfId="129" xr:uid="{00000000-0005-0000-0000-00007E000000}"/>
    <cellStyle name="Input 3" xfId="130" xr:uid="{00000000-0005-0000-0000-00007F000000}"/>
    <cellStyle name="Input 3 2" xfId="131" xr:uid="{00000000-0005-0000-0000-000080000000}"/>
    <cellStyle name="Input 3 3" xfId="132" xr:uid="{00000000-0005-0000-0000-000081000000}"/>
    <cellStyle name="Linked Cell 2" xfId="133" xr:uid="{00000000-0005-0000-0000-000082000000}"/>
    <cellStyle name="Linked Cell 2 2" xfId="134" xr:uid="{00000000-0005-0000-0000-000083000000}"/>
    <cellStyle name="Linked Cell 3" xfId="135" xr:uid="{00000000-0005-0000-0000-000084000000}"/>
    <cellStyle name="Linked Cell 3 2" xfId="136" xr:uid="{00000000-0005-0000-0000-000085000000}"/>
    <cellStyle name="M" xfId="137" xr:uid="{00000000-0005-0000-0000-000086000000}"/>
    <cellStyle name="Millares [0]_10 AVERIAS MASIVAS + ANT" xfId="138" xr:uid="{00000000-0005-0000-0000-000087000000}"/>
    <cellStyle name="Millares_10 AVERIAS MASIVAS + ANT" xfId="139" xr:uid="{00000000-0005-0000-0000-000088000000}"/>
    <cellStyle name="Moneda [0]_10 AVERIAS MASIVAS + ANT" xfId="140" xr:uid="{00000000-0005-0000-0000-000089000000}"/>
    <cellStyle name="Moneda_10 AVERIAS MASIVAS + ANT" xfId="141" xr:uid="{00000000-0005-0000-0000-00008A000000}"/>
    <cellStyle name="Monetario" xfId="142" xr:uid="{00000000-0005-0000-0000-00008B000000}"/>
    <cellStyle name="Neutral 2" xfId="143" xr:uid="{00000000-0005-0000-0000-00008D000000}"/>
    <cellStyle name="no dec" xfId="144" xr:uid="{00000000-0005-0000-0000-00008E000000}"/>
    <cellStyle name="Normal" xfId="0" builtinId="0"/>
    <cellStyle name="Normal - Style1" xfId="145" xr:uid="{00000000-0005-0000-0000-000090000000}"/>
    <cellStyle name="Normal 10" xfId="146" xr:uid="{00000000-0005-0000-0000-000091000000}"/>
    <cellStyle name="Normal 10 2" xfId="147" xr:uid="{00000000-0005-0000-0000-000092000000}"/>
    <cellStyle name="Normal 100" xfId="148" xr:uid="{00000000-0005-0000-0000-000093000000}"/>
    <cellStyle name="Normal 101" xfId="149" xr:uid="{00000000-0005-0000-0000-000094000000}"/>
    <cellStyle name="Normal 102" xfId="150" xr:uid="{00000000-0005-0000-0000-000095000000}"/>
    <cellStyle name="Normal 103" xfId="151" xr:uid="{00000000-0005-0000-0000-000096000000}"/>
    <cellStyle name="Normal 104" xfId="152" xr:uid="{00000000-0005-0000-0000-000097000000}"/>
    <cellStyle name="Normal 105" xfId="153" xr:uid="{00000000-0005-0000-0000-000098000000}"/>
    <cellStyle name="Normal 106" xfId="154" xr:uid="{00000000-0005-0000-0000-000099000000}"/>
    <cellStyle name="Normal 107" xfId="155" xr:uid="{00000000-0005-0000-0000-00009A000000}"/>
    <cellStyle name="Normal 108" xfId="156" xr:uid="{00000000-0005-0000-0000-00009B000000}"/>
    <cellStyle name="Normal 109" xfId="157" xr:uid="{00000000-0005-0000-0000-00009C000000}"/>
    <cellStyle name="Normal 11" xfId="158" xr:uid="{00000000-0005-0000-0000-00009D000000}"/>
    <cellStyle name="Normal 11 2" xfId="159" xr:uid="{00000000-0005-0000-0000-00009E000000}"/>
    <cellStyle name="Normal 110" xfId="160" xr:uid="{00000000-0005-0000-0000-00009F000000}"/>
    <cellStyle name="Normal 111" xfId="161" xr:uid="{00000000-0005-0000-0000-0000A0000000}"/>
    <cellStyle name="Normal 112" xfId="162" xr:uid="{00000000-0005-0000-0000-0000A1000000}"/>
    <cellStyle name="Normal 113" xfId="163" xr:uid="{00000000-0005-0000-0000-0000A2000000}"/>
    <cellStyle name="Normal 114" xfId="164" xr:uid="{00000000-0005-0000-0000-0000A3000000}"/>
    <cellStyle name="Normal 115" xfId="165" xr:uid="{00000000-0005-0000-0000-0000A4000000}"/>
    <cellStyle name="Normal 116" xfId="166" xr:uid="{00000000-0005-0000-0000-0000A5000000}"/>
    <cellStyle name="Normal 117" xfId="167" xr:uid="{00000000-0005-0000-0000-0000A6000000}"/>
    <cellStyle name="Normal 118" xfId="168" xr:uid="{00000000-0005-0000-0000-0000A7000000}"/>
    <cellStyle name="Normal 119" xfId="169" xr:uid="{00000000-0005-0000-0000-0000A8000000}"/>
    <cellStyle name="Normal 12" xfId="170" xr:uid="{00000000-0005-0000-0000-0000A9000000}"/>
    <cellStyle name="Normal 12 2" xfId="171" xr:uid="{00000000-0005-0000-0000-0000AA000000}"/>
    <cellStyle name="Normal 120" xfId="172" xr:uid="{00000000-0005-0000-0000-0000AB000000}"/>
    <cellStyle name="Normal 121" xfId="173" xr:uid="{00000000-0005-0000-0000-0000AC000000}"/>
    <cellStyle name="Normal 122" xfId="174" xr:uid="{00000000-0005-0000-0000-0000AD000000}"/>
    <cellStyle name="Normal 123" xfId="175" xr:uid="{00000000-0005-0000-0000-0000AE000000}"/>
    <cellStyle name="Normal 124" xfId="176" xr:uid="{00000000-0005-0000-0000-0000AF000000}"/>
    <cellStyle name="Normal 125" xfId="177" xr:uid="{00000000-0005-0000-0000-0000B0000000}"/>
    <cellStyle name="Normal 126" xfId="178" xr:uid="{00000000-0005-0000-0000-0000B1000000}"/>
    <cellStyle name="Normal 127" xfId="179" xr:uid="{00000000-0005-0000-0000-0000B2000000}"/>
    <cellStyle name="Normal 128" xfId="180" xr:uid="{00000000-0005-0000-0000-0000B3000000}"/>
    <cellStyle name="Normal 129" xfId="181" xr:uid="{00000000-0005-0000-0000-0000B4000000}"/>
    <cellStyle name="Normal 13" xfId="182" xr:uid="{00000000-0005-0000-0000-0000B5000000}"/>
    <cellStyle name="Normal 13 2" xfId="183" xr:uid="{00000000-0005-0000-0000-0000B6000000}"/>
    <cellStyle name="Normal 13 3" xfId="184" xr:uid="{00000000-0005-0000-0000-0000B7000000}"/>
    <cellStyle name="Normal 130" xfId="185" xr:uid="{00000000-0005-0000-0000-0000B8000000}"/>
    <cellStyle name="Normal 131" xfId="186" xr:uid="{00000000-0005-0000-0000-0000B9000000}"/>
    <cellStyle name="Normal 132" xfId="187" xr:uid="{00000000-0005-0000-0000-0000BA000000}"/>
    <cellStyle name="Normal 133" xfId="188" xr:uid="{00000000-0005-0000-0000-0000BB000000}"/>
    <cellStyle name="Normal 134" xfId="189" xr:uid="{00000000-0005-0000-0000-0000BC000000}"/>
    <cellStyle name="Normal 135" xfId="190" xr:uid="{00000000-0005-0000-0000-0000BD000000}"/>
    <cellStyle name="Normal 136" xfId="191" xr:uid="{00000000-0005-0000-0000-0000BE000000}"/>
    <cellStyle name="Normal 137" xfId="192" xr:uid="{00000000-0005-0000-0000-0000BF000000}"/>
    <cellStyle name="Normal 138" xfId="193" xr:uid="{00000000-0005-0000-0000-0000C0000000}"/>
    <cellStyle name="Normal 139" xfId="194" xr:uid="{00000000-0005-0000-0000-0000C1000000}"/>
    <cellStyle name="Normal 14" xfId="195" xr:uid="{00000000-0005-0000-0000-0000C2000000}"/>
    <cellStyle name="Normal 14 2" xfId="196" xr:uid="{00000000-0005-0000-0000-0000C3000000}"/>
    <cellStyle name="Normal 14 3" xfId="197" xr:uid="{00000000-0005-0000-0000-0000C4000000}"/>
    <cellStyle name="Normal 140" xfId="198" xr:uid="{00000000-0005-0000-0000-0000C5000000}"/>
    <cellStyle name="Normal 141" xfId="199" xr:uid="{00000000-0005-0000-0000-0000C6000000}"/>
    <cellStyle name="Normal 142" xfId="200" xr:uid="{00000000-0005-0000-0000-0000C7000000}"/>
    <cellStyle name="Normal 143" xfId="201" xr:uid="{00000000-0005-0000-0000-0000C8000000}"/>
    <cellStyle name="Normal 144" xfId="202" xr:uid="{00000000-0005-0000-0000-0000C9000000}"/>
    <cellStyle name="Normal 145" xfId="203" xr:uid="{00000000-0005-0000-0000-0000CA000000}"/>
    <cellStyle name="Normal 146" xfId="204" xr:uid="{00000000-0005-0000-0000-0000CB000000}"/>
    <cellStyle name="Normal 147" xfId="205" xr:uid="{00000000-0005-0000-0000-0000CC000000}"/>
    <cellStyle name="Normal 148" xfId="206" xr:uid="{00000000-0005-0000-0000-0000CD000000}"/>
    <cellStyle name="Normal 149" xfId="207" xr:uid="{00000000-0005-0000-0000-0000CE000000}"/>
    <cellStyle name="Normal 15" xfId="208" xr:uid="{00000000-0005-0000-0000-0000CF000000}"/>
    <cellStyle name="Normal 15 2" xfId="209" xr:uid="{00000000-0005-0000-0000-0000D0000000}"/>
    <cellStyle name="Normal 15 3" xfId="210" xr:uid="{00000000-0005-0000-0000-0000D1000000}"/>
    <cellStyle name="Normal 150" xfId="211" xr:uid="{00000000-0005-0000-0000-0000D2000000}"/>
    <cellStyle name="Normal 151" xfId="212" xr:uid="{00000000-0005-0000-0000-0000D3000000}"/>
    <cellStyle name="Normal 152" xfId="213" xr:uid="{00000000-0005-0000-0000-0000D4000000}"/>
    <cellStyle name="Normal 153" xfId="214" xr:uid="{00000000-0005-0000-0000-0000D5000000}"/>
    <cellStyle name="Normal 154" xfId="215" xr:uid="{00000000-0005-0000-0000-0000D6000000}"/>
    <cellStyle name="Normal 155" xfId="216" xr:uid="{00000000-0005-0000-0000-0000D7000000}"/>
    <cellStyle name="Normal 156" xfId="217" xr:uid="{00000000-0005-0000-0000-0000D8000000}"/>
    <cellStyle name="Normal 157" xfId="218" xr:uid="{00000000-0005-0000-0000-0000D9000000}"/>
    <cellStyle name="Normal 158" xfId="219" xr:uid="{00000000-0005-0000-0000-0000DA000000}"/>
    <cellStyle name="Normal 159" xfId="220" xr:uid="{00000000-0005-0000-0000-0000DB000000}"/>
    <cellStyle name="Normal 16" xfId="221" xr:uid="{00000000-0005-0000-0000-0000DC000000}"/>
    <cellStyle name="Normal 16 2" xfId="222" xr:uid="{00000000-0005-0000-0000-0000DD000000}"/>
    <cellStyle name="Normal 160" xfId="223" xr:uid="{00000000-0005-0000-0000-0000DE000000}"/>
    <cellStyle name="Normal 161" xfId="224" xr:uid="{00000000-0005-0000-0000-0000DF000000}"/>
    <cellStyle name="Normal 162" xfId="225" xr:uid="{00000000-0005-0000-0000-0000E0000000}"/>
    <cellStyle name="Normal 163" xfId="226" xr:uid="{00000000-0005-0000-0000-0000E1000000}"/>
    <cellStyle name="Normal 164" xfId="227" xr:uid="{00000000-0005-0000-0000-0000E2000000}"/>
    <cellStyle name="Normal 165" xfId="228" xr:uid="{00000000-0005-0000-0000-0000E3000000}"/>
    <cellStyle name="Normal 166" xfId="229" xr:uid="{00000000-0005-0000-0000-0000E4000000}"/>
    <cellStyle name="Normal 167" xfId="230" xr:uid="{00000000-0005-0000-0000-0000E5000000}"/>
    <cellStyle name="Normal 168" xfId="231" xr:uid="{00000000-0005-0000-0000-0000E6000000}"/>
    <cellStyle name="Normal 169" xfId="232" xr:uid="{00000000-0005-0000-0000-0000E7000000}"/>
    <cellStyle name="Normal 17" xfId="233" xr:uid="{00000000-0005-0000-0000-0000E8000000}"/>
    <cellStyle name="Normal 17 2" xfId="234" xr:uid="{00000000-0005-0000-0000-0000E9000000}"/>
    <cellStyle name="Normal 170" xfId="235" xr:uid="{00000000-0005-0000-0000-0000EA000000}"/>
    <cellStyle name="Normal 171" xfId="236" xr:uid="{00000000-0005-0000-0000-0000EB000000}"/>
    <cellStyle name="Normal 172" xfId="237" xr:uid="{00000000-0005-0000-0000-0000EC000000}"/>
    <cellStyle name="Normal 173" xfId="238" xr:uid="{00000000-0005-0000-0000-0000ED000000}"/>
    <cellStyle name="Normal 174" xfId="239" xr:uid="{00000000-0005-0000-0000-0000EE000000}"/>
    <cellStyle name="Normal 175" xfId="240" xr:uid="{00000000-0005-0000-0000-0000EF000000}"/>
    <cellStyle name="Normal 176" xfId="241" xr:uid="{00000000-0005-0000-0000-0000F0000000}"/>
    <cellStyle name="Normal 177" xfId="242" xr:uid="{00000000-0005-0000-0000-0000F1000000}"/>
    <cellStyle name="Normal 178" xfId="243" xr:uid="{00000000-0005-0000-0000-0000F2000000}"/>
    <cellStyle name="Normal 179" xfId="244" xr:uid="{00000000-0005-0000-0000-0000F3000000}"/>
    <cellStyle name="Normal 18" xfId="245" xr:uid="{00000000-0005-0000-0000-0000F4000000}"/>
    <cellStyle name="Normal 18 2" xfId="246" xr:uid="{00000000-0005-0000-0000-0000F5000000}"/>
    <cellStyle name="Normal 180" xfId="247" xr:uid="{00000000-0005-0000-0000-0000F6000000}"/>
    <cellStyle name="Normal 181" xfId="248" xr:uid="{00000000-0005-0000-0000-0000F7000000}"/>
    <cellStyle name="Normal 182" xfId="249" xr:uid="{00000000-0005-0000-0000-0000F8000000}"/>
    <cellStyle name="Normal 183" xfId="250" xr:uid="{00000000-0005-0000-0000-0000F9000000}"/>
    <cellStyle name="Normal 184" xfId="251" xr:uid="{00000000-0005-0000-0000-0000FA000000}"/>
    <cellStyle name="Normal 185" xfId="252" xr:uid="{00000000-0005-0000-0000-0000FB000000}"/>
    <cellStyle name="Normal 186" xfId="253" xr:uid="{00000000-0005-0000-0000-0000FC000000}"/>
    <cellStyle name="Normal 187" xfId="254" xr:uid="{00000000-0005-0000-0000-0000FD000000}"/>
    <cellStyle name="Normal 188" xfId="255" xr:uid="{00000000-0005-0000-0000-0000FE000000}"/>
    <cellStyle name="Normal 189" xfId="256" xr:uid="{00000000-0005-0000-0000-0000FF000000}"/>
    <cellStyle name="Normal 19" xfId="257" xr:uid="{00000000-0005-0000-0000-000000010000}"/>
    <cellStyle name="Normal 19 2" xfId="258" xr:uid="{00000000-0005-0000-0000-000001010000}"/>
    <cellStyle name="Normal 190" xfId="259" xr:uid="{00000000-0005-0000-0000-000002010000}"/>
    <cellStyle name="Normal 191" xfId="260" xr:uid="{00000000-0005-0000-0000-000003010000}"/>
    <cellStyle name="Normal 192" xfId="261" xr:uid="{00000000-0005-0000-0000-000004010000}"/>
    <cellStyle name="Normal 193" xfId="262" xr:uid="{00000000-0005-0000-0000-000005010000}"/>
    <cellStyle name="Normal 194" xfId="263" xr:uid="{00000000-0005-0000-0000-000006010000}"/>
    <cellStyle name="Normal 195" xfId="264" xr:uid="{00000000-0005-0000-0000-000007010000}"/>
    <cellStyle name="Normal 196" xfId="265" xr:uid="{00000000-0005-0000-0000-000008010000}"/>
    <cellStyle name="Normal 197" xfId="266" xr:uid="{00000000-0005-0000-0000-000009010000}"/>
    <cellStyle name="Normal 198" xfId="267" xr:uid="{00000000-0005-0000-0000-00000A010000}"/>
    <cellStyle name="Normal 199" xfId="268" xr:uid="{00000000-0005-0000-0000-00000B010000}"/>
    <cellStyle name="Normal 2" xfId="4" xr:uid="{00000000-0005-0000-0000-00000C010000}"/>
    <cellStyle name="Normal 2 2" xfId="269" xr:uid="{00000000-0005-0000-0000-00000D010000}"/>
    <cellStyle name="Normal 2 2 2" xfId="270" xr:uid="{00000000-0005-0000-0000-00000E010000}"/>
    <cellStyle name="Normal 2 2 3" xfId="271" xr:uid="{00000000-0005-0000-0000-00000F010000}"/>
    <cellStyle name="Normal 2 2 4" xfId="272" xr:uid="{00000000-0005-0000-0000-000010010000}"/>
    <cellStyle name="Normal 2 3" xfId="273" xr:uid="{00000000-0005-0000-0000-000011010000}"/>
    <cellStyle name="Normal 2 4" xfId="274" xr:uid="{00000000-0005-0000-0000-000012010000}"/>
    <cellStyle name="Normal 20" xfId="275" xr:uid="{00000000-0005-0000-0000-000013010000}"/>
    <cellStyle name="Normal 20 2" xfId="276" xr:uid="{00000000-0005-0000-0000-000014010000}"/>
    <cellStyle name="Normal 200" xfId="277" xr:uid="{00000000-0005-0000-0000-000015010000}"/>
    <cellStyle name="Normal 201" xfId="278" xr:uid="{00000000-0005-0000-0000-000016010000}"/>
    <cellStyle name="Normal 202" xfId="279" xr:uid="{00000000-0005-0000-0000-000017010000}"/>
    <cellStyle name="Normal 203" xfId="280" xr:uid="{00000000-0005-0000-0000-000018010000}"/>
    <cellStyle name="Normal 204" xfId="281" xr:uid="{00000000-0005-0000-0000-000019010000}"/>
    <cellStyle name="Normal 205" xfId="282" xr:uid="{00000000-0005-0000-0000-00001A010000}"/>
    <cellStyle name="Normal 206" xfId="283" xr:uid="{00000000-0005-0000-0000-00001B010000}"/>
    <cellStyle name="Normal 207" xfId="284" xr:uid="{00000000-0005-0000-0000-00001C010000}"/>
    <cellStyle name="Normal 208" xfId="285" xr:uid="{00000000-0005-0000-0000-00001D010000}"/>
    <cellStyle name="Normal 209" xfId="286" xr:uid="{00000000-0005-0000-0000-00001E010000}"/>
    <cellStyle name="Normal 21" xfId="287" xr:uid="{00000000-0005-0000-0000-00001F010000}"/>
    <cellStyle name="Normal 21 2" xfId="288" xr:uid="{00000000-0005-0000-0000-000020010000}"/>
    <cellStyle name="Normal 210" xfId="289" xr:uid="{00000000-0005-0000-0000-000021010000}"/>
    <cellStyle name="Normal 211" xfId="290" xr:uid="{00000000-0005-0000-0000-000022010000}"/>
    <cellStyle name="Normal 212" xfId="291" xr:uid="{00000000-0005-0000-0000-000023010000}"/>
    <cellStyle name="Normal 213" xfId="292" xr:uid="{00000000-0005-0000-0000-000024010000}"/>
    <cellStyle name="Normal 214" xfId="293" xr:uid="{00000000-0005-0000-0000-000025010000}"/>
    <cellStyle name="Normal 215" xfId="294" xr:uid="{00000000-0005-0000-0000-000026010000}"/>
    <cellStyle name="Normal 216" xfId="295" xr:uid="{00000000-0005-0000-0000-000027010000}"/>
    <cellStyle name="Normal 217" xfId="296" xr:uid="{00000000-0005-0000-0000-000028010000}"/>
    <cellStyle name="Normal 218" xfId="297" xr:uid="{00000000-0005-0000-0000-000029010000}"/>
    <cellStyle name="Normal 219" xfId="298" xr:uid="{00000000-0005-0000-0000-00002A010000}"/>
    <cellStyle name="Normal 22" xfId="299" xr:uid="{00000000-0005-0000-0000-00002B010000}"/>
    <cellStyle name="Normal 22 2" xfId="300" xr:uid="{00000000-0005-0000-0000-00002C010000}"/>
    <cellStyle name="Normal 220" xfId="301" xr:uid="{00000000-0005-0000-0000-00002D010000}"/>
    <cellStyle name="Normal 221" xfId="302" xr:uid="{00000000-0005-0000-0000-00002E010000}"/>
    <cellStyle name="Normal 222" xfId="303" xr:uid="{00000000-0005-0000-0000-00002F010000}"/>
    <cellStyle name="Normal 223" xfId="304" xr:uid="{00000000-0005-0000-0000-000030010000}"/>
    <cellStyle name="Normal 224" xfId="305" xr:uid="{00000000-0005-0000-0000-000031010000}"/>
    <cellStyle name="Normal 225" xfId="306" xr:uid="{00000000-0005-0000-0000-000032010000}"/>
    <cellStyle name="Normal 226" xfId="307" xr:uid="{00000000-0005-0000-0000-000033010000}"/>
    <cellStyle name="Normal 227" xfId="308" xr:uid="{00000000-0005-0000-0000-000034010000}"/>
    <cellStyle name="Normal 228" xfId="309" xr:uid="{00000000-0005-0000-0000-000035010000}"/>
    <cellStyle name="Normal 229" xfId="310" xr:uid="{00000000-0005-0000-0000-000036010000}"/>
    <cellStyle name="Normal 23" xfId="311" xr:uid="{00000000-0005-0000-0000-000037010000}"/>
    <cellStyle name="Normal 23 2" xfId="312" xr:uid="{00000000-0005-0000-0000-000038010000}"/>
    <cellStyle name="Normal 230" xfId="313" xr:uid="{00000000-0005-0000-0000-000039010000}"/>
    <cellStyle name="Normal 231" xfId="314" xr:uid="{00000000-0005-0000-0000-00003A010000}"/>
    <cellStyle name="Normal 232" xfId="315" xr:uid="{00000000-0005-0000-0000-00003B010000}"/>
    <cellStyle name="Normal 233" xfId="316" xr:uid="{00000000-0005-0000-0000-00003C010000}"/>
    <cellStyle name="Normal 234" xfId="317" xr:uid="{00000000-0005-0000-0000-00003D010000}"/>
    <cellStyle name="Normal 235" xfId="318" xr:uid="{00000000-0005-0000-0000-00003E010000}"/>
    <cellStyle name="Normal 236" xfId="319" xr:uid="{00000000-0005-0000-0000-00003F010000}"/>
    <cellStyle name="Normal 237" xfId="320" xr:uid="{00000000-0005-0000-0000-000040010000}"/>
    <cellStyle name="Normal 238" xfId="321" xr:uid="{00000000-0005-0000-0000-000041010000}"/>
    <cellStyle name="Normal 239" xfId="322" xr:uid="{00000000-0005-0000-0000-000042010000}"/>
    <cellStyle name="Normal 24" xfId="323" xr:uid="{00000000-0005-0000-0000-000043010000}"/>
    <cellStyle name="Normal 24 2" xfId="324" xr:uid="{00000000-0005-0000-0000-000044010000}"/>
    <cellStyle name="Normal 240" xfId="325" xr:uid="{00000000-0005-0000-0000-000045010000}"/>
    <cellStyle name="Normal 241" xfId="326" xr:uid="{00000000-0005-0000-0000-000046010000}"/>
    <cellStyle name="Normal 242" xfId="327" xr:uid="{00000000-0005-0000-0000-000047010000}"/>
    <cellStyle name="Normal 243" xfId="328" xr:uid="{00000000-0005-0000-0000-000048010000}"/>
    <cellStyle name="Normal 244" xfId="329" xr:uid="{00000000-0005-0000-0000-000049010000}"/>
    <cellStyle name="Normal 245" xfId="330" xr:uid="{00000000-0005-0000-0000-00004A010000}"/>
    <cellStyle name="Normal 246" xfId="331" xr:uid="{00000000-0005-0000-0000-00004B010000}"/>
    <cellStyle name="Normal 247" xfId="332" xr:uid="{00000000-0005-0000-0000-00004C010000}"/>
    <cellStyle name="Normal 248" xfId="333" xr:uid="{00000000-0005-0000-0000-00004D010000}"/>
    <cellStyle name="Normal 249" xfId="334" xr:uid="{00000000-0005-0000-0000-00004E010000}"/>
    <cellStyle name="Normal 25" xfId="335" xr:uid="{00000000-0005-0000-0000-00004F010000}"/>
    <cellStyle name="Normal 25 2" xfId="336" xr:uid="{00000000-0005-0000-0000-000050010000}"/>
    <cellStyle name="Normal 250" xfId="337" xr:uid="{00000000-0005-0000-0000-000051010000}"/>
    <cellStyle name="Normal 251" xfId="338" xr:uid="{00000000-0005-0000-0000-000052010000}"/>
    <cellStyle name="Normal 252" xfId="339" xr:uid="{00000000-0005-0000-0000-000053010000}"/>
    <cellStyle name="Normal 253" xfId="340" xr:uid="{00000000-0005-0000-0000-000054010000}"/>
    <cellStyle name="Normal 254" xfId="341" xr:uid="{00000000-0005-0000-0000-000055010000}"/>
    <cellStyle name="Normal 255" xfId="342" xr:uid="{00000000-0005-0000-0000-000056010000}"/>
    <cellStyle name="Normal 256" xfId="343" xr:uid="{00000000-0005-0000-0000-000057010000}"/>
    <cellStyle name="Normal 257" xfId="344" xr:uid="{00000000-0005-0000-0000-000058010000}"/>
    <cellStyle name="Normal 258" xfId="345" xr:uid="{00000000-0005-0000-0000-000059010000}"/>
    <cellStyle name="Normal 259" xfId="346" xr:uid="{00000000-0005-0000-0000-00005A010000}"/>
    <cellStyle name="Normal 26" xfId="347" xr:uid="{00000000-0005-0000-0000-00005B010000}"/>
    <cellStyle name="Normal 26 2" xfId="348" xr:uid="{00000000-0005-0000-0000-00005C010000}"/>
    <cellStyle name="Normal 260" xfId="349" xr:uid="{00000000-0005-0000-0000-00005D010000}"/>
    <cellStyle name="Normal 261" xfId="350" xr:uid="{00000000-0005-0000-0000-00005E010000}"/>
    <cellStyle name="Normal 262" xfId="351" xr:uid="{00000000-0005-0000-0000-00005F010000}"/>
    <cellStyle name="Normal 263" xfId="352" xr:uid="{00000000-0005-0000-0000-000060010000}"/>
    <cellStyle name="Normal 264" xfId="353" xr:uid="{00000000-0005-0000-0000-000061010000}"/>
    <cellStyle name="Normal 265" xfId="354" xr:uid="{00000000-0005-0000-0000-000062010000}"/>
    <cellStyle name="Normal 266" xfId="355" xr:uid="{00000000-0005-0000-0000-000063010000}"/>
    <cellStyle name="Normal 267" xfId="356" xr:uid="{00000000-0005-0000-0000-000064010000}"/>
    <cellStyle name="Normal 268" xfId="357" xr:uid="{00000000-0005-0000-0000-000065010000}"/>
    <cellStyle name="Normal 269" xfId="358" xr:uid="{00000000-0005-0000-0000-000066010000}"/>
    <cellStyle name="Normal 27" xfId="359" xr:uid="{00000000-0005-0000-0000-000067010000}"/>
    <cellStyle name="Normal 27 2" xfId="360" xr:uid="{00000000-0005-0000-0000-000068010000}"/>
    <cellStyle name="Normal 270" xfId="361" xr:uid="{00000000-0005-0000-0000-000069010000}"/>
    <cellStyle name="Normal 271" xfId="362" xr:uid="{00000000-0005-0000-0000-00006A010000}"/>
    <cellStyle name="Normal 272" xfId="363" xr:uid="{00000000-0005-0000-0000-00006B010000}"/>
    <cellStyle name="Normal 273" xfId="364" xr:uid="{00000000-0005-0000-0000-00006C010000}"/>
    <cellStyle name="Normal 274" xfId="365" xr:uid="{00000000-0005-0000-0000-00006D010000}"/>
    <cellStyle name="Normal 275" xfId="366" xr:uid="{00000000-0005-0000-0000-00006E010000}"/>
    <cellStyle name="Normal 276" xfId="367" xr:uid="{00000000-0005-0000-0000-00006F010000}"/>
    <cellStyle name="Normal 277" xfId="368" xr:uid="{00000000-0005-0000-0000-000070010000}"/>
    <cellStyle name="Normal 278" xfId="369" xr:uid="{00000000-0005-0000-0000-000071010000}"/>
    <cellStyle name="Normal 279" xfId="370" xr:uid="{00000000-0005-0000-0000-000072010000}"/>
    <cellStyle name="Normal 28" xfId="371" xr:uid="{00000000-0005-0000-0000-000073010000}"/>
    <cellStyle name="Normal 28 2" xfId="372" xr:uid="{00000000-0005-0000-0000-000074010000}"/>
    <cellStyle name="Normal 280" xfId="373" xr:uid="{00000000-0005-0000-0000-000075010000}"/>
    <cellStyle name="Normal 281" xfId="374" xr:uid="{00000000-0005-0000-0000-000076010000}"/>
    <cellStyle name="Normal 282" xfId="375" xr:uid="{00000000-0005-0000-0000-000077010000}"/>
    <cellStyle name="Normal 283" xfId="376" xr:uid="{00000000-0005-0000-0000-000078010000}"/>
    <cellStyle name="Normal 284" xfId="377" xr:uid="{00000000-0005-0000-0000-000079010000}"/>
    <cellStyle name="Normal 285" xfId="378" xr:uid="{00000000-0005-0000-0000-00007A010000}"/>
    <cellStyle name="Normal 286" xfId="379" xr:uid="{00000000-0005-0000-0000-00007B010000}"/>
    <cellStyle name="Normal 287" xfId="380" xr:uid="{00000000-0005-0000-0000-00007C010000}"/>
    <cellStyle name="Normal 288" xfId="381" xr:uid="{00000000-0005-0000-0000-00007D010000}"/>
    <cellStyle name="Normal 289" xfId="382" xr:uid="{00000000-0005-0000-0000-00007E010000}"/>
    <cellStyle name="Normal 29" xfId="383" xr:uid="{00000000-0005-0000-0000-00007F010000}"/>
    <cellStyle name="Normal 29 2" xfId="384" xr:uid="{00000000-0005-0000-0000-000080010000}"/>
    <cellStyle name="Normal 290" xfId="385" xr:uid="{00000000-0005-0000-0000-000081010000}"/>
    <cellStyle name="Normal 291" xfId="386" xr:uid="{00000000-0005-0000-0000-000082010000}"/>
    <cellStyle name="Normal 292" xfId="387" xr:uid="{00000000-0005-0000-0000-000083010000}"/>
    <cellStyle name="Normal 293" xfId="388" xr:uid="{00000000-0005-0000-0000-000084010000}"/>
    <cellStyle name="Normal 294" xfId="389" xr:uid="{00000000-0005-0000-0000-000085010000}"/>
    <cellStyle name="Normal 295" xfId="390" xr:uid="{00000000-0005-0000-0000-000086010000}"/>
    <cellStyle name="Normal 296" xfId="391" xr:uid="{00000000-0005-0000-0000-000087010000}"/>
    <cellStyle name="Normal 297" xfId="392" xr:uid="{00000000-0005-0000-0000-000088010000}"/>
    <cellStyle name="Normal 298" xfId="393" xr:uid="{00000000-0005-0000-0000-000089010000}"/>
    <cellStyle name="Normal 299" xfId="394" xr:uid="{00000000-0005-0000-0000-00008A010000}"/>
    <cellStyle name="Normal 3" xfId="5" xr:uid="{00000000-0005-0000-0000-00008B010000}"/>
    <cellStyle name="Normal 3 2" xfId="395" xr:uid="{00000000-0005-0000-0000-00008C010000}"/>
    <cellStyle name="Normal 3 3" xfId="396" xr:uid="{00000000-0005-0000-0000-00008D010000}"/>
    <cellStyle name="Normal 3 3 2" xfId="397" xr:uid="{00000000-0005-0000-0000-00008E010000}"/>
    <cellStyle name="Normal 3 3 3" xfId="398" xr:uid="{00000000-0005-0000-0000-00008F010000}"/>
    <cellStyle name="Normal 3 4" xfId="399" xr:uid="{00000000-0005-0000-0000-000090010000}"/>
    <cellStyle name="Normal 3 4 2" xfId="400" xr:uid="{00000000-0005-0000-0000-000091010000}"/>
    <cellStyle name="Normal 3 4 3" xfId="401" xr:uid="{00000000-0005-0000-0000-000092010000}"/>
    <cellStyle name="Normal 3 5" xfId="402" xr:uid="{00000000-0005-0000-0000-000093010000}"/>
    <cellStyle name="Normal 30" xfId="403" xr:uid="{00000000-0005-0000-0000-000094010000}"/>
    <cellStyle name="Normal 30 2" xfId="404" xr:uid="{00000000-0005-0000-0000-000095010000}"/>
    <cellStyle name="Normal 300" xfId="405" xr:uid="{00000000-0005-0000-0000-000096010000}"/>
    <cellStyle name="Normal 301" xfId="406" xr:uid="{00000000-0005-0000-0000-000097010000}"/>
    <cellStyle name="Normal 302" xfId="407" xr:uid="{00000000-0005-0000-0000-000098010000}"/>
    <cellStyle name="Normal 303" xfId="408" xr:uid="{00000000-0005-0000-0000-000099010000}"/>
    <cellStyle name="Normal 304" xfId="409" xr:uid="{00000000-0005-0000-0000-00009A010000}"/>
    <cellStyle name="Normal 305" xfId="410" xr:uid="{00000000-0005-0000-0000-00009B010000}"/>
    <cellStyle name="Normal 306" xfId="411" xr:uid="{00000000-0005-0000-0000-00009C010000}"/>
    <cellStyle name="Normal 307" xfId="412" xr:uid="{00000000-0005-0000-0000-00009D010000}"/>
    <cellStyle name="Normal 308" xfId="413" xr:uid="{00000000-0005-0000-0000-00009E010000}"/>
    <cellStyle name="Normal 309" xfId="414" xr:uid="{00000000-0005-0000-0000-00009F010000}"/>
    <cellStyle name="Normal 31" xfId="415" xr:uid="{00000000-0005-0000-0000-0000A0010000}"/>
    <cellStyle name="Normal 31 2" xfId="416" xr:uid="{00000000-0005-0000-0000-0000A1010000}"/>
    <cellStyle name="Normal 310" xfId="417" xr:uid="{00000000-0005-0000-0000-0000A2010000}"/>
    <cellStyle name="Normal 311" xfId="418" xr:uid="{00000000-0005-0000-0000-0000A3010000}"/>
    <cellStyle name="Normal 312" xfId="419" xr:uid="{00000000-0005-0000-0000-0000A4010000}"/>
    <cellStyle name="Normal 313" xfId="420" xr:uid="{00000000-0005-0000-0000-0000A5010000}"/>
    <cellStyle name="Normal 314" xfId="421" xr:uid="{00000000-0005-0000-0000-0000A6010000}"/>
    <cellStyle name="Normal 315" xfId="422" xr:uid="{00000000-0005-0000-0000-0000A7010000}"/>
    <cellStyle name="Normal 316" xfId="423" xr:uid="{00000000-0005-0000-0000-0000A8010000}"/>
    <cellStyle name="Normal 317" xfId="424" xr:uid="{00000000-0005-0000-0000-0000A9010000}"/>
    <cellStyle name="Normal 318" xfId="425" xr:uid="{00000000-0005-0000-0000-0000AA010000}"/>
    <cellStyle name="Normal 319" xfId="426" xr:uid="{00000000-0005-0000-0000-0000AB010000}"/>
    <cellStyle name="Normal 32" xfId="427" xr:uid="{00000000-0005-0000-0000-0000AC010000}"/>
    <cellStyle name="Normal 32 2" xfId="428" xr:uid="{00000000-0005-0000-0000-0000AD010000}"/>
    <cellStyle name="Normal 32 3" xfId="429" xr:uid="{00000000-0005-0000-0000-0000AE010000}"/>
    <cellStyle name="Normal 320" xfId="430" xr:uid="{00000000-0005-0000-0000-0000AF010000}"/>
    <cellStyle name="Normal 321" xfId="431" xr:uid="{00000000-0005-0000-0000-0000B0010000}"/>
    <cellStyle name="Normal 322" xfId="432" xr:uid="{00000000-0005-0000-0000-0000B1010000}"/>
    <cellStyle name="Normal 323" xfId="433" xr:uid="{00000000-0005-0000-0000-0000B2010000}"/>
    <cellStyle name="Normal 324" xfId="434" xr:uid="{00000000-0005-0000-0000-0000B3010000}"/>
    <cellStyle name="Normal 325" xfId="435" xr:uid="{00000000-0005-0000-0000-0000B4010000}"/>
    <cellStyle name="Normal 326" xfId="436" xr:uid="{00000000-0005-0000-0000-0000B5010000}"/>
    <cellStyle name="Normal 327" xfId="437" xr:uid="{00000000-0005-0000-0000-0000B6010000}"/>
    <cellStyle name="Normal 328" xfId="438" xr:uid="{00000000-0005-0000-0000-0000B7010000}"/>
    <cellStyle name="Normal 329" xfId="439" xr:uid="{00000000-0005-0000-0000-0000B8010000}"/>
    <cellStyle name="Normal 33" xfId="440" xr:uid="{00000000-0005-0000-0000-0000B9010000}"/>
    <cellStyle name="Normal 33 2" xfId="441" xr:uid="{00000000-0005-0000-0000-0000BA010000}"/>
    <cellStyle name="Normal 33 3" xfId="442" xr:uid="{00000000-0005-0000-0000-0000BB010000}"/>
    <cellStyle name="Normal 330" xfId="443" xr:uid="{00000000-0005-0000-0000-0000BC010000}"/>
    <cellStyle name="Normal 331" xfId="444" xr:uid="{00000000-0005-0000-0000-0000BD010000}"/>
    <cellStyle name="Normal 332" xfId="445" xr:uid="{00000000-0005-0000-0000-0000BE010000}"/>
    <cellStyle name="Normal 333" xfId="446" xr:uid="{00000000-0005-0000-0000-0000BF010000}"/>
    <cellStyle name="Normal 334" xfId="447" xr:uid="{00000000-0005-0000-0000-0000C0010000}"/>
    <cellStyle name="Normal 335" xfId="448" xr:uid="{00000000-0005-0000-0000-0000C1010000}"/>
    <cellStyle name="Normal 336" xfId="449" xr:uid="{00000000-0005-0000-0000-0000C2010000}"/>
    <cellStyle name="Normal 337" xfId="450" xr:uid="{00000000-0005-0000-0000-0000C3010000}"/>
    <cellStyle name="Normal 338" xfId="451" xr:uid="{00000000-0005-0000-0000-0000C4010000}"/>
    <cellStyle name="Normal 339" xfId="452" xr:uid="{00000000-0005-0000-0000-0000C5010000}"/>
    <cellStyle name="Normal 34" xfId="453" xr:uid="{00000000-0005-0000-0000-0000C6010000}"/>
    <cellStyle name="Normal 34 2" xfId="454" xr:uid="{00000000-0005-0000-0000-0000C7010000}"/>
    <cellStyle name="Normal 34 3" xfId="455" xr:uid="{00000000-0005-0000-0000-0000C8010000}"/>
    <cellStyle name="Normal 340" xfId="456" xr:uid="{00000000-0005-0000-0000-0000C9010000}"/>
    <cellStyle name="Normal 341" xfId="457" xr:uid="{00000000-0005-0000-0000-0000CA010000}"/>
    <cellStyle name="Normal 342" xfId="458" xr:uid="{00000000-0005-0000-0000-0000CB010000}"/>
    <cellStyle name="Normal 343" xfId="459" xr:uid="{00000000-0005-0000-0000-0000CC010000}"/>
    <cellStyle name="Normal 344" xfId="460" xr:uid="{00000000-0005-0000-0000-0000CD010000}"/>
    <cellStyle name="Normal 345" xfId="461" xr:uid="{00000000-0005-0000-0000-0000CE010000}"/>
    <cellStyle name="Normal 346" xfId="462" xr:uid="{00000000-0005-0000-0000-0000CF010000}"/>
    <cellStyle name="Normal 347" xfId="463" xr:uid="{00000000-0005-0000-0000-0000D0010000}"/>
    <cellStyle name="Normal 348" xfId="464" xr:uid="{00000000-0005-0000-0000-0000D1010000}"/>
    <cellStyle name="Normal 349" xfId="465" xr:uid="{00000000-0005-0000-0000-0000D2010000}"/>
    <cellStyle name="Normal 35" xfId="466" xr:uid="{00000000-0005-0000-0000-0000D3010000}"/>
    <cellStyle name="Normal 35 2" xfId="467" xr:uid="{00000000-0005-0000-0000-0000D4010000}"/>
    <cellStyle name="Normal 35 3" xfId="468" xr:uid="{00000000-0005-0000-0000-0000D5010000}"/>
    <cellStyle name="Normal 350" xfId="469" xr:uid="{00000000-0005-0000-0000-0000D6010000}"/>
    <cellStyle name="Normal 351" xfId="470" xr:uid="{00000000-0005-0000-0000-0000D7010000}"/>
    <cellStyle name="Normal 352" xfId="471" xr:uid="{00000000-0005-0000-0000-0000D8010000}"/>
    <cellStyle name="Normal 353" xfId="472" xr:uid="{00000000-0005-0000-0000-0000D9010000}"/>
    <cellStyle name="Normal 354" xfId="473" xr:uid="{00000000-0005-0000-0000-0000DA010000}"/>
    <cellStyle name="Normal 355" xfId="474" xr:uid="{00000000-0005-0000-0000-0000DB010000}"/>
    <cellStyle name="Normal 356" xfId="475" xr:uid="{00000000-0005-0000-0000-0000DC010000}"/>
    <cellStyle name="Normal 357" xfId="476" xr:uid="{00000000-0005-0000-0000-0000DD010000}"/>
    <cellStyle name="Normal 358" xfId="477" xr:uid="{00000000-0005-0000-0000-0000DE010000}"/>
    <cellStyle name="Normal 359" xfId="478" xr:uid="{00000000-0005-0000-0000-0000DF010000}"/>
    <cellStyle name="Normal 36" xfId="479" xr:uid="{00000000-0005-0000-0000-0000E0010000}"/>
    <cellStyle name="Normal 36 2" xfId="480" xr:uid="{00000000-0005-0000-0000-0000E1010000}"/>
    <cellStyle name="Normal 36 3" xfId="481" xr:uid="{00000000-0005-0000-0000-0000E2010000}"/>
    <cellStyle name="Normal 360" xfId="482" xr:uid="{00000000-0005-0000-0000-0000E3010000}"/>
    <cellStyle name="Normal 361" xfId="483" xr:uid="{00000000-0005-0000-0000-0000E4010000}"/>
    <cellStyle name="Normal 362" xfId="484" xr:uid="{00000000-0005-0000-0000-0000E5010000}"/>
    <cellStyle name="Normal 363" xfId="485" xr:uid="{00000000-0005-0000-0000-0000E6010000}"/>
    <cellStyle name="Normal 364" xfId="486" xr:uid="{00000000-0005-0000-0000-0000E7010000}"/>
    <cellStyle name="Normal 365" xfId="487" xr:uid="{00000000-0005-0000-0000-0000E8010000}"/>
    <cellStyle name="Normal 366" xfId="488" xr:uid="{00000000-0005-0000-0000-0000E9010000}"/>
    <cellStyle name="Normal 367" xfId="489" xr:uid="{00000000-0005-0000-0000-0000EA010000}"/>
    <cellStyle name="Normal 368" xfId="490" xr:uid="{00000000-0005-0000-0000-0000EB010000}"/>
    <cellStyle name="Normal 369" xfId="491" xr:uid="{00000000-0005-0000-0000-0000EC010000}"/>
    <cellStyle name="Normal 37" xfId="492" xr:uid="{00000000-0005-0000-0000-0000ED010000}"/>
    <cellStyle name="Normal 37 2" xfId="493" xr:uid="{00000000-0005-0000-0000-0000EE010000}"/>
    <cellStyle name="Normal 370" xfId="494" xr:uid="{00000000-0005-0000-0000-0000EF010000}"/>
    <cellStyle name="Normal 371" xfId="495" xr:uid="{00000000-0005-0000-0000-0000F0010000}"/>
    <cellStyle name="Normal 372" xfId="496" xr:uid="{00000000-0005-0000-0000-0000F1010000}"/>
    <cellStyle name="Normal 373" xfId="497" xr:uid="{00000000-0005-0000-0000-0000F2010000}"/>
    <cellStyle name="Normal 374" xfId="498" xr:uid="{00000000-0005-0000-0000-0000F3010000}"/>
    <cellStyle name="Normal 375" xfId="499" xr:uid="{00000000-0005-0000-0000-0000F4010000}"/>
    <cellStyle name="Normal 376" xfId="500" xr:uid="{00000000-0005-0000-0000-0000F5010000}"/>
    <cellStyle name="Normal 377" xfId="501" xr:uid="{00000000-0005-0000-0000-0000F6010000}"/>
    <cellStyle name="Normal 378" xfId="502" xr:uid="{00000000-0005-0000-0000-0000F7010000}"/>
    <cellStyle name="Normal 379" xfId="503" xr:uid="{00000000-0005-0000-0000-0000F8010000}"/>
    <cellStyle name="Normal 38" xfId="504" xr:uid="{00000000-0005-0000-0000-0000F9010000}"/>
    <cellStyle name="Normal 38 2" xfId="505" xr:uid="{00000000-0005-0000-0000-0000FA010000}"/>
    <cellStyle name="Normal 380" xfId="506" xr:uid="{00000000-0005-0000-0000-0000FB010000}"/>
    <cellStyle name="Normal 381" xfId="507" xr:uid="{00000000-0005-0000-0000-0000FC010000}"/>
    <cellStyle name="Normal 382" xfId="508" xr:uid="{00000000-0005-0000-0000-0000FD010000}"/>
    <cellStyle name="Normal 383" xfId="509" xr:uid="{00000000-0005-0000-0000-0000FE010000}"/>
    <cellStyle name="Normal 384" xfId="510" xr:uid="{00000000-0005-0000-0000-0000FF010000}"/>
    <cellStyle name="Normal 385" xfId="511" xr:uid="{00000000-0005-0000-0000-000000020000}"/>
    <cellStyle name="Normal 386" xfId="512" xr:uid="{00000000-0005-0000-0000-000001020000}"/>
    <cellStyle name="Normal 387" xfId="513" xr:uid="{00000000-0005-0000-0000-000002020000}"/>
    <cellStyle name="Normal 388" xfId="514" xr:uid="{00000000-0005-0000-0000-000003020000}"/>
    <cellStyle name="Normal 389" xfId="515" xr:uid="{00000000-0005-0000-0000-000004020000}"/>
    <cellStyle name="Normal 39" xfId="516" xr:uid="{00000000-0005-0000-0000-000005020000}"/>
    <cellStyle name="Normal 39 2" xfId="517" xr:uid="{00000000-0005-0000-0000-000006020000}"/>
    <cellStyle name="Normal 390" xfId="518" xr:uid="{00000000-0005-0000-0000-000007020000}"/>
    <cellStyle name="Normal 391" xfId="519" xr:uid="{00000000-0005-0000-0000-000008020000}"/>
    <cellStyle name="Normal 392" xfId="520" xr:uid="{00000000-0005-0000-0000-000009020000}"/>
    <cellStyle name="Normal 393" xfId="521" xr:uid="{00000000-0005-0000-0000-00000A020000}"/>
    <cellStyle name="Normal 394" xfId="522" xr:uid="{00000000-0005-0000-0000-00000B020000}"/>
    <cellStyle name="Normal 395" xfId="523" xr:uid="{00000000-0005-0000-0000-00000C020000}"/>
    <cellStyle name="Normal 396" xfId="524" xr:uid="{00000000-0005-0000-0000-00000D020000}"/>
    <cellStyle name="Normal 397" xfId="525" xr:uid="{00000000-0005-0000-0000-00000E020000}"/>
    <cellStyle name="Normal 398" xfId="526" xr:uid="{00000000-0005-0000-0000-00000F020000}"/>
    <cellStyle name="Normal 399" xfId="527" xr:uid="{00000000-0005-0000-0000-000010020000}"/>
    <cellStyle name="Normal 4" xfId="17" xr:uid="{00000000-0005-0000-0000-000011020000}"/>
    <cellStyle name="Normal 4 2" xfId="528" xr:uid="{00000000-0005-0000-0000-000012020000}"/>
    <cellStyle name="Normal 4 2 2" xfId="529" xr:uid="{00000000-0005-0000-0000-000013020000}"/>
    <cellStyle name="Normal 4 2 3" xfId="530" xr:uid="{00000000-0005-0000-0000-000014020000}"/>
    <cellStyle name="Normal 4 3" xfId="531" xr:uid="{00000000-0005-0000-0000-000015020000}"/>
    <cellStyle name="Normal 4 4" xfId="784" xr:uid="{00000000-0005-0000-0000-000016020000}"/>
    <cellStyle name="Normal 40" xfId="532" xr:uid="{00000000-0005-0000-0000-000017020000}"/>
    <cellStyle name="Normal 40 2" xfId="533" xr:uid="{00000000-0005-0000-0000-000018020000}"/>
    <cellStyle name="Normal 400" xfId="534" xr:uid="{00000000-0005-0000-0000-000019020000}"/>
    <cellStyle name="Normal 401" xfId="535" xr:uid="{00000000-0005-0000-0000-00001A020000}"/>
    <cellStyle name="Normal 402" xfId="536" xr:uid="{00000000-0005-0000-0000-00001B020000}"/>
    <cellStyle name="Normal 403" xfId="537" xr:uid="{00000000-0005-0000-0000-00001C020000}"/>
    <cellStyle name="Normal 404" xfId="538" xr:uid="{00000000-0005-0000-0000-00001D020000}"/>
    <cellStyle name="Normal 405" xfId="539" xr:uid="{00000000-0005-0000-0000-00001E020000}"/>
    <cellStyle name="Normal 406" xfId="540" xr:uid="{00000000-0005-0000-0000-00001F020000}"/>
    <cellStyle name="Normal 407" xfId="541" xr:uid="{00000000-0005-0000-0000-000020020000}"/>
    <cellStyle name="Normal 408" xfId="542" xr:uid="{00000000-0005-0000-0000-000021020000}"/>
    <cellStyle name="Normal 409" xfId="543" xr:uid="{00000000-0005-0000-0000-000022020000}"/>
    <cellStyle name="Normal 41" xfId="544" xr:uid="{00000000-0005-0000-0000-000023020000}"/>
    <cellStyle name="Normal 41 2" xfId="545" xr:uid="{00000000-0005-0000-0000-000024020000}"/>
    <cellStyle name="Normal 410" xfId="546" xr:uid="{00000000-0005-0000-0000-000025020000}"/>
    <cellStyle name="Normal 411" xfId="547" xr:uid="{00000000-0005-0000-0000-000026020000}"/>
    <cellStyle name="Normal 412" xfId="548" xr:uid="{00000000-0005-0000-0000-000027020000}"/>
    <cellStyle name="Normal 413" xfId="549" xr:uid="{00000000-0005-0000-0000-000028020000}"/>
    <cellStyle name="Normal 414" xfId="550" xr:uid="{00000000-0005-0000-0000-000029020000}"/>
    <cellStyle name="Normal 415" xfId="551" xr:uid="{00000000-0005-0000-0000-00002A020000}"/>
    <cellStyle name="Normal 416" xfId="552" xr:uid="{00000000-0005-0000-0000-00002B020000}"/>
    <cellStyle name="Normal 417" xfId="553" xr:uid="{00000000-0005-0000-0000-00002C020000}"/>
    <cellStyle name="Normal 418" xfId="554" xr:uid="{00000000-0005-0000-0000-00002D020000}"/>
    <cellStyle name="Normal 419" xfId="555" xr:uid="{00000000-0005-0000-0000-00002E020000}"/>
    <cellStyle name="Normal 42" xfId="556" xr:uid="{00000000-0005-0000-0000-00002F020000}"/>
    <cellStyle name="Normal 42 2" xfId="557" xr:uid="{00000000-0005-0000-0000-000030020000}"/>
    <cellStyle name="Normal 420" xfId="558" xr:uid="{00000000-0005-0000-0000-000031020000}"/>
    <cellStyle name="Normal 421" xfId="559" xr:uid="{00000000-0005-0000-0000-000032020000}"/>
    <cellStyle name="Normal 422" xfId="560" xr:uid="{00000000-0005-0000-0000-000033020000}"/>
    <cellStyle name="Normal 423" xfId="561" xr:uid="{00000000-0005-0000-0000-000034020000}"/>
    <cellStyle name="Normal 424" xfId="562" xr:uid="{00000000-0005-0000-0000-000035020000}"/>
    <cellStyle name="Normal 425" xfId="563" xr:uid="{00000000-0005-0000-0000-000036020000}"/>
    <cellStyle name="Normal 426" xfId="564" xr:uid="{00000000-0005-0000-0000-000037020000}"/>
    <cellStyle name="Normal 427" xfId="565" xr:uid="{00000000-0005-0000-0000-000038020000}"/>
    <cellStyle name="Normal 428" xfId="566" xr:uid="{00000000-0005-0000-0000-000039020000}"/>
    <cellStyle name="Normal 429" xfId="567" xr:uid="{00000000-0005-0000-0000-00003A020000}"/>
    <cellStyle name="Normal 43" xfId="568" xr:uid="{00000000-0005-0000-0000-00003B020000}"/>
    <cellStyle name="Normal 43 2" xfId="569" xr:uid="{00000000-0005-0000-0000-00003C020000}"/>
    <cellStyle name="Normal 430" xfId="570" xr:uid="{00000000-0005-0000-0000-00003D020000}"/>
    <cellStyle name="Normal 431" xfId="571" xr:uid="{00000000-0005-0000-0000-00003E020000}"/>
    <cellStyle name="Normal 432" xfId="572" xr:uid="{00000000-0005-0000-0000-00003F020000}"/>
    <cellStyle name="Normal 433" xfId="573" xr:uid="{00000000-0005-0000-0000-000040020000}"/>
    <cellStyle name="Normal 434" xfId="574" xr:uid="{00000000-0005-0000-0000-000041020000}"/>
    <cellStyle name="Normal 435" xfId="575" xr:uid="{00000000-0005-0000-0000-000042020000}"/>
    <cellStyle name="Normal 436" xfId="576" xr:uid="{00000000-0005-0000-0000-000043020000}"/>
    <cellStyle name="Normal 437" xfId="577" xr:uid="{00000000-0005-0000-0000-000044020000}"/>
    <cellStyle name="Normal 438" xfId="578" xr:uid="{00000000-0005-0000-0000-000045020000}"/>
    <cellStyle name="Normal 439" xfId="579" xr:uid="{00000000-0005-0000-0000-000046020000}"/>
    <cellStyle name="Normal 44" xfId="580" xr:uid="{00000000-0005-0000-0000-000047020000}"/>
    <cellStyle name="Normal 44 2" xfId="581" xr:uid="{00000000-0005-0000-0000-000048020000}"/>
    <cellStyle name="Normal 440" xfId="582" xr:uid="{00000000-0005-0000-0000-000049020000}"/>
    <cellStyle name="Normal 441" xfId="583" xr:uid="{00000000-0005-0000-0000-00004A020000}"/>
    <cellStyle name="Normal 442" xfId="584" xr:uid="{00000000-0005-0000-0000-00004B020000}"/>
    <cellStyle name="Normal 443" xfId="585" xr:uid="{00000000-0005-0000-0000-00004C020000}"/>
    <cellStyle name="Normal 444" xfId="586" xr:uid="{00000000-0005-0000-0000-00004D020000}"/>
    <cellStyle name="Normal 445" xfId="587" xr:uid="{00000000-0005-0000-0000-00004E020000}"/>
    <cellStyle name="Normal 446" xfId="588" xr:uid="{00000000-0005-0000-0000-00004F020000}"/>
    <cellStyle name="Normal 447" xfId="589" xr:uid="{00000000-0005-0000-0000-000050020000}"/>
    <cellStyle name="Normal 448" xfId="590" xr:uid="{00000000-0005-0000-0000-000051020000}"/>
    <cellStyle name="Normal 449" xfId="591" xr:uid="{00000000-0005-0000-0000-000052020000}"/>
    <cellStyle name="Normal 45" xfId="592" xr:uid="{00000000-0005-0000-0000-000053020000}"/>
    <cellStyle name="Normal 45 2" xfId="593" xr:uid="{00000000-0005-0000-0000-000054020000}"/>
    <cellStyle name="Normal 450" xfId="594" xr:uid="{00000000-0005-0000-0000-000055020000}"/>
    <cellStyle name="Normal 451" xfId="595" xr:uid="{00000000-0005-0000-0000-000056020000}"/>
    <cellStyle name="Normal 452" xfId="596" xr:uid="{00000000-0005-0000-0000-000057020000}"/>
    <cellStyle name="Normal 453" xfId="597" xr:uid="{00000000-0005-0000-0000-000058020000}"/>
    <cellStyle name="Normal 454" xfId="598" xr:uid="{00000000-0005-0000-0000-000059020000}"/>
    <cellStyle name="Normal 455" xfId="599" xr:uid="{00000000-0005-0000-0000-00005A020000}"/>
    <cellStyle name="Normal 456" xfId="600" xr:uid="{00000000-0005-0000-0000-00005B020000}"/>
    <cellStyle name="Normal 457" xfId="601" xr:uid="{00000000-0005-0000-0000-00005C020000}"/>
    <cellStyle name="Normal 458" xfId="602" xr:uid="{00000000-0005-0000-0000-00005D020000}"/>
    <cellStyle name="Normal 459" xfId="603" xr:uid="{00000000-0005-0000-0000-00005E020000}"/>
    <cellStyle name="Normal 46" xfId="604" xr:uid="{00000000-0005-0000-0000-00005F020000}"/>
    <cellStyle name="Normal 46 2" xfId="605" xr:uid="{00000000-0005-0000-0000-000060020000}"/>
    <cellStyle name="Normal 460" xfId="606" xr:uid="{00000000-0005-0000-0000-000061020000}"/>
    <cellStyle name="Normal 461" xfId="607" xr:uid="{00000000-0005-0000-0000-000062020000}"/>
    <cellStyle name="Normal 462" xfId="608" xr:uid="{00000000-0005-0000-0000-000063020000}"/>
    <cellStyle name="Normal 463" xfId="609" xr:uid="{00000000-0005-0000-0000-000064020000}"/>
    <cellStyle name="Normal 464" xfId="21" xr:uid="{00000000-0005-0000-0000-000065020000}"/>
    <cellStyle name="Normal 465" xfId="19" xr:uid="{00000000-0005-0000-0000-000066020000}"/>
    <cellStyle name="Normal 466" xfId="610" xr:uid="{00000000-0005-0000-0000-000067020000}"/>
    <cellStyle name="Normal 467" xfId="611" xr:uid="{00000000-0005-0000-0000-000068020000}"/>
    <cellStyle name="Normal 468" xfId="20" xr:uid="{00000000-0005-0000-0000-000069020000}"/>
    <cellStyle name="Normal 469" xfId="18" xr:uid="{00000000-0005-0000-0000-00006A020000}"/>
    <cellStyle name="Normal 47" xfId="612" xr:uid="{00000000-0005-0000-0000-00006B020000}"/>
    <cellStyle name="Normal 47 2" xfId="613" xr:uid="{00000000-0005-0000-0000-00006C020000}"/>
    <cellStyle name="Normal 470" xfId="614" xr:uid="{00000000-0005-0000-0000-00006D020000}"/>
    <cellStyle name="Normal 471" xfId="615" xr:uid="{00000000-0005-0000-0000-00006E020000}"/>
    <cellStyle name="Normal 472" xfId="616" xr:uid="{00000000-0005-0000-0000-00006F020000}"/>
    <cellStyle name="Normal 473" xfId="617" xr:uid="{00000000-0005-0000-0000-000070020000}"/>
    <cellStyle name="Normal 474" xfId="618" xr:uid="{00000000-0005-0000-0000-000071020000}"/>
    <cellStyle name="Normal 475" xfId="619" xr:uid="{00000000-0005-0000-0000-000072020000}"/>
    <cellStyle name="Normal 476" xfId="620" xr:uid="{00000000-0005-0000-0000-000073020000}"/>
    <cellStyle name="Normal 477" xfId="621" xr:uid="{00000000-0005-0000-0000-000074020000}"/>
    <cellStyle name="Normal 478" xfId="622" xr:uid="{00000000-0005-0000-0000-000075020000}"/>
    <cellStyle name="Normal 479" xfId="798" xr:uid="{00000000-0005-0000-0000-000076020000}"/>
    <cellStyle name="Normal 48" xfId="623" xr:uid="{00000000-0005-0000-0000-000077020000}"/>
    <cellStyle name="Normal 48 2" xfId="624" xr:uid="{00000000-0005-0000-0000-000078020000}"/>
    <cellStyle name="Normal 480" xfId="799" xr:uid="{00000000-0005-0000-0000-000079020000}"/>
    <cellStyle name="Normal 481" xfId="801" xr:uid="{00000000-0005-0000-0000-00007A020000}"/>
    <cellStyle name="Normal 482" xfId="802" xr:uid="{00000000-0005-0000-0000-00007B020000}"/>
    <cellStyle name="Normal 483" xfId="803" xr:uid="{00000000-0005-0000-0000-00007C020000}"/>
    <cellStyle name="Normal 484" xfId="804" xr:uid="{00000000-0005-0000-0000-00007D020000}"/>
    <cellStyle name="Normal 485" xfId="805" xr:uid="{00000000-0005-0000-0000-00007E020000}"/>
    <cellStyle name="Normal 486" xfId="806" xr:uid="{00000000-0005-0000-0000-00007F020000}"/>
    <cellStyle name="Normal 487" xfId="807" xr:uid="{00000000-0005-0000-0000-000080020000}"/>
    <cellStyle name="Normal 488" xfId="808" xr:uid="{00000000-0005-0000-0000-000081020000}"/>
    <cellStyle name="Normal 489" xfId="809" xr:uid="{00000000-0005-0000-0000-000082020000}"/>
    <cellStyle name="Normal 49" xfId="625" xr:uid="{00000000-0005-0000-0000-000083020000}"/>
    <cellStyle name="Normal 49 2" xfId="626" xr:uid="{00000000-0005-0000-0000-000084020000}"/>
    <cellStyle name="Normal 490" xfId="810" xr:uid="{00000000-0005-0000-0000-000085020000}"/>
    <cellStyle name="Normal 491" xfId="811" xr:uid="{00000000-0005-0000-0000-000086020000}"/>
    <cellStyle name="Normal 492" xfId="812" xr:uid="{00000000-0005-0000-0000-000087020000}"/>
    <cellStyle name="Normal 493" xfId="813" xr:uid="{00000000-0005-0000-0000-000088020000}"/>
    <cellStyle name="Normal 494" xfId="814" xr:uid="{00000000-0005-0000-0000-000089020000}"/>
    <cellStyle name="Normal 5" xfId="627" xr:uid="{00000000-0005-0000-0000-00008A020000}"/>
    <cellStyle name="Normal 50" xfId="628" xr:uid="{00000000-0005-0000-0000-00008B020000}"/>
    <cellStyle name="Normal 50 2" xfId="629" xr:uid="{00000000-0005-0000-0000-00008C020000}"/>
    <cellStyle name="Normal 51" xfId="630" xr:uid="{00000000-0005-0000-0000-00008D020000}"/>
    <cellStyle name="Normal 51 2" xfId="631" xr:uid="{00000000-0005-0000-0000-00008E020000}"/>
    <cellStyle name="Normal 52" xfId="632" xr:uid="{00000000-0005-0000-0000-00008F020000}"/>
    <cellStyle name="Normal 52 2" xfId="633" xr:uid="{00000000-0005-0000-0000-000090020000}"/>
    <cellStyle name="Normal 53" xfId="634" xr:uid="{00000000-0005-0000-0000-000091020000}"/>
    <cellStyle name="Normal 53 2" xfId="635" xr:uid="{00000000-0005-0000-0000-000092020000}"/>
    <cellStyle name="Normal 54" xfId="636" xr:uid="{00000000-0005-0000-0000-000093020000}"/>
    <cellStyle name="Normal 54 2" xfId="637" xr:uid="{00000000-0005-0000-0000-000094020000}"/>
    <cellStyle name="Normal 55" xfId="638" xr:uid="{00000000-0005-0000-0000-000095020000}"/>
    <cellStyle name="Normal 55 2" xfId="639" xr:uid="{00000000-0005-0000-0000-000096020000}"/>
    <cellStyle name="Normal 56" xfId="640" xr:uid="{00000000-0005-0000-0000-000097020000}"/>
    <cellStyle name="Normal 56 2" xfId="641" xr:uid="{00000000-0005-0000-0000-000098020000}"/>
    <cellStyle name="Normal 57" xfId="642" xr:uid="{00000000-0005-0000-0000-000099020000}"/>
    <cellStyle name="Normal 57 2" xfId="643" xr:uid="{00000000-0005-0000-0000-00009A020000}"/>
    <cellStyle name="Normal 58" xfId="644" xr:uid="{00000000-0005-0000-0000-00009B020000}"/>
    <cellStyle name="Normal 58 2" xfId="645" xr:uid="{00000000-0005-0000-0000-00009C020000}"/>
    <cellStyle name="Normal 59" xfId="646" xr:uid="{00000000-0005-0000-0000-00009D020000}"/>
    <cellStyle name="Normal 59 2" xfId="647" xr:uid="{00000000-0005-0000-0000-00009E020000}"/>
    <cellStyle name="Normal 6" xfId="648" xr:uid="{00000000-0005-0000-0000-00009F020000}"/>
    <cellStyle name="Normal 6 2" xfId="649" xr:uid="{00000000-0005-0000-0000-0000A0020000}"/>
    <cellStyle name="Normal 6 2 2" xfId="650" xr:uid="{00000000-0005-0000-0000-0000A1020000}"/>
    <cellStyle name="Normal 6 3" xfId="651" xr:uid="{00000000-0005-0000-0000-0000A2020000}"/>
    <cellStyle name="Normal 60" xfId="652" xr:uid="{00000000-0005-0000-0000-0000A3020000}"/>
    <cellStyle name="Normal 60 2" xfId="653" xr:uid="{00000000-0005-0000-0000-0000A4020000}"/>
    <cellStyle name="Normal 61" xfId="654" xr:uid="{00000000-0005-0000-0000-0000A5020000}"/>
    <cellStyle name="Normal 61 2" xfId="655" xr:uid="{00000000-0005-0000-0000-0000A6020000}"/>
    <cellStyle name="Normal 62" xfId="656" xr:uid="{00000000-0005-0000-0000-0000A7020000}"/>
    <cellStyle name="Normal 62 2" xfId="657" xr:uid="{00000000-0005-0000-0000-0000A8020000}"/>
    <cellStyle name="Normal 63" xfId="658" xr:uid="{00000000-0005-0000-0000-0000A9020000}"/>
    <cellStyle name="Normal 64" xfId="659" xr:uid="{00000000-0005-0000-0000-0000AA020000}"/>
    <cellStyle name="Normal 65" xfId="660" xr:uid="{00000000-0005-0000-0000-0000AB020000}"/>
    <cellStyle name="Normal 66" xfId="661" xr:uid="{00000000-0005-0000-0000-0000AC020000}"/>
    <cellStyle name="Normal 67" xfId="662" xr:uid="{00000000-0005-0000-0000-0000AD020000}"/>
    <cellStyle name="Normal 68" xfId="663" xr:uid="{00000000-0005-0000-0000-0000AE020000}"/>
    <cellStyle name="Normal 69" xfId="664" xr:uid="{00000000-0005-0000-0000-0000AF020000}"/>
    <cellStyle name="Normal 7" xfId="665" xr:uid="{00000000-0005-0000-0000-0000B0020000}"/>
    <cellStyle name="Normal 7 2" xfId="666" xr:uid="{00000000-0005-0000-0000-0000B1020000}"/>
    <cellStyle name="Normal 7 3" xfId="667" xr:uid="{00000000-0005-0000-0000-0000B2020000}"/>
    <cellStyle name="Normal 70" xfId="668" xr:uid="{00000000-0005-0000-0000-0000B3020000}"/>
    <cellStyle name="Normal 71" xfId="669" xr:uid="{00000000-0005-0000-0000-0000B4020000}"/>
    <cellStyle name="Normal 72" xfId="670" xr:uid="{00000000-0005-0000-0000-0000B5020000}"/>
    <cellStyle name="Normal 73" xfId="671" xr:uid="{00000000-0005-0000-0000-0000B6020000}"/>
    <cellStyle name="Normal 74" xfId="672" xr:uid="{00000000-0005-0000-0000-0000B7020000}"/>
    <cellStyle name="Normal 75" xfId="673" xr:uid="{00000000-0005-0000-0000-0000B8020000}"/>
    <cellStyle name="Normal 76" xfId="674" xr:uid="{00000000-0005-0000-0000-0000B9020000}"/>
    <cellStyle name="Normal 77" xfId="675" xr:uid="{00000000-0005-0000-0000-0000BA020000}"/>
    <cellStyle name="Normal 78" xfId="676" xr:uid="{00000000-0005-0000-0000-0000BB020000}"/>
    <cellStyle name="Normal 79" xfId="677" xr:uid="{00000000-0005-0000-0000-0000BC020000}"/>
    <cellStyle name="Normal 8" xfId="678" xr:uid="{00000000-0005-0000-0000-0000BD020000}"/>
    <cellStyle name="Normal 8 2" xfId="679" xr:uid="{00000000-0005-0000-0000-0000BE020000}"/>
    <cellStyle name="Normal 8 3" xfId="680" xr:uid="{00000000-0005-0000-0000-0000BF020000}"/>
    <cellStyle name="Normal 80" xfId="681" xr:uid="{00000000-0005-0000-0000-0000C0020000}"/>
    <cellStyle name="Normal 81" xfId="682" xr:uid="{00000000-0005-0000-0000-0000C1020000}"/>
    <cellStyle name="Normal 82" xfId="683" xr:uid="{00000000-0005-0000-0000-0000C2020000}"/>
    <cellStyle name="Normal 83" xfId="684" xr:uid="{00000000-0005-0000-0000-0000C3020000}"/>
    <cellStyle name="Normal 84" xfId="685" xr:uid="{00000000-0005-0000-0000-0000C4020000}"/>
    <cellStyle name="Normal 85" xfId="686" xr:uid="{00000000-0005-0000-0000-0000C5020000}"/>
    <cellStyle name="Normal 86" xfId="687" xr:uid="{00000000-0005-0000-0000-0000C6020000}"/>
    <cellStyle name="Normal 87" xfId="688" xr:uid="{00000000-0005-0000-0000-0000C7020000}"/>
    <cellStyle name="Normal 88" xfId="689" xr:uid="{00000000-0005-0000-0000-0000C8020000}"/>
    <cellStyle name="Normal 89" xfId="690" xr:uid="{00000000-0005-0000-0000-0000C9020000}"/>
    <cellStyle name="Normal 9" xfId="691" xr:uid="{00000000-0005-0000-0000-0000CA020000}"/>
    <cellStyle name="Normal 9 2" xfId="692" xr:uid="{00000000-0005-0000-0000-0000CB020000}"/>
    <cellStyle name="Normal 9 3" xfId="693" xr:uid="{00000000-0005-0000-0000-0000CC020000}"/>
    <cellStyle name="Normal 90" xfId="694" xr:uid="{00000000-0005-0000-0000-0000CD020000}"/>
    <cellStyle name="Normal 91" xfId="695" xr:uid="{00000000-0005-0000-0000-0000CE020000}"/>
    <cellStyle name="Normal 92" xfId="696" xr:uid="{00000000-0005-0000-0000-0000CF020000}"/>
    <cellStyle name="Normal 93" xfId="697" xr:uid="{00000000-0005-0000-0000-0000D0020000}"/>
    <cellStyle name="Normal 94" xfId="698" xr:uid="{00000000-0005-0000-0000-0000D1020000}"/>
    <cellStyle name="Normal 95" xfId="699" xr:uid="{00000000-0005-0000-0000-0000D2020000}"/>
    <cellStyle name="Normal 96" xfId="700" xr:uid="{00000000-0005-0000-0000-0000D3020000}"/>
    <cellStyle name="Normal 97" xfId="701" xr:uid="{00000000-0005-0000-0000-0000D4020000}"/>
    <cellStyle name="Normal 98" xfId="702" xr:uid="{00000000-0005-0000-0000-0000D5020000}"/>
    <cellStyle name="Normal 99" xfId="703" xr:uid="{00000000-0005-0000-0000-0000D6020000}"/>
    <cellStyle name="Note 2" xfId="704" xr:uid="{00000000-0005-0000-0000-0000D8020000}"/>
    <cellStyle name="Note 2 2" xfId="705" xr:uid="{00000000-0005-0000-0000-0000D9020000}"/>
    <cellStyle name="Note 2 2 2" xfId="790" xr:uid="{00000000-0005-0000-0000-0000DA020000}"/>
    <cellStyle name="Note 2 3" xfId="706" xr:uid="{00000000-0005-0000-0000-0000DB020000}"/>
    <cellStyle name="Note 2 3 2" xfId="791" xr:uid="{00000000-0005-0000-0000-0000DC020000}"/>
    <cellStyle name="Note 2 4" xfId="789" xr:uid="{00000000-0005-0000-0000-0000DD020000}"/>
    <cellStyle name="Note 3" xfId="800" xr:uid="{00000000-0005-0000-0000-0000DE020000}"/>
    <cellStyle name="OddBodyShade" xfId="707" xr:uid="{00000000-0005-0000-0000-0000DF020000}"/>
    <cellStyle name="Output 2" xfId="708" xr:uid="{00000000-0005-0000-0000-0000E0020000}"/>
    <cellStyle name="Output 2 2" xfId="709" xr:uid="{00000000-0005-0000-0000-0000E1020000}"/>
    <cellStyle name="Output 2 2 2" xfId="793" xr:uid="{00000000-0005-0000-0000-0000E2020000}"/>
    <cellStyle name="Output 2 3" xfId="710" xr:uid="{00000000-0005-0000-0000-0000E3020000}"/>
    <cellStyle name="Output 2 3 2" xfId="794" xr:uid="{00000000-0005-0000-0000-0000E4020000}"/>
    <cellStyle name="Output 2 4" xfId="792" xr:uid="{00000000-0005-0000-0000-0000E5020000}"/>
    <cellStyle name="Overscore" xfId="711" xr:uid="{00000000-0005-0000-0000-0000E6020000}"/>
    <cellStyle name="Overscore 2" xfId="712" xr:uid="{00000000-0005-0000-0000-0000E7020000}"/>
    <cellStyle name="Overunder" xfId="713" xr:uid="{00000000-0005-0000-0000-0000E8020000}"/>
    <cellStyle name="Overunder 2" xfId="714" xr:uid="{00000000-0005-0000-0000-0000E9020000}"/>
    <cellStyle name="Overunder 2 2" xfId="715" xr:uid="{00000000-0005-0000-0000-0000EA020000}"/>
    <cellStyle name="Overunder 2 3" xfId="716" xr:uid="{00000000-0005-0000-0000-0000EB020000}"/>
    <cellStyle name="P" xfId="717" xr:uid="{00000000-0005-0000-0000-0000EC020000}"/>
    <cellStyle name="P 2" xfId="718" xr:uid="{00000000-0005-0000-0000-0000ED020000}"/>
    <cellStyle name="Percent" xfId="3" builtinId="5"/>
    <cellStyle name="Percent [2]" xfId="719" xr:uid="{00000000-0005-0000-0000-0000EF020000}"/>
    <cellStyle name="Percent [2] 2" xfId="720" xr:uid="{00000000-0005-0000-0000-0000F0020000}"/>
    <cellStyle name="Percent [2] 3" xfId="721" xr:uid="{00000000-0005-0000-0000-0000F1020000}"/>
    <cellStyle name="Percent 10" xfId="722" xr:uid="{00000000-0005-0000-0000-0000F2020000}"/>
    <cellStyle name="Percent 11" xfId="723" xr:uid="{00000000-0005-0000-0000-0000F3020000}"/>
    <cellStyle name="Percent 12" xfId="724" xr:uid="{00000000-0005-0000-0000-0000F4020000}"/>
    <cellStyle name="Percent 13" xfId="725" xr:uid="{00000000-0005-0000-0000-0000F5020000}"/>
    <cellStyle name="Percent 14" xfId="726" xr:uid="{00000000-0005-0000-0000-0000F6020000}"/>
    <cellStyle name="Percent 15" xfId="727" xr:uid="{00000000-0005-0000-0000-0000F7020000}"/>
    <cellStyle name="Percent 16" xfId="728" xr:uid="{00000000-0005-0000-0000-0000F8020000}"/>
    <cellStyle name="Percent 17" xfId="729" xr:uid="{00000000-0005-0000-0000-0000F9020000}"/>
    <cellStyle name="Percent 18" xfId="730" xr:uid="{00000000-0005-0000-0000-0000FA020000}"/>
    <cellStyle name="Percent 19" xfId="731" xr:uid="{00000000-0005-0000-0000-0000FB020000}"/>
    <cellStyle name="Percent 2" xfId="15" xr:uid="{00000000-0005-0000-0000-0000FC020000}"/>
    <cellStyle name="Percent 2 2" xfId="732" xr:uid="{00000000-0005-0000-0000-0000FD020000}"/>
    <cellStyle name="Percent 2 3" xfId="733" xr:uid="{00000000-0005-0000-0000-0000FE020000}"/>
    <cellStyle name="Percent 2 4" xfId="734" xr:uid="{00000000-0005-0000-0000-0000FF020000}"/>
    <cellStyle name="Percent 3" xfId="14" xr:uid="{00000000-0005-0000-0000-000000030000}"/>
    <cellStyle name="Percent 3 2" xfId="735" xr:uid="{00000000-0005-0000-0000-000001030000}"/>
    <cellStyle name="Percent 3 3" xfId="736" xr:uid="{00000000-0005-0000-0000-000002030000}"/>
    <cellStyle name="Percent 4" xfId="737" xr:uid="{00000000-0005-0000-0000-000003030000}"/>
    <cellStyle name="Percent 4 2" xfId="738" xr:uid="{00000000-0005-0000-0000-000004030000}"/>
    <cellStyle name="Percent 4 3" xfId="739" xr:uid="{00000000-0005-0000-0000-000005030000}"/>
    <cellStyle name="Percent 5" xfId="740" xr:uid="{00000000-0005-0000-0000-000006030000}"/>
    <cellStyle name="Percent 6" xfId="741" xr:uid="{00000000-0005-0000-0000-000007030000}"/>
    <cellStyle name="Percent 7" xfId="742" xr:uid="{00000000-0005-0000-0000-000008030000}"/>
    <cellStyle name="Percent 8" xfId="743" xr:uid="{00000000-0005-0000-0000-000009030000}"/>
    <cellStyle name="Percent 9" xfId="744" xr:uid="{00000000-0005-0000-0000-00000A030000}"/>
    <cellStyle name="PercentExpense" xfId="16" xr:uid="{00000000-0005-0000-0000-00000B030000}"/>
    <cellStyle name="Porcentaje" xfId="745" xr:uid="{00000000-0005-0000-0000-00000C030000}"/>
    <cellStyle name="Reg1" xfId="746" xr:uid="{00000000-0005-0000-0000-00000D030000}"/>
    <cellStyle name="Reg2" xfId="747" xr:uid="{00000000-0005-0000-0000-00000E030000}"/>
    <cellStyle name="Reg3" xfId="748" xr:uid="{00000000-0005-0000-0000-00000F030000}"/>
    <cellStyle name="Reg4" xfId="749" xr:uid="{00000000-0005-0000-0000-000010030000}"/>
    <cellStyle name="Reg5" xfId="750" xr:uid="{00000000-0005-0000-0000-000011030000}"/>
    <cellStyle name="Reg6" xfId="751" xr:uid="{00000000-0005-0000-0000-000012030000}"/>
    <cellStyle name="Reg7" xfId="752" xr:uid="{00000000-0005-0000-0000-000013030000}"/>
    <cellStyle name="Reg8" xfId="753" xr:uid="{00000000-0005-0000-0000-000014030000}"/>
    <cellStyle name="Reg9" xfId="754" xr:uid="{00000000-0005-0000-0000-000015030000}"/>
    <cellStyle name="RM" xfId="755" xr:uid="{00000000-0005-0000-0000-000016030000}"/>
    <cellStyle name="SpecialHeader" xfId="756" xr:uid="{00000000-0005-0000-0000-000017030000}"/>
    <cellStyle name="STYLE1 - Style1" xfId="757" xr:uid="{00000000-0005-0000-0000-000018030000}"/>
    <cellStyle name="STYLE2 - Style2" xfId="758" xr:uid="{00000000-0005-0000-0000-000019030000}"/>
    <cellStyle name="STYLE3 - Style3" xfId="759" xr:uid="{00000000-0005-0000-0000-00001A030000}"/>
    <cellStyle name="STYLE4 - Style4" xfId="760" xr:uid="{00000000-0005-0000-0000-00001B030000}"/>
    <cellStyle name="SubHeader" xfId="761" xr:uid="{00000000-0005-0000-0000-00001C030000}"/>
    <cellStyle name="SubTotal" xfId="762" xr:uid="{00000000-0005-0000-0000-00001D030000}"/>
    <cellStyle name="T" xfId="763" xr:uid="{00000000-0005-0000-0000-00001E030000}"/>
    <cellStyle name="TIME" xfId="764" xr:uid="{00000000-0005-0000-0000-00001F030000}"/>
    <cellStyle name="Title 2" xfId="765" xr:uid="{00000000-0005-0000-0000-000020030000}"/>
    <cellStyle name="Title1" xfId="766" xr:uid="{00000000-0005-0000-0000-000021030000}"/>
    <cellStyle name="TitleOther" xfId="767" xr:uid="{00000000-0005-0000-0000-000022030000}"/>
    <cellStyle name="Total 2" xfId="768" xr:uid="{00000000-0005-0000-0000-000023030000}"/>
    <cellStyle name="Total 2 2" xfId="769" xr:uid="{00000000-0005-0000-0000-000024030000}"/>
    <cellStyle name="Total 2 2 2" xfId="796" xr:uid="{00000000-0005-0000-0000-000025030000}"/>
    <cellStyle name="Total 2 3" xfId="770" xr:uid="{00000000-0005-0000-0000-000026030000}"/>
    <cellStyle name="Total 2 3 2" xfId="797" xr:uid="{00000000-0005-0000-0000-000027030000}"/>
    <cellStyle name="Total 2 4" xfId="795" xr:uid="{00000000-0005-0000-0000-000028030000}"/>
    <cellStyle name="Total1" xfId="771" xr:uid="{00000000-0005-0000-0000-000029030000}"/>
    <cellStyle name="Total2" xfId="772" xr:uid="{00000000-0005-0000-0000-00002A030000}"/>
    <cellStyle name="Total3" xfId="773" xr:uid="{00000000-0005-0000-0000-00002B030000}"/>
    <cellStyle name="Total4" xfId="774" xr:uid="{00000000-0005-0000-0000-00002C030000}"/>
    <cellStyle name="Total5" xfId="775" xr:uid="{00000000-0005-0000-0000-00002D030000}"/>
    <cellStyle name="Total6" xfId="776" xr:uid="{00000000-0005-0000-0000-00002E030000}"/>
    <cellStyle name="Total7" xfId="777" xr:uid="{00000000-0005-0000-0000-00002F030000}"/>
    <cellStyle name="Total8" xfId="778" xr:uid="{00000000-0005-0000-0000-000030030000}"/>
    <cellStyle name="Total9" xfId="779" xr:uid="{00000000-0005-0000-0000-000031030000}"/>
    <cellStyle name="TotShade" xfId="780" xr:uid="{00000000-0005-0000-0000-000032030000}"/>
    <cellStyle name="Underscore" xfId="781" xr:uid="{00000000-0005-0000-0000-000033030000}"/>
    <cellStyle name="Underscore 2" xfId="782" xr:uid="{00000000-0005-0000-0000-000034030000}"/>
    <cellStyle name="Warning Text 2" xfId="783" xr:uid="{00000000-0005-0000-0000-000035030000}"/>
  </cellStyles>
  <dxfs count="4">
    <dxf>
      <fill>
        <patternFill>
          <bgColor theme="0" tint="-4.9989318521683403E-2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3" defaultTableStyle="TableStyleMedium2" defaultPivotStyle="PivotStyleLight16">
    <tableStyle name="Table Style 1" pivot="0" count="1" xr9:uid="{00000000-0011-0000-FFFF-FFFF00000000}">
      <tableStyleElement type="secondRowStripe" dxfId="3"/>
    </tableStyle>
    <tableStyle name="Table Style 2" pivot="0" count="1" xr9:uid="{00000000-0011-0000-FFFF-FFFF01000000}">
      <tableStyleElement type="firstRowStripe" dxfId="2"/>
    </tableStyle>
    <tableStyle name="Table Style 6" pivot="0" count="2" xr9:uid="{00000000-0011-0000-FFFF-FFFF02000000}">
      <tableStyleElement type="headerRow" dxfId="1"/>
      <tableStyleElement type="secondRowStripe" dxfId="0"/>
    </tableStyle>
  </tableStyles>
  <colors>
    <mruColors>
      <color rgb="FF0000FF"/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11</xdr:row>
      <xdr:rowOff>166688</xdr:rowOff>
    </xdr:from>
    <xdr:to>
      <xdr:col>17</xdr:col>
      <xdr:colOff>293843</xdr:colOff>
      <xdr:row>42</xdr:row>
      <xdr:rowOff>183876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726B8E-F2CE-14D4-7B2A-F633F8A9B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875" y="1500188"/>
          <a:ext cx="9383415" cy="6154009"/>
        </a:xfrm>
        <a:prstGeom prst="rect">
          <a:avLst/>
        </a:prstGeom>
      </xdr:spPr>
    </xdr:pic>
    <xdr:clientData/>
  </xdr:twoCellAnchor>
  <xdr:twoCellAnchor editAs="oneCell">
    <xdr:from>
      <xdr:col>3</xdr:col>
      <xdr:colOff>547687</xdr:colOff>
      <xdr:row>46</xdr:row>
      <xdr:rowOff>47626</xdr:rowOff>
    </xdr:from>
    <xdr:to>
      <xdr:col>17</xdr:col>
      <xdr:colOff>289082</xdr:colOff>
      <xdr:row>72</xdr:row>
      <xdr:rowOff>105635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9E3250-F0F4-C203-E052-1FC970CB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5062" y="8048626"/>
          <a:ext cx="9402467" cy="6154009"/>
        </a:xfrm>
        <a:prstGeom prst="rect">
          <a:avLst/>
        </a:prstGeom>
      </xdr:spPr>
    </xdr:pic>
    <xdr:clientData/>
  </xdr:twoCellAnchor>
  <xdr:twoCellAnchor editAs="oneCell">
    <xdr:from>
      <xdr:col>3</xdr:col>
      <xdr:colOff>519546</xdr:colOff>
      <xdr:row>112</xdr:row>
      <xdr:rowOff>188334</xdr:rowOff>
    </xdr:from>
    <xdr:to>
      <xdr:col>17</xdr:col>
      <xdr:colOff>348836</xdr:colOff>
      <xdr:row>129</xdr:row>
      <xdr:rowOff>121228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53BE29-1C40-8964-D504-99ED4A09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7955" y="20762334"/>
          <a:ext cx="9282544" cy="6219394"/>
        </a:xfrm>
        <a:prstGeom prst="rect">
          <a:avLst/>
        </a:prstGeom>
      </xdr:spPr>
    </xdr:pic>
    <xdr:clientData/>
  </xdr:twoCellAnchor>
  <xdr:twoCellAnchor editAs="oneCell">
    <xdr:from>
      <xdr:col>3</xdr:col>
      <xdr:colOff>502227</xdr:colOff>
      <xdr:row>79</xdr:row>
      <xdr:rowOff>121227</xdr:rowOff>
    </xdr:from>
    <xdr:to>
      <xdr:col>17</xdr:col>
      <xdr:colOff>400792</xdr:colOff>
      <xdr:row>112</xdr:row>
      <xdr:rowOff>18994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A5CFE3-3D3C-22D8-7E3B-137B301D2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636" y="14408727"/>
          <a:ext cx="9351819" cy="6184267"/>
        </a:xfrm>
        <a:prstGeom prst="rect">
          <a:avLst/>
        </a:prstGeom>
      </xdr:spPr>
    </xdr:pic>
    <xdr:clientData/>
  </xdr:twoCellAnchor>
  <xdr:twoCellAnchor editAs="oneCell">
    <xdr:from>
      <xdr:col>3</xdr:col>
      <xdr:colOff>484910</xdr:colOff>
      <xdr:row>136</xdr:row>
      <xdr:rowOff>155862</xdr:rowOff>
    </xdr:from>
    <xdr:to>
      <xdr:col>17</xdr:col>
      <xdr:colOff>539337</xdr:colOff>
      <xdr:row>163</xdr:row>
      <xdr:rowOff>34635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D6993F-791A-EBE5-3C4B-4A89D2E22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3319" y="29977771"/>
          <a:ext cx="9507681" cy="502227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381001</xdr:colOff>
      <xdr:row>174</xdr:row>
      <xdr:rowOff>51955</xdr:rowOff>
    </xdr:from>
    <xdr:to>
      <xdr:col>17</xdr:col>
      <xdr:colOff>610185</xdr:colOff>
      <xdr:row>207</xdr:row>
      <xdr:rowOff>173182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C8A07C-3B4A-553C-2EF6-912B5AFCC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9410" y="32436955"/>
          <a:ext cx="9682438" cy="6407727"/>
        </a:xfrm>
        <a:prstGeom prst="rect">
          <a:avLst/>
        </a:prstGeom>
      </xdr:spPr>
    </xdr:pic>
    <xdr:clientData/>
  </xdr:twoCellAnchor>
  <xdr:twoCellAnchor editAs="oneCell">
    <xdr:from>
      <xdr:col>25</xdr:col>
      <xdr:colOff>598714</xdr:colOff>
      <xdr:row>10</xdr:row>
      <xdr:rowOff>40821</xdr:rowOff>
    </xdr:from>
    <xdr:to>
      <xdr:col>39</xdr:col>
      <xdr:colOff>583733</xdr:colOff>
      <xdr:row>40</xdr:row>
      <xdr:rowOff>16553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37B4BC-BC17-98B2-E872-74F51075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88893" y="1183821"/>
          <a:ext cx="8856876" cy="5922053"/>
        </a:xfrm>
        <a:prstGeom prst="rect">
          <a:avLst/>
        </a:prstGeom>
      </xdr:spPr>
    </xdr:pic>
    <xdr:clientData/>
  </xdr:twoCellAnchor>
  <xdr:twoCellAnchor editAs="oneCell">
    <xdr:from>
      <xdr:col>25</xdr:col>
      <xdr:colOff>612320</xdr:colOff>
      <xdr:row>45</xdr:row>
      <xdr:rowOff>0</xdr:rowOff>
    </xdr:from>
    <xdr:to>
      <xdr:col>40</xdr:col>
      <xdr:colOff>217713</xdr:colOff>
      <xdr:row>71</xdr:row>
      <xdr:rowOff>96114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A33C07-FFF5-99FF-5180-2F3EBF834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499" y="8041821"/>
          <a:ext cx="9089571" cy="6192114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79</xdr:row>
      <xdr:rowOff>0</xdr:rowOff>
    </xdr:from>
    <xdr:to>
      <xdr:col>44</xdr:col>
      <xdr:colOff>110240</xdr:colOff>
      <xdr:row>112</xdr:row>
      <xdr:rowOff>162825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6D3B2F-E613-341B-F64D-F5F0D244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227143" y="15852321"/>
          <a:ext cx="9907383" cy="6449325"/>
        </a:xfrm>
        <a:prstGeom prst="rect">
          <a:avLst/>
        </a:prstGeom>
      </xdr:spPr>
    </xdr:pic>
    <xdr:clientData/>
  </xdr:twoCellAnchor>
  <xdr:twoCellAnchor editAs="oneCell">
    <xdr:from>
      <xdr:col>31</xdr:col>
      <xdr:colOff>51955</xdr:colOff>
      <xdr:row>132</xdr:row>
      <xdr:rowOff>138546</xdr:rowOff>
    </xdr:from>
    <xdr:to>
      <xdr:col>46</xdr:col>
      <xdr:colOff>533871</xdr:colOff>
      <xdr:row>165</xdr:row>
      <xdr:rowOff>148950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E78FBB2-7371-98F9-9802-D81C63AAB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946591" y="29198455"/>
          <a:ext cx="9573961" cy="6296904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175</xdr:row>
      <xdr:rowOff>0</xdr:rowOff>
    </xdr:from>
    <xdr:to>
      <xdr:col>48</xdr:col>
      <xdr:colOff>193696</xdr:colOff>
      <xdr:row>211</xdr:row>
      <xdr:rowOff>172431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AB9E13-CF4F-6C24-CFC1-6FF7D62E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94636" y="37251409"/>
          <a:ext cx="10498015" cy="7030431"/>
        </a:xfrm>
        <a:prstGeom prst="rect">
          <a:avLst/>
        </a:prstGeom>
      </xdr:spPr>
    </xdr:pic>
    <xdr:clientData/>
  </xdr:twoCellAnchor>
  <xdr:twoCellAnchor editAs="oneCell">
    <xdr:from>
      <xdr:col>31</xdr:col>
      <xdr:colOff>142875</xdr:colOff>
      <xdr:row>216</xdr:row>
      <xdr:rowOff>47625</xdr:rowOff>
    </xdr:from>
    <xdr:to>
      <xdr:col>49</xdr:col>
      <xdr:colOff>549700</xdr:colOff>
      <xdr:row>244</xdr:row>
      <xdr:rowOff>30307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65A352-B3F8-83FB-AC98-24032843A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383875" y="44815125"/>
          <a:ext cx="11551074" cy="5316682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215</xdr:row>
      <xdr:rowOff>142875</xdr:rowOff>
    </xdr:from>
    <xdr:to>
      <xdr:col>19</xdr:col>
      <xdr:colOff>196004</xdr:colOff>
      <xdr:row>242</xdr:row>
      <xdr:rowOff>698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B307CA-7CE7-D818-CA8C-A8117EE8F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62250" y="44719875"/>
          <a:ext cx="10183646" cy="5001323"/>
        </a:xfrm>
        <a:prstGeom prst="rect">
          <a:avLst/>
        </a:prstGeom>
      </xdr:spPr>
    </xdr:pic>
    <xdr:clientData/>
  </xdr:twoCellAnchor>
  <xdr:twoCellAnchor editAs="oneCell">
    <xdr:from>
      <xdr:col>2</xdr:col>
      <xdr:colOff>404812</xdr:colOff>
      <xdr:row>247</xdr:row>
      <xdr:rowOff>95250</xdr:rowOff>
    </xdr:from>
    <xdr:to>
      <xdr:col>20</xdr:col>
      <xdr:colOff>956</xdr:colOff>
      <xdr:row>274</xdr:row>
      <xdr:rowOff>71437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23686A9-7ACE-6D1B-A6AB-C1EAEBF2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43062" y="50768250"/>
          <a:ext cx="11726912" cy="511968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248</xdr:row>
      <xdr:rowOff>0</xdr:rowOff>
    </xdr:from>
    <xdr:to>
      <xdr:col>54</xdr:col>
      <xdr:colOff>30568</xdr:colOff>
      <xdr:row>277</xdr:row>
      <xdr:rowOff>143666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7FDB5F-6B35-67B5-1E58-4D717BFEF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241000" y="50863500"/>
          <a:ext cx="14270442" cy="5668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114300</xdr:rowOff>
    </xdr:to>
    <xdr:sp macro="" textlink="">
      <xdr:nvSpPr>
        <xdr:cNvPr id="2049" name="AutoShape 1" descr="Generated image 2">
          <a:extLst>
            <a:ext uri="{FF2B5EF4-FFF2-40B4-BE49-F238E27FC236}">
              <a16:creationId xmlns:a16="http://schemas.microsoft.com/office/drawing/2014/main" id="{8811363E-7D37-C3C5-20FC-92ED0B3D4728}"/>
            </a:ext>
          </a:extLst>
        </xdr:cNvPr>
        <xdr:cNvSpPr>
          <a:spLocks noChangeAspect="1" noChangeArrowheads="1"/>
        </xdr:cNvSpPr>
      </xdr:nvSpPr>
      <xdr:spPr bwMode="auto">
        <a:xfrm>
          <a:off x="5629275" y="8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190499</xdr:rowOff>
    </xdr:from>
    <xdr:to>
      <xdr:col>9</xdr:col>
      <xdr:colOff>8283</xdr:colOff>
      <xdr:row>14</xdr:row>
      <xdr:rowOff>8282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184EF-5675-A595-C597-30DE69100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1366" y="808462"/>
          <a:ext cx="4766137" cy="19132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E5F0-DC26-4167-A8D9-86DA56552C97}">
  <dimension ref="G2:AA243"/>
  <sheetViews>
    <sheetView topLeftCell="G235" zoomScale="70" zoomScaleNormal="70" workbookViewId="0">
      <selection activeCell="X247" sqref="X247"/>
    </sheetView>
  </sheetViews>
  <sheetFormatPr defaultRowHeight="15"/>
  <cols>
    <col min="7" max="7" width="16.140625" customWidth="1"/>
    <col min="14" max="14" width="16.85546875" bestFit="1" customWidth="1"/>
    <col min="23" max="23" width="22.85546875" bestFit="1" customWidth="1"/>
    <col min="24" max="24" width="37.5703125" customWidth="1"/>
    <col min="25" max="25" width="28.28515625" customWidth="1"/>
    <col min="26" max="26" width="13.5703125" bestFit="1" customWidth="1"/>
  </cols>
  <sheetData>
    <row r="2" spans="7:25">
      <c r="W2" t="s">
        <v>270</v>
      </c>
      <c r="Y2" t="s">
        <v>273</v>
      </c>
    </row>
    <row r="3" spans="7:25">
      <c r="W3" t="s">
        <v>272</v>
      </c>
      <c r="X3" s="7">
        <f>SUM(W35,W72,Y99,Y110,Z123,Z152,AA189,AA230,AA243)</f>
        <v>2173750</v>
      </c>
      <c r="Y3" s="7">
        <f>X3/37</f>
        <v>58750</v>
      </c>
    </row>
    <row r="4" spans="7:25">
      <c r="W4" t="s">
        <v>271</v>
      </c>
      <c r="X4" s="7">
        <f>SUM(W36,W72,(Y99*0.75),(Y110*0.9),Z124,Z151,Z189,Z230,Z243)</f>
        <v>1715112.5</v>
      </c>
      <c r="Y4" s="7">
        <f>X4/37</f>
        <v>46354.391891891893</v>
      </c>
    </row>
    <row r="5" spans="7:25">
      <c r="N5" s="6">
        <f>100000*37</f>
        <v>3700000</v>
      </c>
    </row>
    <row r="7" spans="7:25">
      <c r="G7" s="6">
        <f>((500*12)*37)*0.55</f>
        <v>122100.00000000001</v>
      </c>
      <c r="J7" t="s">
        <v>274</v>
      </c>
    </row>
    <row r="9" spans="7:25">
      <c r="J9" s="2" t="s">
        <v>275</v>
      </c>
      <c r="W9" t="s">
        <v>63</v>
      </c>
    </row>
    <row r="11" spans="7:25">
      <c r="J11" t="s">
        <v>276</v>
      </c>
    </row>
    <row r="14" spans="7:25" ht="15.75">
      <c r="W14" s="16" t="s">
        <v>20</v>
      </c>
      <c r="X14" s="16" t="s">
        <v>21</v>
      </c>
      <c r="Y14" s="16" t="s">
        <v>22</v>
      </c>
    </row>
    <row r="15" spans="7:25" ht="15.75">
      <c r="W15" s="13" t="s">
        <v>23</v>
      </c>
      <c r="X15" s="13" t="s">
        <v>24</v>
      </c>
      <c r="Y15" s="13" t="s">
        <v>25</v>
      </c>
    </row>
    <row r="16" spans="7:25" ht="15.75">
      <c r="W16" s="13" t="s">
        <v>26</v>
      </c>
      <c r="X16" s="13" t="s">
        <v>62</v>
      </c>
      <c r="Y16" s="13" t="s">
        <v>27</v>
      </c>
    </row>
    <row r="17" spans="23:25" ht="15.75">
      <c r="W17" s="13" t="s">
        <v>28</v>
      </c>
      <c r="X17" s="13" t="s">
        <v>29</v>
      </c>
      <c r="Y17" s="13" t="s">
        <v>30</v>
      </c>
    </row>
    <row r="18" spans="23:25" ht="15.75">
      <c r="W18" s="13" t="s">
        <v>31</v>
      </c>
      <c r="X18" s="13" t="s">
        <v>32</v>
      </c>
      <c r="Y18" s="13" t="s">
        <v>25</v>
      </c>
    </row>
    <row r="19" spans="23:25" ht="15.75">
      <c r="W19" s="13" t="s">
        <v>33</v>
      </c>
      <c r="X19" s="13" t="s">
        <v>34</v>
      </c>
      <c r="Y19" s="13" t="s">
        <v>35</v>
      </c>
    </row>
    <row r="20" spans="23:25" ht="15.75">
      <c r="W20" s="13" t="s">
        <v>19</v>
      </c>
      <c r="X20" s="13" t="s">
        <v>36</v>
      </c>
      <c r="Y20" s="13" t="s">
        <v>37</v>
      </c>
    </row>
    <row r="21" spans="23:25" ht="15.75">
      <c r="W21" s="13" t="s">
        <v>18</v>
      </c>
      <c r="X21" s="13" t="s">
        <v>38</v>
      </c>
      <c r="Y21" s="13" t="s">
        <v>39</v>
      </c>
    </row>
    <row r="22" spans="23:25" ht="15.75">
      <c r="W22" s="13" t="s">
        <v>40</v>
      </c>
      <c r="X22" s="13" t="s">
        <v>41</v>
      </c>
      <c r="Y22" s="13" t="s">
        <v>42</v>
      </c>
    </row>
    <row r="23" spans="23:25" ht="15.75">
      <c r="W23" s="13" t="s">
        <v>43</v>
      </c>
      <c r="X23" s="13" t="s">
        <v>44</v>
      </c>
      <c r="Y23" s="13" t="s">
        <v>45</v>
      </c>
    </row>
    <row r="24" spans="23:25" ht="15.75">
      <c r="W24" s="13" t="s">
        <v>46</v>
      </c>
      <c r="X24" s="13" t="s">
        <v>47</v>
      </c>
      <c r="Y24" s="13" t="s">
        <v>48</v>
      </c>
    </row>
    <row r="25" spans="23:25" ht="15.75">
      <c r="W25" s="13" t="s">
        <v>49</v>
      </c>
      <c r="X25" s="13" t="s">
        <v>50</v>
      </c>
      <c r="Y25" s="13" t="s">
        <v>51</v>
      </c>
    </row>
    <row r="26" spans="23:25" ht="15.75">
      <c r="W26" s="13" t="s">
        <v>52</v>
      </c>
      <c r="X26" s="13" t="s">
        <v>53</v>
      </c>
      <c r="Y26" s="13" t="s">
        <v>54</v>
      </c>
    </row>
    <row r="27" spans="23:25" ht="15.75">
      <c r="W27" s="13" t="s">
        <v>55</v>
      </c>
      <c r="X27" s="13" t="s">
        <v>56</v>
      </c>
      <c r="Y27" s="13" t="s">
        <v>54</v>
      </c>
    </row>
    <row r="28" spans="23:25" ht="15.75">
      <c r="W28" s="13"/>
      <c r="X28" s="13"/>
      <c r="Y28" s="13"/>
    </row>
    <row r="29" spans="23:25" ht="15.75">
      <c r="W29" s="13" t="s">
        <v>57</v>
      </c>
      <c r="X29" s="13" t="s">
        <v>58</v>
      </c>
      <c r="Y29" s="13" t="s">
        <v>59</v>
      </c>
    </row>
    <row r="30" spans="23:25" ht="15.75">
      <c r="W30" s="13" t="s">
        <v>60</v>
      </c>
      <c r="X30" s="13"/>
      <c r="Y30" s="13" t="s">
        <v>61</v>
      </c>
    </row>
    <row r="35" spans="22:23">
      <c r="W35" s="6">
        <f>17500*37</f>
        <v>647500</v>
      </c>
    </row>
    <row r="36" spans="22:23">
      <c r="W36" s="6">
        <f>13000*37</f>
        <v>481000</v>
      </c>
    </row>
    <row r="48" spans="22:23">
      <c r="V48" t="s">
        <v>64</v>
      </c>
    </row>
    <row r="51" spans="23:25">
      <c r="W51" s="9" t="s">
        <v>65</v>
      </c>
      <c r="X51" s="9" t="s">
        <v>66</v>
      </c>
      <c r="Y51" s="11" t="s">
        <v>67</v>
      </c>
    </row>
    <row r="52" spans="23:25" ht="30">
      <c r="W52" s="5" t="s">
        <v>23</v>
      </c>
      <c r="X52" s="5" t="s">
        <v>68</v>
      </c>
      <c r="Y52" s="15">
        <v>350</v>
      </c>
    </row>
    <row r="53" spans="23:25">
      <c r="W53" s="5" t="s">
        <v>69</v>
      </c>
      <c r="X53" s="5" t="s">
        <v>70</v>
      </c>
      <c r="Y53" s="15">
        <v>650</v>
      </c>
    </row>
    <row r="54" spans="23:25" ht="30">
      <c r="W54" s="5" t="s">
        <v>71</v>
      </c>
      <c r="X54" s="5" t="s">
        <v>72</v>
      </c>
      <c r="Y54" s="15">
        <v>500</v>
      </c>
    </row>
    <row r="55" spans="23:25" ht="30">
      <c r="W55" s="5" t="s">
        <v>73</v>
      </c>
      <c r="X55" s="5" t="s">
        <v>74</v>
      </c>
      <c r="Y55" s="15">
        <v>325</v>
      </c>
    </row>
    <row r="56" spans="23:25">
      <c r="W56" s="5" t="s">
        <v>75</v>
      </c>
      <c r="X56" s="5" t="s">
        <v>76</v>
      </c>
      <c r="Y56" s="15">
        <v>175</v>
      </c>
    </row>
    <row r="57" spans="23:25">
      <c r="W57" s="5" t="s">
        <v>77</v>
      </c>
      <c r="X57" s="5" t="s">
        <v>78</v>
      </c>
      <c r="Y57" s="15">
        <v>250</v>
      </c>
    </row>
    <row r="58" spans="23:25">
      <c r="W58" s="5" t="s">
        <v>79</v>
      </c>
      <c r="X58" s="5" t="s">
        <v>80</v>
      </c>
      <c r="Y58" s="15">
        <v>400</v>
      </c>
    </row>
    <row r="59" spans="23:25">
      <c r="W59" s="5" t="s">
        <v>81</v>
      </c>
      <c r="X59" s="5" t="s">
        <v>82</v>
      </c>
      <c r="Y59" s="15">
        <v>550</v>
      </c>
    </row>
    <row r="60" spans="23:25" ht="30">
      <c r="W60" s="5" t="s">
        <v>83</v>
      </c>
      <c r="X60" s="5" t="s">
        <v>84</v>
      </c>
      <c r="Y60" s="15">
        <v>450</v>
      </c>
    </row>
    <row r="61" spans="23:25" ht="30">
      <c r="W61" s="5" t="s">
        <v>85</v>
      </c>
      <c r="X61" s="5" t="s">
        <v>86</v>
      </c>
      <c r="Y61" s="15">
        <v>450</v>
      </c>
    </row>
    <row r="62" spans="23:25">
      <c r="W62" s="5" t="s">
        <v>87</v>
      </c>
      <c r="X62" s="5" t="s">
        <v>88</v>
      </c>
      <c r="Y62" s="15">
        <v>175</v>
      </c>
    </row>
    <row r="63" spans="23:25">
      <c r="W63" s="5"/>
      <c r="X63" s="5"/>
      <c r="Y63" s="15"/>
    </row>
    <row r="64" spans="23:25">
      <c r="W64" s="5" t="s">
        <v>90</v>
      </c>
      <c r="X64" s="5" t="s">
        <v>91</v>
      </c>
      <c r="Y64" s="15">
        <v>350</v>
      </c>
    </row>
    <row r="65" spans="23:25" ht="30">
      <c r="W65" s="5" t="s">
        <v>92</v>
      </c>
      <c r="X65" s="5" t="s">
        <v>93</v>
      </c>
      <c r="Y65" s="15">
        <v>300</v>
      </c>
    </row>
    <row r="66" spans="23:25">
      <c r="W66" s="5" t="s">
        <v>94</v>
      </c>
      <c r="X66" s="5" t="s">
        <v>95</v>
      </c>
      <c r="Y66" s="15">
        <v>350</v>
      </c>
    </row>
    <row r="67" spans="23:25">
      <c r="W67" s="12" t="s">
        <v>96</v>
      </c>
      <c r="X67" s="5"/>
      <c r="Y67" s="11" t="s">
        <v>97</v>
      </c>
    </row>
    <row r="68" spans="23:25">
      <c r="W68" s="5" t="s">
        <v>98</v>
      </c>
      <c r="X68" s="5" t="s">
        <v>99</v>
      </c>
      <c r="Y68" s="15">
        <v>800</v>
      </c>
    </row>
    <row r="69" spans="23:25">
      <c r="W69" s="12" t="s">
        <v>100</v>
      </c>
      <c r="X69" s="5"/>
      <c r="Y69" s="15">
        <f>SUM(Y68,Y52:Y66)</f>
        <v>6075</v>
      </c>
    </row>
    <row r="72" spans="23:25">
      <c r="W72" s="6">
        <f>6075*63</f>
        <v>382725</v>
      </c>
    </row>
    <row r="81" spans="23:27">
      <c r="W81" t="s">
        <v>101</v>
      </c>
      <c r="X81" t="s">
        <v>20</v>
      </c>
      <c r="Y81" t="s">
        <v>102</v>
      </c>
      <c r="Z81" t="s">
        <v>103</v>
      </c>
      <c r="AA81" t="s">
        <v>104</v>
      </c>
    </row>
    <row r="82" spans="23:27">
      <c r="W82" t="s">
        <v>105</v>
      </c>
      <c r="X82" t="s">
        <v>106</v>
      </c>
      <c r="Y82" s="14">
        <v>3200</v>
      </c>
      <c r="Z82" s="14">
        <v>6000</v>
      </c>
      <c r="AA82" s="14">
        <v>7000</v>
      </c>
    </row>
    <row r="83" spans="23:27">
      <c r="W83" t="s">
        <v>107</v>
      </c>
      <c r="X83" t="s">
        <v>108</v>
      </c>
      <c r="Y83" s="14">
        <v>600</v>
      </c>
      <c r="Z83" s="14">
        <v>900</v>
      </c>
      <c r="AA83" s="14">
        <v>1050</v>
      </c>
    </row>
    <row r="84" spans="23:27">
      <c r="W84" t="s">
        <v>109</v>
      </c>
      <c r="X84" t="s">
        <v>110</v>
      </c>
      <c r="Y84" s="14">
        <v>2200</v>
      </c>
      <c r="Z84" s="14">
        <v>3000</v>
      </c>
      <c r="AA84" s="14">
        <v>3400</v>
      </c>
    </row>
    <row r="85" spans="23:27">
      <c r="W85" t="s">
        <v>111</v>
      </c>
      <c r="X85" t="s">
        <v>112</v>
      </c>
      <c r="Y85" s="14">
        <v>600</v>
      </c>
      <c r="Z85" s="14">
        <v>900</v>
      </c>
      <c r="AA85" s="14">
        <v>1050</v>
      </c>
    </row>
    <row r="86" spans="23:27">
      <c r="W86" t="s">
        <v>113</v>
      </c>
      <c r="X86" t="s">
        <v>114</v>
      </c>
      <c r="Y86" s="14">
        <v>700</v>
      </c>
      <c r="Z86" s="14">
        <v>1000</v>
      </c>
      <c r="AA86" s="14">
        <v>1150</v>
      </c>
    </row>
    <row r="87" spans="23:27">
      <c r="W87" t="s">
        <v>115</v>
      </c>
      <c r="X87" t="s">
        <v>116</v>
      </c>
      <c r="Y87" s="14">
        <v>300</v>
      </c>
      <c r="Z87" s="14">
        <v>450</v>
      </c>
      <c r="AA87" s="14">
        <v>500</v>
      </c>
    </row>
    <row r="88" spans="23:27">
      <c r="W88" t="s">
        <v>117</v>
      </c>
      <c r="X88" t="s">
        <v>118</v>
      </c>
      <c r="Y88" s="14">
        <v>300</v>
      </c>
      <c r="Z88" s="14">
        <v>450</v>
      </c>
      <c r="AA88" s="14">
        <v>500</v>
      </c>
    </row>
    <row r="89" spans="23:27">
      <c r="W89" t="s">
        <v>46</v>
      </c>
      <c r="X89" t="s">
        <v>119</v>
      </c>
      <c r="Y89" s="14">
        <v>450</v>
      </c>
      <c r="Z89" s="14">
        <v>650</v>
      </c>
      <c r="AA89" s="14">
        <v>750</v>
      </c>
    </row>
    <row r="90" spans="23:27">
      <c r="W90" t="s">
        <v>120</v>
      </c>
      <c r="X90" t="s">
        <v>121</v>
      </c>
      <c r="Y90" s="14">
        <v>350</v>
      </c>
      <c r="Z90" s="14">
        <v>550</v>
      </c>
      <c r="AA90" s="14">
        <v>650</v>
      </c>
    </row>
    <row r="91" spans="23:27">
      <c r="W91" t="s">
        <v>122</v>
      </c>
      <c r="X91" t="s">
        <v>123</v>
      </c>
      <c r="Y91" s="14">
        <v>300</v>
      </c>
      <c r="Z91" s="14">
        <v>450</v>
      </c>
      <c r="AA91" s="14">
        <v>500</v>
      </c>
    </row>
    <row r="92" spans="23:27">
      <c r="W92" t="s">
        <v>124</v>
      </c>
      <c r="X92" t="s">
        <v>125</v>
      </c>
      <c r="Y92" s="14">
        <v>250</v>
      </c>
      <c r="Z92" s="14">
        <v>350</v>
      </c>
      <c r="AA92" s="14">
        <v>400</v>
      </c>
    </row>
    <row r="93" spans="23:27">
      <c r="W93" t="s">
        <v>126</v>
      </c>
      <c r="X93" t="s">
        <v>127</v>
      </c>
      <c r="Y93" s="14">
        <v>100</v>
      </c>
      <c r="Z93" s="14">
        <v>150</v>
      </c>
      <c r="AA93" s="14">
        <v>175</v>
      </c>
    </row>
    <row r="94" spans="23:27">
      <c r="W94" t="s">
        <v>128</v>
      </c>
      <c r="X94" t="s">
        <v>129</v>
      </c>
      <c r="Y94" s="14">
        <v>500</v>
      </c>
      <c r="Z94" s="14">
        <v>700</v>
      </c>
      <c r="AA94" s="14">
        <v>800</v>
      </c>
    </row>
    <row r="95" spans="23:27">
      <c r="W95" t="s">
        <v>130</v>
      </c>
      <c r="Y95" t="s">
        <v>131</v>
      </c>
      <c r="Z95" t="s">
        <v>132</v>
      </c>
      <c r="AA95" t="s">
        <v>133</v>
      </c>
    </row>
    <row r="97" spans="23:27">
      <c r="W97" s="2" t="s">
        <v>134</v>
      </c>
    </row>
    <row r="98" spans="23:27">
      <c r="W98" t="s">
        <v>135</v>
      </c>
      <c r="X98" t="s">
        <v>136</v>
      </c>
      <c r="Y98">
        <f>9850*11</f>
        <v>108350</v>
      </c>
      <c r="Z98">
        <f>15550*24</f>
        <v>373200</v>
      </c>
      <c r="AA98">
        <f>18000*2</f>
        <v>36000</v>
      </c>
    </row>
    <row r="99" spans="23:27">
      <c r="W99" t="s">
        <v>137</v>
      </c>
      <c r="X99" t="s">
        <v>138</v>
      </c>
      <c r="Y99" s="6">
        <f>SUM(Y98:AA98)</f>
        <v>517550</v>
      </c>
    </row>
    <row r="100" spans="23:27">
      <c r="W100" t="s">
        <v>139</v>
      </c>
      <c r="X100" t="s">
        <v>35</v>
      </c>
    </row>
    <row r="101" spans="23:27">
      <c r="W101" t="s">
        <v>140</v>
      </c>
      <c r="X101" t="s">
        <v>48</v>
      </c>
    </row>
    <row r="102" spans="23:27">
      <c r="W102" t="s">
        <v>141</v>
      </c>
      <c r="X102" t="s">
        <v>142</v>
      </c>
    </row>
    <row r="103" spans="23:27">
      <c r="W103" t="s">
        <v>143</v>
      </c>
      <c r="X103" t="s">
        <v>144</v>
      </c>
    </row>
    <row r="104" spans="23:27">
      <c r="W104" t="s">
        <v>145</v>
      </c>
      <c r="X104" t="s">
        <v>146</v>
      </c>
    </row>
    <row r="105" spans="23:27">
      <c r="W105" t="s">
        <v>147</v>
      </c>
      <c r="X105" t="s">
        <v>148</v>
      </c>
    </row>
    <row r="106" spans="23:27">
      <c r="W106" t="s">
        <v>149</v>
      </c>
      <c r="X106" t="s">
        <v>146</v>
      </c>
    </row>
    <row r="107" spans="23:27">
      <c r="W107" t="s">
        <v>150</v>
      </c>
      <c r="X107" t="s">
        <v>151</v>
      </c>
    </row>
    <row r="108" spans="23:27">
      <c r="W108" t="s">
        <v>152</v>
      </c>
      <c r="X108" t="s">
        <v>153</v>
      </c>
    </row>
    <row r="109" spans="23:27">
      <c r="W109" t="s">
        <v>154</v>
      </c>
      <c r="X109" t="s">
        <v>155</v>
      </c>
      <c r="Y109" s="6">
        <f>4850*40</f>
        <v>194000</v>
      </c>
    </row>
    <row r="110" spans="23:27">
      <c r="Y110" s="6">
        <f>7700*40</f>
        <v>308000</v>
      </c>
    </row>
    <row r="116" spans="22:26" ht="30">
      <c r="V116" s="9" t="s">
        <v>101</v>
      </c>
      <c r="W116" s="9" t="s">
        <v>66</v>
      </c>
      <c r="X116" s="11" t="s">
        <v>156</v>
      </c>
    </row>
    <row r="117" spans="22:26" ht="45">
      <c r="V117" s="5" t="s">
        <v>157</v>
      </c>
      <c r="W117" s="5" t="s">
        <v>158</v>
      </c>
      <c r="X117" s="11" t="s">
        <v>159</v>
      </c>
    </row>
    <row r="118" spans="22:26" ht="45">
      <c r="V118" s="5" t="s">
        <v>160</v>
      </c>
      <c r="W118" s="5" t="s">
        <v>161</v>
      </c>
      <c r="X118" s="11" t="s">
        <v>162</v>
      </c>
    </row>
    <row r="119" spans="22:26" ht="30">
      <c r="V119" s="5" t="s">
        <v>163</v>
      </c>
      <c r="W119" s="5" t="s">
        <v>164</v>
      </c>
      <c r="X119" s="11" t="s">
        <v>151</v>
      </c>
    </row>
    <row r="120" spans="22:26" ht="45">
      <c r="V120" s="5" t="s">
        <v>165</v>
      </c>
      <c r="W120" s="5" t="s">
        <v>166</v>
      </c>
      <c r="X120" s="11" t="s">
        <v>167</v>
      </c>
    </row>
    <row r="121" spans="22:26" ht="30">
      <c r="V121" s="5" t="s">
        <v>168</v>
      </c>
      <c r="W121" s="5" t="s">
        <v>169</v>
      </c>
      <c r="X121" s="11" t="s">
        <v>170</v>
      </c>
    </row>
    <row r="122" spans="22:26" ht="60">
      <c r="V122" s="5" t="s">
        <v>171</v>
      </c>
      <c r="W122" s="5" t="s">
        <v>172</v>
      </c>
      <c r="X122" s="11" t="s">
        <v>162</v>
      </c>
    </row>
    <row r="123" spans="22:26" ht="45">
      <c r="V123" s="5" t="s">
        <v>173</v>
      </c>
      <c r="W123" s="5" t="s">
        <v>174</v>
      </c>
      <c r="X123" s="11" t="s">
        <v>175</v>
      </c>
      <c r="Z123" s="6">
        <f>1675*37</f>
        <v>61975</v>
      </c>
    </row>
    <row r="124" spans="22:26" ht="30">
      <c r="V124" s="5" t="s">
        <v>176</v>
      </c>
      <c r="W124" s="5" t="s">
        <v>177</v>
      </c>
      <c r="X124" s="11" t="s">
        <v>178</v>
      </c>
      <c r="Z124" s="6">
        <f>825*37</f>
        <v>30525</v>
      </c>
    </row>
    <row r="125" spans="22:26" ht="30">
      <c r="V125" s="12" t="s">
        <v>179</v>
      </c>
      <c r="W125" s="5"/>
      <c r="X125" s="11" t="s">
        <v>180</v>
      </c>
    </row>
    <row r="138" spans="24:26">
      <c r="X138" t="s">
        <v>181</v>
      </c>
      <c r="Y138" t="s">
        <v>182</v>
      </c>
      <c r="Z138" t="s">
        <v>183</v>
      </c>
    </row>
    <row r="139" spans="24:26">
      <c r="X139" t="s">
        <v>184</v>
      </c>
      <c r="Y139" t="s">
        <v>185</v>
      </c>
      <c r="Z139" t="s">
        <v>186</v>
      </c>
    </row>
    <row r="140" spans="24:26">
      <c r="X140" t="s">
        <v>187</v>
      </c>
      <c r="Y140" t="s">
        <v>188</v>
      </c>
      <c r="Z140" t="s">
        <v>189</v>
      </c>
    </row>
    <row r="141" spans="24:26">
      <c r="X141" t="s">
        <v>190</v>
      </c>
      <c r="Y141" t="s">
        <v>191</v>
      </c>
      <c r="Z141" t="s">
        <v>192</v>
      </c>
    </row>
    <row r="142" spans="24:26">
      <c r="X142" t="s">
        <v>193</v>
      </c>
      <c r="Y142" t="s">
        <v>194</v>
      </c>
      <c r="Z142" t="s">
        <v>195</v>
      </c>
    </row>
    <row r="143" spans="24:26">
      <c r="X143" t="s">
        <v>196</v>
      </c>
      <c r="Y143" t="s">
        <v>197</v>
      </c>
      <c r="Z143" t="s">
        <v>198</v>
      </c>
    </row>
    <row r="144" spans="24:26">
      <c r="X144" t="s">
        <v>199</v>
      </c>
      <c r="Y144" t="s">
        <v>200</v>
      </c>
      <c r="Z144" t="s">
        <v>201</v>
      </c>
    </row>
    <row r="145" spans="24:26">
      <c r="X145" t="s">
        <v>202</v>
      </c>
      <c r="Y145" t="s">
        <v>203</v>
      </c>
      <c r="Z145" t="s">
        <v>204</v>
      </c>
    </row>
    <row r="146" spans="24:26">
      <c r="X146" t="s">
        <v>205</v>
      </c>
      <c r="Y146" t="s">
        <v>206</v>
      </c>
      <c r="Z146" t="s">
        <v>198</v>
      </c>
    </row>
    <row r="147" spans="24:26">
      <c r="X147" t="s">
        <v>207</v>
      </c>
      <c r="Y147" t="s">
        <v>208</v>
      </c>
      <c r="Z147" t="s">
        <v>209</v>
      </c>
    </row>
    <row r="148" spans="24:26">
      <c r="X148" t="s">
        <v>210</v>
      </c>
      <c r="Y148" t="s">
        <v>211</v>
      </c>
      <c r="Z148" t="s">
        <v>204</v>
      </c>
    </row>
    <row r="149" spans="24:26">
      <c r="X149" t="s">
        <v>212</v>
      </c>
      <c r="Z149" t="s">
        <v>213</v>
      </c>
    </row>
    <row r="151" spans="24:26">
      <c r="Z151">
        <v>15000</v>
      </c>
    </row>
    <row r="152" spans="24:26">
      <c r="Z152">
        <v>28000</v>
      </c>
    </row>
    <row r="177" spans="23:27">
      <c r="W177" t="s">
        <v>65</v>
      </c>
      <c r="X177" t="s">
        <v>20</v>
      </c>
      <c r="Y177" t="s">
        <v>214</v>
      </c>
    </row>
    <row r="178" spans="23:27">
      <c r="W178" t="s">
        <v>215</v>
      </c>
      <c r="X178" t="s">
        <v>216</v>
      </c>
      <c r="Y178" t="s">
        <v>217</v>
      </c>
    </row>
    <row r="179" spans="23:27">
      <c r="W179" t="s">
        <v>218</v>
      </c>
      <c r="X179" t="s">
        <v>219</v>
      </c>
      <c r="Y179" t="s">
        <v>220</v>
      </c>
    </row>
    <row r="180" spans="23:27">
      <c r="W180" t="s">
        <v>221</v>
      </c>
      <c r="X180" t="s">
        <v>222</v>
      </c>
      <c r="Y180" t="s">
        <v>223</v>
      </c>
    </row>
    <row r="181" spans="23:27">
      <c r="W181" t="s">
        <v>224</v>
      </c>
      <c r="X181" t="s">
        <v>225</v>
      </c>
      <c r="Y181" t="s">
        <v>226</v>
      </c>
    </row>
    <row r="182" spans="23:27">
      <c r="W182" t="s">
        <v>227</v>
      </c>
      <c r="X182" t="s">
        <v>228</v>
      </c>
      <c r="Y182" t="s">
        <v>226</v>
      </c>
    </row>
    <row r="183" spans="23:27">
      <c r="W183" t="s">
        <v>229</v>
      </c>
      <c r="X183" t="s">
        <v>230</v>
      </c>
      <c r="Y183" t="s">
        <v>231</v>
      </c>
    </row>
    <row r="184" spans="23:27">
      <c r="W184" t="s">
        <v>232</v>
      </c>
      <c r="X184" t="s">
        <v>233</v>
      </c>
      <c r="Y184" t="s">
        <v>234</v>
      </c>
    </row>
    <row r="185" spans="23:27">
      <c r="W185" t="s">
        <v>235</v>
      </c>
      <c r="X185" t="s">
        <v>236</v>
      </c>
      <c r="Y185" t="s">
        <v>183</v>
      </c>
    </row>
    <row r="186" spans="23:27">
      <c r="W186" t="s">
        <v>237</v>
      </c>
      <c r="X186" t="s">
        <v>238</v>
      </c>
      <c r="Y186" t="s">
        <v>27</v>
      </c>
    </row>
    <row r="187" spans="23:27">
      <c r="W187" t="s">
        <v>239</v>
      </c>
      <c r="X187" t="s">
        <v>240</v>
      </c>
      <c r="Y187" t="s">
        <v>231</v>
      </c>
    </row>
    <row r="188" spans="23:27">
      <c r="W188" t="s">
        <v>152</v>
      </c>
      <c r="X188" t="s">
        <v>241</v>
      </c>
      <c r="Y188" t="s">
        <v>242</v>
      </c>
    </row>
    <row r="189" spans="23:27">
      <c r="W189" t="s">
        <v>154</v>
      </c>
      <c r="Y189" t="s">
        <v>243</v>
      </c>
      <c r="Z189">
        <v>102000</v>
      </c>
      <c r="AA189">
        <v>161500</v>
      </c>
    </row>
    <row r="218" spans="24:25">
      <c r="X218" t="s">
        <v>244</v>
      </c>
    </row>
    <row r="220" spans="24:25">
      <c r="X220" t="s">
        <v>245</v>
      </c>
    </row>
    <row r="221" spans="24:25">
      <c r="X221" s="9" t="s">
        <v>65</v>
      </c>
      <c r="Y221" s="11" t="s">
        <v>246</v>
      </c>
    </row>
    <row r="222" spans="24:25">
      <c r="X222" s="5" t="s">
        <v>247</v>
      </c>
      <c r="Y222" s="10" t="s">
        <v>186</v>
      </c>
    </row>
    <row r="223" spans="24:25">
      <c r="X223" s="5" t="s">
        <v>248</v>
      </c>
      <c r="Y223" s="10" t="s">
        <v>249</v>
      </c>
    </row>
    <row r="224" spans="24:25">
      <c r="X224" s="5" t="s">
        <v>250</v>
      </c>
      <c r="Y224" s="10" t="s">
        <v>249</v>
      </c>
    </row>
    <row r="225" spans="24:27">
      <c r="X225" s="5" t="s">
        <v>251</v>
      </c>
      <c r="Y225" s="10" t="s">
        <v>231</v>
      </c>
    </row>
    <row r="226" spans="24:27">
      <c r="X226" s="5" t="s">
        <v>252</v>
      </c>
      <c r="Y226" s="10" t="s">
        <v>189</v>
      </c>
    </row>
    <row r="227" spans="24:27">
      <c r="X227" s="5" t="s">
        <v>253</v>
      </c>
      <c r="Y227" s="10" t="s">
        <v>204</v>
      </c>
    </row>
    <row r="228" spans="24:27">
      <c r="X228" s="5" t="s">
        <v>254</v>
      </c>
      <c r="Y228" s="10" t="s">
        <v>255</v>
      </c>
    </row>
    <row r="229" spans="24:27">
      <c r="X229" s="5" t="s">
        <v>152</v>
      </c>
      <c r="Y229" s="10" t="s">
        <v>186</v>
      </c>
    </row>
    <row r="230" spans="24:27">
      <c r="X230" s="12" t="s">
        <v>154</v>
      </c>
      <c r="Y230" s="11" t="s">
        <v>256</v>
      </c>
      <c r="Z230">
        <v>13000</v>
      </c>
      <c r="AA230">
        <v>23000</v>
      </c>
    </row>
    <row r="232" spans="24:27">
      <c r="X232" s="9" t="s">
        <v>257</v>
      </c>
      <c r="Y232" s="11" t="s">
        <v>258</v>
      </c>
    </row>
    <row r="233" spans="24:27">
      <c r="X233" s="5" t="s">
        <v>259</v>
      </c>
      <c r="Y233" s="10" t="s">
        <v>186</v>
      </c>
    </row>
    <row r="234" spans="24:27">
      <c r="X234" s="5" t="s">
        <v>260</v>
      </c>
      <c r="Y234" s="10" t="s">
        <v>27</v>
      </c>
    </row>
    <row r="235" spans="24:27">
      <c r="X235" s="5" t="s">
        <v>261</v>
      </c>
      <c r="Y235" s="10" t="s">
        <v>262</v>
      </c>
    </row>
    <row r="236" spans="24:27">
      <c r="X236" s="5" t="s">
        <v>263</v>
      </c>
      <c r="Y236" s="10" t="s">
        <v>183</v>
      </c>
    </row>
    <row r="237" spans="24:27">
      <c r="X237" s="5" t="s">
        <v>264</v>
      </c>
      <c r="Y237" s="10" t="s">
        <v>231</v>
      </c>
    </row>
    <row r="238" spans="24:27">
      <c r="X238" s="5" t="s">
        <v>265</v>
      </c>
      <c r="Y238" s="10" t="s">
        <v>186</v>
      </c>
    </row>
    <row r="239" spans="24:27">
      <c r="X239" s="5" t="s">
        <v>266</v>
      </c>
      <c r="Y239" s="10" t="s">
        <v>204</v>
      </c>
    </row>
    <row r="240" spans="24:27">
      <c r="X240" s="5" t="s">
        <v>267</v>
      </c>
      <c r="Y240" s="10" t="s">
        <v>231</v>
      </c>
    </row>
    <row r="241" spans="24:27">
      <c r="X241" s="5" t="s">
        <v>268</v>
      </c>
      <c r="Y241" s="10" t="s">
        <v>249</v>
      </c>
    </row>
    <row r="242" spans="24:27">
      <c r="X242" s="5" t="s">
        <v>152</v>
      </c>
      <c r="Y242" s="10" t="s">
        <v>27</v>
      </c>
    </row>
    <row r="243" spans="24:27">
      <c r="X243" s="12" t="s">
        <v>154</v>
      </c>
      <c r="Y243" s="11" t="s">
        <v>269</v>
      </c>
      <c r="Z243">
        <v>25500</v>
      </c>
      <c r="AA243">
        <v>43500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4B6E-D861-41A4-9FE9-BC758D68CA7D}">
  <dimension ref="A1:U42"/>
  <sheetViews>
    <sheetView showGridLines="0" topLeftCell="A16" zoomScale="130" zoomScaleNormal="130" workbookViewId="0">
      <selection activeCell="B5" sqref="B5:I38"/>
    </sheetView>
  </sheetViews>
  <sheetFormatPr defaultColWidth="0" defaultRowHeight="15" zeroHeight="1"/>
  <cols>
    <col min="1" max="1" width="9.140625" customWidth="1"/>
    <col min="2" max="2" width="22.140625" customWidth="1"/>
    <col min="3" max="3" width="13.42578125" bestFit="1" customWidth="1"/>
    <col min="4" max="4" width="28.140625" bestFit="1" customWidth="1"/>
    <col min="5" max="5" width="11.5703125" bestFit="1" customWidth="1"/>
    <col min="6" max="6" width="26.140625" bestFit="1" customWidth="1"/>
    <col min="7" max="7" width="12.7109375" bestFit="1" customWidth="1"/>
    <col min="8" max="8" width="20.85546875" bestFit="1" customWidth="1"/>
    <col min="9" max="9" width="11.7109375" bestFit="1" customWidth="1"/>
    <col min="10" max="10" width="9.140625" customWidth="1"/>
    <col min="11" max="11" width="16.28515625" bestFit="1" customWidth="1"/>
    <col min="12" max="12" width="7.7109375" hidden="1" customWidth="1"/>
    <col min="13" max="21" width="0" hidden="1" customWidth="1"/>
    <col min="22" max="16384" width="9.140625" hidden="1"/>
  </cols>
  <sheetData>
    <row r="1" spans="2:21"/>
    <row r="2" spans="2:21" ht="18.75">
      <c r="B2" s="277" t="s">
        <v>279</v>
      </c>
      <c r="C2" s="277"/>
      <c r="D2" s="277"/>
      <c r="E2" s="277"/>
      <c r="F2" s="277"/>
      <c r="G2" s="277"/>
      <c r="H2" s="277"/>
      <c r="I2" s="277"/>
    </row>
    <row r="3" spans="2:21">
      <c r="B3" s="278" t="s">
        <v>280</v>
      </c>
      <c r="C3" s="278"/>
      <c r="D3" s="278"/>
      <c r="E3" s="278"/>
      <c r="F3" s="278"/>
      <c r="G3" s="278"/>
      <c r="H3" s="278"/>
      <c r="I3" s="278"/>
    </row>
    <row r="4" spans="2:21">
      <c r="B4" s="1"/>
      <c r="C4" s="1"/>
      <c r="D4" s="1"/>
      <c r="E4" s="1"/>
      <c r="F4" s="1"/>
      <c r="G4" s="1"/>
      <c r="H4" s="1"/>
      <c r="I4" s="1"/>
    </row>
    <row r="5" spans="2:21">
      <c r="B5" s="20" t="s">
        <v>552</v>
      </c>
      <c r="C5" s="17"/>
      <c r="D5" s="20" t="s">
        <v>284</v>
      </c>
      <c r="E5" s="17"/>
    </row>
    <row r="6" spans="2:21">
      <c r="B6" s="3" t="s">
        <v>281</v>
      </c>
      <c r="C6" s="244">
        <v>1960</v>
      </c>
      <c r="D6" s="3" t="s">
        <v>285</v>
      </c>
      <c r="E6" s="43">
        <f>'Renovation Costs'!C21</f>
        <v>740000</v>
      </c>
      <c r="G6" s="127"/>
    </row>
    <row r="7" spans="2:21">
      <c r="B7" s="3" t="s">
        <v>277</v>
      </c>
      <c r="C7" s="244">
        <f>'Unit Mix'!D7</f>
        <v>37</v>
      </c>
      <c r="D7" s="3" t="s">
        <v>525</v>
      </c>
      <c r="E7" s="43">
        <f>E6/C7</f>
        <v>20000</v>
      </c>
    </row>
    <row r="8" spans="2:21">
      <c r="B8" s="3" t="s">
        <v>282</v>
      </c>
      <c r="C8" s="245">
        <f>'Unit Mix'!F7</f>
        <v>38640</v>
      </c>
      <c r="D8" t="s">
        <v>528</v>
      </c>
      <c r="E8" s="109">
        <f>E6/C8</f>
        <v>19.151138716356108</v>
      </c>
    </row>
    <row r="9" spans="2:21">
      <c r="B9" s="3" t="s">
        <v>283</v>
      </c>
      <c r="C9" s="244">
        <v>7</v>
      </c>
      <c r="D9" s="3" t="s">
        <v>286</v>
      </c>
      <c r="E9" s="247">
        <v>0.03</v>
      </c>
    </row>
    <row r="10" spans="2:21">
      <c r="B10" s="3" t="s">
        <v>523</v>
      </c>
      <c r="C10" s="246">
        <f>1-91.8%</f>
        <v>8.2000000000000073E-2</v>
      </c>
      <c r="D10" s="3" t="s">
        <v>527</v>
      </c>
      <c r="E10" s="43">
        <f>'Unit Mix'!I7</f>
        <v>1355.5555555555554</v>
      </c>
    </row>
    <row r="11" spans="2:21">
      <c r="B11" s="3" t="s">
        <v>505</v>
      </c>
      <c r="C11" s="43">
        <f>'Unit Mix'!G7</f>
        <v>738.64864864864865</v>
      </c>
      <c r="D11" s="3" t="s">
        <v>287</v>
      </c>
      <c r="E11" s="246">
        <f>1-(35/37)</f>
        <v>5.4054054054054057E-2</v>
      </c>
      <c r="J11" s="8"/>
    </row>
    <row r="12" spans="2:21">
      <c r="B12" s="3" t="s">
        <v>292</v>
      </c>
      <c r="C12" s="260">
        <f>C7*75000</f>
        <v>2775000</v>
      </c>
      <c r="D12" s="3" t="s">
        <v>288</v>
      </c>
      <c r="E12" s="248" t="s">
        <v>361</v>
      </c>
    </row>
    <row r="13" spans="2:21">
      <c r="B13" s="3" t="s">
        <v>423</v>
      </c>
      <c r="C13" s="43">
        <f>C12/C7</f>
        <v>75000</v>
      </c>
      <c r="D13" s="3" t="s">
        <v>289</v>
      </c>
      <c r="E13" s="248" t="s">
        <v>362</v>
      </c>
    </row>
    <row r="14" spans="2:21">
      <c r="B14" s="3" t="s">
        <v>424</v>
      </c>
      <c r="C14" s="109">
        <f>C12/C8</f>
        <v>71.816770186335404</v>
      </c>
      <c r="D14" s="4" t="s">
        <v>290</v>
      </c>
      <c r="E14" s="233">
        <f>'Sale Comps'!J48+0.005</f>
        <v>6.5000000000000002E-2</v>
      </c>
      <c r="N14" s="279"/>
      <c r="O14" s="279"/>
      <c r="P14" s="279"/>
      <c r="Q14" s="279"/>
      <c r="R14" s="279"/>
      <c r="S14" s="279"/>
      <c r="T14" s="279"/>
      <c r="U14" s="279"/>
    </row>
    <row r="15" spans="2:21">
      <c r="B15" s="20" t="s">
        <v>548</v>
      </c>
      <c r="C15" s="17"/>
      <c r="D15" s="204" t="s">
        <v>291</v>
      </c>
      <c r="E15" s="178"/>
      <c r="F15" s="20" t="s">
        <v>298</v>
      </c>
      <c r="G15" s="17"/>
      <c r="H15" s="20" t="s">
        <v>553</v>
      </c>
      <c r="I15" s="17"/>
      <c r="N15" s="279"/>
      <c r="O15" s="279"/>
      <c r="P15" s="279"/>
      <c r="Q15" s="279"/>
      <c r="R15" s="279"/>
      <c r="S15" s="279"/>
      <c r="T15" s="279"/>
      <c r="U15" s="279"/>
    </row>
    <row r="16" spans="2:21">
      <c r="B16" s="3" t="s">
        <v>6</v>
      </c>
      <c r="C16" s="43">
        <f>'Income Statements'!C8</f>
        <v>306008.07999999996</v>
      </c>
      <c r="D16" t="s">
        <v>292</v>
      </c>
      <c r="E16" s="14">
        <f>C12</f>
        <v>2775000</v>
      </c>
      <c r="F16" s="3" t="s">
        <v>16</v>
      </c>
      <c r="G16" s="43">
        <f>'Income Statements'!I31</f>
        <v>4871361.0256410241</v>
      </c>
      <c r="H16" s="3" t="s">
        <v>537</v>
      </c>
      <c r="I16" s="45" t="s">
        <v>538</v>
      </c>
      <c r="N16" s="279"/>
      <c r="O16" s="279"/>
      <c r="P16" s="279"/>
      <c r="Q16" s="279"/>
      <c r="R16" s="279"/>
      <c r="S16" s="279"/>
      <c r="T16" s="279"/>
      <c r="U16" s="279"/>
    </row>
    <row r="17" spans="2:21">
      <c r="B17" s="3" t="s">
        <v>7</v>
      </c>
      <c r="C17" s="43">
        <f>-'Income Statements'!C22</f>
        <v>-150300.40399999998</v>
      </c>
      <c r="D17" t="s">
        <v>293</v>
      </c>
      <c r="E17" s="14">
        <f>E16*E9</f>
        <v>83250</v>
      </c>
      <c r="F17" s="3" t="s">
        <v>526</v>
      </c>
      <c r="G17" s="43">
        <f>G16/C7</f>
        <v>131658.40609840606</v>
      </c>
      <c r="H17" s="3" t="s">
        <v>12</v>
      </c>
      <c r="I17" s="43">
        <f>E22</f>
        <v>1942499.9999999998</v>
      </c>
      <c r="N17" s="226"/>
      <c r="O17" s="226"/>
      <c r="P17" s="226"/>
      <c r="Q17" s="226"/>
      <c r="R17" s="226"/>
      <c r="S17" s="226"/>
      <c r="T17" s="226"/>
      <c r="U17" s="226"/>
    </row>
    <row r="18" spans="2:21">
      <c r="B18" s="3" t="s">
        <v>299</v>
      </c>
      <c r="C18" s="62">
        <f>ABS(C17/C16)</f>
        <v>0.49116482153020274</v>
      </c>
      <c r="D18" t="s">
        <v>285</v>
      </c>
      <c r="E18" s="14">
        <f>'Renovation Costs'!C21</f>
        <v>740000</v>
      </c>
      <c r="F18" s="3" t="s">
        <v>531</v>
      </c>
      <c r="G18" s="43">
        <f>-G16*E9</f>
        <v>-146140.83076923073</v>
      </c>
      <c r="H18" s="3" t="s">
        <v>391</v>
      </c>
      <c r="I18" s="43">
        <f>E23</f>
        <v>296594.60289050336</v>
      </c>
    </row>
    <row r="19" spans="2:21">
      <c r="B19" s="3" t="s">
        <v>0</v>
      </c>
      <c r="C19" s="43">
        <f>C16+C17</f>
        <v>155707.67599999998</v>
      </c>
      <c r="D19" t="s">
        <v>399</v>
      </c>
      <c r="E19" s="14">
        <f>E22*E9</f>
        <v>58274.999999999993</v>
      </c>
      <c r="F19" s="3" t="s">
        <v>532</v>
      </c>
      <c r="G19" s="43">
        <f>G16+G18</f>
        <v>4725220.1948717935</v>
      </c>
      <c r="H19" s="3" t="s">
        <v>539</v>
      </c>
      <c r="I19" s="43">
        <f>SUM(I17:I18)</f>
        <v>2239094.6028905031</v>
      </c>
      <c r="N19" s="279"/>
      <c r="O19" s="279"/>
      <c r="P19" s="279"/>
      <c r="Q19" s="279"/>
      <c r="R19" s="279"/>
      <c r="S19" s="279"/>
      <c r="T19" s="279"/>
      <c r="U19" s="279"/>
    </row>
    <row r="20" spans="2:21">
      <c r="B20" s="3" t="s">
        <v>529</v>
      </c>
      <c r="C20" s="130">
        <f>C19/C12</f>
        <v>5.6110874234234227E-2</v>
      </c>
      <c r="D20" t="s">
        <v>402</v>
      </c>
      <c r="E20" s="14">
        <f>'Monthly DCF'!AM39-E22</f>
        <v>296594.60289050336</v>
      </c>
      <c r="F20" s="3" t="s">
        <v>533</v>
      </c>
      <c r="G20" s="43">
        <f>E21/C7</f>
        <v>106841.07034839199</v>
      </c>
      <c r="H20" s="3" t="s">
        <v>2</v>
      </c>
      <c r="I20" s="44">
        <f>SUM(E22:E23)/E21</f>
        <v>0.56641205625382218</v>
      </c>
      <c r="N20" s="279"/>
      <c r="O20" s="279"/>
      <c r="P20" s="279"/>
      <c r="Q20" s="279"/>
      <c r="R20" s="279"/>
      <c r="S20" s="279"/>
      <c r="T20" s="279"/>
      <c r="U20" s="279"/>
    </row>
    <row r="21" spans="2:21">
      <c r="B21" s="20" t="s">
        <v>497</v>
      </c>
      <c r="C21" s="17"/>
      <c r="D21" s="238" t="s">
        <v>294</v>
      </c>
      <c r="E21" s="242">
        <f>SUM(E16:E20)</f>
        <v>3953119.6028905036</v>
      </c>
      <c r="F21" s="3" t="s">
        <v>534</v>
      </c>
      <c r="G21" s="241">
        <f>(C26-E14)*10000</f>
        <v>150.98377604143801</v>
      </c>
      <c r="H21" s="3" t="s">
        <v>536</v>
      </c>
      <c r="I21" s="247">
        <v>0.7</v>
      </c>
      <c r="N21" s="279"/>
      <c r="O21" s="279"/>
      <c r="P21" s="279"/>
      <c r="Q21" s="279"/>
      <c r="R21" s="279"/>
      <c r="S21" s="279"/>
      <c r="T21" s="279"/>
      <c r="U21" s="279"/>
    </row>
    <row r="22" spans="2:21">
      <c r="B22" s="3" t="s">
        <v>6</v>
      </c>
      <c r="C22" s="43">
        <f>'Income Statements'!I8</f>
        <v>562777.33333333326</v>
      </c>
      <c r="D22" t="s">
        <v>295</v>
      </c>
      <c r="E22" s="14">
        <f>E16*I21</f>
        <v>1942499.9999999998</v>
      </c>
      <c r="F22" s="3" t="s">
        <v>300</v>
      </c>
      <c r="G22" s="44">
        <f>'Monthly DCF'!C31</f>
        <v>0.17093083262443542</v>
      </c>
      <c r="H22" s="3" t="s">
        <v>522</v>
      </c>
      <c r="I22" s="234">
        <f>SUM(E22:E23)/G16</f>
        <v>0.45964456157216554</v>
      </c>
    </row>
    <row r="23" spans="2:21">
      <c r="B23" s="3" t="s">
        <v>7</v>
      </c>
      <c r="C23" s="43">
        <f>-'Income Statements'!I22</f>
        <v>-246138.86666666667</v>
      </c>
      <c r="D23" t="s">
        <v>391</v>
      </c>
      <c r="E23" s="14">
        <f>E20</f>
        <v>296594.60289050336</v>
      </c>
      <c r="F23" s="3" t="s">
        <v>524</v>
      </c>
      <c r="G23" s="131">
        <f>'Monthly DCF'!C32</f>
        <v>1.5797279529758952</v>
      </c>
      <c r="H23" s="3" t="s">
        <v>392</v>
      </c>
      <c r="I23" s="248" t="s">
        <v>362</v>
      </c>
    </row>
    <row r="24" spans="2:21">
      <c r="B24" s="3" t="s">
        <v>299</v>
      </c>
      <c r="C24" s="62">
        <f>ABS(C23/C22)</f>
        <v>0.43736457047547528</v>
      </c>
      <c r="D24" t="s">
        <v>403</v>
      </c>
      <c r="E24" s="14" cm="1">
        <f t="array" ref="E24">_xlfn.LET(_xlpm.FCF,'Monthly DCF'!D20:AM20,
_xlpm.Reno,ABS('Monthly DCF'!D25:AM25+'Monthly DCF'!D26:AM26),
SUM(IF(_xlpm.FCF&gt;0,IF(_xlpm.FCF&lt;_xlpm.Reno,_xlpm.FCF,_xlpm.Reno),0))
)</f>
        <v>360675.54510510497</v>
      </c>
      <c r="F24" s="3" t="s">
        <v>301</v>
      </c>
      <c r="G24" s="44">
        <f>'Monthly DCF'!C44</f>
        <v>0.2548116147518158</v>
      </c>
      <c r="H24" s="3" t="s">
        <v>390</v>
      </c>
      <c r="I24" s="249">
        <v>0.09</v>
      </c>
    </row>
    <row r="25" spans="2:21">
      <c r="B25" s="3" t="s">
        <v>0</v>
      </c>
      <c r="C25" s="43">
        <f>C22+C23</f>
        <v>316638.46666666656</v>
      </c>
      <c r="D25" t="s">
        <v>296</v>
      </c>
      <c r="E25" s="14">
        <f>E21-SUM(E22:E24)</f>
        <v>1353349.4548948957</v>
      </c>
      <c r="F25" s="3" t="s">
        <v>496</v>
      </c>
      <c r="G25" s="131">
        <f>'Monthly DCF'!C45</f>
        <v>1.9152448283131094</v>
      </c>
      <c r="H25" s="3" t="s">
        <v>540</v>
      </c>
      <c r="I25" s="240">
        <f>'Income Statements'!I29</f>
        <v>1.5712624114423057</v>
      </c>
    </row>
    <row r="26" spans="2:21">
      <c r="B26" s="4" t="s">
        <v>530</v>
      </c>
      <c r="C26" s="233">
        <f>C25/E21</f>
        <v>8.0098377604143803E-2</v>
      </c>
      <c r="D26" s="239" t="s">
        <v>297</v>
      </c>
      <c r="E26" s="243">
        <f>SUM(E22:E25)</f>
        <v>3953119.6028905036</v>
      </c>
      <c r="F26" s="4" t="s">
        <v>535</v>
      </c>
      <c r="G26" s="19">
        <f>E25</f>
        <v>1353349.4548948957</v>
      </c>
      <c r="H26" s="4" t="s">
        <v>541</v>
      </c>
      <c r="I26" s="29">
        <f>C25/I19</f>
        <v>0.14141361702980751</v>
      </c>
    </row>
    <row r="27" spans="2:21">
      <c r="B27" s="132" t="s">
        <v>542</v>
      </c>
      <c r="C27" s="176"/>
      <c r="D27" s="176"/>
      <c r="E27" s="176"/>
      <c r="F27" s="176"/>
      <c r="G27" s="176"/>
      <c r="H27" s="176"/>
      <c r="I27" s="108"/>
    </row>
    <row r="28" spans="2:21" ht="21" customHeight="1">
      <c r="B28" s="271" t="s">
        <v>543</v>
      </c>
      <c r="C28" s="272"/>
      <c r="D28" s="272"/>
      <c r="E28" s="272"/>
      <c r="F28" s="272"/>
      <c r="G28" s="272"/>
      <c r="H28" s="272"/>
      <c r="I28" s="273"/>
    </row>
    <row r="29" spans="2:21" ht="21" customHeight="1">
      <c r="B29" s="271"/>
      <c r="C29" s="272"/>
      <c r="D29" s="272"/>
      <c r="E29" s="272"/>
      <c r="F29" s="272"/>
      <c r="G29" s="272"/>
      <c r="H29" s="272"/>
      <c r="I29" s="273"/>
    </row>
    <row r="30" spans="2:21" ht="21" customHeight="1">
      <c r="B30" s="271"/>
      <c r="C30" s="272"/>
      <c r="D30" s="272"/>
      <c r="E30" s="272"/>
      <c r="F30" s="272"/>
      <c r="G30" s="272"/>
      <c r="H30" s="272"/>
      <c r="I30" s="273"/>
    </row>
    <row r="31" spans="2:21">
      <c r="B31" s="268"/>
      <c r="C31" s="269"/>
      <c r="D31" s="269"/>
      <c r="E31" s="269"/>
      <c r="F31" s="269"/>
      <c r="G31" s="269"/>
      <c r="H31" s="269"/>
      <c r="I31" s="270"/>
    </row>
    <row r="32" spans="2:21">
      <c r="B32" s="33" t="s">
        <v>544</v>
      </c>
      <c r="I32" s="18"/>
    </row>
    <row r="33" spans="2:9" ht="21" customHeight="1">
      <c r="B33" s="271" t="s">
        <v>545</v>
      </c>
      <c r="C33" s="272"/>
      <c r="D33" s="272"/>
      <c r="E33" s="272"/>
      <c r="F33" s="272"/>
      <c r="G33" s="272"/>
      <c r="H33" s="272"/>
      <c r="I33" s="273"/>
    </row>
    <row r="34" spans="2:9" ht="21" customHeight="1">
      <c r="B34" s="271"/>
      <c r="C34" s="272"/>
      <c r="D34" s="272"/>
      <c r="E34" s="272"/>
      <c r="F34" s="272"/>
      <c r="G34" s="272"/>
      <c r="H34" s="272"/>
      <c r="I34" s="273"/>
    </row>
    <row r="35" spans="2:9">
      <c r="B35" s="265"/>
      <c r="C35" s="266"/>
      <c r="D35" s="266"/>
      <c r="E35" s="266"/>
      <c r="F35" s="266"/>
      <c r="G35" s="266"/>
      <c r="H35" s="266"/>
      <c r="I35" s="267"/>
    </row>
    <row r="36" spans="2:9" ht="15" customHeight="1">
      <c r="B36" s="257" t="s">
        <v>546</v>
      </c>
      <c r="C36" s="258"/>
      <c r="D36" s="258"/>
      <c r="E36" s="258"/>
      <c r="F36" s="258"/>
      <c r="G36" s="258"/>
      <c r="H36" s="258"/>
      <c r="I36" s="259"/>
    </row>
    <row r="37" spans="2:9" ht="21" customHeight="1">
      <c r="B37" s="271" t="s">
        <v>547</v>
      </c>
      <c r="C37" s="272"/>
      <c r="D37" s="272"/>
      <c r="E37" s="272"/>
      <c r="F37" s="272"/>
      <c r="G37" s="272"/>
      <c r="H37" s="272"/>
      <c r="I37" s="273"/>
    </row>
    <row r="38" spans="2:9" ht="21" customHeight="1">
      <c r="B38" s="274"/>
      <c r="C38" s="275"/>
      <c r="D38" s="275"/>
      <c r="E38" s="275"/>
      <c r="F38" s="275"/>
      <c r="G38" s="275"/>
      <c r="H38" s="275"/>
      <c r="I38" s="276"/>
    </row>
    <row r="39" spans="2:9">
      <c r="B39" s="269"/>
      <c r="C39" s="269"/>
      <c r="D39" s="269"/>
      <c r="E39" s="269"/>
      <c r="F39" s="269"/>
      <c r="G39" s="269"/>
      <c r="H39" s="269"/>
      <c r="I39" s="269"/>
    </row>
    <row r="40" spans="2:9">
      <c r="B40" s="269"/>
      <c r="C40" s="269"/>
      <c r="D40" s="269"/>
      <c r="E40" s="269"/>
      <c r="F40" s="269"/>
      <c r="G40" s="269"/>
      <c r="H40" s="269"/>
      <c r="I40" s="269"/>
    </row>
    <row r="41" spans="2:9"/>
    <row r="42" spans="2:9"/>
  </sheetData>
  <mergeCells count="7">
    <mergeCell ref="B33:I34"/>
    <mergeCell ref="B37:I38"/>
    <mergeCell ref="B2:I2"/>
    <mergeCell ref="B3:I3"/>
    <mergeCell ref="N14:U16"/>
    <mergeCell ref="N19:U21"/>
    <mergeCell ref="B28:I3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49C0-F28D-4D34-9802-90567A5B1A47}">
  <dimension ref="B2:J14"/>
  <sheetViews>
    <sheetView zoomScale="115" zoomScaleNormal="115" workbookViewId="0">
      <selection activeCell="F19" sqref="F19"/>
    </sheetView>
  </sheetViews>
  <sheetFormatPr defaultColWidth="9.140625" defaultRowHeight="15"/>
  <cols>
    <col min="1" max="1" width="9.140625" customWidth="1"/>
    <col min="2" max="2" width="11.140625" bestFit="1" customWidth="1"/>
    <col min="3" max="4" width="9.140625" customWidth="1"/>
    <col min="5" max="5" width="10.140625" bestFit="1" customWidth="1"/>
    <col min="6" max="6" width="11.140625" bestFit="1" customWidth="1"/>
    <col min="7" max="7" width="12.7109375" bestFit="1" customWidth="1"/>
    <col min="8" max="8" width="12.7109375" customWidth="1"/>
    <col min="9" max="9" width="14.42578125" bestFit="1" customWidth="1"/>
    <col min="10" max="11" width="9.140625" customWidth="1"/>
  </cols>
  <sheetData>
    <row r="2" spans="2:10">
      <c r="B2" s="280" t="s">
        <v>302</v>
      </c>
      <c r="C2" s="281"/>
      <c r="D2" s="281"/>
      <c r="E2" s="178"/>
      <c r="F2" s="178"/>
      <c r="G2" s="178"/>
      <c r="H2" s="178"/>
      <c r="I2" s="178"/>
      <c r="J2" s="17"/>
    </row>
    <row r="3" spans="2:10">
      <c r="B3" s="201" t="s">
        <v>503</v>
      </c>
      <c r="C3" s="136" t="s">
        <v>303</v>
      </c>
      <c r="D3" s="136" t="s">
        <v>304</v>
      </c>
      <c r="E3" s="136" t="s">
        <v>305</v>
      </c>
      <c r="F3" s="136" t="s">
        <v>306</v>
      </c>
      <c r="G3" s="136" t="s">
        <v>307</v>
      </c>
      <c r="H3" s="136" t="s">
        <v>4</v>
      </c>
      <c r="I3" s="136" t="s">
        <v>308</v>
      </c>
      <c r="J3" s="136" t="s">
        <v>4</v>
      </c>
    </row>
    <row r="4" spans="2:10">
      <c r="B4" s="37">
        <f>D4/$D$7</f>
        <v>0.29729729729729731</v>
      </c>
      <c r="C4" s="251" t="s">
        <v>309</v>
      </c>
      <c r="D4" s="251">
        <v>11</v>
      </c>
      <c r="E4" s="252">
        <v>640</v>
      </c>
      <c r="F4" s="198">
        <f>E4*D4</f>
        <v>7040</v>
      </c>
      <c r="G4" s="250">
        <v>630</v>
      </c>
      <c r="H4" s="194">
        <f>G4/E4</f>
        <v>0.984375</v>
      </c>
      <c r="I4" s="196">
        <f>'Rent Comps'!E43</f>
        <v>1162.4444444444443</v>
      </c>
      <c r="J4" s="194">
        <f>I4/E4</f>
        <v>1.8163194444444444</v>
      </c>
    </row>
    <row r="5" spans="2:10">
      <c r="B5" s="37">
        <f t="shared" ref="B5:B6" si="0">D5/$D$7</f>
        <v>0.64864864864864868</v>
      </c>
      <c r="C5" s="251" t="s">
        <v>310</v>
      </c>
      <c r="D5" s="251">
        <v>24</v>
      </c>
      <c r="E5" s="252">
        <v>1200</v>
      </c>
      <c r="F5" s="198">
        <f t="shared" ref="F5:F6" si="1">E5*D5</f>
        <v>28800</v>
      </c>
      <c r="G5" s="250">
        <v>750</v>
      </c>
      <c r="H5" s="194">
        <f t="shared" ref="H5:H6" si="2">G5/E5</f>
        <v>0.625</v>
      </c>
      <c r="I5" s="196">
        <f>'Rent Comps'!E44</f>
        <v>1404.5</v>
      </c>
      <c r="J5" s="194">
        <f t="shared" ref="J5:J6" si="3">I5/E5</f>
        <v>1.1704166666666667</v>
      </c>
    </row>
    <row r="6" spans="2:10">
      <c r="B6" s="37">
        <f t="shared" si="0"/>
        <v>5.4054054054054057E-2</v>
      </c>
      <c r="C6" s="251" t="s">
        <v>311</v>
      </c>
      <c r="D6" s="251">
        <v>2</v>
      </c>
      <c r="E6" s="252">
        <v>1400</v>
      </c>
      <c r="F6" s="198">
        <f t="shared" si="1"/>
        <v>2800</v>
      </c>
      <c r="G6" s="250">
        <v>1200</v>
      </c>
      <c r="H6" s="194">
        <f t="shared" si="2"/>
        <v>0.8571428571428571</v>
      </c>
      <c r="I6" s="196">
        <f>'Rent Comps'!E45</f>
        <v>1830.3333333333333</v>
      </c>
      <c r="J6" s="194">
        <f t="shared" si="3"/>
        <v>1.3073809523809523</v>
      </c>
    </row>
    <row r="7" spans="2:10">
      <c r="B7" s="202">
        <f>SUM(B4:B6)</f>
        <v>1</v>
      </c>
      <c r="C7" s="200"/>
      <c r="D7" s="200">
        <f t="shared" ref="D7:F7" si="4">SUM(D4:D6)</f>
        <v>37</v>
      </c>
      <c r="E7" s="199">
        <f>F7/D7</f>
        <v>1044.3243243243244</v>
      </c>
      <c r="F7" s="199">
        <f t="shared" si="4"/>
        <v>38640</v>
      </c>
      <c r="G7" s="197">
        <f>SUMPRODUCT(G4:G6,D4:D6)/D7</f>
        <v>738.64864864864865</v>
      </c>
      <c r="H7" s="195">
        <f>G7/E7</f>
        <v>0.70729813664596264</v>
      </c>
      <c r="I7" s="197">
        <f>SUMPRODUCT(I4:I6,D4:D6)/D7</f>
        <v>1355.5555555555554</v>
      </c>
      <c r="J7" s="195">
        <f>I7/E7</f>
        <v>1.2980216241085805</v>
      </c>
    </row>
    <row r="9" spans="2:10">
      <c r="B9" s="2" t="s">
        <v>502</v>
      </c>
      <c r="C9" s="279" t="s">
        <v>562</v>
      </c>
      <c r="D9" s="279"/>
      <c r="E9" s="279"/>
      <c r="F9" s="279"/>
      <c r="G9" s="279"/>
      <c r="H9" s="279"/>
      <c r="I9" s="279"/>
      <c r="J9" s="279"/>
    </row>
    <row r="10" spans="2:10">
      <c r="C10" s="279"/>
      <c r="D10" s="279"/>
      <c r="E10" s="279"/>
      <c r="F10" s="279"/>
      <c r="G10" s="279"/>
      <c r="H10" s="279"/>
      <c r="I10" s="279"/>
      <c r="J10" s="279"/>
    </row>
    <row r="11" spans="2:10">
      <c r="I11" s="26"/>
    </row>
    <row r="12" spans="2:10">
      <c r="I12" s="26"/>
    </row>
    <row r="13" spans="2:10">
      <c r="I13" s="26"/>
    </row>
    <row r="14" spans="2:10">
      <c r="I14" s="26"/>
    </row>
  </sheetData>
  <mergeCells count="2">
    <mergeCell ref="B2:D2"/>
    <mergeCell ref="C9:J10"/>
  </mergeCells>
  <pageMargins left="0.7" right="0.7" top="0.75" bottom="0.75" header="0.3" footer="0.3"/>
  <pageSetup orientation="portrait" horizontalDpi="1200" verticalDpi="1200" r:id="rId1"/>
  <ignoredErrors>
    <ignoredError sqref="E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5AC9-8B57-4D65-8C40-FF4CC20D8FD6}">
  <dimension ref="A1:N35"/>
  <sheetViews>
    <sheetView zoomScaleNormal="100" workbookViewId="0">
      <selection activeCell="H2" sqref="H2:L32"/>
    </sheetView>
  </sheetViews>
  <sheetFormatPr defaultColWidth="0" defaultRowHeight="15" zeroHeight="1"/>
  <cols>
    <col min="1" max="1" width="9.140625" customWidth="1"/>
    <col min="2" max="2" width="32.140625" customWidth="1"/>
    <col min="3" max="3" width="14.28515625" bestFit="1" customWidth="1"/>
    <col min="4" max="5" width="9.140625" customWidth="1"/>
    <col min="6" max="7" width="14.7109375" bestFit="1" customWidth="1"/>
    <col min="8" max="8" width="31.28515625" bestFit="1" customWidth="1"/>
    <col min="9" max="9" width="13.5703125" bestFit="1" customWidth="1"/>
    <col min="10" max="14" width="9.140625" customWidth="1"/>
    <col min="15" max="16384" width="9.140625" hidden="1"/>
  </cols>
  <sheetData>
    <row r="1" spans="2:12"/>
    <row r="2" spans="2:12">
      <c r="B2" s="206" t="s">
        <v>548</v>
      </c>
      <c r="C2" s="203" t="s">
        <v>9</v>
      </c>
      <c r="D2" s="203" t="s">
        <v>316</v>
      </c>
      <c r="E2" s="203" t="s">
        <v>13</v>
      </c>
      <c r="F2" s="207" t="s">
        <v>3</v>
      </c>
      <c r="H2" s="206" t="s">
        <v>497</v>
      </c>
      <c r="I2" s="203" t="s">
        <v>9</v>
      </c>
      <c r="J2" s="203" t="s">
        <v>316</v>
      </c>
      <c r="K2" s="203" t="s">
        <v>13</v>
      </c>
      <c r="L2" s="207" t="s">
        <v>3</v>
      </c>
    </row>
    <row r="3" spans="2:12">
      <c r="B3" s="33" t="s">
        <v>312</v>
      </c>
      <c r="C3" s="26"/>
      <c r="F3" s="18"/>
      <c r="H3" s="33" t="s">
        <v>312</v>
      </c>
      <c r="I3" s="26"/>
      <c r="L3" s="18"/>
    </row>
    <row r="4" spans="2:12">
      <c r="B4" s="208" t="s">
        <v>5</v>
      </c>
      <c r="C4" s="26">
        <f>SUM(('Unit Mix'!G4*'Unit Mix'!D4)+('Unit Mix'!G5*'Unit Mix'!D5)+('Unit Mix'!G6*'Unit Mix'!D6))*12</f>
        <v>327960</v>
      </c>
      <c r="D4" s="26">
        <f>C4/'Unit Mix'!$D$7</f>
        <v>8863.7837837837833</v>
      </c>
      <c r="E4" s="25">
        <f>C4/'Unit Mix'!$F$7</f>
        <v>8.487577639751553</v>
      </c>
      <c r="F4" s="62">
        <f>C4/$C$8</f>
        <v>1.0717364064373727</v>
      </c>
      <c r="G4" s="26"/>
      <c r="H4" s="208" t="s">
        <v>5</v>
      </c>
      <c r="I4" s="26">
        <f>SUM(('Unit Mix'!I4*'Unit Mix'!D4)+('Unit Mix'!I5*'Unit Mix'!D5)+('Unit Mix'!I6*'Unit Mix'!D6))*12</f>
        <v>601866.66666666663</v>
      </c>
      <c r="J4" s="26">
        <f>I4/'Unit Mix'!$D$7</f>
        <v>16266.666666666666</v>
      </c>
      <c r="K4" s="25">
        <f>I4/'Unit Mix'!$F$7</f>
        <v>15.576259489302966</v>
      </c>
      <c r="L4" s="62">
        <f>I4/$I$8</f>
        <v>1.0694579028295383</v>
      </c>
    </row>
    <row r="5" spans="2:12">
      <c r="B5" s="208" t="s">
        <v>1</v>
      </c>
      <c r="C5" s="209">
        <f>C4*(Summary!C10)</f>
        <v>26892.720000000023</v>
      </c>
      <c r="D5" s="209">
        <f>C5/'Unit Mix'!$D$7</f>
        <v>726.83027027027094</v>
      </c>
      <c r="E5" s="210">
        <f>C5/'Unit Mix'!$F$7</f>
        <v>0.69598136645962794</v>
      </c>
      <c r="F5" s="211">
        <f>C5/$C$8</f>
        <v>8.7882385327864632E-2</v>
      </c>
      <c r="H5" s="208" t="s">
        <v>1</v>
      </c>
      <c r="I5" s="209">
        <f>I4*(Summary!E11)</f>
        <v>32533.333333333332</v>
      </c>
      <c r="J5" s="209">
        <f>I5/'Unit Mix'!$D$7</f>
        <v>879.27927927927919</v>
      </c>
      <c r="K5" s="210">
        <f>I5/'Unit Mix'!$F$7</f>
        <v>0.84195997239475495</v>
      </c>
      <c r="L5" s="211">
        <f>I5/$I$8</f>
        <v>5.7808535288083156E-2</v>
      </c>
    </row>
    <row r="6" spans="2:12">
      <c r="B6" s="208" t="s">
        <v>313</v>
      </c>
      <c r="C6" s="209">
        <f>C4*0.02</f>
        <v>6559.2</v>
      </c>
      <c r="D6" s="209">
        <f>C6/'Unit Mix'!$D$7</f>
        <v>177.27567567567567</v>
      </c>
      <c r="E6" s="210">
        <f>C6/'Unit Mix'!$F$7</f>
        <v>0.16975155279503104</v>
      </c>
      <c r="F6" s="211">
        <f>C6/$C$8</f>
        <v>2.1434728128747454E-2</v>
      </c>
      <c r="H6" s="208" t="s">
        <v>313</v>
      </c>
      <c r="I6" s="209">
        <f>I4*0.03</f>
        <v>18055.999999999996</v>
      </c>
      <c r="J6" s="209">
        <f>I6/'Unit Mix'!$D$7</f>
        <v>487.99999999999989</v>
      </c>
      <c r="K6" s="210">
        <f>I6/'Unit Mix'!$F$7</f>
        <v>0.46728778467908894</v>
      </c>
      <c r="L6" s="211">
        <f>I6/$I$8</f>
        <v>3.2083737084886148E-2</v>
      </c>
    </row>
    <row r="7" spans="2:12">
      <c r="B7" s="208" t="s">
        <v>10</v>
      </c>
      <c r="C7" s="212">
        <v>11500</v>
      </c>
      <c r="D7" s="212">
        <f>C7/'Unit Mix'!$D$7</f>
        <v>310.81081081081084</v>
      </c>
      <c r="E7" s="213">
        <f>C7/'Unit Mix'!$F$7</f>
        <v>0.29761904761904762</v>
      </c>
      <c r="F7" s="214">
        <f>C7/$C$8</f>
        <v>3.7580707019239497E-2</v>
      </c>
      <c r="H7" s="208" t="s">
        <v>10</v>
      </c>
      <c r="I7" s="212">
        <v>11500</v>
      </c>
      <c r="J7" s="26">
        <f>I7/'Unit Mix'!$D$7</f>
        <v>310.81081081081084</v>
      </c>
      <c r="K7" s="25">
        <f>I7/'Unit Mix'!$F$7</f>
        <v>0.29761904761904762</v>
      </c>
      <c r="L7" s="62">
        <f>I7/$I$8</f>
        <v>2.0434369543431034E-2</v>
      </c>
    </row>
    <row r="8" spans="2:12">
      <c r="B8" s="215" t="s">
        <v>6</v>
      </c>
      <c r="C8" s="27">
        <f>C4-C5+C7-C6</f>
        <v>306008.07999999996</v>
      </c>
      <c r="D8" s="27">
        <f>C8/'Unit Mix'!$D$7</f>
        <v>8270.4886486486466</v>
      </c>
      <c r="E8" s="28">
        <f>C8/'Unit Mix'!$F$7</f>
        <v>7.919463768115941</v>
      </c>
      <c r="F8" s="216">
        <f>C8/$C$8</f>
        <v>1</v>
      </c>
      <c r="H8" s="215" t="s">
        <v>6</v>
      </c>
      <c r="I8" s="27">
        <f>I4-I5+I7-I6</f>
        <v>562777.33333333326</v>
      </c>
      <c r="J8" s="27">
        <f>I8/'Unit Mix'!$D$7</f>
        <v>15210.198198198195</v>
      </c>
      <c r="K8" s="28">
        <f>I8/'Unit Mix'!$F$7</f>
        <v>14.564630779848169</v>
      </c>
      <c r="L8" s="216">
        <f>I8/$I$8</f>
        <v>1</v>
      </c>
    </row>
    <row r="9" spans="2:12">
      <c r="B9" s="3"/>
      <c r="C9" s="26"/>
      <c r="D9" s="26"/>
      <c r="E9" s="25"/>
      <c r="F9" s="62"/>
      <c r="H9" s="3"/>
      <c r="I9" s="26"/>
      <c r="J9" s="26"/>
      <c r="K9" s="25"/>
      <c r="L9" s="62"/>
    </row>
    <row r="10" spans="2:12">
      <c r="B10" s="33" t="s">
        <v>7</v>
      </c>
      <c r="C10" s="26"/>
      <c r="D10" s="26"/>
      <c r="E10" s="25"/>
      <c r="F10" s="62"/>
      <c r="H10" s="33" t="s">
        <v>7</v>
      </c>
      <c r="I10" s="26"/>
      <c r="J10" s="26"/>
      <c r="K10" s="25"/>
      <c r="L10" s="62"/>
    </row>
    <row r="11" spans="2:12">
      <c r="B11" s="208" t="s">
        <v>11</v>
      </c>
      <c r="C11" s="217">
        <v>35000</v>
      </c>
      <c r="D11" s="209">
        <f>C11/'Unit Mix'!$D$7</f>
        <v>945.94594594594594</v>
      </c>
      <c r="E11" s="210">
        <f>C11/'Unit Mix'!$F$7</f>
        <v>0.90579710144927539</v>
      </c>
      <c r="F11" s="211">
        <f t="shared" ref="F11:F22" si="0">C11/$C$8</f>
        <v>0.11437606484116369</v>
      </c>
      <c r="H11" s="208" t="s">
        <v>11</v>
      </c>
      <c r="I11" s="217">
        <v>38000</v>
      </c>
      <c r="J11" s="209">
        <f>I11/'Unit Mix'!$D$7</f>
        <v>1027.0270270270271</v>
      </c>
      <c r="K11" s="210">
        <f>I11/'Unit Mix'!$F$7</f>
        <v>0.9834368530020704</v>
      </c>
      <c r="L11" s="211">
        <f t="shared" ref="L11:L22" si="1">I11/$I$8</f>
        <v>6.7522264578293856E-2</v>
      </c>
    </row>
    <row r="12" spans="2:12">
      <c r="B12" s="208" t="s">
        <v>318</v>
      </c>
      <c r="C12" s="217">
        <v>18000</v>
      </c>
      <c r="D12" s="209">
        <f>C12/'Unit Mix'!$D$7</f>
        <v>486.48648648648651</v>
      </c>
      <c r="E12" s="210">
        <f>C12/'Unit Mix'!$F$7</f>
        <v>0.46583850931677018</v>
      </c>
      <c r="F12" s="211">
        <f t="shared" si="0"/>
        <v>5.8821976204027036E-2</v>
      </c>
      <c r="H12" s="208" t="s">
        <v>318</v>
      </c>
      <c r="I12" s="217">
        <v>30000</v>
      </c>
      <c r="J12" s="209">
        <f>I12/'Unit Mix'!$D$7</f>
        <v>810.81081081081084</v>
      </c>
      <c r="K12" s="210">
        <f>I12/'Unit Mix'!$F$7</f>
        <v>0.77639751552795033</v>
      </c>
      <c r="L12" s="211">
        <f t="shared" si="1"/>
        <v>5.330705098286357E-2</v>
      </c>
    </row>
    <row r="13" spans="2:12">
      <c r="B13" s="208" t="s">
        <v>8</v>
      </c>
      <c r="C13" s="217">
        <v>23000</v>
      </c>
      <c r="D13" s="209">
        <f>C13/'Unit Mix'!$D$7</f>
        <v>621.62162162162167</v>
      </c>
      <c r="E13" s="210">
        <f>C13/'Unit Mix'!$F$7</f>
        <v>0.59523809523809523</v>
      </c>
      <c r="F13" s="211">
        <f t="shared" si="0"/>
        <v>7.5161414038478994E-2</v>
      </c>
      <c r="H13" s="208" t="s">
        <v>8</v>
      </c>
      <c r="I13" s="217">
        <v>40000</v>
      </c>
      <c r="J13" s="209">
        <f>I13/'Unit Mix'!$D$7</f>
        <v>1081.081081081081</v>
      </c>
      <c r="K13" s="210">
        <f>I13/'Unit Mix'!$F$7</f>
        <v>1.0351966873706004</v>
      </c>
      <c r="L13" s="211">
        <f t="shared" si="1"/>
        <v>7.1076067977151422E-2</v>
      </c>
    </row>
    <row r="14" spans="2:12">
      <c r="B14" s="208" t="s">
        <v>319</v>
      </c>
      <c r="C14" s="217">
        <v>25000</v>
      </c>
      <c r="D14" s="209">
        <f>C14/'Unit Mix'!$D$7</f>
        <v>675.67567567567562</v>
      </c>
      <c r="E14" s="210">
        <f>C14/'Unit Mix'!$F$7</f>
        <v>0.64699792960662528</v>
      </c>
      <c r="F14" s="211">
        <f t="shared" si="0"/>
        <v>8.1697189172259779E-2</v>
      </c>
      <c r="H14" s="208" t="s">
        <v>319</v>
      </c>
      <c r="I14" s="217">
        <v>40000</v>
      </c>
      <c r="J14" s="209">
        <f>I14/'Unit Mix'!$D$7</f>
        <v>1081.081081081081</v>
      </c>
      <c r="K14" s="210">
        <f>I14/'Unit Mix'!$F$7</f>
        <v>1.0351966873706004</v>
      </c>
      <c r="L14" s="211">
        <f t="shared" si="1"/>
        <v>7.1076067977151422E-2</v>
      </c>
    </row>
    <row r="15" spans="2:12">
      <c r="B15" s="208" t="s">
        <v>320</v>
      </c>
      <c r="C15" s="217">
        <v>3000</v>
      </c>
      <c r="D15" s="209">
        <f>C15/'Unit Mix'!$D$7</f>
        <v>81.081081081081081</v>
      </c>
      <c r="E15" s="210">
        <f>C15/'Unit Mix'!$F$7</f>
        <v>7.7639751552795025E-2</v>
      </c>
      <c r="F15" s="211">
        <f t="shared" si="0"/>
        <v>9.8036627006711733E-3</v>
      </c>
      <c r="H15" s="208" t="s">
        <v>320</v>
      </c>
      <c r="I15" s="217">
        <v>5000</v>
      </c>
      <c r="J15" s="209">
        <f>I15/'Unit Mix'!$D$7</f>
        <v>135.13513513513513</v>
      </c>
      <c r="K15" s="210">
        <f>I15/'Unit Mix'!$F$7</f>
        <v>0.12939958592132506</v>
      </c>
      <c r="L15" s="211">
        <f t="shared" si="1"/>
        <v>8.8845084971439277E-3</v>
      </c>
    </row>
    <row r="16" spans="2:12">
      <c r="B16" s="208" t="s">
        <v>321</v>
      </c>
      <c r="C16" s="217">
        <f>C8*0.05</f>
        <v>15300.403999999999</v>
      </c>
      <c r="D16" s="209">
        <f>C16/'Unit Mix'!$D$7</f>
        <v>413.52443243243238</v>
      </c>
      <c r="E16" s="210">
        <f>C16/'Unit Mix'!$F$7</f>
        <v>0.39597318840579704</v>
      </c>
      <c r="F16" s="211">
        <f t="shared" si="0"/>
        <v>0.05</v>
      </c>
      <c r="H16" s="208" t="s">
        <v>321</v>
      </c>
      <c r="I16" s="217">
        <f>I8*0.05</f>
        <v>28138.866666666665</v>
      </c>
      <c r="J16" s="209">
        <f>I16/'Unit Mix'!$D$7</f>
        <v>760.50990990990988</v>
      </c>
      <c r="K16" s="210">
        <f>I16/'Unit Mix'!$F$7</f>
        <v>0.72823153899240856</v>
      </c>
      <c r="L16" s="211">
        <f t="shared" si="1"/>
        <v>0.05</v>
      </c>
    </row>
    <row r="17" spans="2:13">
      <c r="B17" s="208" t="s">
        <v>322</v>
      </c>
      <c r="C17" s="217">
        <v>15000</v>
      </c>
      <c r="D17" s="209">
        <f>C17/'Unit Mix'!$D$7</f>
        <v>405.40540540540542</v>
      </c>
      <c r="E17" s="210">
        <f>C17/'Unit Mix'!$F$7</f>
        <v>0.38819875776397517</v>
      </c>
      <c r="F17" s="211">
        <f t="shared" si="0"/>
        <v>4.9018313503355865E-2</v>
      </c>
      <c r="H17" s="208" t="s">
        <v>322</v>
      </c>
      <c r="I17" s="217">
        <v>32000</v>
      </c>
      <c r="J17" s="209">
        <f>I17/'Unit Mix'!$D$7</f>
        <v>864.8648648648649</v>
      </c>
      <c r="K17" s="210">
        <f>I17/'Unit Mix'!$F$7</f>
        <v>0.82815734989648038</v>
      </c>
      <c r="L17" s="211">
        <f t="shared" si="1"/>
        <v>5.6860854381721136E-2</v>
      </c>
    </row>
    <row r="18" spans="2:13">
      <c r="B18" s="208" t="s">
        <v>323</v>
      </c>
      <c r="C18" s="217">
        <v>2500</v>
      </c>
      <c r="D18" s="209">
        <f>C18/'Unit Mix'!$D$7</f>
        <v>67.567567567567565</v>
      </c>
      <c r="E18" s="210">
        <f>C18/'Unit Mix'!$F$7</f>
        <v>6.4699792960662528E-2</v>
      </c>
      <c r="F18" s="211">
        <f t="shared" si="0"/>
        <v>8.1697189172259769E-3</v>
      </c>
      <c r="H18" s="208" t="s">
        <v>323</v>
      </c>
      <c r="I18" s="217">
        <v>5000</v>
      </c>
      <c r="J18" s="209">
        <f>I18/'Unit Mix'!$D$7</f>
        <v>135.13513513513513</v>
      </c>
      <c r="K18" s="210">
        <f>I18/'Unit Mix'!$F$7</f>
        <v>0.12939958592132506</v>
      </c>
      <c r="L18" s="211">
        <f t="shared" si="1"/>
        <v>8.8845084971439277E-3</v>
      </c>
    </row>
    <row r="19" spans="2:13">
      <c r="B19" s="208" t="s">
        <v>15</v>
      </c>
      <c r="C19" s="217">
        <v>3000</v>
      </c>
      <c r="D19" s="209">
        <f>C19/'Unit Mix'!$D$7</f>
        <v>81.081081081081081</v>
      </c>
      <c r="E19" s="210">
        <f>C19/'Unit Mix'!$F$7</f>
        <v>7.7639751552795025E-2</v>
      </c>
      <c r="F19" s="211">
        <f t="shared" si="0"/>
        <v>9.8036627006711733E-3</v>
      </c>
      <c r="H19" s="208" t="s">
        <v>15</v>
      </c>
      <c r="I19" s="217">
        <v>6000</v>
      </c>
      <c r="J19" s="209">
        <f>I19/'Unit Mix'!$D$7</f>
        <v>162.16216216216216</v>
      </c>
      <c r="K19" s="210">
        <f>I19/'Unit Mix'!$F$7</f>
        <v>0.15527950310559005</v>
      </c>
      <c r="L19" s="211">
        <f t="shared" si="1"/>
        <v>1.0661410196572713E-2</v>
      </c>
    </row>
    <row r="20" spans="2:13">
      <c r="B20" s="208" t="s">
        <v>324</v>
      </c>
      <c r="C20" s="217">
        <v>5500</v>
      </c>
      <c r="D20" s="209">
        <f>C20/'Unit Mix'!$D$7</f>
        <v>148.64864864864865</v>
      </c>
      <c r="E20" s="210">
        <f>C20/'Unit Mix'!$F$7</f>
        <v>0.14233954451345757</v>
      </c>
      <c r="F20" s="211">
        <f t="shared" si="0"/>
        <v>1.797338161789715E-2</v>
      </c>
      <c r="H20" s="208" t="s">
        <v>324</v>
      </c>
      <c r="I20" s="217">
        <v>12000</v>
      </c>
      <c r="J20" s="209">
        <f>I20/'Unit Mix'!$D$7</f>
        <v>324.32432432432432</v>
      </c>
      <c r="K20" s="210">
        <f>I20/'Unit Mix'!$F$7</f>
        <v>0.3105590062111801</v>
      </c>
      <c r="L20" s="211">
        <f t="shared" si="1"/>
        <v>2.1322820393145425E-2</v>
      </c>
    </row>
    <row r="21" spans="2:13">
      <c r="B21" s="208" t="s">
        <v>325</v>
      </c>
      <c r="C21" s="217">
        <v>5000</v>
      </c>
      <c r="D21" s="209">
        <f>C21/'Unit Mix'!$D$7</f>
        <v>135.13513513513513</v>
      </c>
      <c r="E21" s="210">
        <f>C21/'Unit Mix'!$F$7</f>
        <v>0.12939958592132506</v>
      </c>
      <c r="F21" s="211">
        <f t="shared" si="0"/>
        <v>1.6339437834451954E-2</v>
      </c>
      <c r="H21" s="208" t="s">
        <v>325</v>
      </c>
      <c r="I21" s="217">
        <v>10000</v>
      </c>
      <c r="J21" s="209">
        <f>I21/'Unit Mix'!$D$7</f>
        <v>270.27027027027026</v>
      </c>
      <c r="K21" s="210">
        <f>I21/'Unit Mix'!$F$7</f>
        <v>0.25879917184265011</v>
      </c>
      <c r="L21" s="211">
        <f t="shared" si="1"/>
        <v>1.7769016994287855E-2</v>
      </c>
    </row>
    <row r="22" spans="2:13">
      <c r="B22" s="215" t="s">
        <v>317</v>
      </c>
      <c r="C22" s="218">
        <f>SUM(C11:C21)</f>
        <v>150300.40399999998</v>
      </c>
      <c r="D22" s="218">
        <f t="shared" ref="D22:E22" si="2">SUM(D11:D21)</f>
        <v>4062.1730810810818</v>
      </c>
      <c r="E22" s="219">
        <f t="shared" si="2"/>
        <v>3.8897620082815738</v>
      </c>
      <c r="F22" s="220">
        <f t="shared" si="0"/>
        <v>0.49116482153020274</v>
      </c>
      <c r="H22" s="215" t="s">
        <v>317</v>
      </c>
      <c r="I22" s="218">
        <f>SUM(I11:I21)</f>
        <v>246138.86666666667</v>
      </c>
      <c r="J22" s="218">
        <f>SUM(J11:J21)</f>
        <v>6652.4018018018014</v>
      </c>
      <c r="K22" s="219">
        <f t="shared" ref="K22" si="3">SUM(K11:K21)</f>
        <v>6.3700534851621819</v>
      </c>
      <c r="L22" s="220">
        <f t="shared" si="1"/>
        <v>0.43736457047547528</v>
      </c>
    </row>
    <row r="23" spans="2:13">
      <c r="B23" s="221"/>
      <c r="C23" s="26"/>
      <c r="D23" s="26"/>
      <c r="E23" s="25"/>
      <c r="F23" s="18"/>
      <c r="H23" s="221"/>
      <c r="I23" s="26"/>
      <c r="J23" s="26"/>
      <c r="K23" s="25"/>
      <c r="L23" s="62"/>
    </row>
    <row r="24" spans="2:13">
      <c r="B24" s="33" t="s">
        <v>314</v>
      </c>
      <c r="C24" s="27">
        <f>C8-C22</f>
        <v>155707.67599999998</v>
      </c>
      <c r="D24" s="27">
        <f>C24/'Unit Mix'!$D$7</f>
        <v>4208.3155675675671</v>
      </c>
      <c r="E24" s="28">
        <f>C24/'Unit Mix'!$F$7</f>
        <v>4.0297017598343681</v>
      </c>
      <c r="F24" s="216">
        <f>C24/$C$8</f>
        <v>0.50883517846979731</v>
      </c>
      <c r="H24" s="33" t="s">
        <v>314</v>
      </c>
      <c r="I24" s="27">
        <f>I8-I22</f>
        <v>316638.46666666656</v>
      </c>
      <c r="J24" s="27">
        <f>I24/'Unit Mix'!$D$7</f>
        <v>8557.7963963963939</v>
      </c>
      <c r="K24" s="28">
        <f>I24/'Unit Mix'!$F$7</f>
        <v>8.1945772946859883</v>
      </c>
      <c r="L24" s="216">
        <f>I24/$I$8</f>
        <v>0.56263542952452472</v>
      </c>
    </row>
    <row r="25" spans="2:13">
      <c r="B25" s="208" t="s">
        <v>555</v>
      </c>
      <c r="C25" s="209">
        <f>D25*'Unit Mix'!D7</f>
        <v>9250</v>
      </c>
      <c r="D25" s="209">
        <v>250</v>
      </c>
      <c r="E25" s="210">
        <f>C25/'Unit Mix'!$F$7</f>
        <v>0.23938923395445136</v>
      </c>
      <c r="F25" s="211">
        <f>C25/$C$8</f>
        <v>3.0227959993736116E-2</v>
      </c>
      <c r="H25" s="208" t="s">
        <v>555</v>
      </c>
      <c r="I25" s="209">
        <f>J25*'Unit Mix'!D7</f>
        <v>9250</v>
      </c>
      <c r="J25" s="209">
        <v>250</v>
      </c>
      <c r="K25" s="210">
        <f>I25/'Unit Mix'!$F$7</f>
        <v>0.23938923395445136</v>
      </c>
      <c r="L25" s="211">
        <f>I25/$I$8</f>
        <v>1.6436340719716266E-2</v>
      </c>
    </row>
    <row r="26" spans="2:13">
      <c r="B26" s="222" t="s">
        <v>404</v>
      </c>
      <c r="C26" s="192">
        <f>C24-C25</f>
        <v>146457.67599999998</v>
      </c>
      <c r="D26" s="192">
        <f>C26/'Unit Mix'!$D$7</f>
        <v>3958.3155675675671</v>
      </c>
      <c r="E26" s="193">
        <f>C26/'Unit Mix'!$F$7</f>
        <v>3.7903125258799166</v>
      </c>
      <c r="F26" s="223">
        <f>C26/$C$8</f>
        <v>0.47860721847606114</v>
      </c>
      <c r="H26" s="215" t="s">
        <v>404</v>
      </c>
      <c r="I26" s="27">
        <f>I24-I25</f>
        <v>307388.46666666656</v>
      </c>
      <c r="J26" s="27">
        <f>I26/'Unit Mix'!$D$7</f>
        <v>8307.7963963963939</v>
      </c>
      <c r="K26" s="28">
        <f>I26/'Unit Mix'!$F$7</f>
        <v>7.9551880607315359</v>
      </c>
      <c r="L26" s="62">
        <f>I26/$I$8</f>
        <v>0.54619908880480839</v>
      </c>
    </row>
    <row r="27" spans="2:13">
      <c r="B27" s="24"/>
      <c r="C27" s="26"/>
      <c r="D27" s="26"/>
      <c r="E27" s="25"/>
      <c r="F27" s="8"/>
      <c r="H27" s="208" t="s">
        <v>14</v>
      </c>
      <c r="I27" s="26">
        <f>SUM(Summary!E22:E23)*Summary!I24</f>
        <v>201518.51426014528</v>
      </c>
      <c r="J27" s="26">
        <f>I27/'Unit Mix'!$D$7</f>
        <v>5446.4463313552778</v>
      </c>
      <c r="K27" s="25">
        <f>I27/'Unit Mix'!$F$7</f>
        <v>5.2152824601486873</v>
      </c>
      <c r="L27" s="62">
        <f>I27/$I$8</f>
        <v>0.35807859045521612</v>
      </c>
    </row>
    <row r="28" spans="2:13">
      <c r="B28" s="2" t="s">
        <v>507</v>
      </c>
      <c r="C28" s="26"/>
      <c r="D28" s="26"/>
      <c r="E28" s="25"/>
      <c r="F28" s="8"/>
      <c r="H28" s="33" t="s">
        <v>315</v>
      </c>
      <c r="I28" s="27">
        <f>I26-I27</f>
        <v>105869.95240652128</v>
      </c>
      <c r="J28" s="27">
        <f>I28/'Unit Mix'!$D$7</f>
        <v>2861.3500650411156</v>
      </c>
      <c r="K28" s="28">
        <f>I28/'Unit Mix'!$F$7</f>
        <v>2.7399056005828486</v>
      </c>
      <c r="L28" s="216">
        <f>I28/$I$8</f>
        <v>0.1881204983495923</v>
      </c>
    </row>
    <row r="29" spans="2:13">
      <c r="B29" s="279" t="s">
        <v>506</v>
      </c>
      <c r="C29" s="279"/>
      <c r="D29" s="279"/>
      <c r="E29" s="279"/>
      <c r="F29" s="279"/>
      <c r="H29" s="208" t="s">
        <v>504</v>
      </c>
      <c r="I29" s="224">
        <f>I24/I27</f>
        <v>1.5712624114423057</v>
      </c>
      <c r="J29" s="26"/>
      <c r="K29" s="25"/>
      <c r="L29" s="62"/>
      <c r="M29" s="225"/>
    </row>
    <row r="30" spans="2:13">
      <c r="B30" s="279"/>
      <c r="C30" s="279"/>
      <c r="D30" s="279"/>
      <c r="E30" s="279"/>
      <c r="F30" s="279"/>
      <c r="H30" s="3"/>
      <c r="J30" s="26"/>
      <c r="L30" s="18"/>
    </row>
    <row r="31" spans="2:13">
      <c r="B31" s="2"/>
      <c r="C31" s="27"/>
      <c r="D31" s="27"/>
      <c r="E31" s="28"/>
      <c r="H31" s="263" t="s">
        <v>521</v>
      </c>
      <c r="I31" s="27">
        <f>I24/H32</f>
        <v>4871361.0256410241</v>
      </c>
      <c r="J31" s="27">
        <f>I31/'Unit Mix'!$D$7</f>
        <v>131658.40609840606</v>
      </c>
      <c r="K31" s="28">
        <f>I31/'Unit Mix'!$F$7</f>
        <v>126.07041991824596</v>
      </c>
      <c r="L31" s="18"/>
    </row>
    <row r="32" spans="2:13">
      <c r="H32" s="264">
        <f>Summary!E14</f>
        <v>6.5000000000000002E-2</v>
      </c>
      <c r="I32" s="89"/>
      <c r="J32" s="89"/>
      <c r="K32" s="89"/>
      <c r="L32" s="21"/>
    </row>
    <row r="33" spans="3:3">
      <c r="C33" s="6"/>
    </row>
    <row r="34" spans="3:3">
      <c r="C34" s="26"/>
    </row>
    <row r="35" spans="3:3" hidden="1">
      <c r="C35" s="26"/>
    </row>
  </sheetData>
  <mergeCells count="1">
    <mergeCell ref="B29:F30"/>
  </mergeCells>
  <pageMargins left="0.7" right="0.7" top="0.75" bottom="0.75" header="0.3" footer="0.3"/>
  <pageSetup orientation="portrait" horizontalDpi="1200" verticalDpi="1200" r:id="rId1"/>
  <ignoredErrors>
    <ignoredError sqref="I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FE16-CE06-47F1-9681-D57517D01CC4}">
  <dimension ref="B2:H36"/>
  <sheetViews>
    <sheetView zoomScale="85" zoomScaleNormal="85" workbookViewId="0">
      <selection activeCell="B8" sqref="B8"/>
    </sheetView>
  </sheetViews>
  <sheetFormatPr defaultRowHeight="15"/>
  <cols>
    <col min="1" max="1" width="9.140625" customWidth="1"/>
    <col min="2" max="2" width="39.28515625" bestFit="1" customWidth="1"/>
    <col min="3" max="3" width="15.85546875" customWidth="1"/>
    <col min="4" max="4" width="12.7109375" customWidth="1"/>
    <col min="5" max="5" width="17" bestFit="1" customWidth="1"/>
    <col min="6" max="6" width="13.42578125" customWidth="1"/>
    <col min="7" max="7" width="14.5703125" customWidth="1"/>
    <col min="8" max="8" width="12.85546875" customWidth="1"/>
    <col min="9" max="9" width="22.7109375" customWidth="1"/>
    <col min="10" max="10" width="11" customWidth="1"/>
    <col min="11" max="14" width="22.7109375" customWidth="1"/>
  </cols>
  <sheetData>
    <row r="2" spans="2:6">
      <c r="B2" s="20" t="s">
        <v>359</v>
      </c>
      <c r="C2" s="39" t="s">
        <v>358</v>
      </c>
      <c r="D2" s="40" t="s">
        <v>316</v>
      </c>
      <c r="E2" s="39" t="s">
        <v>357</v>
      </c>
      <c r="F2" s="2" t="s">
        <v>326</v>
      </c>
    </row>
    <row r="3" spans="2:6" s="1" customFormat="1">
      <c r="B3" s="61" t="s">
        <v>327</v>
      </c>
      <c r="C3" s="34">
        <v>185000</v>
      </c>
      <c r="D3" s="30">
        <f>C3/37</f>
        <v>5000</v>
      </c>
      <c r="E3" s="37">
        <f>C3/$C$21</f>
        <v>0.25</v>
      </c>
      <c r="F3" s="261" t="s">
        <v>328</v>
      </c>
    </row>
    <row r="4" spans="2:6">
      <c r="B4" s="3" t="s">
        <v>329</v>
      </c>
      <c r="C4" s="34">
        <v>110000</v>
      </c>
      <c r="D4" s="30">
        <f t="shared" ref="D4:D19" si="0">C4/37</f>
        <v>2972.9729729729729</v>
      </c>
      <c r="E4" s="37">
        <f t="shared" ref="E4:E19" si="1">C4/$C$21</f>
        <v>0.14864864864864866</v>
      </c>
      <c r="F4" s="262" t="s">
        <v>330</v>
      </c>
    </row>
    <row r="5" spans="2:6">
      <c r="B5" s="3" t="s">
        <v>89</v>
      </c>
      <c r="C5" s="34">
        <v>78000</v>
      </c>
      <c r="D5" s="30">
        <f t="shared" si="0"/>
        <v>2108.1081081081079</v>
      </c>
      <c r="E5" s="37">
        <f t="shared" si="1"/>
        <v>0.10540540540540541</v>
      </c>
      <c r="F5" s="262" t="s">
        <v>331</v>
      </c>
    </row>
    <row r="6" spans="2:6">
      <c r="B6" s="3" t="s">
        <v>109</v>
      </c>
      <c r="C6" s="34">
        <v>52000</v>
      </c>
      <c r="D6" s="30">
        <f t="shared" si="0"/>
        <v>1405.4054054054054</v>
      </c>
      <c r="E6" s="37">
        <f t="shared" si="1"/>
        <v>7.0270270270270274E-2</v>
      </c>
      <c r="F6" s="262" t="s">
        <v>332</v>
      </c>
    </row>
    <row r="7" spans="2:6">
      <c r="B7" s="3" t="s">
        <v>333</v>
      </c>
      <c r="C7" s="34">
        <v>42000</v>
      </c>
      <c r="D7" s="30">
        <f t="shared" si="0"/>
        <v>1135.1351351351352</v>
      </c>
      <c r="E7" s="37">
        <f t="shared" si="1"/>
        <v>5.675675675675676E-2</v>
      </c>
      <c r="F7" s="262" t="s">
        <v>334</v>
      </c>
    </row>
    <row r="8" spans="2:6">
      <c r="B8" s="3" t="s">
        <v>335</v>
      </c>
      <c r="C8" s="34">
        <v>25000</v>
      </c>
      <c r="D8" s="30">
        <f t="shared" si="0"/>
        <v>675.67567567567562</v>
      </c>
      <c r="E8" s="37">
        <f t="shared" si="1"/>
        <v>3.3783783783783786E-2</v>
      </c>
      <c r="F8" s="262" t="s">
        <v>336</v>
      </c>
    </row>
    <row r="9" spans="2:6">
      <c r="B9" s="33" t="s">
        <v>337</v>
      </c>
      <c r="C9" s="35">
        <v>492000</v>
      </c>
      <c r="D9" s="31">
        <f t="shared" si="0"/>
        <v>13297.297297297297</v>
      </c>
      <c r="E9" s="41">
        <f t="shared" si="1"/>
        <v>0.66486486486486485</v>
      </c>
      <c r="F9" s="262"/>
    </row>
    <row r="10" spans="2:6">
      <c r="B10" s="3" t="s">
        <v>338</v>
      </c>
      <c r="C10" s="34">
        <v>20000</v>
      </c>
      <c r="D10" s="30">
        <f t="shared" si="0"/>
        <v>540.54054054054052</v>
      </c>
      <c r="E10" s="37">
        <f t="shared" si="1"/>
        <v>2.7027027027027029E-2</v>
      </c>
      <c r="F10" s="262" t="s">
        <v>339</v>
      </c>
    </row>
    <row r="11" spans="2:6">
      <c r="B11" s="3" t="s">
        <v>340</v>
      </c>
      <c r="C11" s="34">
        <v>15000</v>
      </c>
      <c r="D11" s="30">
        <f t="shared" si="0"/>
        <v>405.40540540540542</v>
      </c>
      <c r="E11" s="37">
        <f t="shared" si="1"/>
        <v>2.0270270270270271E-2</v>
      </c>
      <c r="F11" s="262" t="s">
        <v>341</v>
      </c>
    </row>
    <row r="12" spans="2:6">
      <c r="B12" s="3" t="s">
        <v>342</v>
      </c>
      <c r="C12" s="34">
        <v>50000</v>
      </c>
      <c r="D12" s="30">
        <f t="shared" si="0"/>
        <v>1351.3513513513512</v>
      </c>
      <c r="E12" s="37">
        <f t="shared" si="1"/>
        <v>6.7567567567567571E-2</v>
      </c>
      <c r="F12" s="262" t="s">
        <v>343</v>
      </c>
    </row>
    <row r="13" spans="2:6">
      <c r="B13" s="3" t="s">
        <v>344</v>
      </c>
      <c r="C13" s="34">
        <v>15000</v>
      </c>
      <c r="D13" s="30">
        <f t="shared" si="0"/>
        <v>405.40540540540542</v>
      </c>
      <c r="E13" s="37">
        <f t="shared" si="1"/>
        <v>2.0270270270270271E-2</v>
      </c>
      <c r="F13" s="262" t="s">
        <v>345</v>
      </c>
    </row>
    <row r="14" spans="2:6">
      <c r="B14" s="3" t="s">
        <v>346</v>
      </c>
      <c r="C14" s="34">
        <v>10000</v>
      </c>
      <c r="D14" s="30">
        <f t="shared" si="0"/>
        <v>270.27027027027026</v>
      </c>
      <c r="E14" s="37">
        <f t="shared" si="1"/>
        <v>1.3513513513513514E-2</v>
      </c>
      <c r="F14" s="262" t="s">
        <v>347</v>
      </c>
    </row>
    <row r="15" spans="2:6">
      <c r="B15" s="3" t="s">
        <v>348</v>
      </c>
      <c r="C15" s="34">
        <v>18000</v>
      </c>
      <c r="D15" s="30">
        <f t="shared" si="0"/>
        <v>486.48648648648651</v>
      </c>
      <c r="E15" s="37">
        <f t="shared" si="1"/>
        <v>2.4324324324324326E-2</v>
      </c>
      <c r="F15" s="262" t="s">
        <v>349</v>
      </c>
    </row>
    <row r="16" spans="2:6">
      <c r="B16" s="3" t="s">
        <v>350</v>
      </c>
      <c r="C16" s="34">
        <v>15000</v>
      </c>
      <c r="D16" s="30">
        <f t="shared" si="0"/>
        <v>405.40540540540542</v>
      </c>
      <c r="E16" s="37">
        <f t="shared" si="1"/>
        <v>2.0270270270270271E-2</v>
      </c>
      <c r="F16" s="262" t="s">
        <v>351</v>
      </c>
    </row>
    <row r="17" spans="2:8">
      <c r="B17" s="3" t="s">
        <v>352</v>
      </c>
      <c r="C17" s="34">
        <v>15000</v>
      </c>
      <c r="D17" s="30">
        <f t="shared" si="0"/>
        <v>405.40540540540542</v>
      </c>
      <c r="E17" s="37">
        <f t="shared" si="1"/>
        <v>2.0270270270270271E-2</v>
      </c>
      <c r="F17" s="262" t="s">
        <v>353</v>
      </c>
    </row>
    <row r="18" spans="2:8">
      <c r="B18" s="3" t="s">
        <v>354</v>
      </c>
      <c r="C18" s="34">
        <v>35000</v>
      </c>
      <c r="D18" s="30">
        <f t="shared" si="0"/>
        <v>945.94594594594594</v>
      </c>
      <c r="E18" s="37">
        <f t="shared" si="1"/>
        <v>4.72972972972973E-2</v>
      </c>
      <c r="F18" s="262" t="s">
        <v>355</v>
      </c>
    </row>
    <row r="19" spans="2:8">
      <c r="B19" s="3" t="s">
        <v>98</v>
      </c>
      <c r="C19" s="34">
        <v>55000</v>
      </c>
      <c r="D19" s="30">
        <f t="shared" si="0"/>
        <v>1486.4864864864865</v>
      </c>
      <c r="E19" s="37">
        <f t="shared" si="1"/>
        <v>7.4324324324324328E-2</v>
      </c>
      <c r="F19" s="262" t="s">
        <v>356</v>
      </c>
    </row>
    <row r="20" spans="2:8">
      <c r="B20" s="33" t="s">
        <v>559</v>
      </c>
      <c r="C20" s="35">
        <f>SUM(C10:C19)</f>
        <v>248000</v>
      </c>
      <c r="D20" s="31">
        <f>C20/37</f>
        <v>6702.7027027027025</v>
      </c>
      <c r="E20" s="41">
        <f>C20/$C$21</f>
        <v>0.33513513513513515</v>
      </c>
      <c r="F20" s="262"/>
    </row>
    <row r="21" spans="2:8">
      <c r="B21" s="23" t="s">
        <v>360</v>
      </c>
      <c r="C21" s="36">
        <f>(C9)+SUM(C10:C19)</f>
        <v>740000</v>
      </c>
      <c r="D21" s="32">
        <f>(D9)+SUM(D10:D19)</f>
        <v>20000</v>
      </c>
      <c r="E21" s="38">
        <f>(E9)+SUM(E10:E19)</f>
        <v>1</v>
      </c>
    </row>
    <row r="23" spans="2:8" ht="15" customHeight="1">
      <c r="B23" s="279" t="s">
        <v>551</v>
      </c>
      <c r="C23" s="279"/>
      <c r="D23" s="279"/>
      <c r="E23" s="279"/>
      <c r="F23" s="287"/>
      <c r="G23" s="287"/>
    </row>
    <row r="24" spans="2:8">
      <c r="B24" s="279"/>
      <c r="C24" s="279"/>
      <c r="D24" s="279"/>
      <c r="E24" s="279"/>
      <c r="F24" s="287"/>
      <c r="G24" s="287"/>
    </row>
    <row r="25" spans="2:8">
      <c r="B25" s="279"/>
      <c r="C25" s="279"/>
      <c r="D25" s="279"/>
      <c r="E25" s="279"/>
      <c r="F25" s="287"/>
      <c r="G25" s="287"/>
    </row>
    <row r="26" spans="2:8" ht="15" customHeight="1">
      <c r="B26" s="288" t="s">
        <v>560</v>
      </c>
      <c r="C26" s="288"/>
      <c r="D26" s="288"/>
      <c r="E26" s="288"/>
      <c r="F26" s="287"/>
      <c r="G26" s="287"/>
    </row>
    <row r="27" spans="2:8">
      <c r="B27" s="288"/>
      <c r="C27" s="288"/>
      <c r="D27" s="288"/>
      <c r="E27" s="288"/>
      <c r="F27" s="287"/>
      <c r="G27" s="287"/>
    </row>
    <row r="28" spans="2:8">
      <c r="B28" s="288"/>
      <c r="C28" s="288"/>
      <c r="D28" s="288"/>
      <c r="E28" s="288"/>
      <c r="F28" s="226"/>
      <c r="G28" s="226"/>
    </row>
    <row r="29" spans="2:8">
      <c r="B29" s="289"/>
      <c r="C29" s="289"/>
      <c r="D29" s="289"/>
      <c r="E29" s="289"/>
      <c r="F29" s="226"/>
      <c r="G29" s="226"/>
    </row>
    <row r="30" spans="2:8">
      <c r="B30" s="2" t="s">
        <v>288</v>
      </c>
    </row>
    <row r="31" spans="2:8" ht="43.5" customHeight="1">
      <c r="B31" s="46" t="s">
        <v>363</v>
      </c>
      <c r="C31" s="53" t="s">
        <v>364</v>
      </c>
      <c r="D31" s="54" t="s">
        <v>371</v>
      </c>
      <c r="E31" s="53" t="s">
        <v>372</v>
      </c>
      <c r="F31" s="53" t="s">
        <v>373</v>
      </c>
      <c r="G31" s="54" t="s">
        <v>370</v>
      </c>
      <c r="H31" s="53" t="s">
        <v>374</v>
      </c>
    </row>
    <row r="32" spans="2:8">
      <c r="B32" s="56" t="s">
        <v>365</v>
      </c>
      <c r="C32" s="49">
        <v>4</v>
      </c>
      <c r="D32" s="47">
        <v>4</v>
      </c>
      <c r="E32" s="58">
        <f>C32*$D$9</f>
        <v>53189.189189189186</v>
      </c>
      <c r="F32" s="55" cm="1">
        <f t="array" ref="F32">SUM($E$32:E32/$C$9)</f>
        <v>0.1081081081081081</v>
      </c>
      <c r="G32" s="30">
        <f>SUM(C10:C14)</f>
        <v>110000</v>
      </c>
      <c r="H32" s="37">
        <f>SUM($G$32:G32)/SUM($C$10:$C$19)</f>
        <v>0.44354838709677419</v>
      </c>
    </row>
    <row r="33" spans="2:8">
      <c r="B33" s="56" t="s">
        <v>366</v>
      </c>
      <c r="C33" s="49">
        <v>6</v>
      </c>
      <c r="D33" s="47">
        <v>10</v>
      </c>
      <c r="E33" s="58">
        <f t="shared" ref="E33:E36" si="2">C33*$D$9</f>
        <v>79783.783783783787</v>
      </c>
      <c r="F33" s="55" cm="1">
        <f t="array" ref="F33">SUM($E$32:E33/$C$9)</f>
        <v>0.27027027027027029</v>
      </c>
      <c r="G33" s="30">
        <f>SUM(C15:C19)</f>
        <v>138000</v>
      </c>
      <c r="H33" s="37">
        <f>SUM($G$32:G33)/SUM($C$10:$C$19)</f>
        <v>1</v>
      </c>
    </row>
    <row r="34" spans="2:8">
      <c r="B34" s="56" t="s">
        <v>367</v>
      </c>
      <c r="C34" s="49">
        <v>10</v>
      </c>
      <c r="D34" s="47">
        <v>20</v>
      </c>
      <c r="E34" s="58">
        <f t="shared" si="2"/>
        <v>132972.97297297296</v>
      </c>
      <c r="F34" s="55" cm="1">
        <f t="array" ref="F34">SUM($E$32:E34/$C$9)</f>
        <v>0.54054054054054057</v>
      </c>
      <c r="G34" s="1"/>
      <c r="H34" s="51"/>
    </row>
    <row r="35" spans="2:8">
      <c r="B35" s="56" t="s">
        <v>368</v>
      </c>
      <c r="C35" s="49">
        <v>10</v>
      </c>
      <c r="D35" s="47">
        <v>30</v>
      </c>
      <c r="E35" s="58">
        <f t="shared" si="2"/>
        <v>132972.97297297296</v>
      </c>
      <c r="F35" s="55" cm="1">
        <f t="array" ref="F35">SUM($E$32:E35/$C$9)</f>
        <v>0.81081081081081074</v>
      </c>
      <c r="G35" s="1"/>
      <c r="H35" s="51"/>
    </row>
    <row r="36" spans="2:8">
      <c r="B36" s="57" t="s">
        <v>369</v>
      </c>
      <c r="C36" s="50">
        <v>7</v>
      </c>
      <c r="D36" s="48">
        <v>37</v>
      </c>
      <c r="E36" s="59">
        <f t="shared" si="2"/>
        <v>93081.08108108108</v>
      </c>
      <c r="F36" s="60" cm="1">
        <f t="array" ref="F36">SUM($E$32:E36/$C$9)</f>
        <v>1</v>
      </c>
      <c r="G36" s="22"/>
      <c r="H36" s="52"/>
    </row>
  </sheetData>
  <mergeCells count="2">
    <mergeCell ref="B23:E25"/>
    <mergeCell ref="B26:E28"/>
  </mergeCells>
  <pageMargins left="0.7" right="0.7" top="0.75" bottom="0.75" header="0.3" footer="0.3"/>
  <pageSetup orientation="portrait" horizontalDpi="1200" verticalDpi="1200" r:id="rId1"/>
  <ignoredErrors>
    <ignoredError sqref="C20 G32:G3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595F-2981-4BE4-A4D0-EF5357A1B069}">
  <sheetPr>
    <pageSetUpPr autoPageBreaks="0"/>
  </sheetPr>
  <dimension ref="A2:AM78"/>
  <sheetViews>
    <sheetView showGridLines="0" topLeftCell="A45" zoomScaleNormal="100" workbookViewId="0">
      <selection activeCell="B73" sqref="B73"/>
    </sheetView>
  </sheetViews>
  <sheetFormatPr defaultColWidth="0" defaultRowHeight="15"/>
  <cols>
    <col min="1" max="2" width="28.7109375" style="66" bestFit="1" customWidth="1"/>
    <col min="3" max="3" width="15.42578125" customWidth="1"/>
    <col min="4" max="5" width="11.5703125" bestFit="1" customWidth="1"/>
    <col min="6" max="6" width="11.85546875" customWidth="1"/>
    <col min="7" max="7" width="12.7109375" customWidth="1"/>
    <col min="8" max="8" width="4.7109375" customWidth="1"/>
    <col min="9" max="9" width="16.140625" customWidth="1"/>
    <col min="10" max="11" width="11.5703125" bestFit="1" customWidth="1"/>
    <col min="12" max="12" width="11.85546875" customWidth="1"/>
    <col min="13" max="13" width="12.7109375" customWidth="1"/>
    <col min="14" max="14" width="14" customWidth="1"/>
    <col min="15" max="16" width="14.28515625" customWidth="1"/>
    <col min="17" max="19" width="12.42578125" bestFit="1" customWidth="1"/>
    <col min="20" max="20" width="13.140625" bestFit="1" customWidth="1"/>
    <col min="21" max="27" width="12.42578125" bestFit="1" customWidth="1"/>
    <col min="28" max="28" width="14.28515625" bestFit="1" customWidth="1"/>
    <col min="29" max="38" width="11.5703125" bestFit="1" customWidth="1"/>
    <col min="39" max="39" width="11.5703125" customWidth="1"/>
    <col min="40" max="16384" width="9.140625" hidden="1"/>
  </cols>
  <sheetData>
    <row r="2" spans="1:39">
      <c r="A2" s="133" t="s">
        <v>375</v>
      </c>
      <c r="B2" s="134"/>
      <c r="C2" s="169">
        <v>46387</v>
      </c>
      <c r="D2" s="169">
        <v>46418</v>
      </c>
      <c r="E2" s="169">
        <f t="shared" ref="E2:AM2" si="0">EOMONTH(D2,1)</f>
        <v>46446</v>
      </c>
      <c r="F2" s="169">
        <f t="shared" si="0"/>
        <v>46477</v>
      </c>
      <c r="G2" s="169">
        <f t="shared" si="0"/>
        <v>46507</v>
      </c>
      <c r="H2" s="169">
        <f t="shared" si="0"/>
        <v>46538</v>
      </c>
      <c r="I2" s="169">
        <f t="shared" si="0"/>
        <v>46568</v>
      </c>
      <c r="J2" s="169">
        <f t="shared" si="0"/>
        <v>46599</v>
      </c>
      <c r="K2" s="169">
        <f t="shared" si="0"/>
        <v>46630</v>
      </c>
      <c r="L2" s="169">
        <f t="shared" si="0"/>
        <v>46660</v>
      </c>
      <c r="M2" s="169">
        <f t="shared" si="0"/>
        <v>46691</v>
      </c>
      <c r="N2" s="169">
        <f t="shared" si="0"/>
        <v>46721</v>
      </c>
      <c r="O2" s="169">
        <f t="shared" si="0"/>
        <v>46752</v>
      </c>
      <c r="P2" s="169">
        <f t="shared" si="0"/>
        <v>46783</v>
      </c>
      <c r="Q2" s="169">
        <f t="shared" si="0"/>
        <v>46812</v>
      </c>
      <c r="R2" s="169">
        <f t="shared" si="0"/>
        <v>46843</v>
      </c>
      <c r="S2" s="169">
        <f t="shared" si="0"/>
        <v>46873</v>
      </c>
      <c r="T2" s="169">
        <f t="shared" si="0"/>
        <v>46904</v>
      </c>
      <c r="U2" s="169">
        <f t="shared" si="0"/>
        <v>46934</v>
      </c>
      <c r="V2" s="169">
        <f t="shared" si="0"/>
        <v>46965</v>
      </c>
      <c r="W2" s="169">
        <f t="shared" si="0"/>
        <v>46996</v>
      </c>
      <c r="X2" s="169">
        <f t="shared" si="0"/>
        <v>47026</v>
      </c>
      <c r="Y2" s="169">
        <f t="shared" si="0"/>
        <v>47057</v>
      </c>
      <c r="Z2" s="169">
        <f t="shared" si="0"/>
        <v>47087</v>
      </c>
      <c r="AA2" s="169">
        <f t="shared" si="0"/>
        <v>47118</v>
      </c>
      <c r="AB2" s="169">
        <f t="shared" si="0"/>
        <v>47149</v>
      </c>
      <c r="AC2" s="169">
        <f t="shared" si="0"/>
        <v>47177</v>
      </c>
      <c r="AD2" s="169">
        <f t="shared" si="0"/>
        <v>47208</v>
      </c>
      <c r="AE2" s="169">
        <f t="shared" si="0"/>
        <v>47238</v>
      </c>
      <c r="AF2" s="169">
        <f t="shared" si="0"/>
        <v>47269</v>
      </c>
      <c r="AG2" s="169">
        <f t="shared" si="0"/>
        <v>47299</v>
      </c>
      <c r="AH2" s="169">
        <f t="shared" si="0"/>
        <v>47330</v>
      </c>
      <c r="AI2" s="169">
        <f t="shared" si="0"/>
        <v>47361</v>
      </c>
      <c r="AJ2" s="169">
        <f t="shared" si="0"/>
        <v>47391</v>
      </c>
      <c r="AK2" s="169">
        <f t="shared" si="0"/>
        <v>47422</v>
      </c>
      <c r="AL2" s="169">
        <f t="shared" si="0"/>
        <v>47452</v>
      </c>
      <c r="AM2" s="170">
        <f t="shared" si="0"/>
        <v>47483</v>
      </c>
    </row>
    <row r="3" spans="1:39">
      <c r="A3" s="137"/>
      <c r="C3" s="171">
        <v>0</v>
      </c>
      <c r="D3" s="171">
        <v>1</v>
      </c>
      <c r="E3" s="172">
        <f t="shared" ref="E3:AM3" si="1">D3+1</f>
        <v>2</v>
      </c>
      <c r="F3" s="172">
        <f t="shared" si="1"/>
        <v>3</v>
      </c>
      <c r="G3" s="172">
        <f t="shared" si="1"/>
        <v>4</v>
      </c>
      <c r="H3" s="172">
        <f t="shared" si="1"/>
        <v>5</v>
      </c>
      <c r="I3" s="172">
        <f t="shared" si="1"/>
        <v>6</v>
      </c>
      <c r="J3" s="172">
        <f t="shared" si="1"/>
        <v>7</v>
      </c>
      <c r="K3" s="172">
        <f t="shared" si="1"/>
        <v>8</v>
      </c>
      <c r="L3" s="172">
        <f t="shared" si="1"/>
        <v>9</v>
      </c>
      <c r="M3" s="172">
        <f t="shared" si="1"/>
        <v>10</v>
      </c>
      <c r="N3" s="172">
        <f t="shared" si="1"/>
        <v>11</v>
      </c>
      <c r="O3" s="172">
        <f t="shared" si="1"/>
        <v>12</v>
      </c>
      <c r="P3" s="172">
        <f t="shared" si="1"/>
        <v>13</v>
      </c>
      <c r="Q3" s="172">
        <f t="shared" si="1"/>
        <v>14</v>
      </c>
      <c r="R3" s="172">
        <f t="shared" si="1"/>
        <v>15</v>
      </c>
      <c r="S3" s="172">
        <f t="shared" si="1"/>
        <v>16</v>
      </c>
      <c r="T3" s="172">
        <f t="shared" si="1"/>
        <v>17</v>
      </c>
      <c r="U3" s="172">
        <f t="shared" si="1"/>
        <v>18</v>
      </c>
      <c r="V3" s="172">
        <f t="shared" si="1"/>
        <v>19</v>
      </c>
      <c r="W3" s="172">
        <f t="shared" si="1"/>
        <v>20</v>
      </c>
      <c r="X3" s="172">
        <f t="shared" si="1"/>
        <v>21</v>
      </c>
      <c r="Y3" s="172">
        <f t="shared" si="1"/>
        <v>22</v>
      </c>
      <c r="Z3" s="172">
        <f t="shared" si="1"/>
        <v>23</v>
      </c>
      <c r="AA3" s="172">
        <f t="shared" si="1"/>
        <v>24</v>
      </c>
      <c r="AB3" s="172">
        <f t="shared" si="1"/>
        <v>25</v>
      </c>
      <c r="AC3" s="172">
        <f t="shared" si="1"/>
        <v>26</v>
      </c>
      <c r="AD3" s="172">
        <f t="shared" si="1"/>
        <v>27</v>
      </c>
      <c r="AE3" s="172">
        <f t="shared" si="1"/>
        <v>28</v>
      </c>
      <c r="AF3" s="172">
        <f t="shared" si="1"/>
        <v>29</v>
      </c>
      <c r="AG3" s="172">
        <f t="shared" si="1"/>
        <v>30</v>
      </c>
      <c r="AH3" s="172">
        <f t="shared" si="1"/>
        <v>31</v>
      </c>
      <c r="AI3" s="172">
        <f t="shared" si="1"/>
        <v>32</v>
      </c>
      <c r="AJ3" s="172">
        <f t="shared" si="1"/>
        <v>33</v>
      </c>
      <c r="AK3" s="172">
        <f t="shared" si="1"/>
        <v>34</v>
      </c>
      <c r="AL3" s="172">
        <f t="shared" si="1"/>
        <v>35</v>
      </c>
      <c r="AM3" s="173">
        <f t="shared" si="1"/>
        <v>36</v>
      </c>
    </row>
    <row r="4" spans="1:39">
      <c r="A4" s="138" t="s">
        <v>376</v>
      </c>
      <c r="B4" s="66" t="s">
        <v>382</v>
      </c>
      <c r="D4" s="256">
        <v>1</v>
      </c>
      <c r="E4" s="256">
        <v>1</v>
      </c>
      <c r="F4" s="256">
        <v>2</v>
      </c>
      <c r="G4" s="256">
        <v>2</v>
      </c>
      <c r="H4" s="256">
        <v>2</v>
      </c>
      <c r="I4" s="256">
        <v>2</v>
      </c>
      <c r="J4" s="256">
        <v>2</v>
      </c>
      <c r="K4" s="256">
        <v>1</v>
      </c>
      <c r="L4" s="256">
        <v>2</v>
      </c>
      <c r="M4" s="256">
        <v>1</v>
      </c>
      <c r="N4" s="256">
        <v>2</v>
      </c>
      <c r="O4" s="256">
        <v>2</v>
      </c>
      <c r="P4" s="256">
        <v>1</v>
      </c>
      <c r="Q4" s="256">
        <v>1</v>
      </c>
      <c r="R4" s="256">
        <v>2</v>
      </c>
      <c r="S4" s="256">
        <v>2</v>
      </c>
      <c r="T4" s="256">
        <v>3</v>
      </c>
      <c r="U4" s="256">
        <v>1</v>
      </c>
      <c r="V4" s="256">
        <v>1</v>
      </c>
      <c r="W4" s="256">
        <v>2</v>
      </c>
      <c r="X4" s="256">
        <v>1</v>
      </c>
      <c r="Y4" s="256">
        <v>1</v>
      </c>
      <c r="Z4" s="256">
        <v>1</v>
      </c>
      <c r="AA4" s="256">
        <v>1</v>
      </c>
      <c r="AM4" s="18"/>
    </row>
    <row r="5" spans="1:39">
      <c r="A5" s="139">
        <v>46387</v>
      </c>
      <c r="B5" s="66" t="s">
        <v>383</v>
      </c>
      <c r="D5">
        <f>SUM($D$4:D4)</f>
        <v>1</v>
      </c>
      <c r="E5">
        <f>SUM($D$4:E4)</f>
        <v>2</v>
      </c>
      <c r="F5">
        <f>SUM($D$4:F4)</f>
        <v>4</v>
      </c>
      <c r="G5">
        <f>SUM($D$4:G4)</f>
        <v>6</v>
      </c>
      <c r="H5">
        <f>SUM($D$4:H4)</f>
        <v>8</v>
      </c>
      <c r="I5">
        <f>SUM($D$4:I4)</f>
        <v>10</v>
      </c>
      <c r="J5">
        <f>SUM($D$4:J4)</f>
        <v>12</v>
      </c>
      <c r="K5">
        <f>SUM($D$4:K4)</f>
        <v>13</v>
      </c>
      <c r="L5">
        <f>SUM($D$4:L4)</f>
        <v>15</v>
      </c>
      <c r="M5">
        <f>SUM($D$4:M4)</f>
        <v>16</v>
      </c>
      <c r="N5">
        <f>SUM($D$4:N4)</f>
        <v>18</v>
      </c>
      <c r="O5">
        <f>SUM($D$4:O4)</f>
        <v>20</v>
      </c>
      <c r="P5">
        <f>SUM($D$4:P4)</f>
        <v>21</v>
      </c>
      <c r="Q5">
        <f>SUM($D$4:Q4)</f>
        <v>22</v>
      </c>
      <c r="R5">
        <f>SUM($D$4:R4)</f>
        <v>24</v>
      </c>
      <c r="S5">
        <f>SUM($D$4:S4)</f>
        <v>26</v>
      </c>
      <c r="T5">
        <f>SUM($D$4:T4)</f>
        <v>29</v>
      </c>
      <c r="U5">
        <f>SUM($D$4:U4)</f>
        <v>30</v>
      </c>
      <c r="V5">
        <f>SUM($D$4:V4)</f>
        <v>31</v>
      </c>
      <c r="W5">
        <f>SUM($D$4:W4)</f>
        <v>33</v>
      </c>
      <c r="X5">
        <f>SUM($D$4:X4)</f>
        <v>34</v>
      </c>
      <c r="Y5">
        <f>SUM($D$4:Y4)</f>
        <v>35</v>
      </c>
      <c r="Z5">
        <f>SUM($D$4:Z4)</f>
        <v>36</v>
      </c>
      <c r="AA5">
        <f>SUM($D$4:AA4)</f>
        <v>37</v>
      </c>
      <c r="AB5">
        <f>SUM($D$4:AB4)</f>
        <v>37</v>
      </c>
      <c r="AC5">
        <f>SUM($D$4:AC4)</f>
        <v>37</v>
      </c>
      <c r="AD5">
        <f>SUM($D$4:AD4)</f>
        <v>37</v>
      </c>
      <c r="AE5">
        <f>SUM($D$4:AE4)</f>
        <v>37</v>
      </c>
      <c r="AF5">
        <f>SUM($D$4:AF4)</f>
        <v>37</v>
      </c>
      <c r="AG5">
        <f>SUM($D$4:AG4)</f>
        <v>37</v>
      </c>
      <c r="AH5">
        <f>SUM($D$4:AH4)</f>
        <v>37</v>
      </c>
      <c r="AI5">
        <f>SUM($D$4:AI4)</f>
        <v>37</v>
      </c>
      <c r="AJ5">
        <f>SUM($D$4:AJ4)</f>
        <v>37</v>
      </c>
      <c r="AK5">
        <f>SUM($D$4:AK4)</f>
        <v>37</v>
      </c>
      <c r="AL5">
        <f>SUM($D$4:AL4)</f>
        <v>37</v>
      </c>
      <c r="AM5" s="18">
        <f>SUM($D$4:AM4)</f>
        <v>37</v>
      </c>
    </row>
    <row r="6" spans="1:39">
      <c r="A6" s="138" t="s">
        <v>377</v>
      </c>
      <c r="B6" s="66" t="s">
        <v>385</v>
      </c>
      <c r="D6">
        <f>SUM($C$4:C4)</f>
        <v>0</v>
      </c>
      <c r="E6">
        <f>SUM($C$4:D4)</f>
        <v>1</v>
      </c>
      <c r="F6">
        <f>SUM($C$4:E4)</f>
        <v>2</v>
      </c>
      <c r="G6">
        <f>SUM($C$4:F4)</f>
        <v>4</v>
      </c>
      <c r="H6">
        <f>SUM($C$4:G4)</f>
        <v>6</v>
      </c>
      <c r="I6">
        <f>SUM($C$4:H4)</f>
        <v>8</v>
      </c>
      <c r="J6">
        <f>SUM($C$4:I4)</f>
        <v>10</v>
      </c>
      <c r="K6">
        <f>SUM($C$4:J4)</f>
        <v>12</v>
      </c>
      <c r="L6">
        <f>SUM($C$4:K4)</f>
        <v>13</v>
      </c>
      <c r="M6">
        <f>SUM($C$4:L4)</f>
        <v>15</v>
      </c>
      <c r="N6">
        <f>SUM($C$4:M4)</f>
        <v>16</v>
      </c>
      <c r="O6">
        <f>SUM($C$4:N4)</f>
        <v>18</v>
      </c>
      <c r="P6">
        <f>SUM($C$4:O4)</f>
        <v>20</v>
      </c>
      <c r="Q6">
        <f>SUM($C$4:P4)</f>
        <v>21</v>
      </c>
      <c r="R6">
        <f>SUM($C$4:Q4)</f>
        <v>22</v>
      </c>
      <c r="S6">
        <f>SUM($C$4:R4)</f>
        <v>24</v>
      </c>
      <c r="T6">
        <f>SUM($C$4:S4)</f>
        <v>26</v>
      </c>
      <c r="U6">
        <f>SUM($C$4:T4)</f>
        <v>29</v>
      </c>
      <c r="V6">
        <f>SUM($C$4:U4)</f>
        <v>30</v>
      </c>
      <c r="W6">
        <f>SUM($C$4:V4)</f>
        <v>31</v>
      </c>
      <c r="X6">
        <f>SUM($C$4:W4)</f>
        <v>33</v>
      </c>
      <c r="Y6">
        <f>SUM($C$4:X4)</f>
        <v>34</v>
      </c>
      <c r="Z6">
        <f>SUM($C$4:Y4)</f>
        <v>35</v>
      </c>
      <c r="AA6">
        <f>SUM($C$4:Z4)</f>
        <v>36</v>
      </c>
      <c r="AB6">
        <f>SUM($C$4:AA4)</f>
        <v>37</v>
      </c>
      <c r="AC6">
        <f>SUM($C$4:AB4)</f>
        <v>37</v>
      </c>
      <c r="AD6">
        <f>SUM($C$4:AC4)</f>
        <v>37</v>
      </c>
      <c r="AE6">
        <f>SUM($C$4:AD4)</f>
        <v>37</v>
      </c>
      <c r="AF6">
        <f>SUM($C$4:AE4)</f>
        <v>37</v>
      </c>
      <c r="AG6">
        <f>SUM($C$4:AF4)</f>
        <v>37</v>
      </c>
      <c r="AH6">
        <f>SUM($C$4:AG4)</f>
        <v>37</v>
      </c>
      <c r="AI6">
        <f>SUM($C$4:AH4)</f>
        <v>37</v>
      </c>
      <c r="AJ6">
        <f>SUM($C$4:AI4)</f>
        <v>37</v>
      </c>
      <c r="AK6">
        <f>SUM($C$4:AJ4)</f>
        <v>37</v>
      </c>
      <c r="AL6">
        <f>SUM($C$4:AK4)</f>
        <v>37</v>
      </c>
      <c r="AM6" s="18">
        <f>SUM($C$4:AL4)</f>
        <v>37</v>
      </c>
    </row>
    <row r="7" spans="1:39">
      <c r="A7" s="140" t="str">
        <f>Summary!E12</f>
        <v>24 Months</v>
      </c>
      <c r="B7" s="66" t="s">
        <v>384</v>
      </c>
      <c r="D7">
        <f>'Unit Mix'!$D$7-'Monthly DCF'!D4-'Monthly DCF'!D6</f>
        <v>36</v>
      </c>
      <c r="E7">
        <f>'Unit Mix'!$D$7-'Monthly DCF'!E4-'Monthly DCF'!E6</f>
        <v>35</v>
      </c>
      <c r="F7">
        <f>'Unit Mix'!$D$7-'Monthly DCF'!F4-'Monthly DCF'!F6</f>
        <v>33</v>
      </c>
      <c r="G7">
        <f>'Unit Mix'!$D$7-'Monthly DCF'!G4-'Monthly DCF'!G6</f>
        <v>31</v>
      </c>
      <c r="H7">
        <f>'Unit Mix'!$D$7-'Monthly DCF'!H4-'Monthly DCF'!H6</f>
        <v>29</v>
      </c>
      <c r="I7">
        <f>'Unit Mix'!$D$7-'Monthly DCF'!I4-'Monthly DCF'!I6</f>
        <v>27</v>
      </c>
      <c r="J7">
        <f>'Unit Mix'!$D$7-'Monthly DCF'!J4-'Monthly DCF'!J6</f>
        <v>25</v>
      </c>
      <c r="K7">
        <f>'Unit Mix'!$D$7-'Monthly DCF'!K4-'Monthly DCF'!K6</f>
        <v>24</v>
      </c>
      <c r="L7">
        <f>'Unit Mix'!$D$7-'Monthly DCF'!L4-'Monthly DCF'!L6</f>
        <v>22</v>
      </c>
      <c r="M7">
        <f>'Unit Mix'!$D$7-'Monthly DCF'!M4-'Monthly DCF'!M6</f>
        <v>21</v>
      </c>
      <c r="N7">
        <f>'Unit Mix'!$D$7-'Monthly DCF'!N4-'Monthly DCF'!N6</f>
        <v>19</v>
      </c>
      <c r="O7">
        <f>'Unit Mix'!$D$7-'Monthly DCF'!O4-'Monthly DCF'!O6</f>
        <v>17</v>
      </c>
      <c r="P7">
        <f>'Unit Mix'!$D$7-'Monthly DCF'!P4-'Monthly DCF'!P6</f>
        <v>16</v>
      </c>
      <c r="Q7">
        <f>'Unit Mix'!$D$7-'Monthly DCF'!Q4-'Monthly DCF'!Q6</f>
        <v>15</v>
      </c>
      <c r="R7">
        <f>'Unit Mix'!$D$7-'Monthly DCF'!R4-'Monthly DCF'!R6</f>
        <v>13</v>
      </c>
      <c r="S7">
        <f>'Unit Mix'!$D$7-'Monthly DCF'!S4-'Monthly DCF'!S6</f>
        <v>11</v>
      </c>
      <c r="T7">
        <f>'Unit Mix'!$D$7-'Monthly DCF'!T4-'Monthly DCF'!T6</f>
        <v>8</v>
      </c>
      <c r="U7">
        <f>'Unit Mix'!$D$7-'Monthly DCF'!U4-'Monthly DCF'!U6</f>
        <v>7</v>
      </c>
      <c r="V7">
        <f>'Unit Mix'!$D$7-'Monthly DCF'!V4-'Monthly DCF'!V6</f>
        <v>6</v>
      </c>
      <c r="W7">
        <f>'Unit Mix'!$D$7-'Monthly DCF'!W4-'Monthly DCF'!W6</f>
        <v>4</v>
      </c>
      <c r="X7">
        <f>'Unit Mix'!$D$7-'Monthly DCF'!X4-'Monthly DCF'!X6</f>
        <v>3</v>
      </c>
      <c r="Y7">
        <f>'Unit Mix'!$D$7-'Monthly DCF'!Y4-'Monthly DCF'!Y6</f>
        <v>2</v>
      </c>
      <c r="Z7">
        <f>'Unit Mix'!$D$7-'Monthly DCF'!Z4-'Monthly DCF'!Z6</f>
        <v>1</v>
      </c>
      <c r="AA7">
        <f>'Unit Mix'!$D$7-'Monthly DCF'!AA4-'Monthly DCF'!AA6</f>
        <v>0</v>
      </c>
      <c r="AB7">
        <f>'Unit Mix'!$D$7-'Monthly DCF'!AB4-'Monthly DCF'!AB6</f>
        <v>0</v>
      </c>
      <c r="AC7">
        <f>'Unit Mix'!$D$7-'Monthly DCF'!AC4-'Monthly DCF'!AC6</f>
        <v>0</v>
      </c>
      <c r="AD7">
        <f>'Unit Mix'!$D$7-'Monthly DCF'!AD4-'Monthly DCF'!AD6</f>
        <v>0</v>
      </c>
      <c r="AE7">
        <f>'Unit Mix'!$D$7-'Monthly DCF'!AE4-'Monthly DCF'!AE6</f>
        <v>0</v>
      </c>
      <c r="AF7">
        <f>'Unit Mix'!$D$7-'Monthly DCF'!AF4-'Monthly DCF'!AF6</f>
        <v>0</v>
      </c>
      <c r="AG7">
        <f>'Unit Mix'!$D$7-'Monthly DCF'!AG4-'Monthly DCF'!AG6</f>
        <v>0</v>
      </c>
      <c r="AH7">
        <f>'Unit Mix'!$D$7-'Monthly DCF'!AH4-'Monthly DCF'!AH6</f>
        <v>0</v>
      </c>
      <c r="AI7">
        <f>'Unit Mix'!$D$7-'Monthly DCF'!AI4-'Monthly DCF'!AI6</f>
        <v>0</v>
      </c>
      <c r="AJ7">
        <f>'Unit Mix'!$D$7-'Monthly DCF'!AJ4-'Monthly DCF'!AJ6</f>
        <v>0</v>
      </c>
      <c r="AK7">
        <f>'Unit Mix'!$D$7-'Monthly DCF'!AK4-'Monthly DCF'!AK6</f>
        <v>0</v>
      </c>
      <c r="AL7">
        <f>'Unit Mix'!$D$7-'Monthly DCF'!AL4-'Monthly DCF'!AL6</f>
        <v>0</v>
      </c>
      <c r="AM7" s="18">
        <f>'Unit Mix'!$D$7-'Monthly DCF'!AM4-'Monthly DCF'!AM6</f>
        <v>0</v>
      </c>
    </row>
    <row r="8" spans="1:39">
      <c r="A8" s="138" t="s">
        <v>17</v>
      </c>
      <c r="AM8" s="18"/>
    </row>
    <row r="9" spans="1:39">
      <c r="A9" s="139">
        <v>47483</v>
      </c>
      <c r="AM9" s="18"/>
    </row>
    <row r="10" spans="1:39">
      <c r="A10" s="141" t="s">
        <v>410</v>
      </c>
      <c r="B10" s="66" t="s">
        <v>381</v>
      </c>
      <c r="D10" s="90">
        <f>D7*('Unit Mix'!$G$7)+D6*($A$11)</f>
        <v>26591.35135135135</v>
      </c>
      <c r="E10" s="90">
        <f>E7*('Unit Mix'!$G$7)+E6*($A$11)</f>
        <v>27208.258258258258</v>
      </c>
      <c r="F10" s="90">
        <f>F7*('Unit Mix'!$G$7)+F6*($A$11)</f>
        <v>27086.516516516516</v>
      </c>
      <c r="G10" s="90">
        <f>G7*('Unit Mix'!$G$7)+G6*($A$11)</f>
        <v>28320.330330330329</v>
      </c>
      <c r="H10" s="90">
        <f>H7*('Unit Mix'!$G$7)+H6*($A$11)</f>
        <v>29554.144144144142</v>
      </c>
      <c r="I10" s="90">
        <f>I7*('Unit Mix'!$G$7)+I6*($A$11)</f>
        <v>30787.957957957959</v>
      </c>
      <c r="J10" s="90">
        <f>J7*('Unit Mix'!$G$7)+J6*($A$11)</f>
        <v>32021.771771771771</v>
      </c>
      <c r="K10" s="90">
        <f>K7*('Unit Mix'!$G$7)+K6*($A$11)</f>
        <v>33994.234234234231</v>
      </c>
      <c r="L10" s="90">
        <f>L7*('Unit Mix'!$G$7)+L6*($A$11)</f>
        <v>33872.492492492485</v>
      </c>
      <c r="M10" s="90">
        <f>M7*('Unit Mix'!$G$7)+M6*($A$11)</f>
        <v>35844.954954954956</v>
      </c>
      <c r="N10" s="90">
        <f>N7*('Unit Mix'!$G$7)+N6*($A$11)</f>
        <v>35723.21321321321</v>
      </c>
      <c r="O10" s="90">
        <f>O7*('Unit Mix'!$G$7)+O6*($A$11)</f>
        <v>36957.027027027027</v>
      </c>
      <c r="P10" s="90">
        <f>P7*('Unit Mix'!$G$7)+P6*($A$11)</f>
        <v>38929.48948948949</v>
      </c>
      <c r="Q10" s="90">
        <f>Q7*('Unit Mix'!$G$7)+Q6*($A$11)</f>
        <v>39546.396396396391</v>
      </c>
      <c r="R10" s="90">
        <f>R7*('Unit Mix'!$G$7)+R6*($A$11)</f>
        <v>39424.654654654652</v>
      </c>
      <c r="S10" s="90">
        <f>S7*('Unit Mix'!$G$7)+S6*($A$11)</f>
        <v>40658.468468468462</v>
      </c>
      <c r="T10" s="90">
        <f>T7*('Unit Mix'!$G$7)+T6*($A$11)</f>
        <v>41153.633633633624</v>
      </c>
      <c r="U10" s="90">
        <f>U7*('Unit Mix'!$G$7)+U6*($A$11)</f>
        <v>44481.651651651649</v>
      </c>
      <c r="V10" s="90">
        <f>V7*('Unit Mix'!$G$7)+V6*($A$11)</f>
        <v>45098.558558558558</v>
      </c>
      <c r="W10" s="90">
        <f>W7*('Unit Mix'!$G$7)+W6*($A$11)</f>
        <v>44976.816816816812</v>
      </c>
      <c r="X10" s="90">
        <f>X7*('Unit Mix'!$G$7)+X6*($A$11)</f>
        <v>46949.279279279275</v>
      </c>
      <c r="Y10" s="90">
        <f>Y7*('Unit Mix'!$G$7)+Y6*($A$11)</f>
        <v>47566.186186186183</v>
      </c>
      <c r="Z10" s="90">
        <f>Z7*('Unit Mix'!$G$7)+Z6*($A$11)</f>
        <v>48183.093093093084</v>
      </c>
      <c r="AA10" s="90">
        <f>AA7*('Unit Mix'!$G$7)+AA6*($A$11)</f>
        <v>48799.999999999993</v>
      </c>
      <c r="AB10" s="90">
        <f>AB7*('Unit Mix'!$G$7)+AB6*($A$11)</f>
        <v>50155.555555555547</v>
      </c>
      <c r="AC10" s="90">
        <f>AC7*('Unit Mix'!$G$7)+AC6*($A$11)</f>
        <v>50155.555555555547</v>
      </c>
      <c r="AD10" s="90">
        <f>AD7*('Unit Mix'!$G$7)+AD6*($A$11)</f>
        <v>50155.555555555547</v>
      </c>
      <c r="AE10" s="90">
        <f>AE7*('Unit Mix'!$G$7)+AE6*($A$11)</f>
        <v>50155.555555555547</v>
      </c>
      <c r="AF10" s="90">
        <f>AF7*('Unit Mix'!$G$7)+AF6*($A$11)</f>
        <v>50155.555555555547</v>
      </c>
      <c r="AG10" s="90">
        <f>AG7*('Unit Mix'!$G$7)+AG6*($A$11)</f>
        <v>50155.555555555547</v>
      </c>
      <c r="AH10" s="90">
        <f>AH7*('Unit Mix'!$G$7)+AH6*($A$11)</f>
        <v>50155.555555555547</v>
      </c>
      <c r="AI10" s="90">
        <f>AI7*('Unit Mix'!$G$7)+AI6*($A$11)</f>
        <v>50155.555555555547</v>
      </c>
      <c r="AJ10" s="90">
        <f>AJ7*('Unit Mix'!$G$7)+AJ6*($A$11)</f>
        <v>50155.555555555547</v>
      </c>
      <c r="AK10" s="90">
        <f>AK7*('Unit Mix'!$G$7)+AK6*($A$11)</f>
        <v>50155.555555555547</v>
      </c>
      <c r="AL10" s="90">
        <f>AL7*('Unit Mix'!$G$7)+AL6*($A$11)</f>
        <v>50155.555555555547</v>
      </c>
      <c r="AM10" s="42">
        <f>AM7*('Unit Mix'!$G$7)+AM6*($A$11)</f>
        <v>50155.555555555547</v>
      </c>
    </row>
    <row r="11" spans="1:39">
      <c r="A11" s="253">
        <v>1355.5555555555554</v>
      </c>
      <c r="B11" s="66" t="s">
        <v>10</v>
      </c>
      <c r="D11" s="90">
        <f>'Income Statements'!$I$7/12</f>
        <v>958.33333333333337</v>
      </c>
      <c r="E11" s="90">
        <f>'Income Statements'!$I$7/12</f>
        <v>958.33333333333337</v>
      </c>
      <c r="F11" s="90">
        <f>'Income Statements'!$I$7/12</f>
        <v>958.33333333333337</v>
      </c>
      <c r="G11" s="90">
        <f>'Income Statements'!$I$7/12</f>
        <v>958.33333333333337</v>
      </c>
      <c r="H11" s="90">
        <f>'Income Statements'!$I$7/12</f>
        <v>958.33333333333337</v>
      </c>
      <c r="I11" s="90">
        <f>'Income Statements'!$I$7/12</f>
        <v>958.33333333333337</v>
      </c>
      <c r="J11" s="90">
        <f>'Income Statements'!$I$7/12</f>
        <v>958.33333333333337</v>
      </c>
      <c r="K11" s="90">
        <f>'Income Statements'!$I$7/12</f>
        <v>958.33333333333337</v>
      </c>
      <c r="L11" s="90">
        <f>'Income Statements'!$I$7/12</f>
        <v>958.33333333333337</v>
      </c>
      <c r="M11" s="90">
        <f>'Income Statements'!$I$7/12</f>
        <v>958.33333333333337</v>
      </c>
      <c r="N11" s="90">
        <f>'Income Statements'!$I$7/12</f>
        <v>958.33333333333337</v>
      </c>
      <c r="O11" s="90">
        <f>'Income Statements'!$I$7/12</f>
        <v>958.33333333333337</v>
      </c>
      <c r="P11" s="90">
        <f>'Income Statements'!$I$7/12</f>
        <v>958.33333333333337</v>
      </c>
      <c r="Q11" s="90">
        <f>'Income Statements'!$I$7/12</f>
        <v>958.33333333333337</v>
      </c>
      <c r="R11" s="90">
        <f>'Income Statements'!$I$7/12</f>
        <v>958.33333333333337</v>
      </c>
      <c r="S11" s="90">
        <f>'Income Statements'!$I$7/12</f>
        <v>958.33333333333337</v>
      </c>
      <c r="T11" s="90">
        <f>'Income Statements'!$I$7/12</f>
        <v>958.33333333333337</v>
      </c>
      <c r="U11" s="90">
        <f>'Income Statements'!$I$7/12</f>
        <v>958.33333333333337</v>
      </c>
      <c r="V11" s="90">
        <f>'Income Statements'!$I$7/12</f>
        <v>958.33333333333337</v>
      </c>
      <c r="W11" s="90">
        <f>'Income Statements'!$I$7/12</f>
        <v>958.33333333333337</v>
      </c>
      <c r="X11" s="90">
        <f>'Income Statements'!$I$7/12</f>
        <v>958.33333333333337</v>
      </c>
      <c r="Y11" s="90">
        <f>'Income Statements'!$I$7/12</f>
        <v>958.33333333333337</v>
      </c>
      <c r="Z11" s="90">
        <f>'Income Statements'!$I$7/12</f>
        <v>958.33333333333337</v>
      </c>
      <c r="AA11" s="90">
        <f>'Income Statements'!$I$7/12</f>
        <v>958.33333333333337</v>
      </c>
      <c r="AB11" s="90">
        <f>'Income Statements'!$I$7/12</f>
        <v>958.33333333333337</v>
      </c>
      <c r="AC11" s="90">
        <f>'Income Statements'!$I$7/12</f>
        <v>958.33333333333337</v>
      </c>
      <c r="AD11" s="90">
        <f>'Income Statements'!$I$7/12</f>
        <v>958.33333333333337</v>
      </c>
      <c r="AE11" s="90">
        <f>'Income Statements'!$I$7/12</f>
        <v>958.33333333333337</v>
      </c>
      <c r="AF11" s="90">
        <f>'Income Statements'!$I$7/12</f>
        <v>958.33333333333337</v>
      </c>
      <c r="AG11" s="90">
        <f>'Income Statements'!$I$7/12</f>
        <v>958.33333333333337</v>
      </c>
      <c r="AH11" s="90">
        <f>'Income Statements'!$I$7/12</f>
        <v>958.33333333333337</v>
      </c>
      <c r="AI11" s="90">
        <f>'Income Statements'!$I$7/12</f>
        <v>958.33333333333337</v>
      </c>
      <c r="AJ11" s="90">
        <f>'Income Statements'!$I$7/12</f>
        <v>958.33333333333337</v>
      </c>
      <c r="AK11" s="90">
        <f>'Income Statements'!$I$7/12</f>
        <v>958.33333333333337</v>
      </c>
      <c r="AL11" s="90">
        <f>'Income Statements'!$I$7/12</f>
        <v>958.33333333333337</v>
      </c>
      <c r="AM11" s="42">
        <f>'Income Statements'!$I$7/12</f>
        <v>958.33333333333337</v>
      </c>
    </row>
    <row r="12" spans="1:39">
      <c r="A12" s="143"/>
      <c r="B12" s="66" t="s">
        <v>287</v>
      </c>
      <c r="D12" s="144">
        <f>-(((D7*('Unit Mix'!$G$7))*Summary!$C$10)+((D6*('Unit Mix'!$I$7))*Summary!$E$11))</f>
        <v>-2180.4908108108125</v>
      </c>
      <c r="E12" s="144">
        <f>-(((E7*('Unit Mix'!$G$7))*Summary!$C$10)+((E6*('Unit Mix'!$I$7))*Summary!$E$11))</f>
        <v>-2193.1948948948971</v>
      </c>
      <c r="F12" s="144">
        <f>-(((F7*('Unit Mix'!$G$7))*Summary!$C$10)+((F6*('Unit Mix'!$I$7))*Summary!$E$11))</f>
        <v>-2145.3297897897919</v>
      </c>
      <c r="G12" s="144">
        <f>-(((G7*('Unit Mix'!$G$7))*Summary!$C$10)+((G6*('Unit Mix'!$I$7))*Summary!$E$11))</f>
        <v>-2170.7379579579592</v>
      </c>
      <c r="H12" s="144">
        <f>-(((H7*('Unit Mix'!$G$7))*Summary!$C$10)+((H6*('Unit Mix'!$I$7))*Summary!$E$11))</f>
        <v>-2196.1461261261275</v>
      </c>
      <c r="I12" s="144">
        <f>-(((I7*('Unit Mix'!$G$7))*Summary!$C$10)+((I6*('Unit Mix'!$I$7))*Summary!$E$11))</f>
        <v>-2221.5542942942957</v>
      </c>
      <c r="J12" s="144">
        <f>-(((J7*('Unit Mix'!$G$7))*Summary!$C$10)+((J6*('Unit Mix'!$I$7))*Summary!$E$11))</f>
        <v>-2246.9624624624639</v>
      </c>
      <c r="K12" s="144">
        <f>-(((K7*('Unit Mix'!$G$7))*Summary!$C$10)+((K6*('Unit Mix'!$I$7))*Summary!$E$11))</f>
        <v>-2332.939819819821</v>
      </c>
      <c r="L12" s="144">
        <f>-(((L7*('Unit Mix'!$G$7))*Summary!$C$10)+((L6*('Unit Mix'!$I$7))*Summary!$E$11))</f>
        <v>-2285.0747147147158</v>
      </c>
      <c r="M12" s="144">
        <f>-(((M7*('Unit Mix'!$G$7))*Summary!$C$10)+((M6*('Unit Mix'!$I$7))*Summary!$E$11))</f>
        <v>-2371.0520720720733</v>
      </c>
      <c r="N12" s="144">
        <f>-(((N7*('Unit Mix'!$G$7))*Summary!$C$10)+((N6*('Unit Mix'!$I$7))*Summary!$E$11))</f>
        <v>-2323.1869669669682</v>
      </c>
      <c r="O12" s="144">
        <f>-(((O7*('Unit Mix'!$G$7))*Summary!$C$10)+((O6*('Unit Mix'!$I$7))*Summary!$E$11))</f>
        <v>-2348.5951351351359</v>
      </c>
      <c r="P12" s="144">
        <f>-(((P7*('Unit Mix'!$G$7))*Summary!$C$10)+((P6*('Unit Mix'!$I$7))*Summary!$E$11))</f>
        <v>-2434.5724924924934</v>
      </c>
      <c r="Q12" s="144">
        <f>-(((Q7*('Unit Mix'!$G$7))*Summary!$C$10)+((Q6*('Unit Mix'!$I$7))*Summary!$E$11))</f>
        <v>-2447.2765765765771</v>
      </c>
      <c r="R12" s="144">
        <f>-(((R7*('Unit Mix'!$G$7))*Summary!$C$10)+((R6*('Unit Mix'!$I$7))*Summary!$E$11))</f>
        <v>-2399.4114714714719</v>
      </c>
      <c r="S12" s="144">
        <f>-(((S7*('Unit Mix'!$G$7))*Summary!$C$10)+((S6*('Unit Mix'!$I$7))*Summary!$E$11))</f>
        <v>-2424.8196396396402</v>
      </c>
      <c r="T12" s="144">
        <f>-(((T7*('Unit Mix'!$G$7))*Summary!$C$10)+((T6*('Unit Mix'!$I$7))*Summary!$E$11))</f>
        <v>-2389.6586186186187</v>
      </c>
      <c r="U12" s="144">
        <f>-(((U7*('Unit Mix'!$G$7))*Summary!$C$10)+((U6*('Unit Mix'!$I$7))*Summary!$E$11))</f>
        <v>-2548.90924924925</v>
      </c>
      <c r="V12" s="144">
        <f>-(((V7*('Unit Mix'!$G$7))*Summary!$C$10)+((V6*('Unit Mix'!$I$7))*Summary!$E$11))</f>
        <v>-2561.6133333333337</v>
      </c>
      <c r="W12" s="144">
        <f>-(((W7*('Unit Mix'!$G$7))*Summary!$C$10)+((W6*('Unit Mix'!$I$7))*Summary!$E$11))</f>
        <v>-2513.7482282282285</v>
      </c>
      <c r="X12" s="144">
        <f>-(((X7*('Unit Mix'!$G$7))*Summary!$C$10)+((X6*('Unit Mix'!$I$7))*Summary!$E$11))</f>
        <v>-2599.7255855855856</v>
      </c>
      <c r="Y12" s="144">
        <f>-(((Y7*('Unit Mix'!$G$7))*Summary!$C$10)+((Y6*('Unit Mix'!$I$7))*Summary!$E$11))</f>
        <v>-2612.4296696696697</v>
      </c>
      <c r="Z12" s="144">
        <f>-(((Z7*('Unit Mix'!$G$7))*Summary!$C$10)+((Z6*('Unit Mix'!$I$7))*Summary!$E$11))</f>
        <v>-2625.1337537537538</v>
      </c>
      <c r="AA12" s="144">
        <f>-(((AA7*('Unit Mix'!$G$7))*Summary!$C$10)+((AA6*('Unit Mix'!$I$7))*Summary!$E$11))</f>
        <v>-2637.8378378378375</v>
      </c>
      <c r="AB12" s="144">
        <f>-(((AB7*('Unit Mix'!$G$7))*Summary!$C$10)+((AB6*('Unit Mix'!$I$7))*Summary!$E$11))</f>
        <v>-2711.1111111111109</v>
      </c>
      <c r="AC12" s="144">
        <f>-(((AC7*('Unit Mix'!$G$7))*Summary!$C$10)+((AC6*('Unit Mix'!$I$7))*Summary!$E$11))</f>
        <v>-2711.1111111111109</v>
      </c>
      <c r="AD12" s="144">
        <f>-(((AD7*('Unit Mix'!$G$7))*Summary!$C$10)+((AD6*('Unit Mix'!$I$7))*Summary!$E$11))</f>
        <v>-2711.1111111111109</v>
      </c>
      <c r="AE12" s="144">
        <f>-(((AE7*('Unit Mix'!$G$7))*Summary!$C$10)+((AE6*('Unit Mix'!$I$7))*Summary!$E$11))</f>
        <v>-2711.1111111111109</v>
      </c>
      <c r="AF12" s="144">
        <f>-(((AF7*('Unit Mix'!$G$7))*Summary!$C$10)+((AF6*('Unit Mix'!$I$7))*Summary!$E$11))</f>
        <v>-2711.1111111111109</v>
      </c>
      <c r="AG12" s="144">
        <f>-(((AG7*('Unit Mix'!$G$7))*Summary!$C$10)+((AG6*('Unit Mix'!$I$7))*Summary!$E$11))</f>
        <v>-2711.1111111111109</v>
      </c>
      <c r="AH12" s="144">
        <f>-(((AH7*('Unit Mix'!$G$7))*Summary!$C$10)+((AH6*('Unit Mix'!$I$7))*Summary!$E$11))</f>
        <v>-2711.1111111111109</v>
      </c>
      <c r="AI12" s="144">
        <f>-(((AI7*('Unit Mix'!$G$7))*Summary!$C$10)+((AI6*('Unit Mix'!$I$7))*Summary!$E$11))</f>
        <v>-2711.1111111111109</v>
      </c>
      <c r="AJ12" s="144">
        <f>-(((AJ7*('Unit Mix'!$G$7))*Summary!$C$10)+((AJ6*('Unit Mix'!$I$7))*Summary!$E$11))</f>
        <v>-2711.1111111111109</v>
      </c>
      <c r="AK12" s="144">
        <f>-(((AK7*('Unit Mix'!$G$7))*Summary!$C$10)+((AK6*('Unit Mix'!$I$7))*Summary!$E$11))</f>
        <v>-2711.1111111111109</v>
      </c>
      <c r="AL12" s="144">
        <f>-(((AL7*('Unit Mix'!$G$7))*Summary!$C$10)+((AL6*('Unit Mix'!$I$7))*Summary!$E$11))</f>
        <v>-2711.1111111111109</v>
      </c>
      <c r="AM12" s="145">
        <f>-(((AM7*('Unit Mix'!$G$7))*Summary!$C$10)+((AM6*('Unit Mix'!$I$7))*Summary!$E$11))</f>
        <v>-2711.1111111111109</v>
      </c>
    </row>
    <row r="13" spans="1:39">
      <c r="A13" s="146"/>
      <c r="B13" s="66" t="s">
        <v>378</v>
      </c>
      <c r="D13" s="144">
        <f>-(D7*('Income Statements'!$D$6/12))+-('Monthly DCF'!D6*('Income Statements'!$J$6/12))</f>
        <v>-531.82702702702704</v>
      </c>
      <c r="E13" s="144">
        <f>-(E7*('Income Statements'!$D$6/12))+-('Monthly DCF'!E6*('Income Statements'!$J$6/12))</f>
        <v>-557.72072072072069</v>
      </c>
      <c r="F13" s="144">
        <f>-(F7*('Income Statements'!$D$6/12))+-('Monthly DCF'!F6*('Income Statements'!$J$6/12))</f>
        <v>-568.84144144144148</v>
      </c>
      <c r="G13" s="144">
        <f>-(G7*('Income Statements'!$D$6/12))+-('Monthly DCF'!G6*('Income Statements'!$J$6/12))</f>
        <v>-620.62882882882877</v>
      </c>
      <c r="H13" s="144">
        <f>-(H7*('Income Statements'!$D$6/12))+-('Monthly DCF'!H6*('Income Statements'!$J$6/12))</f>
        <v>-672.41621621621607</v>
      </c>
      <c r="I13" s="144">
        <f>-(I7*('Income Statements'!$D$6/12))+-('Monthly DCF'!I6*('Income Statements'!$J$6/12))</f>
        <v>-724.2036036036036</v>
      </c>
      <c r="J13" s="144">
        <f>-(J7*('Income Statements'!$D$6/12))+-('Monthly DCF'!J6*('Income Statements'!$J$6/12))</f>
        <v>-775.99099099099089</v>
      </c>
      <c r="K13" s="144">
        <f>-(K7*('Income Statements'!$D$6/12))+-('Monthly DCF'!K6*('Income Statements'!$J$6/12))</f>
        <v>-842.55135135135129</v>
      </c>
      <c r="L13" s="144">
        <f>-(L7*('Income Statements'!$D$6/12))+-('Monthly DCF'!L6*('Income Statements'!$J$6/12))</f>
        <v>-853.67207207207184</v>
      </c>
      <c r="M13" s="144">
        <f>-(M7*('Income Statements'!$D$6/12))+-('Monthly DCF'!M6*('Income Statements'!$J$6/12))</f>
        <v>-920.23243243243223</v>
      </c>
      <c r="N13" s="144">
        <f>-(N7*('Income Statements'!$D$6/12))+-('Monthly DCF'!N6*('Income Statements'!$J$6/12))</f>
        <v>-931.35315315315302</v>
      </c>
      <c r="O13" s="144">
        <f>-(O7*('Income Statements'!$D$6/12))+-('Monthly DCF'!O6*('Income Statements'!$J$6/12))</f>
        <v>-983.14054054054031</v>
      </c>
      <c r="P13" s="144">
        <f>-(P7*('Income Statements'!$D$6/12))+-('Monthly DCF'!P6*('Income Statements'!$J$6/12))</f>
        <v>-1049.7009009009007</v>
      </c>
      <c r="Q13" s="144">
        <f>-(Q7*('Income Statements'!$D$6/12))+-('Monthly DCF'!Q6*('Income Statements'!$J$6/12))</f>
        <v>-1075.5945945945944</v>
      </c>
      <c r="R13" s="144">
        <f>-(R7*('Income Statements'!$D$6/12))+-('Monthly DCF'!R6*('Income Statements'!$J$6/12))</f>
        <v>-1086.7153153153151</v>
      </c>
      <c r="S13" s="144">
        <f>-(S7*('Income Statements'!$D$6/12))+-('Monthly DCF'!S6*('Income Statements'!$J$6/12))</f>
        <v>-1138.5027027027024</v>
      </c>
      <c r="T13" s="144">
        <f>-(T7*('Income Statements'!$D$6/12))+-('Monthly DCF'!T6*('Income Statements'!$J$6/12))</f>
        <v>-1175.5171171171169</v>
      </c>
      <c r="U13" s="144">
        <f>-(U7*('Income Statements'!$D$6/12))+-('Monthly DCF'!U6*('Income Statements'!$J$6/12))</f>
        <v>-1282.7441441441438</v>
      </c>
      <c r="V13" s="144">
        <f>-(V7*('Income Statements'!$D$6/12))+-('Monthly DCF'!V6*('Income Statements'!$J$6/12))</f>
        <v>-1308.6378378378377</v>
      </c>
      <c r="W13" s="144">
        <f>-(W7*('Income Statements'!$D$6/12))+-('Monthly DCF'!W6*('Income Statements'!$J$6/12))</f>
        <v>-1319.7585585585582</v>
      </c>
      <c r="X13" s="144">
        <f>-(X7*('Income Statements'!$D$6/12))+-('Monthly DCF'!X6*('Income Statements'!$J$6/12))</f>
        <v>-1386.3189189189186</v>
      </c>
      <c r="Y13" s="144">
        <f>-(Y7*('Income Statements'!$D$6/12))+-('Monthly DCF'!Y6*('Income Statements'!$J$6/12))</f>
        <v>-1412.2126126126122</v>
      </c>
      <c r="Z13" s="144">
        <f>-(Z7*('Income Statements'!$D$6/12))+-('Monthly DCF'!Z6*('Income Statements'!$J$6/12))</f>
        <v>-1438.1063063063059</v>
      </c>
      <c r="AA13" s="144">
        <f>-(AA7*('Income Statements'!$D$6/12))+-('Monthly DCF'!AA6*('Income Statements'!$J$6/12))</f>
        <v>-1463.9999999999995</v>
      </c>
      <c r="AB13" s="144">
        <f>-(AB7*('Income Statements'!$D$6/12))+-('Monthly DCF'!AB6*('Income Statements'!$J$6/12))</f>
        <v>-1504.6666666666663</v>
      </c>
      <c r="AC13" s="144">
        <f>-(AC7*('Income Statements'!$D$6/12))+-('Monthly DCF'!AC6*('Income Statements'!$J$6/12))</f>
        <v>-1504.6666666666663</v>
      </c>
      <c r="AD13" s="144">
        <f>-(AD7*('Income Statements'!$D$6/12))+-('Monthly DCF'!AD6*('Income Statements'!$J$6/12))</f>
        <v>-1504.6666666666663</v>
      </c>
      <c r="AE13" s="144">
        <f>-(AE7*('Income Statements'!$D$6/12))+-('Monthly DCF'!AE6*('Income Statements'!$J$6/12))</f>
        <v>-1504.6666666666663</v>
      </c>
      <c r="AF13" s="144">
        <f>-(AF7*('Income Statements'!$D$6/12))+-('Monthly DCF'!AF6*('Income Statements'!$J$6/12))</f>
        <v>-1504.6666666666663</v>
      </c>
      <c r="AG13" s="144">
        <f>-(AG7*('Income Statements'!$D$6/12))+-('Monthly DCF'!AG6*('Income Statements'!$J$6/12))</f>
        <v>-1504.6666666666663</v>
      </c>
      <c r="AH13" s="144">
        <f>-(AH7*('Income Statements'!$D$6/12))+-('Monthly DCF'!AH6*('Income Statements'!$J$6/12))</f>
        <v>-1504.6666666666663</v>
      </c>
      <c r="AI13" s="144">
        <f>-(AI7*('Income Statements'!$D$6/12))+-('Monthly DCF'!AI6*('Income Statements'!$J$6/12))</f>
        <v>-1504.6666666666663</v>
      </c>
      <c r="AJ13" s="144">
        <f>-(AJ7*('Income Statements'!$D$6/12))+-('Monthly DCF'!AJ6*('Income Statements'!$J$6/12))</f>
        <v>-1504.6666666666663</v>
      </c>
      <c r="AK13" s="144">
        <f>-(AK7*('Income Statements'!$D$6/12))+-('Monthly DCF'!AK6*('Income Statements'!$J$6/12))</f>
        <v>-1504.6666666666663</v>
      </c>
      <c r="AL13" s="144">
        <f>-(AL7*('Income Statements'!$D$6/12))+-('Monthly DCF'!AL6*('Income Statements'!$J$6/12))</f>
        <v>-1504.6666666666663</v>
      </c>
      <c r="AM13" s="144">
        <f>-(AM7*('Income Statements'!$D$6/12))+-('Monthly DCF'!AM6*('Income Statements'!$J$6/12))</f>
        <v>-1504.6666666666663</v>
      </c>
    </row>
    <row r="14" spans="1:39">
      <c r="A14" s="146"/>
      <c r="B14" s="147" t="s">
        <v>6</v>
      </c>
      <c r="C14" s="2"/>
      <c r="D14" s="148">
        <f t="shared" ref="D14:AB14" si="2">SUM(D10:D13)</f>
        <v>24837.366846846842</v>
      </c>
      <c r="E14" s="148">
        <f t="shared" si="2"/>
        <v>25415.675975975973</v>
      </c>
      <c r="F14" s="148">
        <f t="shared" si="2"/>
        <v>25330.678618618618</v>
      </c>
      <c r="G14" s="148">
        <f t="shared" si="2"/>
        <v>26487.296876876877</v>
      </c>
      <c r="H14" s="148">
        <f t="shared" si="2"/>
        <v>27643.915135135128</v>
      </c>
      <c r="I14" s="148">
        <f t="shared" si="2"/>
        <v>28800.533393393391</v>
      </c>
      <c r="J14" s="148">
        <f t="shared" si="2"/>
        <v>29957.151651651649</v>
      </c>
      <c r="K14" s="148">
        <f t="shared" si="2"/>
        <v>31777.076396396395</v>
      </c>
      <c r="L14" s="148">
        <f t="shared" si="2"/>
        <v>31692.079039039032</v>
      </c>
      <c r="M14" s="148">
        <f t="shared" si="2"/>
        <v>33512.003783783788</v>
      </c>
      <c r="N14" s="148">
        <f t="shared" si="2"/>
        <v>33427.006426426422</v>
      </c>
      <c r="O14" s="148">
        <f t="shared" si="2"/>
        <v>34583.624684684692</v>
      </c>
      <c r="P14" s="148">
        <f t="shared" si="2"/>
        <v>36403.549429429433</v>
      </c>
      <c r="Q14" s="148">
        <f t="shared" si="2"/>
        <v>36981.858558558553</v>
      </c>
      <c r="R14" s="148">
        <f t="shared" si="2"/>
        <v>36896.861201201202</v>
      </c>
      <c r="S14" s="148">
        <f t="shared" si="2"/>
        <v>38053.479459459457</v>
      </c>
      <c r="T14" s="148">
        <f t="shared" si="2"/>
        <v>38546.791231231226</v>
      </c>
      <c r="U14" s="148">
        <f t="shared" si="2"/>
        <v>41608.331591591595</v>
      </c>
      <c r="V14" s="148">
        <f t="shared" si="2"/>
        <v>42186.640720720723</v>
      </c>
      <c r="W14" s="148">
        <f t="shared" si="2"/>
        <v>42101.643363363364</v>
      </c>
      <c r="X14" s="148">
        <f t="shared" si="2"/>
        <v>43921.568108108106</v>
      </c>
      <c r="Y14" s="148">
        <f t="shared" si="2"/>
        <v>44499.87723723724</v>
      </c>
      <c r="Z14" s="148">
        <f t="shared" si="2"/>
        <v>45078.186366366361</v>
      </c>
      <c r="AA14" s="148">
        <f t="shared" si="2"/>
        <v>45656.495495495488</v>
      </c>
      <c r="AB14" s="148">
        <f t="shared" si="2"/>
        <v>46898.111111111109</v>
      </c>
      <c r="AC14" s="148">
        <f t="shared" ref="AC14:AM14" si="3">SUM(AC10:AC13)</f>
        <v>46898.111111111109</v>
      </c>
      <c r="AD14" s="148">
        <f t="shared" si="3"/>
        <v>46898.111111111109</v>
      </c>
      <c r="AE14" s="148">
        <f t="shared" si="3"/>
        <v>46898.111111111109</v>
      </c>
      <c r="AF14" s="148">
        <f t="shared" si="3"/>
        <v>46898.111111111109</v>
      </c>
      <c r="AG14" s="148">
        <f t="shared" si="3"/>
        <v>46898.111111111109</v>
      </c>
      <c r="AH14" s="148">
        <f t="shared" si="3"/>
        <v>46898.111111111109</v>
      </c>
      <c r="AI14" s="148">
        <f t="shared" si="3"/>
        <v>46898.111111111109</v>
      </c>
      <c r="AJ14" s="148">
        <f t="shared" si="3"/>
        <v>46898.111111111109</v>
      </c>
      <c r="AK14" s="148">
        <f t="shared" si="3"/>
        <v>46898.111111111109</v>
      </c>
      <c r="AL14" s="148">
        <f t="shared" si="3"/>
        <v>46898.111111111109</v>
      </c>
      <c r="AM14" s="64">
        <f t="shared" si="3"/>
        <v>46898.111111111109</v>
      </c>
    </row>
    <row r="15" spans="1:39">
      <c r="A15" s="146"/>
      <c r="AM15" s="18"/>
    </row>
    <row r="16" spans="1:39">
      <c r="A16" s="146"/>
      <c r="B16" s="147" t="s">
        <v>7</v>
      </c>
      <c r="D16" s="149">
        <f>-((D7*'Income Statements'!$D$22/12)+(D6*'Income Statements'!$J$22/12))</f>
        <v>-12186.519243243245</v>
      </c>
      <c r="E16" s="149">
        <f>-((E7*'Income Statements'!$D$22/12)+(E6*'Income Statements'!$J$22/12))</f>
        <v>-12402.371636636639</v>
      </c>
      <c r="F16" s="149">
        <f>-((F7*'Income Statements'!$D$22/12)+(F6*'Income Statements'!$J$22/12))</f>
        <v>-12279.70960660661</v>
      </c>
      <c r="G16" s="149">
        <f>-((G7*'Income Statements'!$D$22/12)+(G6*'Income Statements'!$J$22/12))</f>
        <v>-12711.414393393396</v>
      </c>
      <c r="H16" s="149">
        <f>-((H7*'Income Statements'!$D$22/12)+(H6*'Income Statements'!$J$22/12))</f>
        <v>-13143.11918018018</v>
      </c>
      <c r="I16" s="149">
        <f>-((I7*'Income Statements'!$D$22/12)+(I6*'Income Statements'!$J$22/12))</f>
        <v>-13574.823966966967</v>
      </c>
      <c r="J16" s="149">
        <f>-((J7*'Income Statements'!$D$22/12)+(J6*'Income Statements'!$J$22/12))</f>
        <v>-14006.528753753755</v>
      </c>
      <c r="K16" s="149">
        <f>-((K7*'Income Statements'!$D$22/12)+(K6*'Income Statements'!$J$22/12))</f>
        <v>-14776.747963963964</v>
      </c>
      <c r="L16" s="149">
        <f>-((L7*'Income Statements'!$D$22/12)+(L6*'Income Statements'!$J$22/12))</f>
        <v>-14654.085933933937</v>
      </c>
      <c r="M16" s="149">
        <f>-((M7*'Income Statements'!$D$22/12)+(M6*'Income Statements'!$J$22/12))</f>
        <v>-15424.305144144146</v>
      </c>
      <c r="N16" s="149">
        <f>-((N7*'Income Statements'!$D$22/12)+(N6*'Income Statements'!$J$22/12))</f>
        <v>-15301.643114114115</v>
      </c>
      <c r="O16" s="149">
        <f>-((O7*'Income Statements'!$D$22/12)+(O6*'Income Statements'!$J$22/12))</f>
        <v>-15733.347900900902</v>
      </c>
      <c r="P16" s="149">
        <f>-((P7*'Income Statements'!$D$22/12)+(P6*'Income Statements'!$J$22/12))</f>
        <v>-16503.567111111111</v>
      </c>
      <c r="Q16" s="149">
        <f>-((Q7*'Income Statements'!$D$22/12)+(Q6*'Income Statements'!$J$22/12))</f>
        <v>-16719.419504504505</v>
      </c>
      <c r="R16" s="149">
        <f>-((R7*'Income Statements'!$D$22/12)+(R6*'Income Statements'!$J$22/12))</f>
        <v>-16596.757474474474</v>
      </c>
      <c r="S16" s="149">
        <f>-((S7*'Income Statements'!$D$22/12)+(S6*'Income Statements'!$J$22/12))</f>
        <v>-17028.462261261258</v>
      </c>
      <c r="T16" s="149">
        <f>-((T7*'Income Statements'!$D$22/12)+(T6*'Income Statements'!$J$22/12))</f>
        <v>-17121.652624624625</v>
      </c>
      <c r="U16" s="149">
        <f>-((U7*'Income Statements'!$D$22/12)+(U6*'Income Statements'!$J$22/12))</f>
        <v>-18446.238651651653</v>
      </c>
      <c r="V16" s="149">
        <f>-((V7*'Income Statements'!$D$22/12)+(V6*'Income Statements'!$J$22/12))</f>
        <v>-18662.091045045046</v>
      </c>
      <c r="W16" s="149">
        <f>-((W7*'Income Statements'!$D$22/12)+(W6*'Income Statements'!$J$22/12))</f>
        <v>-18539.429015015012</v>
      </c>
      <c r="X16" s="149">
        <f>-((X7*'Income Statements'!$D$22/12)+(X6*'Income Statements'!$J$22/12))</f>
        <v>-19309.648225225224</v>
      </c>
      <c r="Y16" s="149">
        <f>-((Y7*'Income Statements'!$D$22/12)+(Y6*'Income Statements'!$J$22/12))</f>
        <v>-19525.500618618615</v>
      </c>
      <c r="Z16" s="149">
        <f>-((Z7*'Income Statements'!$D$22/12)+(Z6*'Income Statements'!$J$22/12))</f>
        <v>-19741.353012012012</v>
      </c>
      <c r="AA16" s="149">
        <f>-((AA7*'Income Statements'!$D$22/12)+(AA6*'Income Statements'!$J$22/12))</f>
        <v>-19957.205405405406</v>
      </c>
      <c r="AB16" s="149">
        <f>-((AB7*'Income Statements'!$D$22/12)+(AB6*'Income Statements'!$J$22/12))</f>
        <v>-20511.572222222221</v>
      </c>
      <c r="AC16" s="149">
        <f>-((AC7*'Income Statements'!$D$22/12)+(AC6*'Income Statements'!$J$22/12))</f>
        <v>-20511.572222222221</v>
      </c>
      <c r="AD16" s="149">
        <f>-((AD7*'Income Statements'!$D$22/12)+(AD6*'Income Statements'!$J$22/12))</f>
        <v>-20511.572222222221</v>
      </c>
      <c r="AE16" s="149">
        <f>-((AE7*'Income Statements'!$D$22/12)+(AE6*'Income Statements'!$J$22/12))</f>
        <v>-20511.572222222221</v>
      </c>
      <c r="AF16" s="149">
        <f>-((AF7*'Income Statements'!$D$22/12)+(AF6*'Income Statements'!$J$22/12))</f>
        <v>-20511.572222222221</v>
      </c>
      <c r="AG16" s="149">
        <f>-((AG7*'Income Statements'!$D$22/12)+(AG6*'Income Statements'!$J$22/12))</f>
        <v>-20511.572222222221</v>
      </c>
      <c r="AH16" s="149">
        <f>-((AH7*'Income Statements'!$D$22/12)+(AH6*'Income Statements'!$J$22/12))</f>
        <v>-20511.572222222221</v>
      </c>
      <c r="AI16" s="149">
        <f>-((AI7*'Income Statements'!$D$22/12)+(AI6*'Income Statements'!$J$22/12))</f>
        <v>-20511.572222222221</v>
      </c>
      <c r="AJ16" s="149">
        <f>-((AJ7*'Income Statements'!$D$22/12)+(AJ6*'Income Statements'!$J$22/12))</f>
        <v>-20511.572222222221</v>
      </c>
      <c r="AK16" s="149">
        <f>-((AK7*'Income Statements'!$D$22/12)+(AK6*'Income Statements'!$J$22/12))</f>
        <v>-20511.572222222221</v>
      </c>
      <c r="AL16" s="149">
        <f>-((AL7*'Income Statements'!$D$22/12)+(AL6*'Income Statements'!$J$22/12))</f>
        <v>-20511.572222222221</v>
      </c>
      <c r="AM16" s="150">
        <f>-((AM7*'Income Statements'!$D$22/12)+(AM6*'Income Statements'!$J$22/12))</f>
        <v>-20511.572222222221</v>
      </c>
    </row>
    <row r="17" spans="1:39">
      <c r="A17" s="146"/>
      <c r="B17" s="147"/>
      <c r="AM17" s="18"/>
    </row>
    <row r="18" spans="1:39">
      <c r="A18" s="146"/>
      <c r="B18" s="147" t="s">
        <v>314</v>
      </c>
      <c r="D18" s="148">
        <f t="shared" ref="D18:AB18" si="4">SUM(D14,D16)</f>
        <v>12650.847603603597</v>
      </c>
      <c r="E18" s="148">
        <f t="shared" si="4"/>
        <v>13013.304339339335</v>
      </c>
      <c r="F18" s="148">
        <f t="shared" si="4"/>
        <v>13050.969012012009</v>
      </c>
      <c r="G18" s="148">
        <f t="shared" si="4"/>
        <v>13775.882483483481</v>
      </c>
      <c r="H18" s="148">
        <f t="shared" si="4"/>
        <v>14500.795954954949</v>
      </c>
      <c r="I18" s="148">
        <f t="shared" si="4"/>
        <v>15225.709426426423</v>
      </c>
      <c r="J18" s="148">
        <f t="shared" si="4"/>
        <v>15950.622897897894</v>
      </c>
      <c r="K18" s="148">
        <f t="shared" si="4"/>
        <v>17000.32843243243</v>
      </c>
      <c r="L18" s="148">
        <f t="shared" si="4"/>
        <v>17037.993105105095</v>
      </c>
      <c r="M18" s="148">
        <f t="shared" si="4"/>
        <v>18087.698639639642</v>
      </c>
      <c r="N18" s="148">
        <f t="shared" si="4"/>
        <v>18125.363312312307</v>
      </c>
      <c r="O18" s="148">
        <f t="shared" si="4"/>
        <v>18850.276783783789</v>
      </c>
      <c r="P18" s="148">
        <f t="shared" si="4"/>
        <v>19899.982318318322</v>
      </c>
      <c r="Q18" s="148">
        <f t="shared" si="4"/>
        <v>20262.439054054048</v>
      </c>
      <c r="R18" s="148">
        <f t="shared" si="4"/>
        <v>20300.103726726727</v>
      </c>
      <c r="S18" s="148">
        <f t="shared" si="4"/>
        <v>21025.017198198198</v>
      </c>
      <c r="T18" s="148">
        <f t="shared" si="4"/>
        <v>21425.138606606601</v>
      </c>
      <c r="U18" s="148">
        <f t="shared" si="4"/>
        <v>23162.092939939943</v>
      </c>
      <c r="V18" s="148">
        <f t="shared" si="4"/>
        <v>23524.549675675677</v>
      </c>
      <c r="W18" s="148">
        <f t="shared" si="4"/>
        <v>23562.214348348352</v>
      </c>
      <c r="X18" s="148">
        <f t="shared" si="4"/>
        <v>24611.919882882881</v>
      </c>
      <c r="Y18" s="148">
        <f t="shared" si="4"/>
        <v>24974.376618618626</v>
      </c>
      <c r="Z18" s="148">
        <f t="shared" si="4"/>
        <v>25336.833354354349</v>
      </c>
      <c r="AA18" s="148">
        <f t="shared" si="4"/>
        <v>25699.290090090082</v>
      </c>
      <c r="AB18" s="148">
        <f t="shared" si="4"/>
        <v>26386.538888888888</v>
      </c>
      <c r="AC18" s="148">
        <f t="shared" ref="AC18:AM18" si="5">SUM(AC14,AC16)</f>
        <v>26386.538888888888</v>
      </c>
      <c r="AD18" s="148">
        <f t="shared" si="5"/>
        <v>26386.538888888888</v>
      </c>
      <c r="AE18" s="148">
        <f t="shared" si="5"/>
        <v>26386.538888888888</v>
      </c>
      <c r="AF18" s="148">
        <f t="shared" si="5"/>
        <v>26386.538888888888</v>
      </c>
      <c r="AG18" s="148">
        <f t="shared" si="5"/>
        <v>26386.538888888888</v>
      </c>
      <c r="AH18" s="148">
        <f t="shared" si="5"/>
        <v>26386.538888888888</v>
      </c>
      <c r="AI18" s="148">
        <f t="shared" si="5"/>
        <v>26386.538888888888</v>
      </c>
      <c r="AJ18" s="148">
        <f t="shared" si="5"/>
        <v>26386.538888888888</v>
      </c>
      <c r="AK18" s="148">
        <f t="shared" si="5"/>
        <v>26386.538888888888</v>
      </c>
      <c r="AL18" s="148">
        <f t="shared" si="5"/>
        <v>26386.538888888888</v>
      </c>
      <c r="AM18" s="64">
        <f t="shared" si="5"/>
        <v>26386.538888888888</v>
      </c>
    </row>
    <row r="19" spans="1:39">
      <c r="A19" s="146"/>
      <c r="B19" s="66" t="s">
        <v>401</v>
      </c>
      <c r="D19" s="149">
        <f>-'Income Statements'!$I$25/12</f>
        <v>-770.83333333333337</v>
      </c>
      <c r="E19" s="149">
        <f>-'Income Statements'!$I$25/12</f>
        <v>-770.83333333333337</v>
      </c>
      <c r="F19" s="149">
        <f>-'Income Statements'!$I$25/12</f>
        <v>-770.83333333333337</v>
      </c>
      <c r="G19" s="149">
        <f>-'Income Statements'!$I$25/12</f>
        <v>-770.83333333333337</v>
      </c>
      <c r="H19" s="149">
        <f>-'Income Statements'!$I$25/12</f>
        <v>-770.83333333333337</v>
      </c>
      <c r="I19" s="149">
        <f>-'Income Statements'!$I$25/12</f>
        <v>-770.83333333333337</v>
      </c>
      <c r="J19" s="149">
        <f>-'Income Statements'!$I$25/12</f>
        <v>-770.83333333333337</v>
      </c>
      <c r="K19" s="149">
        <f>-'Income Statements'!$I$25/12</f>
        <v>-770.83333333333337</v>
      </c>
      <c r="L19" s="149">
        <f>-'Income Statements'!$I$25/12</f>
        <v>-770.83333333333337</v>
      </c>
      <c r="M19" s="149">
        <f>-'Income Statements'!$I$25/12</f>
        <v>-770.83333333333337</v>
      </c>
      <c r="N19" s="149">
        <f>-'Income Statements'!$I$25/12</f>
        <v>-770.83333333333337</v>
      </c>
      <c r="O19" s="149">
        <f>-'Income Statements'!$I$25/12</f>
        <v>-770.83333333333337</v>
      </c>
      <c r="P19" s="149">
        <f>-'Income Statements'!$I$25/12</f>
        <v>-770.83333333333337</v>
      </c>
      <c r="Q19" s="149">
        <f>-'Income Statements'!$I$25/12</f>
        <v>-770.83333333333337</v>
      </c>
      <c r="R19" s="149">
        <f>-'Income Statements'!$I$25/12</f>
        <v>-770.83333333333337</v>
      </c>
      <c r="S19" s="149">
        <f>-'Income Statements'!$I$25/12</f>
        <v>-770.83333333333337</v>
      </c>
      <c r="T19" s="149">
        <f>-'Income Statements'!$I$25/12</f>
        <v>-770.83333333333337</v>
      </c>
      <c r="U19" s="149">
        <f>-'Income Statements'!$I$25/12</f>
        <v>-770.83333333333337</v>
      </c>
      <c r="V19" s="149">
        <f>-'Income Statements'!$I$25/12</f>
        <v>-770.83333333333337</v>
      </c>
      <c r="W19" s="149">
        <f>-'Income Statements'!$I$25/12</f>
        <v>-770.83333333333337</v>
      </c>
      <c r="X19" s="149">
        <f>-'Income Statements'!$I$25/12</f>
        <v>-770.83333333333337</v>
      </c>
      <c r="Y19" s="149">
        <f>-'Income Statements'!$I$25/12</f>
        <v>-770.83333333333337</v>
      </c>
      <c r="Z19" s="149">
        <f>-'Income Statements'!$I$25/12</f>
        <v>-770.83333333333337</v>
      </c>
      <c r="AA19" s="149">
        <f>-'Income Statements'!$I$25/12</f>
        <v>-770.83333333333337</v>
      </c>
      <c r="AB19" s="149">
        <f>-'Income Statements'!$I$25/12</f>
        <v>-770.83333333333337</v>
      </c>
      <c r="AC19" s="149">
        <f>-'Income Statements'!$I$25/12</f>
        <v>-770.83333333333337</v>
      </c>
      <c r="AD19" s="149">
        <f>-'Income Statements'!$I$25/12</f>
        <v>-770.83333333333337</v>
      </c>
      <c r="AE19" s="149">
        <f>-'Income Statements'!$I$25/12</f>
        <v>-770.83333333333337</v>
      </c>
      <c r="AF19" s="149">
        <f>-'Income Statements'!$I$25/12</f>
        <v>-770.83333333333337</v>
      </c>
      <c r="AG19" s="149">
        <f>-'Income Statements'!$I$25/12</f>
        <v>-770.83333333333337</v>
      </c>
      <c r="AH19" s="149">
        <f>-'Income Statements'!$I$25/12</f>
        <v>-770.83333333333337</v>
      </c>
      <c r="AI19" s="149">
        <f>-'Income Statements'!$I$25/12</f>
        <v>-770.83333333333337</v>
      </c>
      <c r="AJ19" s="149">
        <f>-'Income Statements'!$I$25/12</f>
        <v>-770.83333333333337</v>
      </c>
      <c r="AK19" s="149">
        <f>-'Income Statements'!$I$25/12</f>
        <v>-770.83333333333337</v>
      </c>
      <c r="AL19" s="149">
        <f>-'Income Statements'!$I$25/12</f>
        <v>-770.83333333333337</v>
      </c>
      <c r="AM19" s="150">
        <f>-'Income Statements'!$I$25/12</f>
        <v>-770.83333333333337</v>
      </c>
    </row>
    <row r="20" spans="1:39">
      <c r="A20" s="146"/>
      <c r="B20" s="147" t="s">
        <v>404</v>
      </c>
      <c r="D20" s="148">
        <f t="shared" ref="D20:AM20" si="6">D18+D19</f>
        <v>11880.014270270263</v>
      </c>
      <c r="E20" s="148">
        <f t="shared" si="6"/>
        <v>12242.471006006001</v>
      </c>
      <c r="F20" s="148">
        <f t="shared" si="6"/>
        <v>12280.135678678675</v>
      </c>
      <c r="G20" s="148">
        <f t="shared" si="6"/>
        <v>13005.049150150147</v>
      </c>
      <c r="H20" s="148">
        <f t="shared" si="6"/>
        <v>13729.962621621615</v>
      </c>
      <c r="I20" s="148">
        <f t="shared" si="6"/>
        <v>14454.876093093089</v>
      </c>
      <c r="J20" s="148">
        <f t="shared" si="6"/>
        <v>15179.78956456456</v>
      </c>
      <c r="K20" s="148">
        <f t="shared" si="6"/>
        <v>16229.495099099096</v>
      </c>
      <c r="L20" s="148">
        <f t="shared" si="6"/>
        <v>16267.159771771761</v>
      </c>
      <c r="M20" s="148">
        <f t="shared" si="6"/>
        <v>17316.86530630631</v>
      </c>
      <c r="N20" s="148">
        <f t="shared" si="6"/>
        <v>17354.529978978975</v>
      </c>
      <c r="O20" s="148">
        <f t="shared" si="6"/>
        <v>18079.443450450457</v>
      </c>
      <c r="P20" s="148">
        <f t="shared" si="6"/>
        <v>19129.14898498499</v>
      </c>
      <c r="Q20" s="148">
        <f t="shared" si="6"/>
        <v>19491.605720720716</v>
      </c>
      <c r="R20" s="148">
        <f t="shared" si="6"/>
        <v>19529.270393393395</v>
      </c>
      <c r="S20" s="148">
        <f t="shared" si="6"/>
        <v>20254.183864864866</v>
      </c>
      <c r="T20" s="148">
        <f t="shared" si="6"/>
        <v>20654.305273273269</v>
      </c>
      <c r="U20" s="148">
        <f t="shared" si="6"/>
        <v>22391.259606606611</v>
      </c>
      <c r="V20" s="148">
        <f t="shared" si="6"/>
        <v>22753.716342342344</v>
      </c>
      <c r="W20" s="148">
        <f t="shared" si="6"/>
        <v>22791.38101501502</v>
      </c>
      <c r="X20" s="148">
        <f t="shared" si="6"/>
        <v>23841.086549549549</v>
      </c>
      <c r="Y20" s="148">
        <f t="shared" si="6"/>
        <v>24203.543285285294</v>
      </c>
      <c r="Z20" s="148">
        <f t="shared" si="6"/>
        <v>24566.000021021016</v>
      </c>
      <c r="AA20" s="148">
        <f t="shared" si="6"/>
        <v>24928.45675675675</v>
      </c>
      <c r="AB20" s="148">
        <f t="shared" si="6"/>
        <v>25615.705555555556</v>
      </c>
      <c r="AC20" s="148">
        <f t="shared" si="6"/>
        <v>25615.705555555556</v>
      </c>
      <c r="AD20" s="148">
        <f t="shared" si="6"/>
        <v>25615.705555555556</v>
      </c>
      <c r="AE20" s="148">
        <f t="shared" si="6"/>
        <v>25615.705555555556</v>
      </c>
      <c r="AF20" s="148">
        <f t="shared" si="6"/>
        <v>25615.705555555556</v>
      </c>
      <c r="AG20" s="148">
        <f t="shared" si="6"/>
        <v>25615.705555555556</v>
      </c>
      <c r="AH20" s="148">
        <f t="shared" si="6"/>
        <v>25615.705555555556</v>
      </c>
      <c r="AI20" s="148">
        <f t="shared" si="6"/>
        <v>25615.705555555556</v>
      </c>
      <c r="AJ20" s="148">
        <f t="shared" si="6"/>
        <v>25615.705555555556</v>
      </c>
      <c r="AK20" s="148">
        <f t="shared" si="6"/>
        <v>25615.705555555556</v>
      </c>
      <c r="AL20" s="148">
        <f t="shared" si="6"/>
        <v>25615.705555555556</v>
      </c>
      <c r="AM20" s="64">
        <f t="shared" si="6"/>
        <v>25615.705555555556</v>
      </c>
    </row>
    <row r="21" spans="1:39">
      <c r="A21" s="141" t="s">
        <v>292</v>
      </c>
      <c r="AM21" s="18"/>
    </row>
    <row r="22" spans="1:39" s="7" customFormat="1">
      <c r="A22" s="253">
        <f>Summary!C12</f>
        <v>2775000</v>
      </c>
      <c r="B22" s="66" t="s">
        <v>389</v>
      </c>
      <c r="C22" s="149">
        <f>-((A22)+(A22*Summary!E9))</f>
        <v>-2858250</v>
      </c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50"/>
    </row>
    <row r="23" spans="1:39" s="7" customFormat="1">
      <c r="A23" s="146"/>
      <c r="B23" s="66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50"/>
    </row>
    <row r="24" spans="1:39" s="7" customFormat="1">
      <c r="A24" s="141" t="s">
        <v>411</v>
      </c>
      <c r="B24" s="147" t="s">
        <v>278</v>
      </c>
      <c r="C24" s="152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50"/>
    </row>
    <row r="25" spans="1:39" s="7" customFormat="1">
      <c r="A25" s="254">
        <v>1</v>
      </c>
      <c r="B25" s="66" t="s">
        <v>386</v>
      </c>
      <c r="C25" s="149"/>
      <c r="D25" s="149">
        <f>(-D4*'Renovation Costs'!$D$9)*$A$25</f>
        <v>-13297.297297297297</v>
      </c>
      <c r="E25" s="149">
        <f>(-E4*'Renovation Costs'!$D$9)*$A$25</f>
        <v>-13297.297297297297</v>
      </c>
      <c r="F25" s="149">
        <f>(-F4*'Renovation Costs'!$D$9)*$A$25</f>
        <v>-26594.594594594593</v>
      </c>
      <c r="G25" s="149">
        <f>(-G4*'Renovation Costs'!$D$9)*$A$25</f>
        <v>-26594.594594594593</v>
      </c>
      <c r="H25" s="149">
        <f>(-H4*'Renovation Costs'!$D$9)*$A$25</f>
        <v>-26594.594594594593</v>
      </c>
      <c r="I25" s="149">
        <f>(-I4*'Renovation Costs'!$D$9)*$A$25</f>
        <v>-26594.594594594593</v>
      </c>
      <c r="J25" s="149">
        <f>(-J4*'Renovation Costs'!$D$9)*$A$25</f>
        <v>-26594.594594594593</v>
      </c>
      <c r="K25" s="149">
        <f>(-K4*'Renovation Costs'!$D$9)*$A$25</f>
        <v>-13297.297297297297</v>
      </c>
      <c r="L25" s="149">
        <f>(-L4*'Renovation Costs'!$D$9)*$A$25</f>
        <v>-26594.594594594593</v>
      </c>
      <c r="M25" s="149">
        <f>(-M4*'Renovation Costs'!$D$9)*$A$25</f>
        <v>-13297.297297297297</v>
      </c>
      <c r="N25" s="149">
        <f>(-N4*'Renovation Costs'!$D$9)*$A$25</f>
        <v>-26594.594594594593</v>
      </c>
      <c r="O25" s="149">
        <f>(-O4*'Renovation Costs'!$D$9)*$A$25</f>
        <v>-26594.594594594593</v>
      </c>
      <c r="P25" s="149">
        <f>(-P4*'Renovation Costs'!$D$9)*$A$25</f>
        <v>-13297.297297297297</v>
      </c>
      <c r="Q25" s="149">
        <f>(-Q4*'Renovation Costs'!$D$9)*$A$25</f>
        <v>-13297.297297297297</v>
      </c>
      <c r="R25" s="149">
        <f>(-R4*'Renovation Costs'!$D$9)*$A$25</f>
        <v>-26594.594594594593</v>
      </c>
      <c r="S25" s="149">
        <f>(-S4*'Renovation Costs'!$D$9)*$A$25</f>
        <v>-26594.594594594593</v>
      </c>
      <c r="T25" s="149">
        <f>(-T4*'Renovation Costs'!$D$9)*$A$25</f>
        <v>-39891.891891891893</v>
      </c>
      <c r="U25" s="149">
        <f>(-U4*'Renovation Costs'!$D$9)*$A$25</f>
        <v>-13297.297297297297</v>
      </c>
      <c r="V25" s="149">
        <f>(-V4*'Renovation Costs'!$D$9)*$A$25</f>
        <v>-13297.297297297297</v>
      </c>
      <c r="W25" s="149">
        <f>(-W4*'Renovation Costs'!$D$9)*$A$25</f>
        <v>-26594.594594594593</v>
      </c>
      <c r="X25" s="149">
        <f>(-X4*'Renovation Costs'!$D$9)*$A$25</f>
        <v>-13297.297297297297</v>
      </c>
      <c r="Y25" s="149">
        <f>(-Y4*'Renovation Costs'!$D$9)*$A$25</f>
        <v>-13297.297297297297</v>
      </c>
      <c r="Z25" s="149">
        <f>(-Z4*'Renovation Costs'!$D$9)*$A$25</f>
        <v>-13297.297297297297</v>
      </c>
      <c r="AA25" s="149">
        <f>(-AA4*'Renovation Costs'!$D$9)*$A$25</f>
        <v>-13297.297297297297</v>
      </c>
      <c r="AB25" s="149">
        <f>(-AB4*'Renovation Costs'!$D$9)*$A$25</f>
        <v>0</v>
      </c>
      <c r="AC25" s="149">
        <f>(-AC4*'Renovation Costs'!$D$9)*$A$25</f>
        <v>0</v>
      </c>
      <c r="AD25" s="149">
        <f>(-AD4*'Renovation Costs'!$D$9)*$A$25</f>
        <v>0</v>
      </c>
      <c r="AE25" s="149">
        <f>(-AE4*'Renovation Costs'!$D$9)*$A$25</f>
        <v>0</v>
      </c>
      <c r="AF25" s="149">
        <f>(-AF4*'Renovation Costs'!$D$9)*$A$25</f>
        <v>0</v>
      </c>
      <c r="AG25" s="149">
        <f>(-AG4*'Renovation Costs'!$D$9)*$A$25</f>
        <v>0</v>
      </c>
      <c r="AH25" s="149">
        <f>(-AH4*'Renovation Costs'!$D$9)*$A$25</f>
        <v>0</v>
      </c>
      <c r="AI25" s="149">
        <f>(-AI4*'Renovation Costs'!$D$9)*$A$25</f>
        <v>0</v>
      </c>
      <c r="AJ25" s="149">
        <f>(-AJ4*'Renovation Costs'!$D$9)*$A$25</f>
        <v>0</v>
      </c>
      <c r="AK25" s="149">
        <f>(-AK4*'Renovation Costs'!$D$9)*$A$25</f>
        <v>0</v>
      </c>
      <c r="AL25" s="149">
        <f>(-AL4*'Renovation Costs'!$D$9)*$A$25</f>
        <v>0</v>
      </c>
      <c r="AM25" s="150">
        <f>(-AM4*'Renovation Costs'!$D$9)*$A$25</f>
        <v>0</v>
      </c>
    </row>
    <row r="26" spans="1:39" s="7" customFormat="1">
      <c r="A26" s="146"/>
      <c r="B26" s="66" t="s">
        <v>379</v>
      </c>
      <c r="C26" s="149"/>
      <c r="D26" s="149">
        <f>(-'Renovation Costs'!$C$20/6)*$A$25</f>
        <v>-41333.333333333336</v>
      </c>
      <c r="E26" s="149">
        <f>(-'Renovation Costs'!$C$20/6)*$A$25</f>
        <v>-41333.333333333336</v>
      </c>
      <c r="F26" s="149">
        <f>(-'Renovation Costs'!$C$20/6)*$A$25</f>
        <v>-41333.333333333336</v>
      </c>
      <c r="G26" s="149">
        <f>(-'Renovation Costs'!$C$20/6)*$A$25</f>
        <v>-41333.333333333336</v>
      </c>
      <c r="H26" s="149">
        <f>(-'Renovation Costs'!$C$20/6)*$A$25</f>
        <v>-41333.333333333336</v>
      </c>
      <c r="I26" s="149">
        <f>(-'Renovation Costs'!$C$20/6)*$A$25</f>
        <v>-41333.333333333336</v>
      </c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50"/>
    </row>
    <row r="27" spans="1:39" s="7" customFormat="1">
      <c r="A27" s="141" t="s">
        <v>407</v>
      </c>
      <c r="B27" s="66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50"/>
    </row>
    <row r="28" spans="1:39">
      <c r="A28" s="255">
        <v>6.5000000000000002E-2</v>
      </c>
      <c r="B28" s="147" t="s">
        <v>388</v>
      </c>
      <c r="C28" s="90" t="str">
        <f>IF(C2=$A$9,(C18*12/$A$28)*(1-Summary!$E$9),"0")</f>
        <v>0</v>
      </c>
      <c r="D28" s="90" t="str">
        <f>IF(D2=$A$9,(D18*12/$A$28)*(1-Summary!$E$9),"0")</f>
        <v>0</v>
      </c>
      <c r="E28" s="90" t="str">
        <f>IF(E2=$A$9,(E18*12/$A$28)*(1-Summary!$E$9),"0")</f>
        <v>0</v>
      </c>
      <c r="F28" s="90" t="str">
        <f>IF(F2=$A$9,(F18*12/$A$28)*(1-Summary!$E$9),"0")</f>
        <v>0</v>
      </c>
      <c r="G28" s="90" t="str">
        <f>IF(G2=$A$9,(G18*12/$A$28)*(1-Summary!$E$9),"0")</f>
        <v>0</v>
      </c>
      <c r="H28" s="90" t="str">
        <f>IF(H2=$A$9,(H18*12/$A$28)*(1-Summary!$E$9),"0")</f>
        <v>0</v>
      </c>
      <c r="I28" s="90" t="str">
        <f>IF(I2=$A$9,(I18*12/$A$28)*(1-Summary!$E$9),"0")</f>
        <v>0</v>
      </c>
      <c r="J28" s="90" t="str">
        <f>IF(J2=$A$9,(J18*12/$A$28)*(1-Summary!$E$9),"0")</f>
        <v>0</v>
      </c>
      <c r="K28" s="90" t="str">
        <f>IF(K2=$A$9,(K18*12/$A$28)*(1-Summary!$E$9),"0")</f>
        <v>0</v>
      </c>
      <c r="L28" s="90" t="str">
        <f>IF(L2=$A$9,(L18*12/$A$28)*(1-Summary!$E$9),"0")</f>
        <v>0</v>
      </c>
      <c r="M28" s="90" t="str">
        <f>IF(M2=$A$9,(M18*12/$A$28)*(1-Summary!$E$9),"0")</f>
        <v>0</v>
      </c>
      <c r="N28" s="90" t="str">
        <f>IF(N2=$A$9,(N18*12/$A$28)*(1-Summary!$E$9),"0")</f>
        <v>0</v>
      </c>
      <c r="O28" s="90" t="str">
        <f>IF(O2=$A$9,(O18*12/$A$28)*(1-Summary!$E$9),"0")</f>
        <v>0</v>
      </c>
      <c r="P28" s="90" t="str">
        <f>IF(P2=$A$9,(P18*12/$A$28)*(1-Summary!$E$9),"0")</f>
        <v>0</v>
      </c>
      <c r="Q28" s="90" t="str">
        <f>IF(Q2=$A$9,(Q18*12/$A$28)*(1-Summary!$E$9),"0")</f>
        <v>0</v>
      </c>
      <c r="R28" s="90" t="str">
        <f>IF(R2=$A$9,(R18*12/$A$28)*(1-Summary!$E$9),"0")</f>
        <v>0</v>
      </c>
      <c r="S28" s="90" t="str">
        <f>IF(S2=$A$9,(S18*12/$A$28)*(1-Summary!$E$9),"0")</f>
        <v>0</v>
      </c>
      <c r="T28" s="90" t="str">
        <f>IF(T2=$A$9,(T18*12/$A$28)*(1-Summary!$E$9),"0")</f>
        <v>0</v>
      </c>
      <c r="U28" s="90" t="str">
        <f>IF(U2=$A$9,(U18*12/$A$28)*(1-Summary!$E$9),"0")</f>
        <v>0</v>
      </c>
      <c r="V28" s="90" t="str">
        <f>IF(V2=$A$9,(V18*12/$A$28)*(1-Summary!$E$9),"0")</f>
        <v>0</v>
      </c>
      <c r="W28" s="90" t="str">
        <f>IF(W2=$A$9,(W18*12/$A$28)*(1-Summary!$E$9),"0")</f>
        <v>0</v>
      </c>
      <c r="X28" s="90" t="str">
        <f>IF(X2=$A$9,(X18*12/$A$28)*(1-Summary!$E$9),"0")</f>
        <v>0</v>
      </c>
      <c r="Y28" s="90" t="str">
        <f>IF(Y2=$A$9,(Y18*12/$A$28)*(1-Summary!$E$9),"0")</f>
        <v>0</v>
      </c>
      <c r="Z28" s="90" t="str">
        <f>IF(Z2=$A$9,(Z18*12/$A$28)*(1-Summary!$E$9),"0")</f>
        <v>0</v>
      </c>
      <c r="AA28" s="90" t="str">
        <f>IF(AA2=$A$9,(AA18*12/$A$28)*(1-Summary!$E$9),"0")</f>
        <v>0</v>
      </c>
      <c r="AB28" s="90" t="str">
        <f>IF(AB2=$A$9,(AB18*12/$A$28)*(1-Summary!$E$9),"0")</f>
        <v>0</v>
      </c>
      <c r="AC28" s="90" t="str">
        <f>IF(AC2=$A$9,(AC18*12/$A$28)*(1-Summary!$E$9),"0")</f>
        <v>0</v>
      </c>
      <c r="AD28" s="90" t="str">
        <f>IF(AD2=$A$9,(AD18*12/$A$28)*(1-Summary!$E$9),"0")</f>
        <v>0</v>
      </c>
      <c r="AE28" s="90" t="str">
        <f>IF(AE2=$A$9,(AE18*12/$A$28)*(1-Summary!$E$9),"0")</f>
        <v>0</v>
      </c>
      <c r="AF28" s="90" t="str">
        <f>IF(AF2=$A$9,(AF18*12/$A$28)*(1-Summary!$E$9),"0")</f>
        <v>0</v>
      </c>
      <c r="AG28" s="90" t="str">
        <f>IF(AG2=$A$9,(AG18*12/$A$28)*(1-Summary!$E$9),"0")</f>
        <v>0</v>
      </c>
      <c r="AH28" s="90" t="str">
        <f>IF(AH2=$A$9,(AH18*12/$A$28)*(1-Summary!$E$9),"0")</f>
        <v>0</v>
      </c>
      <c r="AI28" s="90" t="str">
        <f>IF(AI2=$A$9,(AI18*12/$A$28)*(1-Summary!$E$9),"0")</f>
        <v>0</v>
      </c>
      <c r="AJ28" s="90" t="str">
        <f>IF(AJ2=$A$9,(AJ18*12/$A$28)*(1-Summary!$E$9),"0")</f>
        <v>0</v>
      </c>
      <c r="AK28" s="90" t="str">
        <f>IF(AK2=$A$9,(AK18*12/$A$28)*(1-Summary!$E$9),"0")</f>
        <v>0</v>
      </c>
      <c r="AL28" s="90" t="str">
        <f>IF(AL2=$A$9,(AL18*12/$A$28)*(1-Summary!$E$9),"0")</f>
        <v>0</v>
      </c>
      <c r="AM28" s="90">
        <f>IF(AM2=$A$9,(AM18*12/$A$28)*(1-Summary!$E$9),"0")</f>
        <v>4725220.1948717954</v>
      </c>
    </row>
    <row r="29" spans="1:39">
      <c r="A29" s="14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7"/>
    </row>
    <row r="30" spans="1:39" s="67" customFormat="1">
      <c r="A30" s="179"/>
      <c r="B30" s="180" t="s">
        <v>380</v>
      </c>
      <c r="C30" s="180">
        <f t="shared" ref="C30:AM30" si="7">SUM(C25:C26,C22,C20,C28)</f>
        <v>-2858250</v>
      </c>
      <c r="D30" s="180">
        <f t="shared" si="7"/>
        <v>-42750.616360360371</v>
      </c>
      <c r="E30" s="180">
        <f t="shared" si="7"/>
        <v>-42388.159624624634</v>
      </c>
      <c r="F30" s="180">
        <f t="shared" si="7"/>
        <v>-55647.792249249251</v>
      </c>
      <c r="G30" s="180">
        <f t="shared" si="7"/>
        <v>-54922.878777777783</v>
      </c>
      <c r="H30" s="180">
        <f t="shared" si="7"/>
        <v>-54197.965306306316</v>
      </c>
      <c r="I30" s="180">
        <f t="shared" si="7"/>
        <v>-53473.051834834841</v>
      </c>
      <c r="J30" s="180">
        <f t="shared" si="7"/>
        <v>-11414.805030030033</v>
      </c>
      <c r="K30" s="180">
        <f t="shared" si="7"/>
        <v>2932.1978018017999</v>
      </c>
      <c r="L30" s="180">
        <f t="shared" si="7"/>
        <v>-10327.434822822832</v>
      </c>
      <c r="M30" s="180">
        <f t="shared" si="7"/>
        <v>4019.5680090090136</v>
      </c>
      <c r="N30" s="180">
        <f t="shared" si="7"/>
        <v>-9240.0646156156181</v>
      </c>
      <c r="O30" s="180">
        <f t="shared" si="7"/>
        <v>-8515.1511441441362</v>
      </c>
      <c r="P30" s="180">
        <f t="shared" si="7"/>
        <v>5831.8516876876929</v>
      </c>
      <c r="Q30" s="180">
        <f t="shared" si="7"/>
        <v>6194.3084234234193</v>
      </c>
      <c r="R30" s="180">
        <f t="shared" si="7"/>
        <v>-7065.3242012011979</v>
      </c>
      <c r="S30" s="180">
        <f t="shared" si="7"/>
        <v>-6340.4107297297269</v>
      </c>
      <c r="T30" s="180">
        <f t="shared" si="7"/>
        <v>-19237.586618618625</v>
      </c>
      <c r="U30" s="180">
        <f t="shared" si="7"/>
        <v>9093.9623093093142</v>
      </c>
      <c r="V30" s="180">
        <f t="shared" si="7"/>
        <v>9456.4190450450478</v>
      </c>
      <c r="W30" s="180">
        <f t="shared" si="7"/>
        <v>-3803.213579579573</v>
      </c>
      <c r="X30" s="180">
        <f t="shared" si="7"/>
        <v>10543.789252252252</v>
      </c>
      <c r="Y30" s="180">
        <f t="shared" si="7"/>
        <v>10906.245987987997</v>
      </c>
      <c r="Z30" s="180">
        <f t="shared" si="7"/>
        <v>11268.70272372372</v>
      </c>
      <c r="AA30" s="180">
        <f t="shared" si="7"/>
        <v>11631.159459459454</v>
      </c>
      <c r="AB30" s="180">
        <f t="shared" si="7"/>
        <v>25615.705555555556</v>
      </c>
      <c r="AC30" s="180">
        <f t="shared" si="7"/>
        <v>25615.705555555556</v>
      </c>
      <c r="AD30" s="180">
        <f t="shared" si="7"/>
        <v>25615.705555555556</v>
      </c>
      <c r="AE30" s="180">
        <f t="shared" si="7"/>
        <v>25615.705555555556</v>
      </c>
      <c r="AF30" s="180">
        <f t="shared" si="7"/>
        <v>25615.705555555556</v>
      </c>
      <c r="AG30" s="180">
        <f t="shared" si="7"/>
        <v>25615.705555555556</v>
      </c>
      <c r="AH30" s="180">
        <f t="shared" si="7"/>
        <v>25615.705555555556</v>
      </c>
      <c r="AI30" s="180">
        <f t="shared" si="7"/>
        <v>25615.705555555556</v>
      </c>
      <c r="AJ30" s="180">
        <f t="shared" si="7"/>
        <v>25615.705555555556</v>
      </c>
      <c r="AK30" s="180">
        <f t="shared" si="7"/>
        <v>25615.705555555556</v>
      </c>
      <c r="AL30" s="180">
        <f t="shared" si="7"/>
        <v>25615.705555555556</v>
      </c>
      <c r="AM30" s="181">
        <f t="shared" si="7"/>
        <v>4750835.9004273508</v>
      </c>
    </row>
    <row r="31" spans="1:39">
      <c r="A31" s="146"/>
      <c r="B31" s="158" t="s">
        <v>387</v>
      </c>
      <c r="C31" s="159">
        <f>XIRR(C30:AM30,C2:AM2)</f>
        <v>0.17093083262443542</v>
      </c>
      <c r="AM31" s="18"/>
    </row>
    <row r="32" spans="1:39">
      <c r="A32" s="146"/>
      <c r="B32" s="158" t="s">
        <v>405</v>
      </c>
      <c r="C32" s="160">
        <f>SUMIF(C30:AM30,"&gt;0")/-SUMIF(C30:AM30,"&lt;0")</f>
        <v>1.5797279529758952</v>
      </c>
      <c r="AM32" s="18"/>
    </row>
    <row r="33" spans="1:39">
      <c r="A33" s="146"/>
      <c r="AM33" s="18"/>
    </row>
    <row r="34" spans="1:39">
      <c r="A34" s="141"/>
      <c r="B34" s="147" t="s">
        <v>12</v>
      </c>
      <c r="AM34" s="18"/>
    </row>
    <row r="35" spans="1:39">
      <c r="A35" s="146" t="s">
        <v>393</v>
      </c>
      <c r="B35" s="161">
        <f>Summary!E22</f>
        <v>1942499.9999999998</v>
      </c>
      <c r="C35" s="7">
        <f>MIN($B$35,MAX(0,-C30))</f>
        <v>1942499.9999999998</v>
      </c>
      <c r="D35" s="90">
        <f>MIN(MAX(0,D30),MAX(0,$B$35-SUM($C$35:C35)))</f>
        <v>0</v>
      </c>
      <c r="E35" s="90">
        <f>MIN(MAX(0,E30),MAX(0,$B$35-SUM($C$35:D35)))</f>
        <v>0</v>
      </c>
      <c r="F35" s="90">
        <f>MIN(MAX(0,F30),MAX(0,$B$35-SUM($C$35:E35)))</f>
        <v>0</v>
      </c>
      <c r="G35" s="90">
        <f>MIN(MAX(0,G30),MAX(0,$B$35-SUM($C$35:F35)))</f>
        <v>0</v>
      </c>
      <c r="H35" s="90">
        <f>MIN(MAX(0,H30),MAX(0,$B$35-SUM($C$35:G35)))</f>
        <v>0</v>
      </c>
      <c r="I35" s="90">
        <f>MIN(MAX(0,I30),MAX(0,$B$35-SUM($C$35:H35)))</f>
        <v>0</v>
      </c>
      <c r="J35" s="90">
        <f>MIN(MAX(0,J30),MAX(0,$B$35-SUM($C$35:I35)))</f>
        <v>0</v>
      </c>
      <c r="K35" s="90">
        <f>MIN(MAX(0,K30),MAX(0,$B$35-SUM($C$35:J35)))</f>
        <v>0</v>
      </c>
      <c r="L35" s="90">
        <f>MIN(MAX(0,L30),MAX(0,$B$35-SUM($C$35:K35)))</f>
        <v>0</v>
      </c>
      <c r="M35" s="90">
        <f>MIN(MAX(0,M30),MAX(0,$B$35-SUM($C$35:L35)))</f>
        <v>0</v>
      </c>
      <c r="N35" s="90">
        <f>MIN(MAX(0,N30),MAX(0,$B$35-SUM($C$35:M35)))</f>
        <v>0</v>
      </c>
      <c r="O35" s="90">
        <f>MIN(MAX(0,O30),MAX(0,$B$35-SUM($C$35:N35)))</f>
        <v>0</v>
      </c>
      <c r="P35" s="90">
        <f>MIN(MAX(0,P30),MAX(0,$B$35-SUM($C$35:O35)))</f>
        <v>0</v>
      </c>
      <c r="Q35" s="90">
        <f>MIN(MAX(0,Q30),MAX(0,$B$35-SUM($C$35:P35)))</f>
        <v>0</v>
      </c>
      <c r="R35" s="90">
        <f>MIN(MAX(0,R30),MAX(0,$B$35-SUM($C$35:Q35)))</f>
        <v>0</v>
      </c>
      <c r="S35" s="90">
        <f>MIN(MAX(0,S30),MAX(0,$B$35-SUM($C$35:R35)))</f>
        <v>0</v>
      </c>
      <c r="T35" s="90">
        <f>MIN(MAX(0,T30),MAX(0,$B$35-SUM($C$35:S35)))</f>
        <v>0</v>
      </c>
      <c r="U35" s="90">
        <f>MIN(MAX(0,U30),MAX(0,$B$35-SUM($C$35:T35)))</f>
        <v>0</v>
      </c>
      <c r="V35" s="90">
        <f>MIN(MAX(0,V30),MAX(0,$B$35-SUM($C$35:U35)))</f>
        <v>0</v>
      </c>
      <c r="W35" s="90">
        <f>MIN(MAX(0,W30),MAX(0,$B$35-SUM($C$35:V35)))</f>
        <v>0</v>
      </c>
      <c r="X35" s="90">
        <f>MIN(MAX(0,X30),MAX(0,$B$35-SUM($C$35:W35)))</f>
        <v>0</v>
      </c>
      <c r="Y35" s="90">
        <f>MIN(MAX(0,Y30),MAX(0,$B$35-SUM($C$35:X35)))</f>
        <v>0</v>
      </c>
      <c r="Z35" s="90">
        <f>MIN(MAX(0,Z30),MAX(0,$B$35-SUM($C$35:Y35)))</f>
        <v>0</v>
      </c>
      <c r="AA35" s="90">
        <f>MIN(MAX(0,AA30),MAX(0,$B$35-SUM($C$35:Z35)))</f>
        <v>0</v>
      </c>
      <c r="AB35" s="90">
        <f>MIN(MAX(0,AB30),MAX(0,$B$35-SUM($C$35:AA35)))</f>
        <v>0</v>
      </c>
      <c r="AC35" s="90">
        <f>MIN(MAX(0,AC30),MAX(0,$B$35-SUM($C$35:AB35)))</f>
        <v>0</v>
      </c>
      <c r="AD35" s="90">
        <f>MIN(MAX(0,AD30),MAX(0,$B$35-SUM($C$35:AC35)))</f>
        <v>0</v>
      </c>
      <c r="AE35" s="90">
        <f>MIN(MAX(0,AE30),MAX(0,$B$35-SUM($C$35:AD35)))</f>
        <v>0</v>
      </c>
      <c r="AF35" s="90">
        <f>MIN(MAX(0,AF30),MAX(0,$B$35-SUM($C$35:AE35)))</f>
        <v>0</v>
      </c>
      <c r="AG35" s="90">
        <f>MIN(MAX(0,AG30),MAX(0,$B$35-SUM($C$35:AF35)))</f>
        <v>0</v>
      </c>
      <c r="AH35" s="90">
        <f>MIN(MAX(0,AH30),MAX(0,$B$35-SUM($C$35:AG35)))</f>
        <v>0</v>
      </c>
      <c r="AI35" s="90">
        <f>MIN(MAX(0,AI30),MAX(0,$B$35-SUM($C$35:AH35)))</f>
        <v>0</v>
      </c>
      <c r="AJ35" s="90">
        <f>MIN(MAX(0,AJ30),MAX(0,$B$35-SUM($C$35:AI35)))</f>
        <v>0</v>
      </c>
      <c r="AK35" s="90">
        <f>MIN(MAX(0,AK30),MAX(0,$B$35-SUM($C$35:AJ35)))</f>
        <v>0</v>
      </c>
      <c r="AL35" s="90">
        <f>MIN(MAX(0,AL30),MAX(0,$B$35-SUM($C$35:AK35)))</f>
        <v>0</v>
      </c>
      <c r="AM35" s="42">
        <f>MIN(MAX(0,AM30),MAX(0,$B$35-SUM($C$35:AL35)))</f>
        <v>0</v>
      </c>
    </row>
    <row r="36" spans="1:39">
      <c r="A36" s="146" t="s">
        <v>399</v>
      </c>
      <c r="B36" s="161">
        <f>Summary!E22*0.03</f>
        <v>58274.999999999993</v>
      </c>
      <c r="C36" s="7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42"/>
    </row>
    <row r="37" spans="1:39">
      <c r="A37" s="146" t="s">
        <v>400</v>
      </c>
      <c r="B37" s="161">
        <f>SUM(C37:AM37)</f>
        <v>1353349.454894895</v>
      </c>
      <c r="C37" s="7">
        <f>MIN(MAX(0,-C30-C35+B36))</f>
        <v>974025.00000000023</v>
      </c>
      <c r="D37" s="7">
        <f t="shared" ref="D37:AM37" si="8">MIN(MAX(0,-D30-D35))</f>
        <v>42750.616360360371</v>
      </c>
      <c r="E37" s="7">
        <f t="shared" si="8"/>
        <v>42388.159624624634</v>
      </c>
      <c r="F37" s="7">
        <f t="shared" si="8"/>
        <v>55647.792249249251</v>
      </c>
      <c r="G37" s="7">
        <f t="shared" si="8"/>
        <v>54922.878777777783</v>
      </c>
      <c r="H37" s="7">
        <f t="shared" si="8"/>
        <v>54197.965306306316</v>
      </c>
      <c r="I37" s="7">
        <f t="shared" si="8"/>
        <v>53473.051834834841</v>
      </c>
      <c r="J37" s="7">
        <f t="shared" si="8"/>
        <v>11414.805030030033</v>
      </c>
      <c r="K37" s="7">
        <f t="shared" si="8"/>
        <v>0</v>
      </c>
      <c r="L37" s="7">
        <f t="shared" si="8"/>
        <v>10327.434822822832</v>
      </c>
      <c r="M37" s="7">
        <f t="shared" si="8"/>
        <v>0</v>
      </c>
      <c r="N37" s="7">
        <f t="shared" si="8"/>
        <v>9240.0646156156181</v>
      </c>
      <c r="O37" s="7">
        <f t="shared" si="8"/>
        <v>8515.1511441441362</v>
      </c>
      <c r="P37" s="7">
        <f t="shared" si="8"/>
        <v>0</v>
      </c>
      <c r="Q37" s="7">
        <f t="shared" si="8"/>
        <v>0</v>
      </c>
      <c r="R37" s="7">
        <f t="shared" si="8"/>
        <v>7065.3242012011979</v>
      </c>
      <c r="S37" s="7">
        <f t="shared" si="8"/>
        <v>6340.4107297297269</v>
      </c>
      <c r="T37" s="7">
        <f t="shared" si="8"/>
        <v>19237.586618618625</v>
      </c>
      <c r="U37" s="7">
        <f t="shared" si="8"/>
        <v>0</v>
      </c>
      <c r="V37" s="7">
        <f t="shared" si="8"/>
        <v>0</v>
      </c>
      <c r="W37" s="7">
        <f t="shared" si="8"/>
        <v>3803.213579579573</v>
      </c>
      <c r="X37" s="7">
        <f t="shared" si="8"/>
        <v>0</v>
      </c>
      <c r="Y37" s="7">
        <f t="shared" si="8"/>
        <v>0</v>
      </c>
      <c r="Z37" s="7">
        <f t="shared" si="8"/>
        <v>0</v>
      </c>
      <c r="AA37" s="7">
        <f t="shared" si="8"/>
        <v>0</v>
      </c>
      <c r="AB37" s="7">
        <f t="shared" si="8"/>
        <v>0</v>
      </c>
      <c r="AC37" s="7">
        <f t="shared" si="8"/>
        <v>0</v>
      </c>
      <c r="AD37" s="7">
        <f t="shared" si="8"/>
        <v>0</v>
      </c>
      <c r="AE37" s="7">
        <f t="shared" si="8"/>
        <v>0</v>
      </c>
      <c r="AF37" s="7">
        <f t="shared" si="8"/>
        <v>0</v>
      </c>
      <c r="AG37" s="7">
        <f t="shared" si="8"/>
        <v>0</v>
      </c>
      <c r="AH37" s="7">
        <f t="shared" si="8"/>
        <v>0</v>
      </c>
      <c r="AI37" s="7">
        <f t="shared" si="8"/>
        <v>0</v>
      </c>
      <c r="AJ37" s="7">
        <f t="shared" si="8"/>
        <v>0</v>
      </c>
      <c r="AK37" s="7">
        <f t="shared" si="8"/>
        <v>0</v>
      </c>
      <c r="AL37" s="7">
        <f t="shared" si="8"/>
        <v>0</v>
      </c>
      <c r="AM37" s="63">
        <f t="shared" si="8"/>
        <v>0</v>
      </c>
    </row>
    <row r="38" spans="1:39">
      <c r="A38" s="146"/>
      <c r="B38" s="147"/>
      <c r="C38" s="90"/>
      <c r="AM38" s="18"/>
    </row>
    <row r="39" spans="1:39">
      <c r="A39" s="146" t="s">
        <v>394</v>
      </c>
      <c r="B39" s="162" t="s">
        <v>395</v>
      </c>
      <c r="C39" s="7">
        <f>C35</f>
        <v>1942499.9999999998</v>
      </c>
      <c r="D39" s="7">
        <f>C39+C41</f>
        <v>1942499.9999999998</v>
      </c>
      <c r="E39" s="7">
        <f t="shared" ref="E39:K39" si="9">D39+D41</f>
        <v>1957068.7499999998</v>
      </c>
      <c r="F39" s="7">
        <f t="shared" si="9"/>
        <v>1971746.7656249998</v>
      </c>
      <c r="G39" s="7">
        <f t="shared" si="9"/>
        <v>1986534.8663671874</v>
      </c>
      <c r="H39" s="7">
        <f t="shared" si="9"/>
        <v>2001433.8778649413</v>
      </c>
      <c r="I39" s="7">
        <f t="shared" si="9"/>
        <v>2016444.6319489283</v>
      </c>
      <c r="J39" s="7">
        <f t="shared" si="9"/>
        <v>2031567.9666885454</v>
      </c>
      <c r="K39" s="7">
        <f t="shared" si="9"/>
        <v>2046804.7264387095</v>
      </c>
      <c r="L39" s="7">
        <f t="shared" ref="L39:AM39" si="10">K39+K41</f>
        <v>2059223.5640851981</v>
      </c>
      <c r="M39" s="7">
        <f t="shared" si="10"/>
        <v>2074667.7408158372</v>
      </c>
      <c r="N39" s="7">
        <f t="shared" si="10"/>
        <v>2086208.1808629469</v>
      </c>
      <c r="O39" s="7">
        <f t="shared" si="10"/>
        <v>2101854.7422194192</v>
      </c>
      <c r="P39" s="7">
        <f t="shared" si="10"/>
        <v>2117618.6527860649</v>
      </c>
      <c r="Q39" s="7">
        <f t="shared" si="10"/>
        <v>2127668.9409942725</v>
      </c>
      <c r="R39" s="7">
        <f t="shared" si="10"/>
        <v>2137432.1496283063</v>
      </c>
      <c r="S39" s="7">
        <f t="shared" si="10"/>
        <v>2153462.8907505185</v>
      </c>
      <c r="T39" s="7">
        <f t="shared" si="10"/>
        <v>2169613.8624311476</v>
      </c>
      <c r="U39" s="7">
        <f t="shared" si="10"/>
        <v>2185885.9663993814</v>
      </c>
      <c r="V39" s="7">
        <f t="shared" si="10"/>
        <v>2193186.1488380674</v>
      </c>
      <c r="W39" s="7">
        <f t="shared" si="10"/>
        <v>2200178.625909308</v>
      </c>
      <c r="X39" s="7">
        <f t="shared" si="10"/>
        <v>2216679.9656036277</v>
      </c>
      <c r="Y39" s="7">
        <f t="shared" si="10"/>
        <v>2222761.2760934029</v>
      </c>
      <c r="Z39" s="7">
        <f t="shared" si="10"/>
        <v>2228525.7396761156</v>
      </c>
      <c r="AA39" s="7">
        <f t="shared" si="10"/>
        <v>2233970.9799999627</v>
      </c>
      <c r="AB39" s="7">
        <f>AA39+AA41</f>
        <v>2239094.6028905031</v>
      </c>
      <c r="AC39" s="7">
        <f t="shared" si="10"/>
        <v>2239094.6028905031</v>
      </c>
      <c r="AD39" s="7">
        <f t="shared" si="10"/>
        <v>2239094.6028905031</v>
      </c>
      <c r="AE39" s="7">
        <f t="shared" si="10"/>
        <v>2239094.6028905031</v>
      </c>
      <c r="AF39" s="7">
        <f t="shared" si="10"/>
        <v>2239094.6028905031</v>
      </c>
      <c r="AG39" s="7">
        <f t="shared" si="10"/>
        <v>2239094.6028905031</v>
      </c>
      <c r="AH39" s="7">
        <f t="shared" si="10"/>
        <v>2239094.6028905031</v>
      </c>
      <c r="AI39" s="7">
        <f t="shared" si="10"/>
        <v>2239094.6028905031</v>
      </c>
      <c r="AJ39" s="7">
        <f t="shared" si="10"/>
        <v>2239094.6028905031</v>
      </c>
      <c r="AK39" s="7">
        <f t="shared" si="10"/>
        <v>2239094.6028905031</v>
      </c>
      <c r="AL39" s="7">
        <f t="shared" si="10"/>
        <v>2239094.6028905031</v>
      </c>
      <c r="AM39" s="63">
        <f t="shared" si="10"/>
        <v>2239094.6028905031</v>
      </c>
    </row>
    <row r="40" spans="1:39">
      <c r="A40" s="146"/>
      <c r="B40" s="66" t="s">
        <v>396</v>
      </c>
      <c r="C40" s="7"/>
      <c r="D40" s="7">
        <f>D39*(Summary!$I$24/12)</f>
        <v>14568.749999999998</v>
      </c>
      <c r="E40" s="7">
        <f>E39*(Summary!$I$24/12)</f>
        <v>14678.015624999998</v>
      </c>
      <c r="F40" s="7">
        <f>F39*(Summary!$I$24/12)</f>
        <v>14788.100742187498</v>
      </c>
      <c r="G40" s="7">
        <f>G39*(Summary!$I$24/12)</f>
        <v>14899.011497753905</v>
      </c>
      <c r="H40" s="7">
        <f>H39*(Summary!$I$24/12)</f>
        <v>15010.754083987058</v>
      </c>
      <c r="I40" s="7">
        <f>I39*(Summary!$I$24/12)</f>
        <v>15123.334739616963</v>
      </c>
      <c r="J40" s="7">
        <f>J39*(Summary!$I$24/12)</f>
        <v>15236.75975016409</v>
      </c>
      <c r="K40" s="7">
        <f>K39*(Summary!$I$24/12)</f>
        <v>15351.03544829032</v>
      </c>
      <c r="L40" s="7">
        <f>L39*(Summary!$I$24/12)</f>
        <v>15444.176730638985</v>
      </c>
      <c r="M40" s="7">
        <f>M39*(Summary!$I$24/12)</f>
        <v>15560.008056118779</v>
      </c>
      <c r="N40" s="7">
        <f>N39*(Summary!$I$24/12)</f>
        <v>15646.561356472101</v>
      </c>
      <c r="O40" s="7">
        <f>O39*(Summary!$I$24/12)</f>
        <v>15763.910566645643</v>
      </c>
      <c r="P40" s="7">
        <f>P39*(Summary!$I$24/12)</f>
        <v>15882.139895895487</v>
      </c>
      <c r="Q40" s="7">
        <f>Q39*(Summary!$I$24/12)</f>
        <v>15957.517057457044</v>
      </c>
      <c r="R40" s="7">
        <f>R39*(Summary!$I$24/12)</f>
        <v>16030.741122212297</v>
      </c>
      <c r="S40" s="7">
        <f>S39*(Summary!$I$24/12)</f>
        <v>16150.971680628889</v>
      </c>
      <c r="T40" s="7">
        <f>T39*(Summary!$I$24/12)</f>
        <v>16272.103968233607</v>
      </c>
      <c r="U40" s="7">
        <f>U39*(Summary!$I$24/12)</f>
        <v>16394.14474799536</v>
      </c>
      <c r="V40" s="7">
        <f>V39*(Summary!$I$24/12)</f>
        <v>16448.896116285505</v>
      </c>
      <c r="W40" s="7">
        <f>W39*(Summary!$I$24/12)</f>
        <v>16501.339694319809</v>
      </c>
      <c r="X40" s="7">
        <f>X39*(Summary!$I$24/12)</f>
        <v>16625.099742027207</v>
      </c>
      <c r="Y40" s="7">
        <f>Y39*(Summary!$I$24/12)</f>
        <v>16670.709570700521</v>
      </c>
      <c r="Z40" s="7">
        <f>Z39*(Summary!$I$24/12)</f>
        <v>16713.943047570865</v>
      </c>
      <c r="AA40" s="7">
        <f>AA39*(Summary!$I$24/12)</f>
        <v>16754.782349999721</v>
      </c>
      <c r="AB40" s="7">
        <f>AB39*(Summary!$I$24/12)</f>
        <v>16793.209521678771</v>
      </c>
      <c r="AC40" s="7">
        <f>AC39*(Summary!$I$24/12)</f>
        <v>16793.209521678771</v>
      </c>
      <c r="AD40" s="7">
        <f>AD39*(Summary!$I$24/12)</f>
        <v>16793.209521678771</v>
      </c>
      <c r="AE40" s="7">
        <f>AE39*(Summary!$I$24/12)</f>
        <v>16793.209521678771</v>
      </c>
      <c r="AF40" s="7">
        <f>AF39*(Summary!$I$24/12)</f>
        <v>16793.209521678771</v>
      </c>
      <c r="AG40" s="7">
        <f>AG39*(Summary!$I$24/12)</f>
        <v>16793.209521678771</v>
      </c>
      <c r="AH40" s="7">
        <f>AH39*(Summary!$I$24/12)</f>
        <v>16793.209521678771</v>
      </c>
      <c r="AI40" s="7">
        <f>AI39*(Summary!$I$24/12)</f>
        <v>16793.209521678771</v>
      </c>
      <c r="AJ40" s="7">
        <f>AJ39*(Summary!$I$24/12)</f>
        <v>16793.209521678771</v>
      </c>
      <c r="AK40" s="7">
        <f>AK39*(Summary!$I$24/12)</f>
        <v>16793.209521678771</v>
      </c>
      <c r="AL40" s="7">
        <f>AL39*(Summary!$I$24/12)</f>
        <v>16793.209521678771</v>
      </c>
      <c r="AM40" s="63">
        <f>AM39*(Summary!$I$24/12)</f>
        <v>16793.209521678771</v>
      </c>
    </row>
    <row r="41" spans="1:39">
      <c r="A41" s="146"/>
      <c r="B41" s="66" t="s">
        <v>398</v>
      </c>
      <c r="C41" s="7"/>
      <c r="D41" s="7">
        <f t="shared" ref="D41:L41" si="11">MIN(MAX(0,D40-MAX(0,D30)))</f>
        <v>14568.749999999998</v>
      </c>
      <c r="E41" s="7">
        <f t="shared" si="11"/>
        <v>14678.015624999998</v>
      </c>
      <c r="F41" s="7">
        <f t="shared" si="11"/>
        <v>14788.100742187498</v>
      </c>
      <c r="G41" s="7">
        <f t="shared" si="11"/>
        <v>14899.011497753905</v>
      </c>
      <c r="H41" s="7">
        <f t="shared" si="11"/>
        <v>15010.754083987058</v>
      </c>
      <c r="I41" s="7">
        <f t="shared" si="11"/>
        <v>15123.334739616963</v>
      </c>
      <c r="J41" s="7">
        <f t="shared" si="11"/>
        <v>15236.75975016409</v>
      </c>
      <c r="K41" s="7">
        <f t="shared" si="11"/>
        <v>12418.83764648852</v>
      </c>
      <c r="L41" s="7">
        <f t="shared" si="11"/>
        <v>15444.176730638985</v>
      </c>
      <c r="M41" s="7">
        <f t="shared" ref="M41" si="12">MIN(MAX(0,M40-MAX(0,M30)))</f>
        <v>11540.440047109765</v>
      </c>
      <c r="N41" s="7">
        <f t="shared" ref="N41" si="13">MIN(MAX(0,N40-MAX(0,N30)))</f>
        <v>15646.561356472101</v>
      </c>
      <c r="O41" s="7">
        <f t="shared" ref="O41" si="14">MIN(MAX(0,O40-MAX(0,O30)))</f>
        <v>15763.910566645643</v>
      </c>
      <c r="P41" s="7">
        <f t="shared" ref="P41" si="15">MIN(MAX(0,P40-MAX(0,P30)))</f>
        <v>10050.288208207794</v>
      </c>
      <c r="Q41" s="7">
        <f t="shared" ref="Q41" si="16">MIN(MAX(0,Q40-MAX(0,Q30)))</f>
        <v>9763.2086340336245</v>
      </c>
      <c r="R41" s="7">
        <f t="shared" ref="R41" si="17">MIN(MAX(0,R40-MAX(0,R30)))</f>
        <v>16030.741122212297</v>
      </c>
      <c r="S41" s="7">
        <f t="shared" ref="S41" si="18">MIN(MAX(0,S40-MAX(0,S30)))</f>
        <v>16150.971680628889</v>
      </c>
      <c r="T41" s="7">
        <f t="shared" ref="T41" si="19">MIN(MAX(0,T40-MAX(0,T30)))</f>
        <v>16272.103968233607</v>
      </c>
      <c r="U41" s="7">
        <f t="shared" ref="U41" si="20">MIN(MAX(0,U40-MAX(0,U30)))</f>
        <v>7300.1824386860462</v>
      </c>
      <c r="V41" s="7">
        <f t="shared" ref="V41" si="21">MIN(MAX(0,V40-MAX(0,V30)))</f>
        <v>6992.477071240457</v>
      </c>
      <c r="W41" s="7">
        <f t="shared" ref="W41" si="22">MIN(MAX(0,W40-MAX(0,W30)))</f>
        <v>16501.339694319809</v>
      </c>
      <c r="X41" s="7">
        <f t="shared" ref="X41" si="23">MIN(MAX(0,X40-MAX(0,X30)))</f>
        <v>6081.3104897749545</v>
      </c>
      <c r="Y41" s="7">
        <f t="shared" ref="Y41" si="24">MIN(MAX(0,Y40-MAX(0,Y30)))</f>
        <v>5764.4635827125239</v>
      </c>
      <c r="Z41" s="7">
        <f t="shared" ref="Z41" si="25">MIN(MAX(0,Z40-MAX(0,Z30)))</f>
        <v>5445.2403238471452</v>
      </c>
      <c r="AA41" s="7">
        <f t="shared" ref="AA41" si="26">MIN(MAX(0,AA40-MAX(0,AA30)))</f>
        <v>5123.6228905402677</v>
      </c>
      <c r="AB41" s="7">
        <f t="shared" ref="AB41" si="27">MIN(MAX(0,AB40-MAX(0,AB30)))</f>
        <v>0</v>
      </c>
      <c r="AC41" s="7">
        <f t="shared" ref="AC41" si="28">MIN(MAX(0,AC40-MAX(0,AC30)))</f>
        <v>0</v>
      </c>
      <c r="AD41" s="7">
        <f t="shared" ref="AD41" si="29">MIN(MAX(0,AD40-MAX(0,AD30)))</f>
        <v>0</v>
      </c>
      <c r="AE41" s="7">
        <f t="shared" ref="AE41" si="30">MIN(MAX(0,AE40-MAX(0,AE30)))</f>
        <v>0</v>
      </c>
      <c r="AF41" s="7">
        <f t="shared" ref="AF41" si="31">MIN(MAX(0,AF40-MAX(0,AF30)))</f>
        <v>0</v>
      </c>
      <c r="AG41" s="7">
        <f t="shared" ref="AG41" si="32">MIN(MAX(0,AG40-MAX(0,AG30)))</f>
        <v>0</v>
      </c>
      <c r="AH41" s="7">
        <f t="shared" ref="AH41" si="33">MIN(MAX(0,AH40-MAX(0,AH30)))</f>
        <v>0</v>
      </c>
      <c r="AI41" s="7">
        <f t="shared" ref="AI41" si="34">MIN(MAX(0,AI40-MAX(0,AI30)))</f>
        <v>0</v>
      </c>
      <c r="AJ41" s="7">
        <f t="shared" ref="AJ41" si="35">MIN(MAX(0,AJ40-MAX(0,AJ30)))</f>
        <v>0</v>
      </c>
      <c r="AK41" s="7">
        <f t="shared" ref="AK41" si="36">MIN(MAX(0,AK40-MAX(0,AK30)))</f>
        <v>0</v>
      </c>
      <c r="AL41" s="7">
        <f t="shared" ref="AL41" si="37">MIN(MAX(0,AL40-MAX(0,AL30)))</f>
        <v>0</v>
      </c>
      <c r="AM41" s="63">
        <f t="shared" ref="AM41" si="38">MIN(MAX(0,AM40-MAX(0,AM30)))</f>
        <v>0</v>
      </c>
    </row>
    <row r="42" spans="1:39">
      <c r="A42" s="146"/>
      <c r="AM42" s="18"/>
    </row>
    <row r="43" spans="1:39" s="68" customFormat="1">
      <c r="A43" s="182"/>
      <c r="B43" s="183" t="s">
        <v>397</v>
      </c>
      <c r="C43" s="184">
        <f>-C37+IF(C30&lt;0,0,MAX(0,C30-C40))+IF(C2=$A$9,-C39)+IF(C2=$A$9,-C28*Summary!$E$9)</f>
        <v>-974025.00000000023</v>
      </c>
      <c r="D43" s="184">
        <f>-D37+IF(D30&lt;0,0,MAX(0,D30-D40))+IF(D2=$A$9,-D39)+IF(D2=$A$9,-D28*Summary!$E$9)</f>
        <v>-42750.616360360371</v>
      </c>
      <c r="E43" s="184">
        <f>-E37+IF(E30&lt;0,0,MAX(0,E30-E40))+IF(E2=$A$9,-E39)+IF(E2=$A$9,-E28*Summary!$E$9)</f>
        <v>-42388.159624624634</v>
      </c>
      <c r="F43" s="184">
        <f>-F37+IF(F30&lt;0,0,MAX(0,F30-F40))+IF(F2=$A$9,-F39)+IF(F2=$A$9,-F28*Summary!$E$9)</f>
        <v>-55647.792249249251</v>
      </c>
      <c r="G43" s="184">
        <f>-G37+IF(G30&lt;0,0,MAX(0,G30-G40))+IF(G2=$A$9,-G39)+IF(G2=$A$9,-G28*Summary!$E$9)</f>
        <v>-54922.878777777783</v>
      </c>
      <c r="H43" s="184">
        <f>-H37+IF(H30&lt;0,0,MAX(0,H30-H40))+IF(H2=$A$9,-H39)+IF(H2=$A$9,-H28*Summary!$E$9)</f>
        <v>-54197.965306306316</v>
      </c>
      <c r="I43" s="184">
        <f>-I37+IF(I30&lt;0,0,MAX(0,I30-I40))+IF(I2=$A$9,-I39)+IF(I2=$A$9,-I28*Summary!$E$9)</f>
        <v>-53473.051834834841</v>
      </c>
      <c r="J43" s="184">
        <f>-J37+IF(J30&lt;0,0,MAX(0,J30-J40))+IF(J2=$A$9,-J39)+IF(J2=$A$9,-J28*Summary!$E$9)</f>
        <v>-11414.805030030033</v>
      </c>
      <c r="K43" s="184">
        <f>-K37+IF(K30&lt;0,0,MAX(0,K30-K40))+IF(K2=$A$9,-K39)+IF(K2=$A$9,-K28*Summary!$E$9)</f>
        <v>0</v>
      </c>
      <c r="L43" s="184">
        <f>-L37+IF(L30&lt;0,0,MAX(0,L30-L40))+IF(L2=$A$9,-L39)+IF(L2=$A$9,-L28*Summary!$E$9)</f>
        <v>-10327.434822822832</v>
      </c>
      <c r="M43" s="184">
        <f>-M37+IF(M30&lt;0,0,MAX(0,M30-M40))+IF(M2=$A$9,-M39)+IF(M2=$A$9,-M28*Summary!$E$9)</f>
        <v>0</v>
      </c>
      <c r="N43" s="184">
        <f>-N37+IF(N30&lt;0,0,MAX(0,N30-N40))+IF(N2=$A$9,-N39)+IF(N2=$A$9,-N28*Summary!$E$9)</f>
        <v>-9240.0646156156181</v>
      </c>
      <c r="O43" s="184">
        <f>-O37+IF(O30&lt;0,0,MAX(0,O30-O40))+IF(O2=$A$9,-O39)+IF(O2=$A$9,-O28*Summary!$E$9)</f>
        <v>-8515.1511441441362</v>
      </c>
      <c r="P43" s="184">
        <f>-P37+IF(P30&lt;0,0,MAX(0,P30-P40))+IF(P2=$A$9,-P39)+IF(P2=$A$9,-P28*Summary!$E$9)</f>
        <v>0</v>
      </c>
      <c r="Q43" s="184">
        <f>-Q37+IF(Q30&lt;0,0,MAX(0,Q30-Q40))+IF(Q2=$A$9,-Q39)+IF(Q2=$A$9,-Q28*Summary!$E$9)</f>
        <v>0</v>
      </c>
      <c r="R43" s="184">
        <f>-R37+IF(R30&lt;0,0,MAX(0,R30-R40))+IF(R2=$A$9,-R39)+IF(R2=$A$9,-R28*Summary!$E$9)</f>
        <v>-7065.3242012011979</v>
      </c>
      <c r="S43" s="184">
        <f>-S37+IF(S30&lt;0,0,MAX(0,S30-S40))+IF(S2=$A$9,-S39)+IF(S2=$A$9,-S28*Summary!$E$9)</f>
        <v>-6340.4107297297269</v>
      </c>
      <c r="T43" s="184">
        <f>-T37+IF(T30&lt;0,0,MAX(0,T30-T40))+IF(T2=$A$9,-T39)+IF(T2=$A$9,-T28*Summary!$E$9)</f>
        <v>-19237.586618618625</v>
      </c>
      <c r="U43" s="184">
        <f>-U37+IF(U30&lt;0,0,MAX(0,U30-U40))+IF(U2=$A$9,-U39)+IF(U2=$A$9,-U28*Summary!$E$9)</f>
        <v>0</v>
      </c>
      <c r="V43" s="184">
        <f>-V37+IF(V30&lt;0,0,MAX(0,V30-V40))+IF(V2=$A$9,-V39)+IF(V2=$A$9,-V28*Summary!$E$9)</f>
        <v>0</v>
      </c>
      <c r="W43" s="184">
        <f>-W37+IF(W30&lt;0,0,MAX(0,W30-W40))+IF(W2=$A$9,-W39)+IF(W2=$A$9,-W28*Summary!$E$9)</f>
        <v>-3803.213579579573</v>
      </c>
      <c r="X43" s="184">
        <f>-X37+IF(X30&lt;0,0,MAX(0,X30-X40))+IF(X2=$A$9,-X39)+IF(X2=$A$9,-X28*Summary!$E$9)</f>
        <v>0</v>
      </c>
      <c r="Y43" s="184">
        <f>-Y37+IF(Y30&lt;0,0,MAX(0,Y30-Y40))+IF(Y2=$A$9,-Y39)+IF(Y2=$A$9,-Y28*Summary!$E$9)</f>
        <v>0</v>
      </c>
      <c r="Z43" s="184">
        <f>-Z37+IF(Z30&lt;0,0,MAX(0,Z30-Z40))+IF(Z2=$A$9,-Z39)+IF(Z2=$A$9,-Z28*Summary!$E$9)</f>
        <v>0</v>
      </c>
      <c r="AA43" s="184">
        <f>-AA37+IF(AA30&lt;0,0,MAX(0,AA30-AA40))+IF(AA2=$A$9,-AA39)+IF(AA2=$A$9,-AA28*Summary!$E$9)</f>
        <v>0</v>
      </c>
      <c r="AB43" s="184">
        <f>-AB37+IF(AB30&lt;0,0,MAX(0,AB30-AB40))+IF(AB2=$A$9,-AB39)+IF(AB2=$A$9,-AB28*Summary!$E$9)</f>
        <v>8822.4960338767851</v>
      </c>
      <c r="AC43" s="184">
        <f>-AC37+IF(AC30&lt;0,0,MAX(0,AC30-AC40))+IF(AC2=$A$9,-AC39)+IF(AC2=$A$9,-AC28*Summary!$E$9)</f>
        <v>8822.4960338767851</v>
      </c>
      <c r="AD43" s="184">
        <f>-AD37+IF(AD30&lt;0,0,MAX(0,AD30-AD40))+IF(AD2=$A$9,-AD39)+IF(AD2=$A$9,-AD28*Summary!$E$9)</f>
        <v>8822.4960338767851</v>
      </c>
      <c r="AE43" s="184">
        <f>-AE37+IF(AE30&lt;0,0,MAX(0,AE30-AE40))+IF(AE2=$A$9,-AE39)+IF(AE2=$A$9,-AE28*Summary!$E$9)</f>
        <v>8822.4960338767851</v>
      </c>
      <c r="AF43" s="184">
        <f>-AF37+IF(AF30&lt;0,0,MAX(0,AF30-AF40))+IF(AF2=$A$9,-AF39)+IF(AF2=$A$9,-AF28*Summary!$E$9)</f>
        <v>8822.4960338767851</v>
      </c>
      <c r="AG43" s="184">
        <f>-AG37+IF(AG30&lt;0,0,MAX(0,AG30-AG40))+IF(AG2=$A$9,-AG39)+IF(AG2=$A$9,-AG28*Summary!$E$9)</f>
        <v>8822.4960338767851</v>
      </c>
      <c r="AH43" s="184">
        <f>-AH37+IF(AH30&lt;0,0,MAX(0,AH30-AH40))+IF(AH2=$A$9,-AH39)+IF(AH2=$A$9,-AH28*Summary!$E$9)</f>
        <v>8822.4960338767851</v>
      </c>
      <c r="AI43" s="184">
        <f>-AI37+IF(AI30&lt;0,0,MAX(0,AI30-AI40))+IF(AI2=$A$9,-AI39)+IF(AI2=$A$9,-AI28*Summary!$E$9)</f>
        <v>8822.4960338767851</v>
      </c>
      <c r="AJ43" s="184">
        <f>-AJ37+IF(AJ30&lt;0,0,MAX(0,AJ30-AJ40))+IF(AJ2=$A$9,-AJ39)+IF(AJ2=$A$9,-AJ28*Summary!$E$9)</f>
        <v>8822.4960338767851</v>
      </c>
      <c r="AK43" s="184">
        <f>-AK37+IF(AK30&lt;0,0,MAX(0,AK30-AK40))+IF(AK2=$A$9,-AK39)+IF(AK2=$A$9,-AK28*Summary!$E$9)</f>
        <v>8822.4960338767851</v>
      </c>
      <c r="AL43" s="184">
        <f>-AL37+IF(AL30&lt;0,0,MAX(0,AL30-AL40))+IF(AL2=$A$9,-AL39)+IF(AL2=$A$9,-AL28*Summary!$E$9)</f>
        <v>8822.4960338767851</v>
      </c>
      <c r="AM43" s="185">
        <f>-AM37+IF(AM30&lt;0,0,MAX(0,AM30-AM40))+IF(AM2=$A$9,-AM39)</f>
        <v>2494948.0880151684</v>
      </c>
    </row>
    <row r="44" spans="1:39">
      <c r="A44" s="146"/>
      <c r="B44" s="163" t="s">
        <v>387</v>
      </c>
      <c r="C44" s="164">
        <f>XIRR(C43:AM43,C2:AM2)</f>
        <v>0.2548116147518158</v>
      </c>
      <c r="AM44" s="18"/>
    </row>
    <row r="45" spans="1:39">
      <c r="A45" s="165"/>
      <c r="B45" s="166" t="s">
        <v>405</v>
      </c>
      <c r="C45" s="167">
        <f>SUMIF(C43:AM43,"&gt;0")/-SUMIF(C43:AM43,"&lt;0")</f>
        <v>1.9152448283131094</v>
      </c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21"/>
    </row>
    <row r="48" spans="1:39">
      <c r="C48" s="175" t="s">
        <v>406</v>
      </c>
    </row>
    <row r="50" spans="2:13">
      <c r="B50" s="69"/>
      <c r="C50" s="177" t="s">
        <v>292</v>
      </c>
      <c r="D50" s="40" t="s">
        <v>387</v>
      </c>
      <c r="E50" s="40" t="s">
        <v>412</v>
      </c>
      <c r="F50" s="40" t="s">
        <v>301</v>
      </c>
      <c r="G50" s="186" t="s">
        <v>558</v>
      </c>
      <c r="I50" s="177" t="s">
        <v>408</v>
      </c>
      <c r="J50" s="40" t="s">
        <v>387</v>
      </c>
      <c r="K50" s="40" t="s">
        <v>412</v>
      </c>
      <c r="L50" s="40" t="s">
        <v>301</v>
      </c>
      <c r="M50" s="186" t="s">
        <v>558</v>
      </c>
    </row>
    <row r="51" spans="2:13">
      <c r="B51" s="69"/>
      <c r="C51" s="79"/>
      <c r="D51" s="80">
        <f>C31</f>
        <v>0.17093083262443542</v>
      </c>
      <c r="E51" s="81">
        <f>C32</f>
        <v>1.5797279529758952</v>
      </c>
      <c r="F51" s="80">
        <f>C44</f>
        <v>0.2548116147518158</v>
      </c>
      <c r="G51" s="290">
        <f>C45</f>
        <v>1.9152448283131094</v>
      </c>
      <c r="I51" s="70"/>
      <c r="J51" s="80">
        <f>C31</f>
        <v>0.17093083262443542</v>
      </c>
      <c r="K51" s="81">
        <f>C32</f>
        <v>1.5797279529758952</v>
      </c>
      <c r="L51" s="80">
        <f>C44</f>
        <v>0.2548116147518158</v>
      </c>
      <c r="M51" s="290">
        <f>C45</f>
        <v>1.9152448283131094</v>
      </c>
    </row>
    <row r="52" spans="2:13">
      <c r="C52" s="79">
        <v>2000000</v>
      </c>
      <c r="D52" s="82">
        <f t="dataTable" ref="D52:G58" dt2D="0" dtr="0" r1="A22" ca="1"/>
        <v>0.2931082546710968</v>
      </c>
      <c r="E52" s="72">
        <v>2.0966816677359694</v>
      </c>
      <c r="F52" s="82">
        <v>0.7686107516288756</v>
      </c>
      <c r="G52" s="73">
        <v>4.669425490389993</v>
      </c>
      <c r="I52" s="74">
        <v>0.05</v>
      </c>
      <c r="J52" s="71">
        <f t="dataTable" ref="J52:M58" dt2D="0" dtr="0" r1="A28" ca="1"/>
        <v>0.27289461493492129</v>
      </c>
      <c r="K52" s="72">
        <v>2.0175761254923037</v>
      </c>
      <c r="L52" s="71">
        <v>0.45912637114524846</v>
      </c>
      <c r="M52" s="73">
        <v>2.9626949553548569</v>
      </c>
    </row>
    <row r="53" spans="2:13">
      <c r="C53" s="79">
        <v>2250000</v>
      </c>
      <c r="D53" s="82">
        <v>0.24818802475929261</v>
      </c>
      <c r="E53" s="72">
        <v>1.8964849035520528</v>
      </c>
      <c r="F53" s="82">
        <v>0.51561282277107234</v>
      </c>
      <c r="G53" s="73">
        <v>3.1897579167378005</v>
      </c>
      <c r="I53" s="74">
        <v>5.5E-2</v>
      </c>
      <c r="J53" s="71">
        <v>0.23472703099250794</v>
      </c>
      <c r="K53" s="72">
        <v>1.8450904817737188</v>
      </c>
      <c r="L53" s="71">
        <v>0.38552032113075263</v>
      </c>
      <c r="M53" s="73">
        <v>2.5500630871262899</v>
      </c>
    </row>
    <row r="54" spans="2:13">
      <c r="C54" s="79">
        <v>2500000</v>
      </c>
      <c r="D54" s="82">
        <v>0.20893010497093206</v>
      </c>
      <c r="E54" s="72">
        <v>1.7311865857401634</v>
      </c>
      <c r="F54" s="82">
        <v>0.36642495989799506</v>
      </c>
      <c r="G54" s="73">
        <v>2.4222006025060523</v>
      </c>
      <c r="I54" s="74">
        <v>0.06</v>
      </c>
      <c r="J54" s="71">
        <v>0.20101433396339421</v>
      </c>
      <c r="K54" s="72">
        <v>1.7013524453415643</v>
      </c>
      <c r="L54" s="71">
        <v>0.31783636212348942</v>
      </c>
      <c r="M54" s="73">
        <v>2.2062031969358169</v>
      </c>
    </row>
    <row r="55" spans="2:13">
      <c r="C55" s="79">
        <v>2775000</v>
      </c>
      <c r="D55" s="82">
        <v>0.17093083262443542</v>
      </c>
      <c r="E55" s="72">
        <v>1.5797279529758952</v>
      </c>
      <c r="F55" s="82">
        <v>0.2548116147518158</v>
      </c>
      <c r="G55" s="73">
        <v>1.9152448283131094</v>
      </c>
      <c r="I55" s="74">
        <v>6.5000000000000002E-2</v>
      </c>
      <c r="J55" s="71">
        <v>0.17093083262443542</v>
      </c>
      <c r="K55" s="72">
        <v>1.5797279529758952</v>
      </c>
      <c r="L55" s="71">
        <v>0.2548116147518158</v>
      </c>
      <c r="M55" s="73">
        <v>1.9152448283131094</v>
      </c>
    </row>
    <row r="56" spans="2:13">
      <c r="C56" s="79">
        <v>3000000</v>
      </c>
      <c r="D56" s="82">
        <v>0.14313003420829773</v>
      </c>
      <c r="E56" s="72">
        <v>1.4742025234976497</v>
      </c>
      <c r="F56" s="82">
        <v>0.18625726103782658</v>
      </c>
      <c r="G56" s="73">
        <v>1.6352258127296397</v>
      </c>
      <c r="I56" s="74">
        <v>7.0000000000000007E-2</v>
      </c>
      <c r="J56" s="71">
        <v>0.14385295510292054</v>
      </c>
      <c r="K56" s="72">
        <v>1.4754783880910356</v>
      </c>
      <c r="L56" s="71">
        <v>0.19545889496803281</v>
      </c>
      <c r="M56" s="73">
        <v>1.6658519409222159</v>
      </c>
    </row>
    <row r="57" spans="2:13">
      <c r="C57" s="79">
        <v>3250000</v>
      </c>
      <c r="D57" s="82">
        <v>0.11511552929878235</v>
      </c>
      <c r="E57" s="72">
        <v>1.3723444525326864</v>
      </c>
      <c r="F57" s="82">
        <v>0.12521217465400697</v>
      </c>
      <c r="G57" s="73">
        <v>1.4067059107730309</v>
      </c>
      <c r="I57" s="74">
        <v>7.4999999999999997E-2</v>
      </c>
      <c r="J57" s="71">
        <v>0.11929941773414612</v>
      </c>
      <c r="K57" s="72">
        <v>1.3851287651908246</v>
      </c>
      <c r="L57" s="71">
        <v>0.13897799849510192</v>
      </c>
      <c r="M57" s="73">
        <v>1.4497114385167773</v>
      </c>
    </row>
    <row r="58" spans="2:13">
      <c r="C58" s="83">
        <v>3500000</v>
      </c>
      <c r="D58" s="84">
        <v>8.9659306406974809E-2</v>
      </c>
      <c r="E58" s="77">
        <v>1.2836522035635978</v>
      </c>
      <c r="F58" s="84">
        <v>7.5186571478843708E-2</v>
      </c>
      <c r="G58" s="78">
        <v>1.2342251403124795</v>
      </c>
      <c r="I58" s="75">
        <v>0.08</v>
      </c>
      <c r="J58" s="76">
        <v>9.6891671419143677E-2</v>
      </c>
      <c r="K58" s="77">
        <v>1.3060728451531394</v>
      </c>
      <c r="L58" s="76">
        <v>8.4694615006446858E-2</v>
      </c>
      <c r="M58" s="78">
        <v>1.2605884989120166</v>
      </c>
    </row>
    <row r="60" spans="2:13" ht="18" customHeight="1">
      <c r="C60" s="177" t="s">
        <v>409</v>
      </c>
      <c r="D60" s="40" t="s">
        <v>387</v>
      </c>
      <c r="E60" s="40" t="s">
        <v>412</v>
      </c>
      <c r="F60" s="40" t="s">
        <v>301</v>
      </c>
      <c r="G60" s="186" t="s">
        <v>558</v>
      </c>
      <c r="H60" s="1"/>
      <c r="I60" s="187" t="s">
        <v>285</v>
      </c>
      <c r="J60" s="40" t="s">
        <v>387</v>
      </c>
      <c r="K60" s="40" t="s">
        <v>412</v>
      </c>
      <c r="L60" s="40" t="s">
        <v>301</v>
      </c>
      <c r="M60" s="186" t="s">
        <v>558</v>
      </c>
    </row>
    <row r="61" spans="2:13">
      <c r="C61" s="70"/>
      <c r="D61" s="80">
        <f>C31</f>
        <v>0.17093083262443542</v>
      </c>
      <c r="E61" s="81">
        <f>C32</f>
        <v>1.5797279529758952</v>
      </c>
      <c r="F61" s="80">
        <f>C44</f>
        <v>0.2548116147518158</v>
      </c>
      <c r="G61" s="290">
        <f>C45</f>
        <v>1.9152448283131094</v>
      </c>
      <c r="H61" s="1"/>
      <c r="I61" s="174"/>
      <c r="J61" s="80">
        <f>C31</f>
        <v>0.17093083262443542</v>
      </c>
      <c r="K61" s="81">
        <f>C32</f>
        <v>1.5797279529758952</v>
      </c>
      <c r="L61" s="80">
        <f>C44</f>
        <v>0.2548116147518158</v>
      </c>
      <c r="M61" s="290">
        <f>C45</f>
        <v>1.9152448283131094</v>
      </c>
    </row>
    <row r="62" spans="2:13">
      <c r="C62" s="87">
        <v>1100</v>
      </c>
      <c r="D62" s="71">
        <f t="dataTable" ref="D62:G68" dt2D="0" dtr="0" r1="A11" ca="1"/>
        <v>-4.6187967061996462E-3</v>
      </c>
      <c r="E62" s="72">
        <v>0.98666129665869462</v>
      </c>
      <c r="F62" s="71">
        <v>-0.21423488631844523</v>
      </c>
      <c r="G62" s="73">
        <v>0.50587077865305385</v>
      </c>
      <c r="H62" s="1"/>
      <c r="I62" s="85">
        <v>0.4</v>
      </c>
      <c r="J62" s="71">
        <f t="dataTable" ref="J62:M68" dt2D="0" dtr="0" r1="A25" ca="1"/>
        <v>0.22360938191413882</v>
      </c>
      <c r="K62" s="72">
        <v>1.791297467877663</v>
      </c>
      <c r="L62" s="71">
        <v>0.3864403307437897</v>
      </c>
      <c r="M62" s="73">
        <v>2.6237152337666312</v>
      </c>
    </row>
    <row r="63" spans="2:13">
      <c r="C63" s="87">
        <v>1200</v>
      </c>
      <c r="D63" s="71">
        <v>7.0021846890449504E-2</v>
      </c>
      <c r="E63" s="72">
        <v>1.2167297312229488</v>
      </c>
      <c r="F63" s="71">
        <v>1.6053286194801328E-2</v>
      </c>
      <c r="G63" s="73">
        <v>1.0463419437929851</v>
      </c>
      <c r="H63" s="1"/>
      <c r="I63" s="85">
        <v>0.6</v>
      </c>
      <c r="J63" s="71">
        <v>0.20538271069526681</v>
      </c>
      <c r="K63" s="72">
        <v>1.7211074504755544</v>
      </c>
      <c r="L63" s="71">
        <v>0.34100945591926579</v>
      </c>
      <c r="M63" s="73">
        <v>2.3686178405072909</v>
      </c>
    </row>
    <row r="64" spans="2:13">
      <c r="C64" s="87">
        <v>1300</v>
      </c>
      <c r="D64" s="71">
        <v>0.13663856387138365</v>
      </c>
      <c r="E64" s="72">
        <v>1.4493631965772618</v>
      </c>
      <c r="F64" s="71">
        <v>0.17906237244606019</v>
      </c>
      <c r="G64" s="73">
        <v>1.6008026571737253</v>
      </c>
      <c r="H64" s="1"/>
      <c r="I64" s="85">
        <v>0.8</v>
      </c>
      <c r="J64" s="71">
        <v>0.18783563971519471</v>
      </c>
      <c r="K64" s="72">
        <v>1.64949235428854</v>
      </c>
      <c r="L64" s="71">
        <v>0.29679439663887031</v>
      </c>
      <c r="M64" s="73">
        <v>2.1275289008865954</v>
      </c>
    </row>
    <row r="65" spans="3:13">
      <c r="C65" s="87">
        <v>1400</v>
      </c>
      <c r="D65" s="71">
        <v>0.19718410372734071</v>
      </c>
      <c r="E65" s="72">
        <v>1.6846042647154393</v>
      </c>
      <c r="F65" s="71">
        <v>0.31016197800636292</v>
      </c>
      <c r="G65" s="73">
        <v>2.1701830190122222</v>
      </c>
      <c r="H65" s="1"/>
      <c r="I65" s="85">
        <v>1</v>
      </c>
      <c r="J65" s="71">
        <v>0.17093083262443542</v>
      </c>
      <c r="K65" s="72">
        <v>1.5797279529758952</v>
      </c>
      <c r="L65" s="71">
        <v>0.2548116147518158</v>
      </c>
      <c r="M65" s="73">
        <v>1.9152448283131094</v>
      </c>
    </row>
    <row r="66" spans="3:13">
      <c r="C66" s="87">
        <v>1500</v>
      </c>
      <c r="D66" s="71">
        <v>0.25294651389122003</v>
      </c>
      <c r="E66" s="72">
        <v>1.9223032951502035</v>
      </c>
      <c r="F66" s="71">
        <v>0.42184764742851266</v>
      </c>
      <c r="G66" s="73">
        <v>2.7542413849991414</v>
      </c>
      <c r="H66" s="1"/>
      <c r="I66" s="85">
        <v>1.2</v>
      </c>
      <c r="J66" s="71">
        <v>0.15463351607322698</v>
      </c>
      <c r="K66" s="72">
        <v>1.5147135390054698</v>
      </c>
      <c r="L66" s="71">
        <v>0.21581043601036073</v>
      </c>
      <c r="M66" s="73">
        <v>1.7368798869684496</v>
      </c>
    </row>
    <row r="67" spans="3:13">
      <c r="C67" s="87">
        <v>1600</v>
      </c>
      <c r="D67" s="71">
        <v>0.30482552647590633</v>
      </c>
      <c r="E67" s="72">
        <v>2.1617134073127011</v>
      </c>
      <c r="F67" s="71">
        <v>0.52080910801887514</v>
      </c>
      <c r="G67" s="73">
        <v>3.3487385466274993</v>
      </c>
      <c r="H67" s="1"/>
      <c r="I67" s="85">
        <v>1.4</v>
      </c>
      <c r="J67" s="71">
        <v>0.13891128897666929</v>
      </c>
      <c r="K67" s="72">
        <v>1.4537543173189016</v>
      </c>
      <c r="L67" s="71">
        <v>0.17936262488365176</v>
      </c>
      <c r="M67" s="73">
        <v>1.5848102909269177</v>
      </c>
    </row>
    <row r="68" spans="3:13">
      <c r="C68" s="88">
        <v>1700</v>
      </c>
      <c r="D68" s="76">
        <v>0.35347731709480279</v>
      </c>
      <c r="E68" s="77">
        <v>2.4023059088391778</v>
      </c>
      <c r="F68" s="76">
        <v>0.61047996878623978</v>
      </c>
      <c r="G68" s="78">
        <v>3.951000644009655</v>
      </c>
      <c r="H68" s="1"/>
      <c r="I68" s="86">
        <v>1.6</v>
      </c>
      <c r="J68" s="76">
        <v>0.12373390793800357</v>
      </c>
      <c r="K68" s="77">
        <v>1.3964096611447214</v>
      </c>
      <c r="L68" s="76">
        <v>0.14531148076057435</v>
      </c>
      <c r="M68" s="78">
        <v>1.4539431878491578</v>
      </c>
    </row>
    <row r="70" spans="3:13">
      <c r="C70" s="188" t="s">
        <v>300</v>
      </c>
      <c r="D70" s="282" t="s">
        <v>563</v>
      </c>
      <c r="E70" s="282"/>
      <c r="F70" s="282"/>
      <c r="G70" s="283"/>
      <c r="I70" s="188" t="s">
        <v>300</v>
      </c>
      <c r="J70" s="282" t="s">
        <v>512</v>
      </c>
      <c r="K70" s="282"/>
      <c r="L70" s="282"/>
      <c r="M70" s="283"/>
    </row>
    <row r="71" spans="3:13">
      <c r="C71" s="291">
        <f>C31</f>
        <v>0.17093083262443542</v>
      </c>
      <c r="D71" s="294">
        <v>1200</v>
      </c>
      <c r="E71" s="294">
        <v>1400</v>
      </c>
      <c r="F71" s="294">
        <v>1600</v>
      </c>
      <c r="G71" s="295">
        <v>1800</v>
      </c>
      <c r="I71" s="291">
        <f>C31</f>
        <v>0.17093083262443542</v>
      </c>
      <c r="J71" s="292">
        <v>5.5E-2</v>
      </c>
      <c r="K71" s="292">
        <v>0.06</v>
      </c>
      <c r="L71" s="292">
        <v>6.5000000000000002E-2</v>
      </c>
      <c r="M71" s="293">
        <v>7.0000000000000007E-2</v>
      </c>
    </row>
    <row r="72" spans="3:13">
      <c r="C72" s="85">
        <v>0.4</v>
      </c>
      <c r="D72" s="82">
        <f t="dataTable" ref="D72:G78" dt2D="1" dtr="1" r1="A11" r2="A25" ca="1"/>
        <v>0.12082239985466003</v>
      </c>
      <c r="E72" s="82">
        <v>0.2503592908382416</v>
      </c>
      <c r="F72" s="82">
        <v>0.36006968617439272</v>
      </c>
      <c r="G72" s="128">
        <v>0.45650063157081611</v>
      </c>
      <c r="I72" s="87">
        <v>1100</v>
      </c>
      <c r="J72" s="82">
        <f t="dataTable" ref="J72:M78" dt2D="1" dtr="1" r1="A28" r2="A11"/>
        <v>5.0682434439659113E-2</v>
      </c>
      <c r="K72" s="82">
        <v>2.1463504433631896E-2</v>
      </c>
      <c r="L72" s="82">
        <v>-4.6187967061996462E-3</v>
      </c>
      <c r="M72" s="128">
        <v>-2.8102961182594297E-2</v>
      </c>
    </row>
    <row r="73" spans="3:13">
      <c r="C73" s="85">
        <v>0.6</v>
      </c>
      <c r="D73" s="82">
        <v>0.10322121977806092</v>
      </c>
      <c r="E73" s="82">
        <v>0.23196672797203063</v>
      </c>
      <c r="F73" s="82">
        <v>0.34098432660102851</v>
      </c>
      <c r="G73" s="128">
        <v>0.43679068684577937</v>
      </c>
      <c r="I73" s="87">
        <v>1200</v>
      </c>
      <c r="J73" s="82">
        <v>0.12895719408988954</v>
      </c>
      <c r="K73" s="82">
        <v>9.7815948724746721E-2</v>
      </c>
      <c r="L73" s="82">
        <v>7.0021846890449504E-2</v>
      </c>
      <c r="M73" s="128">
        <v>4.5000055432319649E-2</v>
      </c>
    </row>
    <row r="74" spans="3:13">
      <c r="C74" s="85">
        <v>0.8</v>
      </c>
      <c r="D74" s="82">
        <v>8.6300531029701241E-2</v>
      </c>
      <c r="E74" s="82">
        <v>0.2142540276050568</v>
      </c>
      <c r="F74" s="82">
        <v>0.32258167862892162</v>
      </c>
      <c r="G74" s="128">
        <v>0.41776801943778996</v>
      </c>
      <c r="I74" s="87">
        <v>1300</v>
      </c>
      <c r="J74" s="82">
        <v>0.19878985285758971</v>
      </c>
      <c r="K74" s="82">
        <v>0.16594737172126772</v>
      </c>
      <c r="L74" s="82">
        <v>0.13663856387138365</v>
      </c>
      <c r="M74" s="128">
        <v>0.11025639176368712</v>
      </c>
    </row>
    <row r="75" spans="3:13">
      <c r="C75" s="85">
        <v>1</v>
      </c>
      <c r="D75" s="82">
        <v>7.0021846890449504E-2</v>
      </c>
      <c r="E75" s="82">
        <v>0.19718410372734071</v>
      </c>
      <c r="F75" s="82">
        <v>0.30482552647590633</v>
      </c>
      <c r="G75" s="128">
        <v>0.39939695000648501</v>
      </c>
      <c r="I75" s="87">
        <v>1400</v>
      </c>
      <c r="J75" s="82">
        <v>0.26223464608192448</v>
      </c>
      <c r="K75" s="82">
        <v>0.22785834670066835</v>
      </c>
      <c r="L75" s="82">
        <v>0.19718410372734071</v>
      </c>
      <c r="M75" s="128">
        <v>0.16957578063011172</v>
      </c>
    </row>
    <row r="76" spans="3:13">
      <c r="C76" s="85">
        <v>1.2</v>
      </c>
      <c r="D76" s="82">
        <v>5.4349365830421464E-2</v>
      </c>
      <c r="E76" s="82">
        <v>0.18072240948677062</v>
      </c>
      <c r="F76" s="82">
        <v>0.2876820504665375</v>
      </c>
      <c r="G76" s="128">
        <v>0.38164413571357714</v>
      </c>
      <c r="I76" s="87">
        <v>1500</v>
      </c>
      <c r="J76" s="82">
        <v>0.32064669728279127</v>
      </c>
      <c r="K76" s="82">
        <v>0.28486854434013376</v>
      </c>
      <c r="L76" s="82">
        <v>0.25294651389122003</v>
      </c>
      <c r="M76" s="128">
        <v>0.22421786189079287</v>
      </c>
    </row>
    <row r="77" spans="3:13">
      <c r="C77" s="85">
        <v>1.4</v>
      </c>
      <c r="D77" s="82">
        <v>3.9249762892723083E-2</v>
      </c>
      <c r="E77" s="82">
        <v>0.16483672261238097</v>
      </c>
      <c r="F77" s="82">
        <v>0.27111966013908384</v>
      </c>
      <c r="G77" s="128">
        <v>0.36447837948799133</v>
      </c>
      <c r="I77" s="87">
        <v>1600</v>
      </c>
      <c r="J77" s="82">
        <v>0.37497257590293886</v>
      </c>
      <c r="K77" s="82">
        <v>0.337899762392044</v>
      </c>
      <c r="L77" s="82">
        <v>0.30482552647590633</v>
      </c>
      <c r="M77" s="128">
        <v>0.27506245970726018</v>
      </c>
    </row>
    <row r="78" spans="3:13">
      <c r="C78" s="86">
        <v>1.6</v>
      </c>
      <c r="D78" s="84">
        <v>2.4692013859748844E-2</v>
      </c>
      <c r="E78" s="84">
        <v>0.14949696660041811</v>
      </c>
      <c r="F78" s="84">
        <v>0.25510885119438165</v>
      </c>
      <c r="G78" s="129">
        <v>0.34787049889564514</v>
      </c>
      <c r="I78" s="88">
        <v>1700</v>
      </c>
      <c r="J78" s="84">
        <v>0.42590271830558779</v>
      </c>
      <c r="K78" s="84">
        <v>0.38762434124946588</v>
      </c>
      <c r="L78" s="84">
        <v>0.35347731709480279</v>
      </c>
      <c r="M78" s="129">
        <v>0.32275128960609445</v>
      </c>
    </row>
  </sheetData>
  <mergeCells count="2">
    <mergeCell ref="D70:G70"/>
    <mergeCell ref="J70:M7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B0C7-9655-405A-80CB-DD1CF4D6A87D}">
  <dimension ref="A2:F45"/>
  <sheetViews>
    <sheetView topLeftCell="A16" workbookViewId="0">
      <selection activeCell="E51" sqref="E51"/>
    </sheetView>
  </sheetViews>
  <sheetFormatPr defaultColWidth="9.140625" defaultRowHeight="15"/>
  <cols>
    <col min="1" max="1" width="28.7109375" bestFit="1" customWidth="1"/>
    <col min="2" max="2" width="27.85546875" bestFit="1" customWidth="1"/>
    <col min="3" max="3" width="12.28515625" bestFit="1" customWidth="1"/>
    <col min="4" max="6" width="12.5703125" bestFit="1" customWidth="1"/>
    <col min="7" max="7" width="9.140625" customWidth="1"/>
    <col min="8" max="8" width="13.28515625" customWidth="1"/>
  </cols>
  <sheetData>
    <row r="2" spans="1:6">
      <c r="A2" s="133" t="s">
        <v>375</v>
      </c>
      <c r="B2" s="134"/>
      <c r="C2" s="135" t="s">
        <v>498</v>
      </c>
      <c r="D2" s="135" t="s">
        <v>499</v>
      </c>
      <c r="E2" s="135" t="s">
        <v>500</v>
      </c>
      <c r="F2" s="136" t="s">
        <v>501</v>
      </c>
    </row>
    <row r="3" spans="1:6">
      <c r="A3" s="137"/>
      <c r="B3" s="66"/>
      <c r="F3" s="18"/>
    </row>
    <row r="4" spans="1:6">
      <c r="A4" s="138" t="s">
        <v>376</v>
      </c>
      <c r="B4" s="66" t="s">
        <v>382</v>
      </c>
      <c r="D4" s="256">
        <f>SUMIFS('Monthly DCF'!$D4:$AM4,'Monthly DCF'!$D$3:$AM$3,"&gt;=1",'Monthly DCF'!$D$3:$AM$3,"&lt;=12")</f>
        <v>20</v>
      </c>
      <c r="E4" s="256">
        <f>SUMIFS('Monthly DCF'!$D$4:$AM$4,'Monthly DCF'!$D$3:$AM$3,"&gt;=13",'Monthly DCF'!$D$3:$AM$3,"&lt;=24")</f>
        <v>17</v>
      </c>
      <c r="F4" s="244">
        <f>SUMIFS('Monthly DCF'!$D$4:$AM$4,'Monthly DCF'!$D$3:$AM$3,"&gt;=25",'Monthly DCF'!$D$3:$AM$3,"&lt;=36")</f>
        <v>0</v>
      </c>
    </row>
    <row r="5" spans="1:6">
      <c r="A5" s="139">
        <v>46388</v>
      </c>
      <c r="B5" s="66" t="s">
        <v>383</v>
      </c>
      <c r="D5">
        <f>D4+SUM($C$4:C4)</f>
        <v>20</v>
      </c>
      <c r="E5">
        <f>E4+SUM($C$4:D4)</f>
        <v>37</v>
      </c>
      <c r="F5" s="18">
        <f>F4+SUM($C$4:E4)</f>
        <v>37</v>
      </c>
    </row>
    <row r="6" spans="1:6">
      <c r="A6" s="138" t="s">
        <v>377</v>
      </c>
      <c r="B6" s="66" t="s">
        <v>385</v>
      </c>
      <c r="D6">
        <f>D5</f>
        <v>20</v>
      </c>
      <c r="E6">
        <f t="shared" ref="E6:F6" si="0">E5</f>
        <v>37</v>
      </c>
      <c r="F6" s="18">
        <f t="shared" si="0"/>
        <v>37</v>
      </c>
    </row>
    <row r="7" spans="1:6">
      <c r="A7" s="140">
        <v>24</v>
      </c>
      <c r="B7" s="66" t="s">
        <v>384</v>
      </c>
      <c r="D7">
        <f>37-D6</f>
        <v>17</v>
      </c>
      <c r="E7">
        <f t="shared" ref="E7:F7" si="1">37-E6</f>
        <v>0</v>
      </c>
      <c r="F7" s="18">
        <f t="shared" si="1"/>
        <v>0</v>
      </c>
    </row>
    <row r="8" spans="1:6">
      <c r="A8" s="138" t="s">
        <v>17</v>
      </c>
      <c r="B8" s="66"/>
      <c r="F8" s="18"/>
    </row>
    <row r="9" spans="1:6">
      <c r="A9" s="139">
        <v>47484</v>
      </c>
      <c r="B9" s="66"/>
      <c r="F9" s="18"/>
    </row>
    <row r="10" spans="1:6">
      <c r="A10" s="141"/>
      <c r="B10" s="66" t="s">
        <v>381</v>
      </c>
      <c r="D10" s="90">
        <f>SUMIFS('Monthly DCF'!$D10:$AM10,'Monthly DCF'!$D$3:$AM$3,"&gt;=1",'Monthly DCF'!$D$3:$AM$3,"&lt;=12")</f>
        <v>377962.25225225225</v>
      </c>
      <c r="E10" s="90">
        <f>SUMIFS('Monthly DCF'!$D10:$AM10,'Monthly DCF'!$D$3:$AM$3,"&gt;=13",'Monthly DCF'!$D$3:$AM$3,"&lt;=24")</f>
        <v>525768.22822822817</v>
      </c>
      <c r="F10" s="42">
        <f>SUMIFS('Monthly DCF'!$D10:$AM10,'Monthly DCF'!$D$3:$AM$3,"&gt;=25",'Monthly DCF'!$D$3:$AM$3,"&lt;=36")</f>
        <v>601866.66666666663</v>
      </c>
    </row>
    <row r="11" spans="1:6">
      <c r="A11" s="142"/>
      <c r="B11" s="66" t="s">
        <v>10</v>
      </c>
      <c r="D11" s="90">
        <f>SUMIFS('Monthly DCF'!$D11:$AM11,'Monthly DCF'!$D$3:$AM$3,"&gt;=1",'Monthly DCF'!$D$3:$AM$3,"&lt;=12")</f>
        <v>11500.000000000002</v>
      </c>
      <c r="E11" s="90">
        <f>SUMIFS('Monthly DCF'!$D11:$AM11,'Monthly DCF'!$D$3:$AM$3,"&gt;=13",'Monthly DCF'!$D$3:$AM$3,"&lt;=24")</f>
        <v>11500.000000000002</v>
      </c>
      <c r="F11" s="42">
        <f>SUMIFS('Monthly DCF'!$D11:$AM11,'Monthly DCF'!$D$3:$AM$3,"&gt;=25",'Monthly DCF'!$D$3:$AM$3,"&lt;=36")</f>
        <v>11500.000000000002</v>
      </c>
    </row>
    <row r="12" spans="1:6">
      <c r="A12" s="143"/>
      <c r="B12" s="66" t="s">
        <v>287</v>
      </c>
      <c r="D12" s="144">
        <f>SUMIFS('Monthly DCF'!$D12:$AM12,'Monthly DCF'!$D$3:$AM$3,"&gt;=1",'Monthly DCF'!$D$3:$AM$3,"&lt;=12")</f>
        <v>-27015.265045045064</v>
      </c>
      <c r="E12" s="144">
        <f>SUMIFS('Monthly DCF'!$D12:$AM12,'Monthly DCF'!$D$3:$AM$3,"&gt;=13",'Monthly DCF'!$D$3:$AM$3,"&lt;=24")</f>
        <v>-30195.136456456461</v>
      </c>
      <c r="F12" s="145">
        <f>SUMIFS('Monthly DCF'!$D12:$AM12,'Monthly DCF'!$D$3:$AM$3,"&gt;=25",'Monthly DCF'!$D$3:$AM$3,"&lt;=36")</f>
        <v>-32533.333333333325</v>
      </c>
    </row>
    <row r="13" spans="1:6">
      <c r="A13" s="146"/>
      <c r="B13" s="66" t="s">
        <v>378</v>
      </c>
      <c r="D13" s="144">
        <f>SUMIFS('Monthly DCF'!$D13:$AM13,'Monthly DCF'!$D$3:$AM$3,"&gt;=1",'Monthly DCF'!$D$3:$AM$3,"&lt;=12")</f>
        <v>-8982.5783783783791</v>
      </c>
      <c r="E13" s="144">
        <f>SUMIFS('Monthly DCF'!$D13:$AM13,'Monthly DCF'!$D$3:$AM$3,"&gt;=13",'Monthly DCF'!$D$3:$AM$3,"&lt;=24")</f>
        <v>-15137.809009009006</v>
      </c>
      <c r="F13" s="145">
        <f>SUMIFS('Monthly DCF'!$D13:$AM13,'Monthly DCF'!$D$3:$AM$3,"&gt;=25",'Monthly DCF'!$D$3:$AM$3,"&lt;=36")</f>
        <v>-18055.999999999996</v>
      </c>
    </row>
    <row r="14" spans="1:6">
      <c r="A14" s="146"/>
      <c r="B14" s="147" t="s">
        <v>6</v>
      </c>
      <c r="C14" s="2"/>
      <c r="D14" s="148">
        <f>SUMIFS('Monthly DCF'!$D14:$AM14,'Monthly DCF'!$D$3:$AM$3,"&gt;=1",'Monthly DCF'!$D$3:$AM$3,"&lt;=12")</f>
        <v>353464.40882882877</v>
      </c>
      <c r="E14" s="148">
        <f>SUMIFS('Monthly DCF'!$D14:$AM14,'Monthly DCF'!$D$3:$AM$3,"&gt;=13",'Monthly DCF'!$D$3:$AM$3,"&lt;=24")</f>
        <v>491935.28276276268</v>
      </c>
      <c r="F14" s="64">
        <f>SUMIFS('Monthly DCF'!$D14:$AM14,'Monthly DCF'!$D$3:$AM$3,"&gt;=25",'Monthly DCF'!$D$3:$AM$3,"&lt;=36")</f>
        <v>562777.33333333337</v>
      </c>
    </row>
    <row r="15" spans="1:6">
      <c r="A15" s="146"/>
      <c r="B15" s="66"/>
      <c r="F15" s="18"/>
    </row>
    <row r="16" spans="1:6">
      <c r="A16" s="146"/>
      <c r="B16" s="147" t="s">
        <v>7</v>
      </c>
      <c r="D16" s="149">
        <f>SUMIFS('Monthly DCF'!$D16:$AM16,'Monthly DCF'!$D$3:$AM$3,"&gt;=1",'Monthly DCF'!$D$3:$AM$3,"&lt;=12")</f>
        <v>-166194.61683783785</v>
      </c>
      <c r="E16" s="149">
        <f>SUMIFS('Monthly DCF'!$D16:$AM16,'Monthly DCF'!$D$3:$AM$3,"&gt;=13",'Monthly DCF'!$D$3:$AM$3,"&lt;=24")</f>
        <v>-218151.32494894895</v>
      </c>
      <c r="F16" s="150">
        <f>SUMIFS('Monthly DCF'!$D16:$AM16,'Monthly DCF'!$D$3:$AM$3,"&gt;=25",'Monthly DCF'!$D$3:$AM$3,"&lt;=36")</f>
        <v>-246138.86666666667</v>
      </c>
    </row>
    <row r="17" spans="1:6">
      <c r="A17" s="146"/>
      <c r="B17" s="147"/>
      <c r="F17" s="18"/>
    </row>
    <row r="18" spans="1:6">
      <c r="A18" s="146"/>
      <c r="B18" s="147" t="s">
        <v>314</v>
      </c>
      <c r="D18" s="148">
        <f>SUMIFS('Monthly DCF'!$D18:$AM18,'Monthly DCF'!$D$3:$AM$3,"&gt;=1",'Monthly DCF'!$D$3:$AM$3,"&lt;=12")</f>
        <v>187269.79199099093</v>
      </c>
      <c r="E18" s="148">
        <f>SUMIFS('Monthly DCF'!$D18:$AM18,'Monthly DCF'!$D$3:$AM$3,"&gt;=13",'Monthly DCF'!$D$3:$AM$3,"&lt;=24")</f>
        <v>273783.95781381382</v>
      </c>
      <c r="F18" s="64">
        <f>SUMIFS('Monthly DCF'!$D18:$AM18,'Monthly DCF'!$D$3:$AM$3,"&gt;=25",'Monthly DCF'!$D$3:$AM$3,"&lt;=36")</f>
        <v>316638.46666666673</v>
      </c>
    </row>
    <row r="19" spans="1:6">
      <c r="A19" s="146"/>
      <c r="B19" s="66" t="s">
        <v>401</v>
      </c>
      <c r="D19" s="149">
        <f>SUMIFS('Monthly DCF'!$D19:$AM19,'Monthly DCF'!$D$3:$AM$3,"&gt;=1",'Monthly DCF'!$D$3:$AM$3,"&lt;=12")</f>
        <v>-9250</v>
      </c>
      <c r="E19" s="149">
        <f>SUMIFS('Monthly DCF'!$D19:$AM19,'Monthly DCF'!$D$3:$AM$3,"&gt;=13",'Monthly DCF'!$D$3:$AM$3,"&lt;=24")</f>
        <v>-9250</v>
      </c>
      <c r="F19" s="150">
        <f>SUMIFS('Monthly DCF'!$D19:$AM19,'Monthly DCF'!$D$3:$AM$3,"&gt;=25",'Monthly DCF'!$D$3:$AM$3,"&lt;=36")</f>
        <v>-9250</v>
      </c>
    </row>
    <row r="20" spans="1:6">
      <c r="A20" s="146"/>
      <c r="B20" s="147" t="s">
        <v>404</v>
      </c>
      <c r="D20" s="148">
        <f>SUMIFS('Monthly DCF'!$D20:$AM20,'Monthly DCF'!$D$3:$AM$3,"&gt;=1",'Monthly DCF'!$D$3:$AM$3,"&lt;=12")</f>
        <v>178019.79199099095</v>
      </c>
      <c r="E20" s="148">
        <f>SUMIFS('Monthly DCF'!$D20:$AM20,'Monthly DCF'!$D$3:$AM$3,"&gt;=13",'Monthly DCF'!$D$3:$AM$3,"&lt;=24")</f>
        <v>264533.95781381382</v>
      </c>
      <c r="F20" s="64">
        <f>SUMIFS('Monthly DCF'!$D20:$AM20,'Monthly DCF'!$D$3:$AM$3,"&gt;=25",'Monthly DCF'!$D$3:$AM$3,"&lt;=36")</f>
        <v>307388.46666666667</v>
      </c>
    </row>
    <row r="21" spans="1:6">
      <c r="A21" s="141"/>
      <c r="B21" s="66"/>
      <c r="F21" s="18"/>
    </row>
    <row r="22" spans="1:6">
      <c r="A22" s="151"/>
      <c r="B22" s="66" t="s">
        <v>389</v>
      </c>
      <c r="C22" s="149">
        <f>'Monthly DCF'!C22</f>
        <v>-2858250</v>
      </c>
      <c r="D22" s="149"/>
      <c r="E22" s="149"/>
      <c r="F22" s="150"/>
    </row>
    <row r="23" spans="1:6">
      <c r="A23" s="146"/>
      <c r="B23" s="66"/>
      <c r="C23" s="149"/>
      <c r="D23" s="149"/>
      <c r="E23" s="149"/>
      <c r="F23" s="150"/>
    </row>
    <row r="24" spans="1:6">
      <c r="A24" s="141"/>
      <c r="B24" s="147" t="s">
        <v>278</v>
      </c>
      <c r="C24" s="152"/>
      <c r="D24" s="149"/>
      <c r="E24" s="149"/>
      <c r="F24" s="150"/>
    </row>
    <row r="25" spans="1:6">
      <c r="A25" s="153"/>
      <c r="B25" s="66" t="s">
        <v>386</v>
      </c>
      <c r="C25" s="149"/>
      <c r="D25" s="149">
        <f>SUMIFS('Monthly DCF'!$D25:$AM25,'Monthly DCF'!$D$3:$AM$3,"&gt;=1",'Monthly DCF'!$D$3:$AM$3,"&lt;=12")</f>
        <v>-265945.94594594592</v>
      </c>
      <c r="E25" s="149">
        <f>SUMIFS('Monthly DCF'!$D25:$AM25,'Monthly DCF'!$D$3:$AM$3,"&gt;=13",'Monthly DCF'!$D$3:$AM$3,"&lt;=24")</f>
        <v>-226054.05405405411</v>
      </c>
      <c r="F25" s="150"/>
    </row>
    <row r="26" spans="1:6">
      <c r="A26" s="146"/>
      <c r="B26" s="66" t="s">
        <v>379</v>
      </c>
      <c r="C26" s="149"/>
      <c r="D26" s="149">
        <f>SUMIFS('Monthly DCF'!$D26:$AM26,'Monthly DCF'!$D$3:$AM$3,"&gt;=1",'Monthly DCF'!$D$3:$AM$3,"&lt;=12")</f>
        <v>-248000.00000000003</v>
      </c>
      <c r="E26" s="149"/>
      <c r="F26" s="150"/>
    </row>
    <row r="27" spans="1:6">
      <c r="A27" s="141"/>
      <c r="B27" s="66"/>
      <c r="C27" s="149"/>
      <c r="D27" s="149"/>
      <c r="E27" s="149"/>
      <c r="F27" s="150"/>
    </row>
    <row r="28" spans="1:6">
      <c r="A28" s="153"/>
      <c r="B28" s="66" t="s">
        <v>388</v>
      </c>
      <c r="C28" s="154"/>
      <c r="D28" s="154"/>
      <c r="E28" s="154"/>
      <c r="F28" s="155">
        <f>SUMIFS('Monthly DCF'!$D28:$AM28,'Monthly DCF'!$D$3:$AM$3,"&gt;=25",'Monthly DCF'!$D$3:$AM$3,"&lt;=36")</f>
        <v>4725220.1948717954</v>
      </c>
    </row>
    <row r="29" spans="1:6">
      <c r="A29" s="146"/>
      <c r="B29" s="66"/>
      <c r="C29" s="156"/>
      <c r="D29" s="156"/>
      <c r="E29" s="156"/>
      <c r="F29" s="157"/>
    </row>
    <row r="30" spans="1:6">
      <c r="A30" s="179"/>
      <c r="B30" s="180" t="s">
        <v>380</v>
      </c>
      <c r="C30" s="180">
        <f>'Monthly DCF'!C30</f>
        <v>-2858250</v>
      </c>
      <c r="D30" s="180">
        <f>SUMIFS('Monthly DCF'!$D30:$AM30,'Monthly DCF'!$D$3:$AM$3,"&gt;=1",'Monthly DCF'!$D$3:$AM$3,"&lt;=12")</f>
        <v>-335926.15395495499</v>
      </c>
      <c r="E30" s="180">
        <f>SUMIFS('Monthly DCF'!$D30:$AM30,'Monthly DCF'!$D$3:$AM$3,"&gt;=13",'Monthly DCF'!$D$3:$AM$3,"&lt;=24")</f>
        <v>38479.903759759778</v>
      </c>
      <c r="F30" s="181">
        <f>SUMIFS('Monthly DCF'!$D30:$AM30,'Monthly DCF'!$D$3:$AM$3,"&gt;=25",'Monthly DCF'!$D$3:$AM$3,"&lt;=36")</f>
        <v>5032608.6615384622</v>
      </c>
    </row>
    <row r="31" spans="1:6">
      <c r="A31" s="146"/>
      <c r="B31" s="158" t="s">
        <v>387</v>
      </c>
      <c r="C31" s="159">
        <f>'Monthly DCF'!C31</f>
        <v>0.17093083262443542</v>
      </c>
      <c r="F31" s="18"/>
    </row>
    <row r="32" spans="1:6">
      <c r="A32" s="146"/>
      <c r="B32" s="158" t="s">
        <v>405</v>
      </c>
      <c r="C32" s="160">
        <f>'Monthly DCF'!C32</f>
        <v>1.5797279529758952</v>
      </c>
      <c r="F32" s="18"/>
    </row>
    <row r="33" spans="1:6">
      <c r="A33" s="146"/>
      <c r="B33" s="66"/>
      <c r="F33" s="18"/>
    </row>
    <row r="34" spans="1:6">
      <c r="A34" s="141"/>
      <c r="B34" s="147" t="s">
        <v>12</v>
      </c>
      <c r="F34" s="18"/>
    </row>
    <row r="35" spans="1:6">
      <c r="A35" s="146" t="s">
        <v>393</v>
      </c>
      <c r="B35" s="161">
        <f>Summary!E22</f>
        <v>1942499.9999999998</v>
      </c>
      <c r="C35" s="7">
        <f>'Monthly DCF'!C35</f>
        <v>1942499.9999999998</v>
      </c>
      <c r="D35" s="90">
        <f>SUMIFS('Monthly DCF'!$D35:$AM35,'Monthly DCF'!$D$3:$AM$3,"&gt;=1",'Monthly DCF'!$D$3:$AM$3,"&lt;=12")</f>
        <v>0</v>
      </c>
      <c r="E35" s="90">
        <f>SUMIFS('Monthly DCF'!$D35:$AM35,'Monthly DCF'!$D$3:$AM$3,"&gt;=13",'Monthly DCF'!$D$3:$AM$3,"&lt;=24")</f>
        <v>0</v>
      </c>
      <c r="F35" s="42">
        <f>SUMIFS('Monthly DCF'!$D35:$AM35,'Monthly DCF'!$D$3:$AM$3,"&gt;=25",'Monthly DCF'!$D$3:$AM$3,"&lt;=36")</f>
        <v>0</v>
      </c>
    </row>
    <row r="36" spans="1:6">
      <c r="A36" s="146" t="s">
        <v>399</v>
      </c>
      <c r="B36" s="161">
        <f>Summary!E22*0.03</f>
        <v>58274.999999999993</v>
      </c>
      <c r="C36" s="7">
        <f>'Monthly DCF'!C36</f>
        <v>0</v>
      </c>
      <c r="D36" s="90">
        <f>SUMIFS('Monthly DCF'!$D36:$AM36,'Monthly DCF'!$D$3:$AM$3,"&gt;=1",'Monthly DCF'!$D$3:$AM$3,"&lt;=12")</f>
        <v>0</v>
      </c>
      <c r="E36" s="90">
        <f>SUMIFS('Monthly DCF'!$D36:$AM36,'Monthly DCF'!$D$3:$AM$3,"&gt;=13",'Monthly DCF'!$D$3:$AM$3,"&lt;=24")</f>
        <v>0</v>
      </c>
      <c r="F36" s="42">
        <f>SUMIFS('Monthly DCF'!$D36:$AM36,'Monthly DCF'!$D$3:$AM$3,"&gt;=25",'Monthly DCF'!$D$3:$AM$3,"&lt;=36")</f>
        <v>0</v>
      </c>
    </row>
    <row r="37" spans="1:6">
      <c r="A37" s="146" t="s">
        <v>400</v>
      </c>
      <c r="B37" s="161">
        <f>SUM(C37:AN37)</f>
        <v>1353349.4548948952</v>
      </c>
      <c r="C37" s="7">
        <f>'Monthly DCF'!C37</f>
        <v>974025.00000000023</v>
      </c>
      <c r="D37" s="7">
        <f>SUMIFS('Monthly DCF'!$D37:$AM37,'Monthly DCF'!$D$3:$AM$3,"&gt;=1",'Monthly DCF'!$D$3:$AM$3,"&lt;=12")</f>
        <v>342877.91976576578</v>
      </c>
      <c r="E37" s="7">
        <f>SUMIFS('Monthly DCF'!$D37:$AM37,'Monthly DCF'!$D$3:$AM$3,"&gt;=13",'Monthly DCF'!$D$3:$AM$3,"&lt;=24")</f>
        <v>36446.535129129123</v>
      </c>
      <c r="F37" s="63">
        <f>SUMIFS('Monthly DCF'!$D37:$AM37,'Monthly DCF'!$D$3:$AM$3,"&gt;=25",'Monthly DCF'!$D$3:$AM$3,"&lt;=36")</f>
        <v>0</v>
      </c>
    </row>
    <row r="38" spans="1:6">
      <c r="A38" s="146"/>
      <c r="B38" s="147"/>
      <c r="C38" s="90"/>
      <c r="F38" s="18"/>
    </row>
    <row r="39" spans="1:6">
      <c r="A39" s="168" t="s">
        <v>394</v>
      </c>
      <c r="B39" s="162" t="s">
        <v>395</v>
      </c>
      <c r="C39" s="7">
        <f>'Monthly DCF'!C39</f>
        <v>1942499.9999999998</v>
      </c>
      <c r="D39" s="7">
        <f>'Monthly DCF'!O39</f>
        <v>2101854.7422194192</v>
      </c>
      <c r="E39" s="7">
        <f>'Monthly DCF'!AA39</f>
        <v>2233970.9799999627</v>
      </c>
      <c r="F39" s="63">
        <f>'Monthly DCF'!AM39</f>
        <v>2239094.6028905031</v>
      </c>
    </row>
    <row r="40" spans="1:6">
      <c r="A40" s="146"/>
      <c r="B40" s="66" t="s">
        <v>396</v>
      </c>
      <c r="C40" s="7">
        <f>'Monthly DCF'!C40</f>
        <v>0</v>
      </c>
      <c r="D40" s="7">
        <f>SUMIFS('Monthly DCF'!$D40:$AM40,'Monthly DCF'!$D$3:$AM$3,"&gt;=1",'Monthly DCF'!$D$3:$AM$3,"&lt;=12")</f>
        <v>182070.41859687533</v>
      </c>
      <c r="E40" s="7">
        <f>SUMIFS('Monthly DCF'!$D40:$AM40,'Monthly DCF'!$D$3:$AM$3,"&gt;=13",'Monthly DCF'!$D$3:$AM$3,"&lt;=24")</f>
        <v>196402.38899332637</v>
      </c>
      <c r="F40" s="63">
        <f>SUMIFS('Monthly DCF'!$D40:$AM40,'Monthly DCF'!$D$3:$AM$3,"&gt;=25",'Monthly DCF'!$D$3:$AM$3,"&lt;=36")</f>
        <v>201518.51426014525</v>
      </c>
    </row>
    <row r="41" spans="1:6">
      <c r="A41" s="146"/>
      <c r="B41" s="66" t="s">
        <v>398</v>
      </c>
      <c r="C41" s="7">
        <f>'Monthly DCF'!C41</f>
        <v>0</v>
      </c>
      <c r="D41" s="7">
        <f>SUMIFS('Monthly DCF'!$D41:$AM41,'Monthly DCF'!$D$3:$AM$3,"&gt;=1",'Monthly DCF'!$D$3:$AM$3,"&lt;=12")</f>
        <v>175118.65278606454</v>
      </c>
      <c r="E41" s="7">
        <f>SUMIFS('Monthly DCF'!$D41:$AM41,'Monthly DCF'!$D$3:$AM$3,"&gt;=13",'Monthly DCF'!$D$3:$AM$3,"&lt;=24")</f>
        <v>121475.95010443745</v>
      </c>
      <c r="F41" s="63">
        <f>SUMIFS('Monthly DCF'!$D41:$AM41,'Monthly DCF'!$D$3:$AM$3,"&gt;=25",'Monthly DCF'!$D$3:$AM$3,"&lt;=36")</f>
        <v>0</v>
      </c>
    </row>
    <row r="42" spans="1:6">
      <c r="A42" s="146"/>
      <c r="B42" s="66"/>
      <c r="F42" s="18"/>
    </row>
    <row r="43" spans="1:6">
      <c r="A43" s="182"/>
      <c r="B43" s="183" t="s">
        <v>397</v>
      </c>
      <c r="C43" s="184">
        <f>'Monthly DCF'!C43</f>
        <v>-974025.00000000023</v>
      </c>
      <c r="D43" s="184">
        <f>SUMIFS('Monthly DCF'!$D43:$AM43,'Monthly DCF'!$D$3:$AM$3,"&gt;=1",'Monthly DCF'!$D$3:$AM$3,"&lt;=12")</f>
        <v>-342877.91976576578</v>
      </c>
      <c r="E43" s="184">
        <f>SUMIFS('Monthly DCF'!$D43:$AM43,'Monthly DCF'!$D$3:$AM$3,"&gt;=13",'Monthly DCF'!$D$3:$AM$3,"&lt;=24")</f>
        <v>-36446.535129129123</v>
      </c>
      <c r="F43" s="185">
        <f>SUMIFS('Monthly DCF'!$D43:$AM43,'Monthly DCF'!$D$3:$AM$3,"&gt;=25",'Monthly DCF'!$D$3:$AM$3,"&lt;=36")</f>
        <v>2591995.5443878132</v>
      </c>
    </row>
    <row r="44" spans="1:6">
      <c r="A44" s="146"/>
      <c r="B44" s="163" t="s">
        <v>387</v>
      </c>
      <c r="C44" s="164">
        <f>'Monthly DCF'!C44</f>
        <v>0.2548116147518158</v>
      </c>
      <c r="F44" s="18"/>
    </row>
    <row r="45" spans="1:6">
      <c r="A45" s="165"/>
      <c r="B45" s="166" t="s">
        <v>405</v>
      </c>
      <c r="C45" s="167">
        <f>'Monthly DCF'!C45</f>
        <v>1.9152448283131094</v>
      </c>
      <c r="D45" s="89"/>
      <c r="E45" s="89"/>
      <c r="F45" s="21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D672-8B73-4BF6-B66C-C9191A0EB728}">
  <dimension ref="B2:J59"/>
  <sheetViews>
    <sheetView tabSelected="1" topLeftCell="A23" zoomScaleNormal="100" workbookViewId="0">
      <selection activeCell="B2" sqref="B2:E59"/>
    </sheetView>
  </sheetViews>
  <sheetFormatPr defaultColWidth="9.140625" defaultRowHeight="15"/>
  <cols>
    <col min="1" max="1" width="9.140625" customWidth="1"/>
    <col min="2" max="2" width="17.5703125" bestFit="1" customWidth="1"/>
    <col min="3" max="3" width="21" bestFit="1" customWidth="1"/>
    <col min="4" max="4" width="17.7109375" bestFit="1" customWidth="1"/>
    <col min="5" max="5" width="11.85546875" bestFit="1" customWidth="1"/>
    <col min="6" max="6" width="7.28515625" customWidth="1"/>
    <col min="7" max="7" width="15.28515625" bestFit="1" customWidth="1"/>
    <col min="8" max="8" width="20" bestFit="1" customWidth="1"/>
    <col min="9" max="9" width="17.7109375" bestFit="1" customWidth="1"/>
    <col min="10" max="10" width="11.85546875" bestFit="1" customWidth="1"/>
    <col min="11" max="12" width="9.140625" customWidth="1"/>
  </cols>
  <sheetData>
    <row r="2" spans="2:10">
      <c r="B2" s="284" t="s">
        <v>513</v>
      </c>
      <c r="C2" s="285"/>
      <c r="D2" s="285"/>
      <c r="E2" s="286"/>
      <c r="G2" s="284" t="s">
        <v>514</v>
      </c>
      <c r="H2" s="285"/>
      <c r="I2" s="285"/>
      <c r="J2" s="286"/>
    </row>
    <row r="3" spans="2:10">
      <c r="B3" s="189" t="s">
        <v>421</v>
      </c>
      <c r="C3" s="91" t="s">
        <v>427</v>
      </c>
      <c r="D3" s="189" t="s">
        <v>422</v>
      </c>
      <c r="E3" s="95">
        <v>22100</v>
      </c>
      <c r="F3" s="97"/>
      <c r="G3" s="189" t="s">
        <v>421</v>
      </c>
      <c r="H3" s="91" t="s">
        <v>456</v>
      </c>
      <c r="I3" s="189" t="s">
        <v>422</v>
      </c>
      <c r="J3" s="95">
        <v>16150</v>
      </c>
    </row>
    <row r="4" spans="2:10">
      <c r="B4" s="190" t="s">
        <v>425</v>
      </c>
      <c r="C4" s="45" t="s">
        <v>426</v>
      </c>
      <c r="D4" s="190" t="s">
        <v>16</v>
      </c>
      <c r="E4" s="92">
        <v>4750000</v>
      </c>
      <c r="F4" s="98"/>
      <c r="G4" s="190" t="s">
        <v>425</v>
      </c>
      <c r="H4" s="45" t="s">
        <v>426</v>
      </c>
      <c r="I4" s="190" t="s">
        <v>16</v>
      </c>
      <c r="J4" s="92">
        <v>4700000</v>
      </c>
    </row>
    <row r="5" spans="2:10">
      <c r="B5" s="190" t="s">
        <v>17</v>
      </c>
      <c r="C5" s="96" t="s">
        <v>428</v>
      </c>
      <c r="D5" s="190" t="s">
        <v>423</v>
      </c>
      <c r="E5" s="92">
        <f>E4/C7</f>
        <v>237500</v>
      </c>
      <c r="F5" s="98"/>
      <c r="G5" s="190" t="s">
        <v>17</v>
      </c>
      <c r="H5" s="96" t="s">
        <v>451</v>
      </c>
      <c r="I5" s="190" t="s">
        <v>423</v>
      </c>
      <c r="J5" s="92">
        <f>J4/H7</f>
        <v>235000</v>
      </c>
    </row>
    <row r="6" spans="2:10">
      <c r="B6" s="190" t="s">
        <v>281</v>
      </c>
      <c r="C6" s="45">
        <v>1962</v>
      </c>
      <c r="D6" s="190" t="s">
        <v>424</v>
      </c>
      <c r="E6" s="93">
        <f>E4/E3</f>
        <v>214.93212669683257</v>
      </c>
      <c r="F6" s="99"/>
      <c r="G6" s="190" t="s">
        <v>281</v>
      </c>
      <c r="H6" s="45" t="s">
        <v>413</v>
      </c>
      <c r="I6" s="190" t="s">
        <v>424</v>
      </c>
      <c r="J6" s="93">
        <f>J4/J3</f>
        <v>291.02167182662538</v>
      </c>
    </row>
    <row r="7" spans="2:10">
      <c r="B7" s="191" t="s">
        <v>561</v>
      </c>
      <c r="C7" s="65">
        <v>20</v>
      </c>
      <c r="D7" s="191" t="s">
        <v>407</v>
      </c>
      <c r="E7" s="102">
        <v>0.05</v>
      </c>
      <c r="F7" s="100"/>
      <c r="G7" s="191" t="s">
        <v>561</v>
      </c>
      <c r="H7" s="65">
        <v>20</v>
      </c>
      <c r="I7" s="191" t="s">
        <v>407</v>
      </c>
      <c r="J7" s="102"/>
    </row>
    <row r="8" spans="2:10">
      <c r="B8" s="189" t="s">
        <v>421</v>
      </c>
      <c r="C8" s="91" t="s">
        <v>429</v>
      </c>
      <c r="D8" s="189" t="s">
        <v>422</v>
      </c>
      <c r="E8" s="95">
        <v>19328</v>
      </c>
      <c r="G8" s="189" t="s">
        <v>421</v>
      </c>
      <c r="H8" s="91" t="s">
        <v>554</v>
      </c>
      <c r="I8" s="189" t="s">
        <v>422</v>
      </c>
      <c r="J8" s="95">
        <v>29610</v>
      </c>
    </row>
    <row r="9" spans="2:10">
      <c r="B9" s="190" t="s">
        <v>425</v>
      </c>
      <c r="C9" s="45" t="s">
        <v>432</v>
      </c>
      <c r="D9" s="190" t="s">
        <v>16</v>
      </c>
      <c r="E9" s="92">
        <v>4110000</v>
      </c>
      <c r="G9" s="190" t="s">
        <v>425</v>
      </c>
      <c r="H9" s="45" t="s">
        <v>457</v>
      </c>
      <c r="I9" s="190" t="s">
        <v>16</v>
      </c>
      <c r="J9" s="92">
        <v>6030000</v>
      </c>
    </row>
    <row r="10" spans="2:10">
      <c r="B10" s="190" t="s">
        <v>17</v>
      </c>
      <c r="C10" s="96" t="s">
        <v>433</v>
      </c>
      <c r="D10" s="190" t="s">
        <v>423</v>
      </c>
      <c r="E10" s="92">
        <f>E9/C12</f>
        <v>186818.18181818182</v>
      </c>
      <c r="G10" s="190" t="s">
        <v>17</v>
      </c>
      <c r="H10" s="96" t="s">
        <v>458</v>
      </c>
      <c r="I10" s="190" t="s">
        <v>423</v>
      </c>
      <c r="J10" s="92">
        <f>J9/H12</f>
        <v>182727.27272727274</v>
      </c>
    </row>
    <row r="11" spans="2:10">
      <c r="B11" s="190" t="s">
        <v>281</v>
      </c>
      <c r="C11" s="45">
        <v>1963</v>
      </c>
      <c r="D11" s="190" t="s">
        <v>424</v>
      </c>
      <c r="E11" s="93">
        <f>E9/E8</f>
        <v>212.64486754966887</v>
      </c>
      <c r="G11" s="190" t="s">
        <v>281</v>
      </c>
      <c r="H11" s="45" t="s">
        <v>414</v>
      </c>
      <c r="I11" s="190" t="s">
        <v>424</v>
      </c>
      <c r="J11" s="93">
        <f>J9/J8</f>
        <v>203.64741641337386</v>
      </c>
    </row>
    <row r="12" spans="2:10">
      <c r="B12" s="191" t="s">
        <v>561</v>
      </c>
      <c r="C12" s="65">
        <v>22</v>
      </c>
      <c r="D12" s="191" t="s">
        <v>407</v>
      </c>
      <c r="E12" s="102"/>
      <c r="G12" s="191" t="s">
        <v>561</v>
      </c>
      <c r="H12" s="65">
        <v>33</v>
      </c>
      <c r="I12" s="191" t="s">
        <v>407</v>
      </c>
      <c r="J12" s="101">
        <v>6.0999999999999999E-2</v>
      </c>
    </row>
    <row r="13" spans="2:10">
      <c r="B13" s="189" t="s">
        <v>421</v>
      </c>
      <c r="C13" s="91" t="s">
        <v>434</v>
      </c>
      <c r="D13" s="189" t="s">
        <v>422</v>
      </c>
      <c r="E13" s="95">
        <v>15740</v>
      </c>
      <c r="G13" s="189" t="s">
        <v>421</v>
      </c>
      <c r="H13" s="91" t="s">
        <v>459</v>
      </c>
      <c r="I13" s="189" t="s">
        <v>422</v>
      </c>
      <c r="J13" s="95">
        <v>15672</v>
      </c>
    </row>
    <row r="14" spans="2:10">
      <c r="B14" s="190" t="s">
        <v>425</v>
      </c>
      <c r="C14" s="45" t="s">
        <v>430</v>
      </c>
      <c r="D14" s="190" t="s">
        <v>16</v>
      </c>
      <c r="E14" s="92">
        <v>5620000</v>
      </c>
      <c r="G14" s="190" t="s">
        <v>425</v>
      </c>
      <c r="H14" s="45" t="s">
        <v>460</v>
      </c>
      <c r="I14" s="190" t="s">
        <v>16</v>
      </c>
      <c r="J14" s="92">
        <v>3450000</v>
      </c>
    </row>
    <row r="15" spans="2:10">
      <c r="B15" s="190" t="s">
        <v>17</v>
      </c>
      <c r="C15" s="96" t="s">
        <v>431</v>
      </c>
      <c r="D15" s="190" t="s">
        <v>423</v>
      </c>
      <c r="E15" s="92">
        <f>E14/C17</f>
        <v>281000</v>
      </c>
      <c r="G15" s="190" t="s">
        <v>17</v>
      </c>
      <c r="H15" s="96" t="s">
        <v>445</v>
      </c>
      <c r="I15" s="190" t="s">
        <v>423</v>
      </c>
      <c r="J15" s="92">
        <f>J14/H17</f>
        <v>172500</v>
      </c>
    </row>
    <row r="16" spans="2:10">
      <c r="B16" s="190" t="s">
        <v>281</v>
      </c>
      <c r="C16" s="45">
        <v>1969</v>
      </c>
      <c r="D16" s="190" t="s">
        <v>424</v>
      </c>
      <c r="E16" s="93">
        <f>E14/E13</f>
        <v>357.0520965692503</v>
      </c>
      <c r="G16" s="190" t="s">
        <v>281</v>
      </c>
      <c r="H16" s="45" t="s">
        <v>415</v>
      </c>
      <c r="I16" s="190" t="s">
        <v>424</v>
      </c>
      <c r="J16" s="93">
        <f>J14/J13</f>
        <v>220.13782542113324</v>
      </c>
    </row>
    <row r="17" spans="2:10">
      <c r="B17" s="191" t="s">
        <v>561</v>
      </c>
      <c r="C17" s="65">
        <v>20</v>
      </c>
      <c r="D17" s="191" t="s">
        <v>407</v>
      </c>
      <c r="E17" s="102">
        <v>5.7500000000000002E-2</v>
      </c>
      <c r="G17" s="191" t="s">
        <v>561</v>
      </c>
      <c r="H17" s="65">
        <v>20</v>
      </c>
      <c r="I17" s="191" t="s">
        <v>407</v>
      </c>
      <c r="J17" s="101">
        <v>5.8999999999999997E-2</v>
      </c>
    </row>
    <row r="18" spans="2:10">
      <c r="B18" s="189" t="s">
        <v>421</v>
      </c>
      <c r="C18" s="91" t="s">
        <v>435</v>
      </c>
      <c r="D18" s="189" t="s">
        <v>422</v>
      </c>
      <c r="E18" s="95">
        <v>15328</v>
      </c>
      <c r="G18" s="189" t="s">
        <v>421</v>
      </c>
      <c r="H18" s="91" t="s">
        <v>461</v>
      </c>
      <c r="I18" s="189" t="s">
        <v>422</v>
      </c>
      <c r="J18" s="95">
        <v>27815</v>
      </c>
    </row>
    <row r="19" spans="2:10">
      <c r="B19" s="190" t="s">
        <v>425</v>
      </c>
      <c r="C19" s="45" t="s">
        <v>436</v>
      </c>
      <c r="D19" s="190" t="s">
        <v>16</v>
      </c>
      <c r="E19" s="92">
        <v>2830000</v>
      </c>
      <c r="G19" s="190" t="s">
        <v>425</v>
      </c>
      <c r="H19" s="45" t="s">
        <v>432</v>
      </c>
      <c r="I19" s="190" t="s">
        <v>16</v>
      </c>
      <c r="J19" s="92">
        <v>6630000</v>
      </c>
    </row>
    <row r="20" spans="2:10">
      <c r="B20" s="190" t="s">
        <v>17</v>
      </c>
      <c r="C20" s="96" t="s">
        <v>437</v>
      </c>
      <c r="D20" s="190" t="s">
        <v>423</v>
      </c>
      <c r="E20" s="92">
        <f>E19/C22</f>
        <v>128636.36363636363</v>
      </c>
      <c r="G20" s="190" t="s">
        <v>17</v>
      </c>
      <c r="H20" s="96" t="s">
        <v>445</v>
      </c>
      <c r="I20" s="190" t="s">
        <v>423</v>
      </c>
      <c r="J20" s="92">
        <f>J19/H22</f>
        <v>132600</v>
      </c>
    </row>
    <row r="21" spans="2:10">
      <c r="B21" s="190" t="s">
        <v>281</v>
      </c>
      <c r="C21" s="45">
        <v>1960</v>
      </c>
      <c r="D21" s="190" t="s">
        <v>424</v>
      </c>
      <c r="E21" s="93">
        <f>E19/E18</f>
        <v>184.62943632567848</v>
      </c>
      <c r="G21" s="190" t="s">
        <v>281</v>
      </c>
      <c r="H21" s="45" t="s">
        <v>416</v>
      </c>
      <c r="I21" s="190" t="s">
        <v>424</v>
      </c>
      <c r="J21" s="93">
        <f>J19/J18</f>
        <v>238.36059680028762</v>
      </c>
    </row>
    <row r="22" spans="2:10">
      <c r="B22" s="191" t="s">
        <v>561</v>
      </c>
      <c r="C22" s="65">
        <v>22</v>
      </c>
      <c r="D22" s="191" t="s">
        <v>407</v>
      </c>
      <c r="E22" s="94"/>
      <c r="G22" s="191" t="s">
        <v>561</v>
      </c>
      <c r="H22" s="65">
        <v>50</v>
      </c>
      <c r="I22" s="191" t="s">
        <v>407</v>
      </c>
      <c r="J22" s="101">
        <v>6.5000000000000002E-2</v>
      </c>
    </row>
    <row r="23" spans="2:10">
      <c r="B23" s="189" t="s">
        <v>421</v>
      </c>
      <c r="C23" s="91" t="s">
        <v>438</v>
      </c>
      <c r="D23" s="189" t="s">
        <v>422</v>
      </c>
      <c r="E23" s="95">
        <v>17030</v>
      </c>
      <c r="G23" s="189" t="s">
        <v>421</v>
      </c>
      <c r="H23" s="91" t="s">
        <v>462</v>
      </c>
      <c r="I23" s="189" t="s">
        <v>422</v>
      </c>
      <c r="J23" s="95">
        <v>30673</v>
      </c>
    </row>
    <row r="24" spans="2:10">
      <c r="B24" s="190" t="s">
        <v>425</v>
      </c>
      <c r="C24" s="45" t="s">
        <v>439</v>
      </c>
      <c r="D24" s="190" t="s">
        <v>16</v>
      </c>
      <c r="E24" s="92">
        <v>3530000</v>
      </c>
      <c r="G24" s="190" t="s">
        <v>425</v>
      </c>
      <c r="H24" s="45" t="s">
        <v>457</v>
      </c>
      <c r="I24" s="190" t="s">
        <v>16</v>
      </c>
      <c r="J24" s="92">
        <v>4750000</v>
      </c>
    </row>
    <row r="25" spans="2:10">
      <c r="B25" s="190" t="s">
        <v>17</v>
      </c>
      <c r="C25" s="96" t="s">
        <v>440</v>
      </c>
      <c r="D25" s="190" t="s">
        <v>423</v>
      </c>
      <c r="E25" s="92">
        <f>E24/C27</f>
        <v>168095.23809523811</v>
      </c>
      <c r="G25" s="190" t="s">
        <v>17</v>
      </c>
      <c r="H25" s="96" t="s">
        <v>433</v>
      </c>
      <c r="I25" s="190" t="s">
        <v>423</v>
      </c>
      <c r="J25" s="92">
        <f>J24/H27</f>
        <v>182692.30769230769</v>
      </c>
    </row>
    <row r="26" spans="2:10">
      <c r="B26" s="190" t="s">
        <v>281</v>
      </c>
      <c r="C26" s="45">
        <v>1969</v>
      </c>
      <c r="D26" s="190" t="s">
        <v>424</v>
      </c>
      <c r="E26" s="93">
        <f>E24/E23</f>
        <v>207.28126834997065</v>
      </c>
      <c r="G26" s="190" t="s">
        <v>281</v>
      </c>
      <c r="H26" s="45" t="s">
        <v>417</v>
      </c>
      <c r="I26" s="190" t="s">
        <v>424</v>
      </c>
      <c r="J26" s="93">
        <f>J24/J23</f>
        <v>154.85932253121638</v>
      </c>
    </row>
    <row r="27" spans="2:10">
      <c r="B27" s="191" t="s">
        <v>561</v>
      </c>
      <c r="C27" s="65">
        <v>21</v>
      </c>
      <c r="D27" s="191" t="s">
        <v>407</v>
      </c>
      <c r="E27" s="94"/>
      <c r="G27" s="191" t="s">
        <v>561</v>
      </c>
      <c r="H27" s="65">
        <v>26</v>
      </c>
      <c r="I27" s="191" t="s">
        <v>407</v>
      </c>
      <c r="J27" s="94">
        <v>0.05</v>
      </c>
    </row>
    <row r="28" spans="2:10">
      <c r="B28" s="189" t="s">
        <v>421</v>
      </c>
      <c r="C28" s="91" t="s">
        <v>441</v>
      </c>
      <c r="D28" s="189" t="s">
        <v>422</v>
      </c>
      <c r="E28" s="95">
        <v>33840</v>
      </c>
      <c r="G28" s="189" t="s">
        <v>421</v>
      </c>
      <c r="H28" s="91" t="s">
        <v>463</v>
      </c>
      <c r="I28" s="189" t="s">
        <v>422</v>
      </c>
      <c r="J28" s="95">
        <v>43174</v>
      </c>
    </row>
    <row r="29" spans="2:10">
      <c r="B29" s="190" t="s">
        <v>425</v>
      </c>
      <c r="C29" s="45" t="s">
        <v>442</v>
      </c>
      <c r="D29" s="190" t="s">
        <v>16</v>
      </c>
      <c r="E29" s="92">
        <v>4500000</v>
      </c>
      <c r="G29" s="190" t="s">
        <v>425</v>
      </c>
      <c r="H29" s="45" t="s">
        <v>439</v>
      </c>
      <c r="I29" s="190" t="s">
        <v>16</v>
      </c>
      <c r="J29" s="92">
        <v>8860000</v>
      </c>
    </row>
    <row r="30" spans="2:10">
      <c r="B30" s="190" t="s">
        <v>17</v>
      </c>
      <c r="C30" s="96" t="s">
        <v>440</v>
      </c>
      <c r="D30" s="190" t="s">
        <v>423</v>
      </c>
      <c r="E30" s="92">
        <f>E29/C32</f>
        <v>125000</v>
      </c>
      <c r="G30" s="190" t="s">
        <v>17</v>
      </c>
      <c r="H30" s="96" t="s">
        <v>464</v>
      </c>
      <c r="I30" s="190" t="s">
        <v>423</v>
      </c>
      <c r="J30" s="92">
        <f>J29/H32</f>
        <v>173725.49019607843</v>
      </c>
    </row>
    <row r="31" spans="2:10">
      <c r="B31" s="190" t="s">
        <v>281</v>
      </c>
      <c r="C31" s="45">
        <v>1963</v>
      </c>
      <c r="D31" s="190" t="s">
        <v>424</v>
      </c>
      <c r="E31" s="93">
        <f>E29/E28</f>
        <v>132.97872340425531</v>
      </c>
      <c r="G31" s="190" t="s">
        <v>281</v>
      </c>
      <c r="H31" s="45" t="s">
        <v>418</v>
      </c>
      <c r="I31" s="190" t="s">
        <v>424</v>
      </c>
      <c r="J31" s="93">
        <f>J29/J28</f>
        <v>205.21610228378191</v>
      </c>
    </row>
    <row r="32" spans="2:10">
      <c r="B32" s="191" t="s">
        <v>561</v>
      </c>
      <c r="C32" s="65">
        <v>36</v>
      </c>
      <c r="D32" s="191" t="s">
        <v>407</v>
      </c>
      <c r="E32" s="101">
        <v>5.3999999999999999E-2</v>
      </c>
      <c r="G32" s="191" t="s">
        <v>561</v>
      </c>
      <c r="H32" s="65">
        <v>51</v>
      </c>
      <c r="I32" s="191" t="s">
        <v>407</v>
      </c>
      <c r="J32" s="101">
        <v>5.5E-2</v>
      </c>
    </row>
    <row r="33" spans="2:10">
      <c r="B33" s="189" t="s">
        <v>421</v>
      </c>
      <c r="C33" s="91" t="s">
        <v>443</v>
      </c>
      <c r="D33" s="189" t="s">
        <v>422</v>
      </c>
      <c r="E33" s="95">
        <v>46376</v>
      </c>
      <c r="G33" s="189" t="s">
        <v>421</v>
      </c>
      <c r="H33" s="91" t="s">
        <v>465</v>
      </c>
      <c r="I33" s="189" t="s">
        <v>422</v>
      </c>
      <c r="J33" s="95">
        <v>28741</v>
      </c>
    </row>
    <row r="34" spans="2:10">
      <c r="B34" s="190" t="s">
        <v>425</v>
      </c>
      <c r="C34" s="45" t="s">
        <v>444</v>
      </c>
      <c r="D34" s="190" t="s">
        <v>16</v>
      </c>
      <c r="E34" s="92">
        <v>7400000</v>
      </c>
      <c r="G34" s="190" t="s">
        <v>425</v>
      </c>
      <c r="H34" s="45" t="s">
        <v>466</v>
      </c>
      <c r="I34" s="190" t="s">
        <v>16</v>
      </c>
      <c r="J34" s="92">
        <v>8250000</v>
      </c>
    </row>
    <row r="35" spans="2:10">
      <c r="B35" s="190" t="s">
        <v>17</v>
      </c>
      <c r="C35" s="96" t="s">
        <v>445</v>
      </c>
      <c r="D35" s="190" t="s">
        <v>423</v>
      </c>
      <c r="E35" s="92">
        <f>E34/C37</f>
        <v>168181.81818181818</v>
      </c>
      <c r="G35" s="190" t="s">
        <v>17</v>
      </c>
      <c r="H35" s="96" t="s">
        <v>464</v>
      </c>
      <c r="I35" s="190" t="s">
        <v>423</v>
      </c>
      <c r="J35" s="92">
        <f>J34/H37</f>
        <v>133064.51612903227</v>
      </c>
    </row>
    <row r="36" spans="2:10">
      <c r="B36" s="190" t="s">
        <v>281</v>
      </c>
      <c r="C36" s="45">
        <v>1963</v>
      </c>
      <c r="D36" s="190" t="s">
        <v>424</v>
      </c>
      <c r="E36" s="93">
        <f>E34/E33</f>
        <v>159.56529239261687</v>
      </c>
      <c r="G36" s="190" t="s">
        <v>281</v>
      </c>
      <c r="H36" s="45" t="s">
        <v>419</v>
      </c>
      <c r="I36" s="190" t="s">
        <v>424</v>
      </c>
      <c r="J36" s="93">
        <f>J34/J33</f>
        <v>287.04637973626529</v>
      </c>
    </row>
    <row r="37" spans="2:10">
      <c r="B37" s="191" t="s">
        <v>561</v>
      </c>
      <c r="C37" s="65">
        <v>44</v>
      </c>
      <c r="D37" s="191" t="s">
        <v>407</v>
      </c>
      <c r="E37" s="94"/>
      <c r="G37" s="191" t="s">
        <v>561</v>
      </c>
      <c r="H37" s="65">
        <v>62</v>
      </c>
      <c r="I37" s="191" t="s">
        <v>407</v>
      </c>
      <c r="J37" s="101">
        <v>6.0999999999999999E-2</v>
      </c>
    </row>
    <row r="38" spans="2:10">
      <c r="B38" s="189" t="s">
        <v>421</v>
      </c>
      <c r="C38" s="91" t="s">
        <v>446</v>
      </c>
      <c r="D38" s="189" t="s">
        <v>422</v>
      </c>
      <c r="E38" s="95">
        <v>14960</v>
      </c>
      <c r="G38" s="189" t="s">
        <v>421</v>
      </c>
      <c r="H38" s="91" t="s">
        <v>467</v>
      </c>
      <c r="I38" s="189" t="s">
        <v>422</v>
      </c>
      <c r="J38" s="95">
        <v>72326</v>
      </c>
    </row>
    <row r="39" spans="2:10">
      <c r="B39" s="190" t="s">
        <v>425</v>
      </c>
      <c r="C39" s="45" t="s">
        <v>432</v>
      </c>
      <c r="D39" s="190" t="s">
        <v>16</v>
      </c>
      <c r="E39" s="92">
        <v>4750000</v>
      </c>
      <c r="G39" s="190" t="s">
        <v>425</v>
      </c>
      <c r="H39" s="45" t="s">
        <v>439</v>
      </c>
      <c r="I39" s="190" t="s">
        <v>16</v>
      </c>
      <c r="J39" s="92">
        <v>19500000</v>
      </c>
    </row>
    <row r="40" spans="2:10">
      <c r="B40" s="190" t="s">
        <v>17</v>
      </c>
      <c r="C40" s="96" t="s">
        <v>428</v>
      </c>
      <c r="D40" s="190" t="s">
        <v>423</v>
      </c>
      <c r="E40" s="92">
        <f>E39/C42</f>
        <v>237500</v>
      </c>
      <c r="G40" s="190" t="s">
        <v>17</v>
      </c>
      <c r="H40" s="96" t="s">
        <v>437</v>
      </c>
      <c r="I40" s="190" t="s">
        <v>423</v>
      </c>
      <c r="J40" s="92">
        <f>J39/H42</f>
        <v>226744.18604651163</v>
      </c>
    </row>
    <row r="41" spans="2:10">
      <c r="B41" s="190" t="s">
        <v>281</v>
      </c>
      <c r="C41" s="45">
        <v>1979</v>
      </c>
      <c r="D41" s="190" t="s">
        <v>424</v>
      </c>
      <c r="E41" s="93">
        <f>E39/E38</f>
        <v>317.51336898395721</v>
      </c>
      <c r="G41" s="190" t="s">
        <v>281</v>
      </c>
      <c r="H41" s="45" t="s">
        <v>420</v>
      </c>
      <c r="I41" s="190" t="s">
        <v>424</v>
      </c>
      <c r="J41" s="93">
        <f>J39/J38</f>
        <v>269.61258745126236</v>
      </c>
    </row>
    <row r="42" spans="2:10">
      <c r="B42" s="191" t="s">
        <v>561</v>
      </c>
      <c r="C42" s="65">
        <v>20</v>
      </c>
      <c r="D42" s="191" t="s">
        <v>407</v>
      </c>
      <c r="E42" s="101">
        <v>7.9000000000000001E-2</v>
      </c>
      <c r="G42" s="191" t="s">
        <v>561</v>
      </c>
      <c r="H42" s="65">
        <v>86</v>
      </c>
      <c r="I42" s="191" t="s">
        <v>407</v>
      </c>
      <c r="J42" s="101"/>
    </row>
    <row r="43" spans="2:10">
      <c r="B43" s="189" t="s">
        <v>421</v>
      </c>
      <c r="C43" s="91" t="s">
        <v>447</v>
      </c>
      <c r="D43" s="189" t="s">
        <v>422</v>
      </c>
      <c r="E43" s="95">
        <v>33800</v>
      </c>
      <c r="G43" s="284" t="s">
        <v>549</v>
      </c>
      <c r="H43" s="286"/>
      <c r="I43" s="284" t="s">
        <v>550</v>
      </c>
      <c r="J43" s="286"/>
    </row>
    <row r="44" spans="2:10">
      <c r="B44" s="190" t="s">
        <v>425</v>
      </c>
      <c r="C44" s="45" t="s">
        <v>448</v>
      </c>
      <c r="D44" s="190" t="s">
        <v>16</v>
      </c>
      <c r="E44" s="92">
        <v>11500000</v>
      </c>
      <c r="G44" s="227" t="s">
        <v>515</v>
      </c>
      <c r="H44" s="110">
        <f>J44*Summary!$C$7</f>
        <v>6593729.2609351436</v>
      </c>
      <c r="I44" s="230" t="s">
        <v>515</v>
      </c>
      <c r="J44" s="103">
        <f>MEDIAN(J5,J10,J15,J20,J25,J30,J35,J40)</f>
        <v>178208.89894419306</v>
      </c>
    </row>
    <row r="45" spans="2:10">
      <c r="B45" s="190" t="s">
        <v>17</v>
      </c>
      <c r="C45" s="96" t="s">
        <v>437</v>
      </c>
      <c r="D45" s="190" t="s">
        <v>423</v>
      </c>
      <c r="E45" s="92">
        <f>E44/C47</f>
        <v>191666.66666666666</v>
      </c>
      <c r="G45" s="228" t="s">
        <v>516</v>
      </c>
      <c r="H45" s="111">
        <f>J45*Summary!$C$7</f>
        <v>6655623.699159313</v>
      </c>
      <c r="I45" s="231" t="s">
        <v>516</v>
      </c>
      <c r="J45" s="104">
        <f>AVERAGE(J5,J10,J15,J20,J25,J30,J35,J40)</f>
        <v>179881.72159890036</v>
      </c>
    </row>
    <row r="46" spans="2:10">
      <c r="B46" s="190" t="s">
        <v>281</v>
      </c>
      <c r="C46" s="45">
        <v>1972</v>
      </c>
      <c r="D46" s="190" t="s">
        <v>424</v>
      </c>
      <c r="E46" s="93">
        <f>E44/E43</f>
        <v>340.23668639053255</v>
      </c>
      <c r="G46" s="228" t="s">
        <v>517</v>
      </c>
      <c r="H46" s="111">
        <f>J46*Summary!$C$8</f>
        <v>8858189.517317852</v>
      </c>
      <c r="I46" s="231" t="s">
        <v>517</v>
      </c>
      <c r="J46" s="105">
        <f>MEDIAN(J6,J11,J16,J21,J26,J31,J36,J41)</f>
        <v>229.24921111071043</v>
      </c>
    </row>
    <row r="47" spans="2:10">
      <c r="B47" s="191" t="s">
        <v>561</v>
      </c>
      <c r="C47" s="65">
        <v>60</v>
      </c>
      <c r="D47" s="191" t="s">
        <v>407</v>
      </c>
      <c r="E47" s="101">
        <v>6.7000000000000004E-2</v>
      </c>
      <c r="G47" s="228" t="s">
        <v>518</v>
      </c>
      <c r="H47" s="111">
        <f>J47*Summary!$C$8</f>
        <v>9031626.18890086</v>
      </c>
      <c r="I47" s="231" t="s">
        <v>518</v>
      </c>
      <c r="J47" s="105">
        <f>AVERAGE(J6,J11,J16,J21,J26,J31,J36,J41)</f>
        <v>233.73773780799326</v>
      </c>
    </row>
    <row r="48" spans="2:10">
      <c r="B48" s="189" t="s">
        <v>421</v>
      </c>
      <c r="C48" s="91" t="s">
        <v>449</v>
      </c>
      <c r="D48" s="189" t="s">
        <v>422</v>
      </c>
      <c r="E48" s="95">
        <v>47356</v>
      </c>
      <c r="G48" s="228" t="s">
        <v>519</v>
      </c>
      <c r="H48" s="111">
        <f>'Income Statements'!I24/'Sale Comps'!J48</f>
        <v>5277307.7777777761</v>
      </c>
      <c r="I48" s="231" t="s">
        <v>519</v>
      </c>
      <c r="J48" s="106">
        <f>MEDIAN(J12,J17,J22,J27,J32,J37)</f>
        <v>0.06</v>
      </c>
    </row>
    <row r="49" spans="2:10">
      <c r="B49" s="190" t="s">
        <v>425</v>
      </c>
      <c r="C49" s="45" t="s">
        <v>450</v>
      </c>
      <c r="D49" s="190" t="s">
        <v>16</v>
      </c>
      <c r="E49" s="92">
        <v>10400000</v>
      </c>
      <c r="G49" s="229" t="s">
        <v>520</v>
      </c>
      <c r="H49" s="112">
        <f>'Income Statements'!I24/'Sale Comps'!J49</f>
        <v>5412623.3618233604</v>
      </c>
      <c r="I49" s="232" t="s">
        <v>520</v>
      </c>
      <c r="J49" s="107">
        <f>AVERAGE(J12,J17,J22,J27,J32,J37)</f>
        <v>5.8499999999999996E-2</v>
      </c>
    </row>
    <row r="50" spans="2:10">
      <c r="B50" s="190" t="s">
        <v>17</v>
      </c>
      <c r="C50" s="96" t="s">
        <v>451</v>
      </c>
      <c r="D50" s="190" t="s">
        <v>423</v>
      </c>
      <c r="E50" s="92">
        <f>E49/C52</f>
        <v>185714.28571428571</v>
      </c>
    </row>
    <row r="51" spans="2:10">
      <c r="B51" s="190" t="s">
        <v>281</v>
      </c>
      <c r="C51" s="45">
        <v>1981</v>
      </c>
      <c r="D51" s="190" t="s">
        <v>424</v>
      </c>
      <c r="E51" s="93">
        <f>E49/E48</f>
        <v>219.61314300194275</v>
      </c>
    </row>
    <row r="52" spans="2:10">
      <c r="B52" s="191" t="s">
        <v>561</v>
      </c>
      <c r="C52" s="65">
        <v>56</v>
      </c>
      <c r="D52" s="191" t="s">
        <v>407</v>
      </c>
      <c r="E52" s="94"/>
    </row>
    <row r="53" spans="2:10">
      <c r="B53" s="284" t="s">
        <v>549</v>
      </c>
      <c r="C53" s="286"/>
      <c r="D53" s="284" t="s">
        <v>550</v>
      </c>
      <c r="E53" s="286"/>
    </row>
    <row r="54" spans="2:10">
      <c r="B54" s="227" t="s">
        <v>515</v>
      </c>
      <c r="C54" s="110">
        <f>E54*Summary!$C$7</f>
        <v>6891850.6493506497</v>
      </c>
      <c r="D54" s="230" t="s">
        <v>452</v>
      </c>
      <c r="E54" s="103">
        <f>MEDIAN(E5,E10,E15,E20,E25,E30,E35,E40,E45,E50)</f>
        <v>186266.23376623378</v>
      </c>
    </row>
    <row r="55" spans="2:10">
      <c r="B55" s="228" t="s">
        <v>516</v>
      </c>
      <c r="C55" s="111">
        <f>E55*Summary!$C$7</f>
        <v>7067416.4502164507</v>
      </c>
      <c r="D55" s="231" t="s">
        <v>516</v>
      </c>
      <c r="E55" s="104">
        <f>AVERAGE(E5,E10,E15,E20,E25,E30,E35,E40,E45,E50)</f>
        <v>191011.25541125544</v>
      </c>
    </row>
    <row r="56" spans="2:10">
      <c r="B56" s="228" t="s">
        <v>517</v>
      </c>
      <c r="C56" s="111">
        <f>E56*Summary!$C$8</f>
        <v>8260787.5288424082</v>
      </c>
      <c r="D56" s="231" t="s">
        <v>453</v>
      </c>
      <c r="E56" s="105">
        <f>MEDIAN(E6,E11,E16,E21,E26,E31,E36,E41,E46,E51)</f>
        <v>213.78849712325072</v>
      </c>
    </row>
    <row r="57" spans="2:10">
      <c r="B57" s="228" t="s">
        <v>518</v>
      </c>
      <c r="C57" s="111">
        <f>E57*Summary!$C$8</f>
        <v>9066671.2453444228</v>
      </c>
      <c r="D57" s="231" t="s">
        <v>518</v>
      </c>
      <c r="E57" s="105">
        <f>AVERAGE(E6,E11,E16,E21,E26,E31,E36,E41,E46,E51)</f>
        <v>234.64470096647057</v>
      </c>
    </row>
    <row r="58" spans="2:10">
      <c r="B58" s="228" t="s">
        <v>519</v>
      </c>
      <c r="C58" s="111">
        <f>'Income Statements'!C24/'Sale Comps'!E58</f>
        <v>2707959.5826086951</v>
      </c>
      <c r="D58" s="231" t="s">
        <v>454</v>
      </c>
      <c r="E58" s="106">
        <f>MEDIAN(E7,E17,E32,E42,E47)</f>
        <v>5.7500000000000002E-2</v>
      </c>
    </row>
    <row r="59" spans="2:10">
      <c r="B59" s="229" t="s">
        <v>520</v>
      </c>
      <c r="C59" s="112">
        <f>'Income Statements'!C24/'Sale Comps'!E59</f>
        <v>2531832.1300813006</v>
      </c>
      <c r="D59" s="232" t="s">
        <v>455</v>
      </c>
      <c r="E59" s="107">
        <f>AVERAGE(E47,E42,E32,E17,E7)</f>
        <v>6.1499999999999999E-2</v>
      </c>
    </row>
  </sheetData>
  <mergeCells count="6">
    <mergeCell ref="B2:E2"/>
    <mergeCell ref="G2:J2"/>
    <mergeCell ref="B53:C53"/>
    <mergeCell ref="D53:E53"/>
    <mergeCell ref="G43:H43"/>
    <mergeCell ref="I43:J43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29E8-4B67-403E-BCDD-C7E7FBA58350}">
  <dimension ref="A1:K48"/>
  <sheetViews>
    <sheetView topLeftCell="A15" zoomScale="115" zoomScaleNormal="115" workbookViewId="0">
      <selection activeCell="B2" sqref="B2:I46"/>
    </sheetView>
  </sheetViews>
  <sheetFormatPr defaultColWidth="0" defaultRowHeight="15" zeroHeight="1"/>
  <cols>
    <col min="1" max="1" width="9.140625" customWidth="1"/>
    <col min="2" max="2" width="12.7109375" customWidth="1"/>
    <col min="3" max="3" width="23.28515625" bestFit="1" customWidth="1"/>
    <col min="4" max="4" width="11.85546875" customWidth="1"/>
    <col min="5" max="5" width="11.42578125" customWidth="1"/>
    <col min="6" max="6" width="9.140625" customWidth="1"/>
    <col min="7" max="7" width="9.5703125" bestFit="1" customWidth="1"/>
    <col min="8" max="8" width="13.42578125" customWidth="1"/>
    <col min="9" max="11" width="9.140625" customWidth="1"/>
    <col min="12" max="16384" width="9.140625" hidden="1"/>
  </cols>
  <sheetData>
    <row r="1" spans="2:9"/>
    <row r="2" spans="2:9">
      <c r="B2" s="284" t="s">
        <v>468</v>
      </c>
      <c r="C2" s="285"/>
      <c r="D2" s="285"/>
      <c r="E2" s="285"/>
      <c r="F2" s="285"/>
      <c r="G2" s="285"/>
      <c r="H2" s="285"/>
      <c r="I2" s="286"/>
    </row>
    <row r="3" spans="2:9">
      <c r="B3" s="189" t="s">
        <v>421</v>
      </c>
      <c r="C3" s="91" t="s">
        <v>467</v>
      </c>
      <c r="D3" s="189" t="s">
        <v>470</v>
      </c>
      <c r="E3" s="113"/>
      <c r="F3" s="204" t="s">
        <v>473</v>
      </c>
      <c r="G3" s="118"/>
      <c r="H3" s="189" t="s">
        <v>4</v>
      </c>
      <c r="I3" s="108"/>
    </row>
    <row r="4" spans="2:9">
      <c r="B4" s="190" t="s">
        <v>425</v>
      </c>
      <c r="C4" s="45" t="s">
        <v>439</v>
      </c>
      <c r="D4" s="190" t="s">
        <v>557</v>
      </c>
      <c r="E4" s="114">
        <v>1833</v>
      </c>
      <c r="F4" s="183" t="s">
        <v>476</v>
      </c>
      <c r="G4" s="119">
        <v>841</v>
      </c>
      <c r="H4" s="190" t="s">
        <v>4</v>
      </c>
      <c r="I4" s="115">
        <f t="shared" ref="I4:I6" si="0">E4/G4</f>
        <v>2.1795481569560047</v>
      </c>
    </row>
    <row r="5" spans="2:9">
      <c r="B5" s="190" t="s">
        <v>281</v>
      </c>
      <c r="C5" s="45" t="s">
        <v>420</v>
      </c>
      <c r="D5" s="190" t="s">
        <v>471</v>
      </c>
      <c r="E5" s="114">
        <v>2089</v>
      </c>
      <c r="F5" s="183" t="s">
        <v>474</v>
      </c>
      <c r="G5" s="119">
        <v>1026</v>
      </c>
      <c r="H5" s="190" t="s">
        <v>4</v>
      </c>
      <c r="I5" s="115">
        <f t="shared" si="0"/>
        <v>2.0360623781676415</v>
      </c>
    </row>
    <row r="6" spans="2:9">
      <c r="B6" s="191" t="s">
        <v>469</v>
      </c>
      <c r="C6" s="65" t="s">
        <v>477</v>
      </c>
      <c r="D6" s="191" t="s">
        <v>472</v>
      </c>
      <c r="E6" s="116">
        <f>AVERAGE(E4:E5)</f>
        <v>1961</v>
      </c>
      <c r="F6" s="205" t="s">
        <v>475</v>
      </c>
      <c r="G6" s="120">
        <f>AVERAGE(G4:G5)</f>
        <v>933.5</v>
      </c>
      <c r="H6" s="191" t="s">
        <v>4</v>
      </c>
      <c r="I6" s="117">
        <f t="shared" si="0"/>
        <v>2.1006963042313873</v>
      </c>
    </row>
    <row r="7" spans="2:9">
      <c r="B7" s="189" t="s">
        <v>421</v>
      </c>
      <c r="C7" s="91" t="s">
        <v>478</v>
      </c>
      <c r="D7" s="189" t="s">
        <v>470</v>
      </c>
      <c r="E7" s="113">
        <v>965</v>
      </c>
      <c r="F7" s="204" t="s">
        <v>473</v>
      </c>
      <c r="G7" s="118">
        <v>672</v>
      </c>
      <c r="H7" s="189" t="s">
        <v>4</v>
      </c>
      <c r="I7" s="115">
        <f t="shared" ref="I7:I10" si="1">E7/G7</f>
        <v>1.4360119047619047</v>
      </c>
    </row>
    <row r="8" spans="2:9">
      <c r="B8" s="190" t="s">
        <v>425</v>
      </c>
      <c r="C8" s="45" t="s">
        <v>439</v>
      </c>
      <c r="D8" s="190" t="s">
        <v>557</v>
      </c>
      <c r="E8" s="114">
        <v>1115</v>
      </c>
      <c r="F8" s="183" t="s">
        <v>476</v>
      </c>
      <c r="G8" s="119">
        <v>952</v>
      </c>
      <c r="H8" s="190" t="s">
        <v>4</v>
      </c>
      <c r="I8" s="115">
        <f t="shared" si="1"/>
        <v>1.171218487394958</v>
      </c>
    </row>
    <row r="9" spans="2:9">
      <c r="B9" s="190" t="s">
        <v>281</v>
      </c>
      <c r="C9" s="45" t="s">
        <v>556</v>
      </c>
      <c r="D9" s="190" t="s">
        <v>471</v>
      </c>
      <c r="E9" s="114"/>
      <c r="F9" s="183" t="s">
        <v>474</v>
      </c>
      <c r="G9" s="119"/>
      <c r="H9" s="190" t="s">
        <v>4</v>
      </c>
      <c r="I9" s="115"/>
    </row>
    <row r="10" spans="2:9">
      <c r="B10" s="191" t="s">
        <v>469</v>
      </c>
      <c r="C10" s="65" t="s">
        <v>479</v>
      </c>
      <c r="D10" s="191" t="s">
        <v>472</v>
      </c>
      <c r="E10" s="116">
        <f>AVERAGE(E7:E9)</f>
        <v>1040</v>
      </c>
      <c r="F10" s="205" t="s">
        <v>475</v>
      </c>
      <c r="G10" s="120">
        <f>AVERAGE(G7:G9)</f>
        <v>812</v>
      </c>
      <c r="H10" s="191" t="s">
        <v>4</v>
      </c>
      <c r="I10" s="117">
        <f t="shared" si="1"/>
        <v>1.2807881773399015</v>
      </c>
    </row>
    <row r="11" spans="2:9">
      <c r="B11" s="189" t="s">
        <v>421</v>
      </c>
      <c r="C11" s="91" t="s">
        <v>480</v>
      </c>
      <c r="D11" s="189" t="s">
        <v>470</v>
      </c>
      <c r="E11" s="113">
        <v>768</v>
      </c>
      <c r="F11" s="204" t="s">
        <v>473</v>
      </c>
      <c r="G11" s="118">
        <v>600</v>
      </c>
      <c r="H11" s="189" t="s">
        <v>4</v>
      </c>
      <c r="I11" s="115">
        <f t="shared" ref="I11:I41" si="2">E11/G11</f>
        <v>1.28</v>
      </c>
    </row>
    <row r="12" spans="2:9">
      <c r="B12" s="190" t="s">
        <v>425</v>
      </c>
      <c r="C12" s="45" t="s">
        <v>439</v>
      </c>
      <c r="D12" s="190" t="s">
        <v>557</v>
      </c>
      <c r="E12" s="114">
        <v>995</v>
      </c>
      <c r="F12" s="183" t="s">
        <v>476</v>
      </c>
      <c r="G12" s="119">
        <v>875</v>
      </c>
      <c r="H12" s="190" t="s">
        <v>4</v>
      </c>
      <c r="I12" s="115">
        <f t="shared" si="2"/>
        <v>1.1371428571428572</v>
      </c>
    </row>
    <row r="13" spans="2:9">
      <c r="B13" s="190" t="s">
        <v>281</v>
      </c>
      <c r="C13" s="45" t="s">
        <v>481</v>
      </c>
      <c r="D13" s="190" t="s">
        <v>471</v>
      </c>
      <c r="E13" s="114"/>
      <c r="F13" s="183" t="s">
        <v>474</v>
      </c>
      <c r="G13" s="119"/>
      <c r="H13" s="190" t="s">
        <v>4</v>
      </c>
      <c r="I13" s="115"/>
    </row>
    <row r="14" spans="2:9">
      <c r="B14" s="191" t="s">
        <v>469</v>
      </c>
      <c r="C14" s="65" t="s">
        <v>479</v>
      </c>
      <c r="D14" s="191" t="s">
        <v>472</v>
      </c>
      <c r="E14" s="116">
        <f>AVERAGE(E11:E13)</f>
        <v>881.5</v>
      </c>
      <c r="F14" s="205" t="s">
        <v>475</v>
      </c>
      <c r="G14" s="120">
        <f>AVERAGE(G11:G13)</f>
        <v>737.5</v>
      </c>
      <c r="H14" s="191" t="s">
        <v>4</v>
      </c>
      <c r="I14" s="117">
        <f>E14/G14</f>
        <v>1.1952542372881356</v>
      </c>
    </row>
    <row r="15" spans="2:9">
      <c r="B15" s="189" t="s">
        <v>421</v>
      </c>
      <c r="C15" s="91" t="s">
        <v>482</v>
      </c>
      <c r="D15" s="189" t="s">
        <v>470</v>
      </c>
      <c r="E15" s="113">
        <v>799</v>
      </c>
      <c r="F15" s="204" t="s">
        <v>473</v>
      </c>
      <c r="G15" s="118">
        <v>512</v>
      </c>
      <c r="H15" s="189" t="s">
        <v>4</v>
      </c>
      <c r="I15" s="115">
        <f t="shared" si="2"/>
        <v>1.560546875</v>
      </c>
    </row>
    <row r="16" spans="2:9">
      <c r="B16" s="190" t="s">
        <v>425</v>
      </c>
      <c r="C16" s="45" t="s">
        <v>457</v>
      </c>
      <c r="D16" s="190" t="s">
        <v>557</v>
      </c>
      <c r="E16" s="114">
        <v>1090</v>
      </c>
      <c r="F16" s="183" t="s">
        <v>476</v>
      </c>
      <c r="G16" s="119">
        <v>887</v>
      </c>
      <c r="H16" s="190" t="s">
        <v>4</v>
      </c>
      <c r="I16" s="115">
        <f t="shared" si="2"/>
        <v>1.2288613303269447</v>
      </c>
    </row>
    <row r="17" spans="2:9">
      <c r="B17" s="190" t="s">
        <v>281</v>
      </c>
      <c r="C17" s="45" t="s">
        <v>483</v>
      </c>
      <c r="D17" s="190" t="s">
        <v>471</v>
      </c>
      <c r="E17" s="114"/>
      <c r="F17" s="183" t="s">
        <v>474</v>
      </c>
      <c r="G17" s="119"/>
      <c r="H17" s="190" t="s">
        <v>4</v>
      </c>
      <c r="I17" s="115"/>
    </row>
    <row r="18" spans="2:9">
      <c r="B18" s="191" t="s">
        <v>469</v>
      </c>
      <c r="C18" s="65" t="s">
        <v>479</v>
      </c>
      <c r="D18" s="191" t="s">
        <v>472</v>
      </c>
      <c r="E18" s="116">
        <f t="shared" ref="E18" si="3">AVERAGE(E15:E17)</f>
        <v>944.5</v>
      </c>
      <c r="F18" s="205" t="s">
        <v>475</v>
      </c>
      <c r="G18" s="120">
        <f t="shared" ref="G18" si="4">AVERAGE(G15:G17)</f>
        <v>699.5</v>
      </c>
      <c r="H18" s="191" t="s">
        <v>4</v>
      </c>
      <c r="I18" s="117">
        <f>E18/G18</f>
        <v>1.3502501786990708</v>
      </c>
    </row>
    <row r="19" spans="2:9">
      <c r="B19" s="189" t="s">
        <v>421</v>
      </c>
      <c r="C19" s="91" t="s">
        <v>484</v>
      </c>
      <c r="D19" s="189" t="s">
        <v>470</v>
      </c>
      <c r="E19" s="113">
        <v>1466</v>
      </c>
      <c r="F19" s="204" t="s">
        <v>473</v>
      </c>
      <c r="G19" s="118">
        <v>510</v>
      </c>
      <c r="H19" s="189" t="s">
        <v>4</v>
      </c>
      <c r="I19" s="115">
        <f t="shared" si="2"/>
        <v>2.8745098039215686</v>
      </c>
    </row>
    <row r="20" spans="2:9">
      <c r="B20" s="190" t="s">
        <v>425</v>
      </c>
      <c r="C20" s="45" t="s">
        <v>485</v>
      </c>
      <c r="D20" s="190" t="s">
        <v>557</v>
      </c>
      <c r="E20" s="114">
        <v>1857</v>
      </c>
      <c r="F20" s="183" t="s">
        <v>476</v>
      </c>
      <c r="G20" s="119">
        <v>725</v>
      </c>
      <c r="H20" s="190" t="s">
        <v>4</v>
      </c>
      <c r="I20" s="115">
        <f t="shared" si="2"/>
        <v>2.5613793103448277</v>
      </c>
    </row>
    <row r="21" spans="2:9">
      <c r="B21" s="190" t="s">
        <v>281</v>
      </c>
      <c r="C21" s="45" t="s">
        <v>486</v>
      </c>
      <c r="D21" s="190" t="s">
        <v>471</v>
      </c>
      <c r="E21" s="114"/>
      <c r="F21" s="183" t="s">
        <v>474</v>
      </c>
      <c r="G21" s="119"/>
      <c r="H21" s="190" t="s">
        <v>4</v>
      </c>
      <c r="I21" s="115"/>
    </row>
    <row r="22" spans="2:9">
      <c r="B22" s="191" t="s">
        <v>469</v>
      </c>
      <c r="C22" s="65" t="s">
        <v>479</v>
      </c>
      <c r="D22" s="191" t="s">
        <v>472</v>
      </c>
      <c r="E22" s="116">
        <f t="shared" ref="E22" si="5">AVERAGE(E19:E21)</f>
        <v>1661.5</v>
      </c>
      <c r="F22" s="205" t="s">
        <v>475</v>
      </c>
      <c r="G22" s="120">
        <f t="shared" ref="G22" si="6">AVERAGE(G19:G21)</f>
        <v>617.5</v>
      </c>
      <c r="H22" s="191" t="s">
        <v>4</v>
      </c>
      <c r="I22" s="117">
        <f t="shared" ref="I22" si="7">E22/G22</f>
        <v>2.6906882591093115</v>
      </c>
    </row>
    <row r="23" spans="2:9">
      <c r="B23" s="189" t="s">
        <v>421</v>
      </c>
      <c r="C23" s="91" t="s">
        <v>487</v>
      </c>
      <c r="D23" s="189" t="s">
        <v>470</v>
      </c>
      <c r="E23" s="113">
        <v>1227</v>
      </c>
      <c r="F23" s="204" t="s">
        <v>473</v>
      </c>
      <c r="G23" s="118">
        <v>755</v>
      </c>
      <c r="H23" s="189" t="s">
        <v>4</v>
      </c>
      <c r="I23" s="115">
        <f t="shared" si="2"/>
        <v>1.6251655629139072</v>
      </c>
    </row>
    <row r="24" spans="2:9">
      <c r="B24" s="190" t="s">
        <v>425</v>
      </c>
      <c r="C24" s="45" t="s">
        <v>485</v>
      </c>
      <c r="D24" s="190" t="s">
        <v>557</v>
      </c>
      <c r="E24" s="114">
        <v>1054</v>
      </c>
      <c r="F24" s="183" t="s">
        <v>476</v>
      </c>
      <c r="G24" s="119">
        <v>813</v>
      </c>
      <c r="H24" s="190" t="s">
        <v>4</v>
      </c>
      <c r="I24" s="115">
        <f t="shared" si="2"/>
        <v>1.2964329643296433</v>
      </c>
    </row>
    <row r="25" spans="2:9">
      <c r="B25" s="190" t="s">
        <v>281</v>
      </c>
      <c r="C25" s="45" t="s">
        <v>488</v>
      </c>
      <c r="D25" s="190" t="s">
        <v>471</v>
      </c>
      <c r="E25" s="114">
        <v>1397</v>
      </c>
      <c r="F25" s="183" t="s">
        <v>474</v>
      </c>
      <c r="G25" s="119">
        <v>1058</v>
      </c>
      <c r="H25" s="190" t="s">
        <v>4</v>
      </c>
      <c r="I25" s="115">
        <f t="shared" si="2"/>
        <v>1.3204158790170133</v>
      </c>
    </row>
    <row r="26" spans="2:9">
      <c r="B26" s="191" t="s">
        <v>469</v>
      </c>
      <c r="C26" s="65" t="s">
        <v>479</v>
      </c>
      <c r="D26" s="191" t="s">
        <v>472</v>
      </c>
      <c r="E26" s="116">
        <f t="shared" ref="E26" si="8">AVERAGE(E23:E25)</f>
        <v>1226</v>
      </c>
      <c r="F26" s="205" t="s">
        <v>475</v>
      </c>
      <c r="G26" s="120">
        <f t="shared" ref="G26" si="9">AVERAGE(G23:G25)</f>
        <v>875.33333333333337</v>
      </c>
      <c r="H26" s="191" t="s">
        <v>4</v>
      </c>
      <c r="I26" s="117">
        <f t="shared" ref="I26" si="10">E26/G26</f>
        <v>1.4006092916984005</v>
      </c>
    </row>
    <row r="27" spans="2:9">
      <c r="B27" s="189" t="s">
        <v>421</v>
      </c>
      <c r="C27" s="91" t="s">
        <v>489</v>
      </c>
      <c r="D27" s="189" t="s">
        <v>470</v>
      </c>
      <c r="E27" s="113">
        <v>1339</v>
      </c>
      <c r="F27" s="204" t="s">
        <v>473</v>
      </c>
      <c r="G27" s="118">
        <v>600</v>
      </c>
      <c r="H27" s="189" t="s">
        <v>4</v>
      </c>
      <c r="I27" s="115">
        <f t="shared" si="2"/>
        <v>2.2316666666666665</v>
      </c>
    </row>
    <row r="28" spans="2:9">
      <c r="B28" s="190" t="s">
        <v>425</v>
      </c>
      <c r="C28" s="45" t="s">
        <v>485</v>
      </c>
      <c r="D28" s="190" t="s">
        <v>557</v>
      </c>
      <c r="E28" s="114">
        <v>1521</v>
      </c>
      <c r="F28" s="183" t="s">
        <v>476</v>
      </c>
      <c r="G28" s="119">
        <v>810</v>
      </c>
      <c r="H28" s="190" t="s">
        <v>4</v>
      </c>
      <c r="I28" s="115">
        <f t="shared" si="2"/>
        <v>1.8777777777777778</v>
      </c>
    </row>
    <row r="29" spans="2:9">
      <c r="B29" s="190" t="s">
        <v>281</v>
      </c>
      <c r="C29" s="45" t="s">
        <v>490</v>
      </c>
      <c r="D29" s="190" t="s">
        <v>471</v>
      </c>
      <c r="E29" s="114"/>
      <c r="F29" s="183" t="s">
        <v>474</v>
      </c>
      <c r="G29" s="119"/>
      <c r="H29" s="190" t="s">
        <v>4</v>
      </c>
      <c r="I29" s="115"/>
    </row>
    <row r="30" spans="2:9">
      <c r="B30" s="191" t="s">
        <v>469</v>
      </c>
      <c r="C30" s="65" t="s">
        <v>477</v>
      </c>
      <c r="D30" s="191" t="s">
        <v>472</v>
      </c>
      <c r="E30" s="116">
        <f t="shared" ref="E30" si="11">AVERAGE(E27:E29)</f>
        <v>1430</v>
      </c>
      <c r="F30" s="205" t="s">
        <v>475</v>
      </c>
      <c r="G30" s="120">
        <f t="shared" ref="G30" si="12">AVERAGE(G27:G29)</f>
        <v>705</v>
      </c>
      <c r="H30" s="191" t="s">
        <v>4</v>
      </c>
      <c r="I30" s="117">
        <f t="shared" ref="I30" si="13">E30/G30</f>
        <v>2.0283687943262412</v>
      </c>
    </row>
    <row r="31" spans="2:9">
      <c r="B31" s="189" t="s">
        <v>421</v>
      </c>
      <c r="C31" s="91" t="s">
        <v>491</v>
      </c>
      <c r="D31" s="189" t="s">
        <v>470</v>
      </c>
      <c r="E31" s="113">
        <v>1425</v>
      </c>
      <c r="F31" s="204" t="s">
        <v>473</v>
      </c>
      <c r="G31" s="118">
        <v>550</v>
      </c>
      <c r="H31" s="189" t="s">
        <v>4</v>
      </c>
      <c r="I31" s="115">
        <f t="shared" si="2"/>
        <v>2.5909090909090908</v>
      </c>
    </row>
    <row r="32" spans="2:9">
      <c r="B32" s="190" t="s">
        <v>425</v>
      </c>
      <c r="C32" s="45" t="s">
        <v>492</v>
      </c>
      <c r="D32" s="190" t="s">
        <v>557</v>
      </c>
      <c r="E32" s="114">
        <v>1611</v>
      </c>
      <c r="F32" s="183" t="s">
        <v>476</v>
      </c>
      <c r="G32" s="119">
        <v>769</v>
      </c>
      <c r="H32" s="190" t="s">
        <v>4</v>
      </c>
      <c r="I32" s="115">
        <f t="shared" si="2"/>
        <v>2.0949284785435629</v>
      </c>
    </row>
    <row r="33" spans="2:9">
      <c r="B33" s="190" t="s">
        <v>281</v>
      </c>
      <c r="C33" s="45" t="s">
        <v>483</v>
      </c>
      <c r="D33" s="190" t="s">
        <v>471</v>
      </c>
      <c r="E33" s="114"/>
      <c r="F33" s="183" t="s">
        <v>474</v>
      </c>
      <c r="G33" s="119"/>
      <c r="H33" s="190" t="s">
        <v>4</v>
      </c>
      <c r="I33" s="115"/>
    </row>
    <row r="34" spans="2:9">
      <c r="B34" s="191" t="s">
        <v>469</v>
      </c>
      <c r="C34" s="65" t="s">
        <v>479</v>
      </c>
      <c r="D34" s="191" t="s">
        <v>472</v>
      </c>
      <c r="E34" s="116">
        <f t="shared" ref="E34" si="14">AVERAGE(E31:E33)</f>
        <v>1518</v>
      </c>
      <c r="F34" s="205" t="s">
        <v>475</v>
      </c>
      <c r="G34" s="120">
        <f t="shared" ref="G34" si="15">AVERAGE(G31:G33)</f>
        <v>659.5</v>
      </c>
      <c r="H34" s="191" t="s">
        <v>4</v>
      </c>
      <c r="I34" s="117">
        <f t="shared" ref="I34" si="16">E34/G34</f>
        <v>2.3017437452615619</v>
      </c>
    </row>
    <row r="35" spans="2:9">
      <c r="B35" s="189" t="s">
        <v>421</v>
      </c>
      <c r="C35" s="91" t="s">
        <v>493</v>
      </c>
      <c r="D35" s="189" t="s">
        <v>470</v>
      </c>
      <c r="E35" s="113">
        <v>1420</v>
      </c>
      <c r="F35" s="204" t="s">
        <v>473</v>
      </c>
      <c r="G35" s="118">
        <v>650</v>
      </c>
      <c r="H35" s="189" t="s">
        <v>4</v>
      </c>
      <c r="I35" s="115">
        <f t="shared" si="2"/>
        <v>2.1846153846153844</v>
      </c>
    </row>
    <row r="36" spans="2:9">
      <c r="B36" s="190" t="s">
        <v>425</v>
      </c>
      <c r="C36" s="45" t="s">
        <v>430</v>
      </c>
      <c r="D36" s="190" t="s">
        <v>557</v>
      </c>
      <c r="E36" s="114">
        <v>1650</v>
      </c>
      <c r="F36" s="183" t="s">
        <v>476</v>
      </c>
      <c r="G36" s="119">
        <v>800</v>
      </c>
      <c r="H36" s="190" t="s">
        <v>4</v>
      </c>
      <c r="I36" s="115">
        <f t="shared" si="2"/>
        <v>2.0625</v>
      </c>
    </row>
    <row r="37" spans="2:9">
      <c r="B37" s="190" t="s">
        <v>281</v>
      </c>
      <c r="C37" s="45" t="s">
        <v>494</v>
      </c>
      <c r="D37" s="190" t="s">
        <v>471</v>
      </c>
      <c r="E37" s="114"/>
      <c r="F37" s="183" t="s">
        <v>474</v>
      </c>
      <c r="G37" s="119"/>
      <c r="H37" s="190" t="s">
        <v>4</v>
      </c>
      <c r="I37" s="115"/>
    </row>
    <row r="38" spans="2:9">
      <c r="B38" s="191" t="s">
        <v>469</v>
      </c>
      <c r="C38" s="65" t="s">
        <v>479</v>
      </c>
      <c r="D38" s="191" t="s">
        <v>472</v>
      </c>
      <c r="E38" s="116">
        <f t="shared" ref="E38" si="17">AVERAGE(E35:E37)</f>
        <v>1535</v>
      </c>
      <c r="F38" s="205" t="s">
        <v>475</v>
      </c>
      <c r="G38" s="120">
        <f t="shared" ref="G38" si="18">AVERAGE(G35:G37)</f>
        <v>725</v>
      </c>
      <c r="H38" s="191" t="s">
        <v>4</v>
      </c>
      <c r="I38" s="117">
        <f t="shared" ref="I38" si="19">E38/G38</f>
        <v>2.1172413793103448</v>
      </c>
    </row>
    <row r="39" spans="2:9">
      <c r="B39" s="189" t="s">
        <v>421</v>
      </c>
      <c r="C39" s="91" t="s">
        <v>495</v>
      </c>
      <c r="D39" s="189" t="s">
        <v>470</v>
      </c>
      <c r="E39" s="113">
        <v>1053</v>
      </c>
      <c r="F39" s="204" t="s">
        <v>473</v>
      </c>
      <c r="G39" s="118">
        <v>624</v>
      </c>
      <c r="H39" s="189" t="s">
        <v>4</v>
      </c>
      <c r="I39" s="115">
        <f t="shared" si="2"/>
        <v>1.6875</v>
      </c>
    </row>
    <row r="40" spans="2:9">
      <c r="B40" s="190" t="s">
        <v>425</v>
      </c>
      <c r="C40" s="45" t="s">
        <v>485</v>
      </c>
      <c r="D40" s="190" t="s">
        <v>557</v>
      </c>
      <c r="E40" s="114">
        <v>1319</v>
      </c>
      <c r="F40" s="183" t="s">
        <v>476</v>
      </c>
      <c r="G40" s="119">
        <v>729</v>
      </c>
      <c r="H40" s="190" t="s">
        <v>4</v>
      </c>
      <c r="I40" s="115">
        <f t="shared" si="2"/>
        <v>1.8093278463648834</v>
      </c>
    </row>
    <row r="41" spans="2:9">
      <c r="B41" s="190" t="s">
        <v>281</v>
      </c>
      <c r="C41" s="45">
        <v>1960</v>
      </c>
      <c r="D41" s="190" t="s">
        <v>471</v>
      </c>
      <c r="E41" s="114">
        <v>2005</v>
      </c>
      <c r="F41" s="183" t="s">
        <v>474</v>
      </c>
      <c r="G41" s="119">
        <v>950</v>
      </c>
      <c r="H41" s="190" t="s">
        <v>4</v>
      </c>
      <c r="I41" s="115">
        <f t="shared" si="2"/>
        <v>2.1105263157894738</v>
      </c>
    </row>
    <row r="42" spans="2:9">
      <c r="B42" s="191" t="s">
        <v>469</v>
      </c>
      <c r="C42" s="65" t="s">
        <v>477</v>
      </c>
      <c r="D42" s="191" t="s">
        <v>472</v>
      </c>
      <c r="E42" s="114">
        <f t="shared" ref="E42" si="20">AVERAGE(E39:E41)</f>
        <v>1459</v>
      </c>
      <c r="F42" s="205" t="s">
        <v>475</v>
      </c>
      <c r="G42" s="120">
        <f t="shared" ref="G42" si="21">AVERAGE(G39:G41)</f>
        <v>767.66666666666663</v>
      </c>
      <c r="H42" s="191" t="s">
        <v>4</v>
      </c>
      <c r="I42" s="115">
        <f t="shared" ref="I42" si="22">E42/G42</f>
        <v>1.9005644811115936</v>
      </c>
    </row>
    <row r="43" spans="2:9">
      <c r="D43" s="235" t="s">
        <v>508</v>
      </c>
      <c r="E43" s="121">
        <f>AVERAGE((E39,E35,E31,E27,E23,E19,E15,E11,E7,E3))</f>
        <v>1162.4444444444443</v>
      </c>
      <c r="H43" s="235" t="s">
        <v>508</v>
      </c>
      <c r="I43" s="124">
        <f>AVERAGE((I39,I35,I31,I27,I23,I19,I15,I11,I7,I3))</f>
        <v>1.9412139209765027</v>
      </c>
    </row>
    <row r="44" spans="2:9">
      <c r="D44" s="236" t="s">
        <v>509</v>
      </c>
      <c r="E44" s="122">
        <f>AVERAGE((E40,E36,E32,E28,E24,E20,E16,E12,E8,E4))</f>
        <v>1404.5</v>
      </c>
      <c r="H44" s="236" t="s">
        <v>509</v>
      </c>
      <c r="I44" s="125">
        <f>AVERAGE((I40,I36,I32,I28,I24,I20,I16,I12,I8,I4))</f>
        <v>1.7419117209181461</v>
      </c>
    </row>
    <row r="45" spans="2:9">
      <c r="D45" s="236" t="s">
        <v>510</v>
      </c>
      <c r="E45" s="122">
        <f>AVERAGE((E41,E37,E33,E29,E25,E21,E17,E13,E9,E5))</f>
        <v>1830.3333333333333</v>
      </c>
      <c r="H45" s="236" t="s">
        <v>510</v>
      </c>
      <c r="I45" s="125">
        <f>AVERAGE((I41,I37,I33,I29,I25,I21,I17,I13,I9,I5))</f>
        <v>1.8223348576580429</v>
      </c>
    </row>
    <row r="46" spans="2:9">
      <c r="D46" s="237" t="s">
        <v>511</v>
      </c>
      <c r="E46" s="123">
        <f>AVERAGE((E42,E38,E34,E30,E26,E22,E18,E14,E10,E6))</f>
        <v>1365.65</v>
      </c>
      <c r="H46" s="237" t="s">
        <v>511</v>
      </c>
      <c r="I46" s="126">
        <f>AVERAGE((I42,I38,I34,I30,I26,I22,I18,I14,I10,I6))</f>
        <v>1.8366204848375947</v>
      </c>
    </row>
    <row r="47" spans="2:9"/>
    <row r="48" spans="2:9"/>
  </sheetData>
  <mergeCells count="1">
    <mergeCell ref="B2:I2"/>
  </mergeCells>
  <phoneticPr fontId="7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Renovations</vt:lpstr>
      <vt:lpstr>Summary</vt:lpstr>
      <vt:lpstr>Unit Mix</vt:lpstr>
      <vt:lpstr>Income Statements</vt:lpstr>
      <vt:lpstr>Renovation Costs</vt:lpstr>
      <vt:lpstr>Monthly DCF</vt:lpstr>
      <vt:lpstr>Yearly Roll Up</vt:lpstr>
      <vt:lpstr>Sale Comps</vt:lpstr>
      <vt:lpstr>Rent 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Carlos</dc:creator>
  <cp:lastModifiedBy>Robert Weeks</cp:lastModifiedBy>
  <cp:lastPrinted>2026-09-03T19:12:27Z</cp:lastPrinted>
  <dcterms:created xsi:type="dcterms:W3CDTF">2013-10-15T18:00:41Z</dcterms:created>
  <dcterms:modified xsi:type="dcterms:W3CDTF">2026-09-26T18:56:15Z</dcterms:modified>
</cp:coreProperties>
</file>