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FO10Py5Pt5 - Vary Ms" sheetId="1" r:id="rId4"/>
    <sheet state="visible" name="LAFO20Py5Pt5 - Vary Ms" sheetId="2" r:id="rId5"/>
    <sheet state="visible" name="Meff vs MsKu" sheetId="3" r:id="rId6"/>
    <sheet state="visible" name="LAFO10Py5Pt5 - Vary Damping" sheetId="4" r:id="rId7"/>
    <sheet state="visible" name="LAFO10Py5Pt5 - Vary Ku1_LAFO" sheetId="5" r:id="rId8"/>
    <sheet state="visible" name="LAFO10Py5Pt5 - B vs Amp" sheetId="6" r:id="rId9"/>
    <sheet state="visible" name="LAFO10Py5Pt5 - LAFOalpha vs Jth" sheetId="7" r:id="rId10"/>
    <sheet state="visible" name="LAFO10Py5Pt5-Vary Exchange scal" sheetId="8" r:id="rId11"/>
    <sheet state="visible" name="LAFOXXPy5Pt5-Vary LAFO thicknes" sheetId="9" r:id="rId12"/>
    <sheet state="visible" name="Ith vs Py alpha" sheetId="10" r:id="rId13"/>
    <sheet state="visible" name="Ith vs Py Ms" sheetId="11" r:id="rId14"/>
    <sheet state="visible" name="Energy vs Ku1" sheetId="12" r:id="rId15"/>
    <sheet state="visible" name="FMR frequency" sheetId="13" r:id="rId16"/>
    <sheet state="visible" name="freq vs Current @Ku1=+-2.5" sheetId="14" r:id="rId17"/>
  </sheets>
  <definedNames/>
  <calcPr/>
</workbook>
</file>

<file path=xl/sharedStrings.xml><?xml version="1.0" encoding="utf-8"?>
<sst xmlns="http://schemas.openxmlformats.org/spreadsheetml/2006/main" count="278" uniqueCount="143">
  <si>
    <t>LAFO10Py5Pt5</t>
  </si>
  <si>
    <t>Apply 1.2*critical current density</t>
  </si>
  <si>
    <t>Switching criteria: Max torque increases within 150 ns</t>
  </si>
  <si>
    <t>IP Field applied 20 deg wrt y</t>
  </si>
  <si>
    <t>Ku1_LAFO = -3.1701e4 (J/m^3)</t>
  </si>
  <si>
    <t>4pi*Meff_LAFO =  9400G</t>
  </si>
  <si>
    <t>alpha_LAFO = 1e-3</t>
  </si>
  <si>
    <t>B = 0.08T</t>
  </si>
  <si>
    <t>Ms (G)</t>
  </si>
  <si>
    <t>Critical current density (1e11A/m^2) 5layers</t>
  </si>
  <si>
    <t>f1 (GHz)</t>
  </si>
  <si>
    <t>f3 (GHz)</t>
  </si>
  <si>
    <t>1.2 times for 3 layers</t>
  </si>
  <si>
    <t>B = 0.6T</t>
  </si>
  <si>
    <t>B = 1.2T</t>
  </si>
  <si>
    <t>µ0*Ms(T)</t>
  </si>
  <si>
    <t>2Ku1/μ0Ms</t>
  </si>
  <si>
    <t>Ms</t>
  </si>
  <si>
    <t>µ0*Meff</t>
  </si>
  <si>
    <t>2Ku1/Ms</t>
  </si>
  <si>
    <t>Meff</t>
  </si>
  <si>
    <t>LAFO20Py5Pt5</t>
  </si>
  <si>
    <t>second mesurment</t>
  </si>
  <si>
    <t>first measurements</t>
  </si>
  <si>
    <t>From Lorentz</t>
  </si>
  <si>
    <t>4piMs(G)</t>
  </si>
  <si>
    <t>Critical current density (1e11A/m^2)</t>
  </si>
  <si>
    <t>EM freq</t>
  </si>
  <si>
    <t>EM Amp</t>
  </si>
  <si>
    <t>BM freq</t>
  </si>
  <si>
    <t>BM Amp</t>
  </si>
  <si>
    <t>EM width</t>
  </si>
  <si>
    <t>BM width</t>
  </si>
  <si>
    <t>current</t>
  </si>
  <si>
    <t>Meff vs Ms/Ku</t>
  </si>
  <si>
    <t>LAFO10Py5</t>
  </si>
  <si>
    <t>for Ku1 =-31.7kJ/m^3</t>
  </si>
  <si>
    <t>mu0Ms=0.0942T</t>
  </si>
  <si>
    <t>mu0Ms</t>
  </si>
  <si>
    <t>EM output</t>
  </si>
  <si>
    <t>BM output</t>
  </si>
  <si>
    <t>Ku</t>
  </si>
  <si>
    <t>BM</t>
  </si>
  <si>
    <t>Change Ms</t>
  </si>
  <si>
    <t>change Ku</t>
  </si>
  <si>
    <t>change Ku--</t>
  </si>
  <si>
    <t>Change Ms---</t>
  </si>
  <si>
    <t>Ms = 942 G</t>
  </si>
  <si>
    <t>Alpha</t>
  </si>
  <si>
    <t>3 layers</t>
  </si>
  <si>
    <t>convert to 5 ayers</t>
  </si>
  <si>
    <t>A/m^2</t>
  </si>
  <si>
    <t>4pi*Ms=942G</t>
  </si>
  <si>
    <t>directly measure from fft</t>
  </si>
  <si>
    <t>observed from spatial Ave FFT, no lorentz</t>
  </si>
  <si>
    <t>Lorentz fit</t>
  </si>
  <si>
    <t>crit curr * 3/5</t>
  </si>
  <si>
    <t>1.2 critical current</t>
  </si>
  <si>
    <t>*3/5</t>
  </si>
  <si>
    <t>output at 1.2 Jth EM</t>
  </si>
  <si>
    <t>output at 1.2 Jth BM</t>
  </si>
  <si>
    <t>freq at 1.2 Jth EM</t>
  </si>
  <si>
    <t>freq at 1.2 Jth BM</t>
  </si>
  <si>
    <t>higher mode</t>
  </si>
  <si>
    <t>EM Width</t>
  </si>
  <si>
    <t>BM Width</t>
  </si>
  <si>
    <t>μ0Ms=94.2mT</t>
  </si>
  <si>
    <t>Ku1</t>
  </si>
  <si>
    <t>Ha/Ms</t>
  </si>
  <si>
    <t>in plane approx</t>
  </si>
  <si>
    <t>FMR freq</t>
  </si>
  <si>
    <t>Ms=942G</t>
  </si>
  <si>
    <t>Ku1_LAFO := -2.00E+04</t>
  </si>
  <si>
    <t>First find Jth</t>
  </si>
  <si>
    <t>using Lorentzian fit</t>
  </si>
  <si>
    <t>using direct measurement</t>
  </si>
  <si>
    <t>B(T)</t>
  </si>
  <si>
    <t>Critical current density for 3 layers</t>
  </si>
  <si>
    <t>1.2times Jth</t>
  </si>
  <si>
    <t>EM amp</t>
  </si>
  <si>
    <t>EM freq(GHz)</t>
  </si>
  <si>
    <t>EM width(GHz)</t>
  </si>
  <si>
    <t>Current Dentsity (1e11A/m^2)</t>
  </si>
  <si>
    <t xml:space="preserve"> </t>
  </si>
  <si>
    <t xml:space="preserve"> Jth vs LAFOalpha @ PyAlpha=1e-4</t>
  </si>
  <si>
    <t>alpha_Py = 1e-4</t>
  </si>
  <si>
    <t>alpha_LAFO</t>
  </si>
  <si>
    <t>Critical current density (1e11A/m^2) for 3 layers</t>
  </si>
  <si>
    <t>exchange scale</t>
  </si>
  <si>
    <t>Critical current density  in 3 layer</t>
  </si>
  <si>
    <t>Ith 1 layers</t>
  </si>
  <si>
    <t>width</t>
  </si>
  <si>
    <t>critical current density (1e12A/m^2)</t>
  </si>
  <si>
    <t>LAFOXXPy5Pt5</t>
  </si>
  <si>
    <t>4pi*Ms_LAFO := 942</t>
  </si>
  <si>
    <t>Critical current density (1e11A/m^2) 5 layers</t>
  </si>
  <si>
    <t>6 layers</t>
  </si>
  <si>
    <t>Critical current density (1e11A/m^2) 7 layers</t>
  </si>
  <si>
    <t>8 layers</t>
  </si>
  <si>
    <t>9 layers</t>
  </si>
  <si>
    <t xml:space="preserve">normalized to 5 layers </t>
  </si>
  <si>
    <t>theory</t>
  </si>
  <si>
    <t>actual density</t>
  </si>
  <si>
    <t>with uncertainty</t>
  </si>
  <si>
    <t>critical current (in their respective # of layers)</t>
  </si>
  <si>
    <t>1.2 times</t>
  </si>
  <si>
    <t>EM lorentz Amp</t>
  </si>
  <si>
    <t>BM lorentz Amp</t>
  </si>
  <si>
    <t>BM Freq</t>
  </si>
  <si>
    <t>EM Lorentz</t>
  </si>
  <si>
    <t>EM uncertainty</t>
  </si>
  <si>
    <t>BM Lorentz</t>
  </si>
  <si>
    <t>BM uncertainty</t>
  </si>
  <si>
    <t>Ith vs Py alpha</t>
  </si>
  <si>
    <t>Py alpha</t>
  </si>
  <si>
    <t>Critical current density (1e11A/m^2) 2 layers</t>
  </si>
  <si>
    <t>Ith vs Py Ms</t>
  </si>
  <si>
    <t>alpha = 2.60E-02</t>
  </si>
  <si>
    <t>Py Ms</t>
  </si>
  <si>
    <t>energy vs LAFO Ku1 for LAFO10Py5Pt5</t>
  </si>
  <si>
    <t>alpha_Py := 2.6e-2</t>
  </si>
  <si>
    <t>alpha_LAFO := 1e-3</t>
  </si>
  <si>
    <t>current density = 1.2Jth</t>
  </si>
  <si>
    <t>averaged energy ober 11ns:</t>
  </si>
  <si>
    <t>Anisotropy Energy</t>
  </si>
  <si>
    <t>Magnetostatic Energy</t>
  </si>
  <si>
    <t>Total Exchange Energy</t>
  </si>
  <si>
    <t>Zeeman Energy</t>
  </si>
  <si>
    <t>Total Energy</t>
  </si>
  <si>
    <t>demag E-Anis E</t>
  </si>
  <si>
    <t>LAFO20/Py5 FMR1</t>
  </si>
  <si>
    <t>LAFO20/Py5 FMR2</t>
  </si>
  <si>
    <t>LAFO20</t>
  </si>
  <si>
    <t>Py5</t>
  </si>
  <si>
    <t>frequency in GHz</t>
  </si>
  <si>
    <t>current density 3 layers</t>
  </si>
  <si>
    <t>actual current</t>
  </si>
  <si>
    <t>EM freq Ku1=-2.5</t>
  </si>
  <si>
    <t>EM intensity Ku1=-2.5</t>
  </si>
  <si>
    <t>EM freq Ku1=+2.5</t>
  </si>
  <si>
    <t>EM intensity Ku1=+2.5</t>
  </si>
  <si>
    <t>EM freq Ku1=0</t>
  </si>
  <si>
    <t>EM intensity Ku1=0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</si>
</sst>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color theme="1"/>
      <name val="Arial"/>
    </font>
    <font>
      <color rgb="FFFF0000"/>
      <name val="Arial"/>
      <scheme val="minor"/>
    </font>
    <font>
      <color rgb="FF000000"/>
      <name val="Arial"/>
      <scheme val="minor"/>
    </font>
    <font>
      <color theme="1"/>
      <name val="Times New Roman"/>
    </font>
    <font>
      <b/>
      <color theme="1"/>
      <name val="Arial"/>
      <scheme val="minor"/>
    </font>
    <font>
      <sz val="20.0"/>
      <color rgb="FF000000"/>
      <name val="Arial"/>
    </font>
    <font>
      <b/>
      <sz val="11.0"/>
      <color rgb="FF222222"/>
      <name val="&quot;Google Sans&quot;"/>
    </font>
    <font>
      <color rgb="FF000000"/>
      <name val="Arial"/>
    </font>
    <font>
      <color rgb="FFA709F5"/>
      <name val="Menlo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E1E9F7"/>
        <bgColor rgb="FFE1E9F7"/>
      </patternFill>
    </fill>
    <fill>
      <patternFill patternType="solid">
        <fgColor rgb="FFFFFFFF"/>
        <bgColor rgb="FFFFFFFF"/>
      </patternFill>
    </fill>
  </fills>
  <borders count="16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2" fillId="2" fontId="1" numFmtId="0" xfId="0" applyAlignment="1" applyBorder="1" applyFill="1" applyFont="1">
      <alignment readingOrder="0"/>
    </xf>
    <xf borderId="2" fillId="3" fontId="2" numFmtId="0" xfId="0" applyAlignment="1" applyBorder="1" applyFill="1" applyFont="1">
      <alignment readingOrder="0"/>
    </xf>
    <xf borderId="0" fillId="3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0" fillId="0" fontId="3" numFmtId="0" xfId="0" applyAlignment="1" applyFont="1">
      <alignment horizontal="right" vertical="bottom"/>
    </xf>
    <xf borderId="3" fillId="0" fontId="3" numFmtId="0" xfId="0" applyAlignment="1" applyBorder="1" applyFont="1">
      <alignment horizontal="right" vertical="bottom"/>
    </xf>
    <xf borderId="0" fillId="0" fontId="1" numFmtId="0" xfId="0" applyFont="1"/>
    <xf borderId="1" fillId="0" fontId="1" numFmtId="0" xfId="0" applyAlignment="1" applyBorder="1" applyFont="1">
      <alignment readingOrder="0"/>
    </xf>
    <xf borderId="1" fillId="4" fontId="1" numFmtId="0" xfId="0" applyBorder="1" applyFont="1"/>
    <xf borderId="1" fillId="5" fontId="1" numFmtId="0" xfId="0" applyAlignment="1" applyBorder="1" applyFill="1" applyFont="1">
      <alignment readingOrder="0"/>
    </xf>
    <xf borderId="0" fillId="4" fontId="1" numFmtId="0" xfId="0" applyAlignment="1" applyFont="1">
      <alignment readingOrder="0"/>
    </xf>
    <xf borderId="0" fillId="0" fontId="1" numFmtId="4" xfId="0" applyFont="1" applyNumberFormat="1"/>
    <xf borderId="0" fillId="0" fontId="4" numFmtId="0" xfId="0" applyAlignment="1" applyFont="1">
      <alignment readingOrder="0"/>
    </xf>
    <xf borderId="4" fillId="4" fontId="3" numFmtId="11" xfId="0" applyAlignment="1" applyBorder="1" applyFont="1" applyNumberFormat="1">
      <alignment horizontal="right" vertical="bottom"/>
    </xf>
    <xf borderId="4" fillId="4" fontId="3" numFmtId="11" xfId="0" applyAlignment="1" applyBorder="1" applyFont="1" applyNumberFormat="1">
      <alignment horizontal="right" readingOrder="0" vertical="bottom"/>
    </xf>
    <xf borderId="5" fillId="4" fontId="3" numFmtId="11" xfId="0" applyAlignment="1" applyBorder="1" applyFont="1" applyNumberFormat="1">
      <alignment horizontal="right" vertical="bottom"/>
    </xf>
    <xf borderId="0" fillId="0" fontId="5" numFmtId="0" xfId="0" applyAlignment="1" applyFont="1">
      <alignment readingOrder="0"/>
    </xf>
    <xf borderId="0" fillId="0" fontId="5" numFmtId="0" xfId="0" applyFont="1"/>
    <xf borderId="1" fillId="4" fontId="1" numFmtId="11" xfId="0" applyAlignment="1" applyBorder="1" applyFont="1" applyNumberFormat="1">
      <alignment readingOrder="0"/>
    </xf>
    <xf borderId="0" fillId="0" fontId="3" numFmtId="2" xfId="0" applyAlignment="1" applyFont="1" applyNumberFormat="1">
      <alignment horizontal="right" vertical="bottom"/>
    </xf>
    <xf borderId="0" fillId="0" fontId="1" numFmtId="164" xfId="0" applyFont="1" applyNumberFormat="1"/>
    <xf borderId="0" fillId="0" fontId="6" numFmtId="0" xfId="0" applyFont="1"/>
    <xf borderId="0" fillId="0" fontId="7" numFmtId="0" xfId="0" applyAlignment="1" applyFont="1">
      <alignment readingOrder="0"/>
    </xf>
    <xf borderId="6" fillId="4" fontId="1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6" fontId="9" numFmtId="0" xfId="0" applyAlignment="1" applyFill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4" fontId="1" numFmtId="0" xfId="0" applyFont="1"/>
    <xf borderId="0" fillId="7" fontId="10" numFmtId="0" xfId="0" applyAlignment="1" applyFill="1" applyFont="1">
      <alignment horizontal="left" readingOrder="0"/>
    </xf>
    <xf borderId="0" fillId="0" fontId="11" numFmtId="0" xfId="0" applyAlignment="1" applyFont="1">
      <alignment readingOrder="0"/>
    </xf>
    <xf borderId="0" fillId="0" fontId="1" numFmtId="11" xfId="0" applyFont="1" applyNumberFormat="1"/>
    <xf borderId="7" fillId="4" fontId="3" numFmtId="11" xfId="0" applyAlignment="1" applyBorder="1" applyFont="1" applyNumberFormat="1">
      <alignment horizontal="right" readingOrder="0" vertical="bottom"/>
    </xf>
    <xf borderId="8" fillId="0" fontId="1" numFmtId="11" xfId="0" applyAlignment="1" applyBorder="1" applyFont="1" applyNumberFormat="1">
      <alignment readingOrder="0"/>
    </xf>
    <xf borderId="9" fillId="0" fontId="1" numFmtId="11" xfId="0" applyBorder="1" applyFont="1" applyNumberFormat="1"/>
    <xf borderId="10" fillId="4" fontId="3" numFmtId="11" xfId="0" applyAlignment="1" applyBorder="1" applyFont="1" applyNumberFormat="1">
      <alignment horizontal="right" readingOrder="0" vertical="bottom"/>
    </xf>
    <xf borderId="11" fillId="0" fontId="1" numFmtId="11" xfId="0" applyBorder="1" applyFont="1" applyNumberFormat="1"/>
    <xf borderId="10" fillId="0" fontId="1" numFmtId="11" xfId="0" applyAlignment="1" applyBorder="1" applyFont="1" applyNumberFormat="1">
      <alignment readingOrder="0"/>
    </xf>
    <xf borderId="12" fillId="4" fontId="3" numFmtId="11" xfId="0" applyAlignment="1" applyBorder="1" applyFont="1" applyNumberFormat="1">
      <alignment horizontal="right" readingOrder="0" vertical="bottom"/>
    </xf>
    <xf borderId="13" fillId="0" fontId="1" numFmtId="11" xfId="0" applyAlignment="1" applyBorder="1" applyFont="1" applyNumberFormat="1">
      <alignment readingOrder="0"/>
    </xf>
    <xf borderId="14" fillId="0" fontId="1" numFmtId="11" xfId="0" applyBorder="1" applyFont="1" applyNumberFormat="1"/>
    <xf borderId="15" fillId="4" fontId="3" numFmtId="11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µ0*Meff and 2Ku1/Ms vs µ0Ms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'LAFO10Py5Pt5 - Vary Ms'!$D$44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'LAFO10Py5Pt5 - Vary Ms'!$A$45:$A$51</c:f>
            </c:numRef>
          </c:xVal>
          <c:yVal>
            <c:numRef>
              <c:f>'LAFO10Py5Pt5 - Vary Ms'!$D$45:$D$51</c:f>
              <c:numCache/>
            </c:numRef>
          </c:yVal>
        </c:ser>
        <c:ser>
          <c:idx val="1"/>
          <c:order val="1"/>
          <c:tx>
            <c:strRef>
              <c:f>'LAFO10Py5Pt5 - Vary Ms'!$E$44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'LAFO10Py5Pt5 - Vary Ms'!$A$45:$A$51</c:f>
            </c:numRef>
          </c:xVal>
          <c:yVal>
            <c:numRef>
              <c:f>'LAFO10Py5Pt5 - Vary Ms'!$E$45:$E$51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642855"/>
        <c:axId val="186540788"/>
      </c:scatterChart>
      <c:valAx>
        <c:axId val="7636428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µ0*Ms(T)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40788"/>
      </c:valAx>
      <c:valAx>
        <c:axId val="186540788"/>
        <c:scaling>
          <c:orientation val="minMax"/>
          <c:min val="-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Magnetic flux density (T)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3642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fittting vs. Ku1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'LAFO10Py5Pt5 - Vary Ku1_LAFO'!$F$55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'LAFO10Py5Pt5 - Vary Ku1_LAFO'!$A$56:$A$76</c:f>
            </c:numRef>
          </c:xVal>
          <c:yVal>
            <c:numRef>
              <c:f>'LAFO10Py5Pt5 - Vary Ku1_LAFO'!$F$56:$F$76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928651"/>
        <c:axId val="459510533"/>
      </c:scatterChart>
      <c:valAx>
        <c:axId val="17329286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Ku1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510533"/>
      </c:valAx>
      <c:valAx>
        <c:axId val="459510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fittting GHz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928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Lorentz fit/output at 1.2 Jth EM and Lorentz fit/output at 1.2 Jth BM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'LAFO10Py5Pt5 - Vary Ku1_LAFO'!$N$8:$N$9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xVal>
            <c:numRef>
              <c:f>'LAFO10Py5Pt5 - Vary Ku1_LAFO'!$A$10:$A$17</c:f>
            </c:numRef>
          </c:xVal>
          <c:yVal>
            <c:numRef>
              <c:f>'LAFO10Py5Pt5 - Vary Ku1_LAFO'!$N$10:$N$17</c:f>
              <c:numCache/>
            </c:numRef>
          </c:yVal>
        </c:ser>
        <c:ser>
          <c:idx val="1"/>
          <c:order val="1"/>
          <c:tx>
            <c:strRef>
              <c:f>'LAFO10Py5Pt5 - Vary Ku1_LAFO'!$O$8:$O$9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2"/>
            <c:marker>
              <c:symbol val="none"/>
            </c:marker>
          </c:dPt>
          <c:xVal>
            <c:numRef>
              <c:f>'LAFO10Py5Pt5 - Vary Ku1_LAFO'!$A$10:$A$17</c:f>
            </c:numRef>
          </c:xVal>
          <c:yVal>
            <c:numRef>
              <c:f>'LAFO10Py5Pt5 - Vary Ku1_LAFO'!$O$10:$O$17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154873"/>
        <c:axId val="1661738890"/>
      </c:scatterChart>
      <c:valAx>
        <c:axId val="10271548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738890"/>
      </c:valAx>
      <c:valAx>
        <c:axId val="1661738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154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µ0*Meff and 2Ku1/Ms vs µ0Ms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'LAFO10Py5Pt5 - Vary Ms'!$D$44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'LAFO10Py5Pt5 - Vary Ms'!$A$45:$A$51</c:f>
            </c:numRef>
          </c:xVal>
          <c:yVal>
            <c:numRef>
              <c:f>'LAFO10Py5Pt5 - Vary Ms'!$D$45:$D$51</c:f>
              <c:numCache/>
            </c:numRef>
          </c:yVal>
        </c:ser>
        <c:ser>
          <c:idx val="1"/>
          <c:order val="1"/>
          <c:tx>
            <c:strRef>
              <c:f>'LAFO10Py5Pt5 - Vary Ms'!$E$44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'LAFO10Py5Pt5 - Vary Ms'!$A$45:$A$51</c:f>
            </c:numRef>
          </c:xVal>
          <c:yVal>
            <c:numRef>
              <c:f>'LAFO10Py5Pt5 - Vary Ms'!$E$45:$E$51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857185"/>
        <c:axId val="467523707"/>
      </c:scatterChart>
      <c:valAx>
        <c:axId val="16408571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µ0*Ms(T)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523707"/>
      </c:valAx>
      <c:valAx>
        <c:axId val="467523707"/>
        <c:scaling>
          <c:orientation val="minMax"/>
          <c:min val="-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Magnetic flux density (T)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857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µ0*Meff and 2Ku1/Ms vs µ0Ms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'LAFO10Py5Pt5 - Vary Ms'!$D$44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'LAFO10Py5Pt5 - Vary Ms'!$A$45:$A$51</c:f>
            </c:numRef>
          </c:xVal>
          <c:yVal>
            <c:numRef>
              <c:f>'LAFO10Py5Pt5 - Vary Ms'!$D$45:$D$51</c:f>
              <c:numCache/>
            </c:numRef>
          </c:yVal>
        </c:ser>
        <c:ser>
          <c:idx val="1"/>
          <c:order val="1"/>
          <c:tx>
            <c:strRef>
              <c:f>'LAFO10Py5Pt5 - Vary Ms'!$E$44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'LAFO10Py5Pt5 - Vary Ms'!$A$45:$A$51</c:f>
            </c:numRef>
          </c:xVal>
          <c:yVal>
            <c:numRef>
              <c:f>'LAFO10Py5Pt5 - Vary Ms'!$E$45:$E$51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495134"/>
        <c:axId val="824109201"/>
      </c:scatterChart>
      <c:valAx>
        <c:axId val="15184951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µ0*Ms(T)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4109201"/>
      </c:valAx>
      <c:valAx>
        <c:axId val="824109201"/>
        <c:scaling>
          <c:orientation val="minMax"/>
          <c:min val="-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Magnetic flux density (T)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495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Critical Current Density (1e11A/m^2) vs. B(T)</a:t>
            </a:r>
          </a:p>
        </c:rich>
      </c:tx>
      <c:layout>
        <c:manualLayout>
          <c:xMode val="edge"/>
          <c:yMode val="edge"/>
          <c:x val="0.04190476190476191"/>
          <c:y val="0.05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'LAFO10Py5Pt5 - B vs Amp'!$A$10:$A$21</c:f>
            </c:numRef>
          </c:xVal>
          <c:yVal>
            <c:numRef>
              <c:f>'LAFO10Py5Pt5 - B vs Amp'!$H$9:$H$21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41600"/>
        <c:axId val="1449813418"/>
      </c:scatterChart>
      <c:valAx>
        <c:axId val="20879416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B(T)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813418"/>
      </c:valAx>
      <c:valAx>
        <c:axId val="1449813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Density (1e11A/m^2)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941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EM Amplitude vs B, J=1.2Jth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'LAFO10Py5Pt5 - B vs Amp'!$D$9</c:f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'LAFO10Py5Pt5 - B vs Amp'!$A$10:$A$21</c:f>
            </c:numRef>
          </c:xVal>
          <c:yVal>
            <c:numRef>
              <c:f>'LAFO10Py5Pt5 - B vs Amp'!$D$10:$D$21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640349"/>
        <c:axId val="1126754657"/>
      </c:scatterChart>
      <c:valAx>
        <c:axId val="12216403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B(T)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754657"/>
      </c:valAx>
      <c:valAx>
        <c:axId val="1126754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 Amplitude (arb. unit)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640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EM freq(GHz)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'LAFO10Py5Pt5 - B vs Amp'!$E$9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'LAFO10Py5Pt5 - B vs Amp'!$A$10:$A$21</c:f>
            </c:strRef>
          </c:cat>
          <c:val>
            <c:numRef>
              <c:f>'LAFO10Py5Pt5 - B vs Amp'!$E$10:$E$21</c:f>
              <c:numCache/>
            </c:numRef>
          </c:val>
          <c:smooth val="0"/>
        </c:ser>
        <c:axId val="268862768"/>
        <c:axId val="613800471"/>
      </c:lineChart>
      <c:catAx>
        <c:axId val="26886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800471"/>
      </c:catAx>
      <c:valAx>
        <c:axId val="613800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 freq(GHz)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862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EM width(GHz)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'LAFO10Py5Pt5 - B vs Amp'!$F$9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'LAFO10Py5Pt5 - B vs Amp'!$A$10:$A$21</c:f>
            </c:numRef>
          </c:xVal>
          <c:yVal>
            <c:numRef>
              <c:f>'LAFO10Py5Pt5 - B vs Amp'!$F$10:$F$21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771709"/>
        <c:axId val="2079566454"/>
      </c:scatterChart>
      <c:valAx>
        <c:axId val="15717717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566454"/>
      </c:valAx>
      <c:valAx>
        <c:axId val="2079566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 width(GHz)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17717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using direct measurement/EM amp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'LAFO10Py5Pt5 - B vs Amp'!$G$9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'LAFO10Py5Pt5 - B vs Amp'!$A$10:$A$21</c:f>
            </c:numRef>
          </c:xVal>
          <c:yVal>
            <c:numRef>
              <c:f>'LAFO10Py5Pt5 - B vs Amp'!$G$10:$G$21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369845"/>
        <c:axId val="352124507"/>
      </c:scatterChart>
      <c:valAx>
        <c:axId val="7203698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124507"/>
      </c:valAx>
      <c:valAx>
        <c:axId val="352124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using direct measurement/EM 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3698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using Lorentzian fit/EM amp and using direct measurement/EM amp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'LAFO10Py5Pt5 - B vs Amp'!$D$8:$D$9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'LAFO10Py5Pt5 - B vs Amp'!$A$11:$A$21</c:f>
            </c:numRef>
          </c:xVal>
          <c:yVal>
            <c:numRef>
              <c:f>'LAFO10Py5Pt5 - B vs Amp'!$D$10:$D$21</c:f>
              <c:numCache/>
            </c:numRef>
          </c:yVal>
        </c:ser>
        <c:ser>
          <c:idx val="1"/>
          <c:order val="1"/>
          <c:tx>
            <c:strRef>
              <c:f>'LAFO10Py5Pt5 - B vs Amp'!$G$8:$G$9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'LAFO10Py5Pt5 - B vs Amp'!$A$11:$A$21</c:f>
            </c:numRef>
          </c:xVal>
          <c:yVal>
            <c:numRef>
              <c:f>'LAFO10Py5Pt5 - B vs Amp'!$G$10:$G$21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11750"/>
        <c:axId val="1505175512"/>
      </c:scatterChart>
      <c:valAx>
        <c:axId val="2247117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175512"/>
      </c:valAx>
      <c:valAx>
        <c:axId val="1505175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7117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Meff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'LAFO10Py5Pt5 - Vary Ms'!$F$44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'LAFO10Py5Pt5 - Vary Ms'!$F$45:$F$51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44372"/>
        <c:axId val="741134900"/>
      </c:scatterChart>
      <c:valAx>
        <c:axId val="1608443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134900"/>
      </c:valAx>
      <c:valAx>
        <c:axId val="741134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Meff</a:t>
                </a:r>
              </a:p>
            </c:rich>
          </c:tx>
          <c:overlay val="0"/>
        </c:title>
        <c:numFmt formatCode="0.00E+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443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Critical current density (1e11A/m^2) for 3 layers vs. alpha_LAFO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'LAFO10Py5Pt5 - LAFOalpha vs Jth'!$B$10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'LAFO10Py5Pt5 - LAFOalpha vs Jth'!$A$11:$A$16</c:f>
            </c:numRef>
          </c:xVal>
          <c:yVal>
            <c:numRef>
              <c:f>'LAFO10Py5Pt5 - LAFOalpha vs Jth'!$B$11:$B$16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65300"/>
        <c:axId val="1751735020"/>
      </c:scatterChart>
      <c:valAx>
        <c:axId val="7440653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alpha_LAFO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735020"/>
      </c:valAx>
      <c:valAx>
        <c:axId val="1751735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Critical current density (1e11A/m^2) for 3 layers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0653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EM freq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'LAFO10Py5Pt5-Vary Exchange scal'!$D$11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'LAFO10Py5Pt5-Vary Exchange scal'!$A$12:$A$17</c:f>
            </c:numRef>
          </c:xVal>
          <c:yVal>
            <c:numRef>
              <c:f>'LAFO10Py5Pt5-Vary Exchange scal'!$D$12:$D$17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779336"/>
        <c:axId val="1418426866"/>
      </c:scatterChart>
      <c:valAx>
        <c:axId val="6377793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426866"/>
      </c:valAx>
      <c:valAx>
        <c:axId val="1418426866"/>
        <c:scaling>
          <c:orientation val="minMax"/>
          <c:max val="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 freq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7793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EM Amplitude vs exchange coupling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'LAFO10Py5Pt5-Vary Exchange scal'!$E$11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'LAFO10Py5Pt5-Vary Exchange scal'!$A$12:$A$17</c:f>
            </c:numRef>
          </c:xVal>
          <c:yVal>
            <c:numRef>
              <c:f>'LAFO10Py5Pt5-Vary Exchange scal'!$E$12:$E$17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720480"/>
        <c:axId val="60632983"/>
      </c:scatterChart>
      <c:valAx>
        <c:axId val="6717204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exchange coupling between two regions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32983"/>
      </c:valAx>
      <c:valAx>
        <c:axId val="60632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 Amp (a.u.)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720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width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'LAFO10Py5Pt5-Vary Exchange scal'!$F$11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'LAFO10Py5Pt5-Vary Exchange scal'!$A$12:$A$17</c:f>
            </c:numRef>
          </c:xVal>
          <c:yVal>
            <c:numRef>
              <c:f>'LAFO10Py5Pt5-Vary Exchange scal'!$F$12:$F$17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731066"/>
        <c:axId val="2018446685"/>
      </c:scatterChart>
      <c:valAx>
        <c:axId val="5797310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446685"/>
      </c:valAx>
      <c:valAx>
        <c:axId val="2018446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width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731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critical current density vs exchange coupling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'LAFO10Py5Pt5-Vary Exchange scal'!$G$11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'LAFO10Py5Pt5-Vary Exchange scal'!$A$12:$A$17</c:f>
            </c:numRef>
          </c:xVal>
          <c:yVal>
            <c:numRef>
              <c:f>'LAFO10Py5Pt5-Vary Exchange scal'!$G$12:$G$17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125155"/>
        <c:axId val="1497655687"/>
      </c:scatterChart>
      <c:valAx>
        <c:axId val="8091251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exchange coupling between two regions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7655687"/>
      </c:valAx>
      <c:valAx>
        <c:axId val="1497655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critical current density (1e12A/m^2)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9125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Anisotropy Energy vs. Ku1, LAFO10Py5Pt5</a:t>
            </a:r>
          </a:p>
        </c:rich>
      </c:tx>
      <c:layout>
        <c:manualLayout>
          <c:xMode val="edge"/>
          <c:yMode val="edge"/>
          <c:x val="0.03222003929273085"/>
          <c:y val="0.05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'Energy vs Ku1'!$B$9:$B$10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'Energy vs Ku1'!$A$11:$A$29</c:f>
            </c:numRef>
          </c:xVal>
          <c:yVal>
            <c:numRef>
              <c:f>'Energy vs Ku1'!$B$11:$B$29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3859"/>
        <c:axId val="1292860922"/>
      </c:scatterChart>
      <c:valAx>
        <c:axId val="2559438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Ku1(J/m^3)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860922"/>
      </c:valAx>
      <c:valAx>
        <c:axId val="1292860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Anisotropy Energy (J)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9438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Simulated Energy vs Ku1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'Energy vs Ku1'!$B$9:$B$10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'Energy vs Ku1'!$A$11:$A$29</c:f>
            </c:numRef>
          </c:xVal>
          <c:yVal>
            <c:numRef>
              <c:f>'Energy vs Ku1'!$B$11:$B$29</c:f>
              <c:numCache/>
            </c:numRef>
          </c:yVal>
        </c:ser>
        <c:ser>
          <c:idx val="1"/>
          <c:order val="1"/>
          <c:tx>
            <c:strRef>
              <c:f>'Energy vs Ku1'!$C$9:$C$10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'Energy vs Ku1'!$A$11:$A$29</c:f>
            </c:numRef>
          </c:xVal>
          <c:yVal>
            <c:numRef>
              <c:f>'Energy vs Ku1'!$C$11:$C$29</c:f>
              <c:numCache/>
            </c:numRef>
          </c:yVal>
        </c:ser>
        <c:ser>
          <c:idx val="2"/>
          <c:order val="2"/>
          <c:tx>
            <c:strRef>
              <c:f>'Energy vs Ku1'!$D$9:$D$10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'Energy vs Ku1'!$A$11:$A$29</c:f>
            </c:numRef>
          </c:xVal>
          <c:yVal>
            <c:numRef>
              <c:f>'Energy vs Ku1'!$D$11:$D$29</c:f>
              <c:numCache/>
            </c:numRef>
          </c:yVal>
        </c:ser>
        <c:ser>
          <c:idx val="3"/>
          <c:order val="3"/>
          <c:tx>
            <c:strRef>
              <c:f>'Energy vs Ku1'!$E$9:$E$10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'Energy vs Ku1'!$A$11:$A$29</c:f>
            </c:numRef>
          </c:xVal>
          <c:yVal>
            <c:numRef>
              <c:f>'Energy vs Ku1'!$E$11:$E$29</c:f>
              <c:numCache/>
            </c:numRef>
          </c:yVal>
        </c:ser>
        <c:ser>
          <c:idx val="4"/>
          <c:order val="4"/>
          <c:tx>
            <c:strRef>
              <c:f>'Energy vs Ku1'!$F$9:$F$10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'Energy vs Ku1'!$A$11:$A$29</c:f>
            </c:numRef>
          </c:xVal>
          <c:yVal>
            <c:numRef>
              <c:f>'Energy vs Ku1'!$F$11:$F$29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12739"/>
        <c:axId val="1171450216"/>
      </c:scatterChart>
      <c:valAx>
        <c:axId val="1866127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Ku1(J/m^3)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450216"/>
      </c:valAx>
      <c:valAx>
        <c:axId val="1171450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Energy(J)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12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Magnetostatic Energy vs. Ku1, LAFO10Py5Pt5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'Energy vs Ku1'!$C$9:$C$10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'Energy vs Ku1'!$A$11:$A$29</c:f>
            </c:numRef>
          </c:xVal>
          <c:yVal>
            <c:numRef>
              <c:f>'Energy vs Ku1'!$C$11:$C$29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81455"/>
        <c:axId val="1850832466"/>
      </c:scatterChart>
      <c:valAx>
        <c:axId val="3783814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Ku1(J/m^3)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0832466"/>
      </c:valAx>
      <c:valAx>
        <c:axId val="1850832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Magnetostatic Energy (J)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3814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demag E-AnisE vs. Ku1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'Energy vs Ku1'!$G$10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'Energy vs Ku1'!$A$11:$A$29</c:f>
            </c:numRef>
          </c:xVal>
          <c:yVal>
            <c:numRef>
              <c:f>'Energy vs Ku1'!$G$11:$G$29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98698"/>
        <c:axId val="1431532723"/>
      </c:scatterChart>
      <c:valAx>
        <c:axId val="3278986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Ku1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532723"/>
      </c:valAx>
      <c:valAx>
        <c:axId val="1431532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Anis+demag 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8986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Anisotropy Energy vs. Ku1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'Energy vs Ku1'!$B$69:$B$70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'Energy vs Ku1'!$A$71:$A$78</c:f>
            </c:numRef>
          </c:xVal>
          <c:yVal>
            <c:numRef>
              <c:f>'Energy vs Ku1'!$B$71:$B$78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571506"/>
        <c:axId val="214037097"/>
      </c:scatterChart>
      <c:valAx>
        <c:axId val="14485715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Ku1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37097"/>
      </c:valAx>
      <c:valAx>
        <c:axId val="214037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Anisotropy Energy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8571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'LAFO20Py5Pt5 - Vary Ms'!$A$9:$A$20</c:f>
            </c:numRef>
          </c:xVal>
          <c:yVal>
            <c:numRef>
              <c:f>'LAFO20Py5Pt5 - Vary Ms'!$I$8:$I$20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459373"/>
        <c:axId val="1544498864"/>
      </c:scatterChart>
      <c:valAx>
        <c:axId val="18074593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498864"/>
      </c:valAx>
      <c:valAx>
        <c:axId val="1544498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7459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Magnetostatic Energy vs. Ku1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'Energy vs Ku1'!$C$69:$C$70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'Energy vs Ku1'!$A$71:$A$78</c:f>
            </c:numRef>
          </c:xVal>
          <c:yVal>
            <c:numRef>
              <c:f>'Energy vs Ku1'!$C$71:$C$78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501454"/>
        <c:axId val="2117886424"/>
      </c:scatterChart>
      <c:valAx>
        <c:axId val="8445014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Ku1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886424"/>
      </c:valAx>
      <c:valAx>
        <c:axId val="2117886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Magnetostatic Energy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5014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Anisotropy Energy vs. Ku1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'Energy vs Ku1'!$B$112:$B$113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'Energy vs Ku1'!$A$114:$A$120</c:f>
            </c:numRef>
          </c:xVal>
          <c:yVal>
            <c:numRef>
              <c:f>'Energy vs Ku1'!$B$114:$B$120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456684"/>
        <c:axId val="2097219443"/>
      </c:scatterChart>
      <c:valAx>
        <c:axId val="12494566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Ku1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219443"/>
      </c:valAx>
      <c:valAx>
        <c:axId val="2097219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Anisotropy Energy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4566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Magnetostatic Energy vs. Ku1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'Energy vs Ku1'!$C$112:$C$113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'Energy vs Ku1'!$A$114:$A$120</c:f>
            </c:numRef>
          </c:xVal>
          <c:yVal>
            <c:numRef>
              <c:f>'Energy vs Ku1'!$C$114:$C$120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264587"/>
        <c:axId val="1274412759"/>
      </c:scatterChart>
      <c:valAx>
        <c:axId val="19582645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Ku1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4412759"/>
      </c:valAx>
      <c:valAx>
        <c:axId val="1274412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Magnetostatic Energy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8264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LAFO20/Py5 FMR1, LAFO20/Py5 FMR2 and LAFO20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'FMR frequency'!$C$1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'FMR frequency'!$B$2:$B$1000</c:f>
            </c:numRef>
          </c:xVal>
          <c:yVal>
            <c:numRef>
              <c:f>'FMR frequency'!$C$2:$C$1000</c:f>
              <c:numCache/>
            </c:numRef>
          </c:yVal>
        </c:ser>
        <c:ser>
          <c:idx val="1"/>
          <c:order val="1"/>
          <c:tx>
            <c:strRef>
              <c:f>'FMR frequency'!$D$1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'FMR frequency'!$B$2:$B$1000</c:f>
            </c:numRef>
          </c:xVal>
          <c:yVal>
            <c:numRef>
              <c:f>'FMR frequency'!$D$2:$D$1000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399027"/>
        <c:axId val="1037297232"/>
      </c:scatterChart>
      <c:valAx>
        <c:axId val="19593990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297232"/>
      </c:valAx>
      <c:valAx>
        <c:axId val="1037297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399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EM freq Ku1=+2.5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'freq vs Current @Ku1=+-2.5'!$F$1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'freq vs Current @Ku1=+-2.5'!$A$2:$A$7</c:f>
            </c:numRef>
          </c:xVal>
          <c:yVal>
            <c:numRef>
              <c:f>'freq vs Current @Ku1=+-2.5'!$F$2:$F$1000</c:f>
              <c:numCache/>
            </c:numRef>
          </c:yVal>
        </c:ser>
        <c:ser>
          <c:idx val="1"/>
          <c:order val="1"/>
          <c:tx>
            <c:strRef>
              <c:f>'freq vs Current @Ku1=+-2.5'!$C$1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'freq vs Current @Ku1=+-2.5'!$A$2:$A$7</c:f>
            </c:numRef>
          </c:xVal>
          <c:yVal>
            <c:numRef>
              <c:f>'freq vs Current @Ku1=+-2.5'!$C$2:$C$7</c:f>
              <c:numCache/>
            </c:numRef>
          </c:yVal>
        </c:ser>
        <c:ser>
          <c:idx val="2"/>
          <c:order val="2"/>
          <c:tx>
            <c:strRef>
              <c:f>'freq vs Current @Ku1=+-2.5'!$I$1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'freq vs Current @Ku1=+-2.5'!$A$2:$A$7</c:f>
            </c:numRef>
          </c:xVal>
          <c:yVal>
            <c:numRef>
              <c:f>'freq vs Current @Ku1=+-2.5'!$I$2:$I$7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061877"/>
        <c:axId val="737314367"/>
      </c:scatterChart>
      <c:valAx>
        <c:axId val="15120618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314367"/>
      </c:valAx>
      <c:valAx>
        <c:axId val="737314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 freq Ku1=+2.5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20618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BM Amp vs. EM Amp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'LAFO20Py5Pt5 - Vary Ms'!$C$23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'LAFO20Py5Pt5 - Vary Ms'!$A$24:$A$33</c:f>
            </c:numRef>
          </c:xVal>
          <c:yVal>
            <c:numRef>
              <c:f>'LAFO20Py5Pt5 - Vary Ms'!$C$24:$C$33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404789"/>
        <c:axId val="2125913225"/>
      </c:scatterChart>
      <c:valAx>
        <c:axId val="14154047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913225"/>
      </c:valAx>
      <c:valAx>
        <c:axId val="2125913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BM 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404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'Meff vs MsKu'!$Q$6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'Meff vs MsKu'!$O$7:$O$43</c:f>
            </c:numRef>
          </c:xVal>
          <c:yVal>
            <c:numRef>
              <c:f>'Meff vs MsKu'!$Q$7:$Q$39</c:f>
              <c:numCache/>
            </c:numRef>
          </c:yVal>
        </c:ser>
        <c:ser>
          <c:idx val="1"/>
          <c:order val="1"/>
          <c:tx>
            <c:strRef>
              <c:f>'Meff vs MsKu'!$R$6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'Meff vs MsKu'!$O$7:$O$43</c:f>
            </c:numRef>
          </c:xVal>
          <c:yVal>
            <c:numRef>
              <c:f>'Meff vs MsKu'!$R$7:$R$39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53406"/>
        <c:axId val="1218895875"/>
      </c:scatterChart>
      <c:valAx>
        <c:axId val="1698534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mu_0Meff(T)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895875"/>
      </c:valAx>
      <c:valAx>
        <c:axId val="1218895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53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Critical Current vs LAFO damping constant LAFO10/Py5/Pt5</a:t>
            </a:r>
          </a:p>
        </c:rich>
      </c:tx>
      <c:layout>
        <c:manualLayout>
          <c:xMode val="edge"/>
          <c:yMode val="edge"/>
          <c:x val="0.050623718386876286"/>
          <c:y val="0.05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B5394"/>
              </a:solidFill>
              <a:ln cmpd="sng">
                <a:solidFill>
                  <a:srgbClr val="0B5394"/>
                </a:solidFill>
              </a:ln>
            </c:spPr>
          </c:marker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'LAFO10Py5Pt5 - Vary Damping'!$A$10:$A$18</c:f>
            </c:numRef>
          </c:xVal>
          <c:yVal>
            <c:numRef>
              <c:f>'LAFO10Py5Pt5 - Vary Damping'!$E$10:$E$18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45819"/>
        <c:axId val="507548297"/>
      </c:scatterChart>
      <c:valAx>
        <c:axId val="359745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400">
                    <a:solidFill>
                      <a:srgbClr val="000000"/>
                    </a:solidFill>
                    <a:latin typeface="Arial"/>
                  </a:rPr>
                  <a:t>LAFO damping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548297"/>
      </c:valAx>
      <c:valAx>
        <c:axId val="50754829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400">
                    <a:solidFill>
                      <a:srgbClr val="000000"/>
                    </a:solidFill>
                    <a:latin typeface="Arial"/>
                  </a:rPr>
                  <a:t>Threshold Current (A/m^2)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745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'LAFO10Py5Pt5 - Vary Ku1_LAFO'!$B$45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'LAFO10Py5Pt5 - Vary Ku1_LAFO'!$A$46:$A$52</c:f>
            </c:numRef>
          </c:xVal>
          <c:yVal>
            <c:numRef>
              <c:f>'LAFO10Py5Pt5 - Vary Ku1_LAFO'!$B$46:$B$52</c:f>
              <c:numCache/>
            </c:numRef>
          </c:yVal>
        </c:ser>
        <c:ser>
          <c:idx val="1"/>
          <c:order val="1"/>
          <c:tx>
            <c:strRef>
              <c:f>'LAFO10Py5Pt5 - Vary Ku1_LAFO'!$C$45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'LAFO10Py5Pt5 - Vary Ku1_LAFO'!$A$46:$A$52</c:f>
            </c:numRef>
          </c:xVal>
          <c:yVal>
            <c:numRef>
              <c:f>'LAFO10Py5Pt5 - Vary Ku1_LAFO'!$C$46:$C$52</c:f>
              <c:numCache/>
            </c:numRef>
          </c:yVal>
        </c:ser>
        <c:ser>
          <c:idx val="2"/>
          <c:order val="2"/>
          <c:tx>
            <c:strRef>
              <c:f>'LAFO10Py5Pt5 - Vary Ku1_LAFO'!$D$45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'LAFO10Py5Pt5 - Vary Ku1_LAFO'!$A$46:$A$52</c:f>
            </c:numRef>
          </c:xVal>
          <c:yVal>
            <c:numRef>
              <c:f>'LAFO10Py5Pt5 - Vary Ku1_LAFO'!$D$46:$D$52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999494"/>
        <c:axId val="1749645979"/>
      </c:scatterChart>
      <c:valAx>
        <c:axId val="12569994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Ku1 (J/m^3)</a:t>
                </a:r>
              </a:p>
            </c:rich>
          </c:tx>
          <c:overlay val="0"/>
        </c:title>
        <c:numFmt formatCode="0.00E+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645979"/>
      </c:valAx>
      <c:valAx>
        <c:axId val="1749645979"/>
        <c:scaling>
          <c:orientation val="minMax"/>
          <c:max val="50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Magnetization (A/m)</a:t>
                </a:r>
              </a:p>
            </c:rich>
          </c:tx>
          <c:overlay val="0"/>
        </c:title>
        <c:numFmt formatCode="0.00E+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69994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'LAFO10Py5Pt5 - Vary Ku1_LAFO'!$B$55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'LAFO10Py5Pt5 - Vary Ku1_LAFO'!$A$56:$A$76</c:f>
            </c:numRef>
          </c:xVal>
          <c:yVal>
            <c:numRef>
              <c:f>'LAFO10Py5Pt5 - Vary Ku1_LAFO'!$B$56:$B$76</c:f>
              <c:numCache/>
            </c:numRef>
          </c:yVal>
        </c:ser>
        <c:ser>
          <c:idx val="1"/>
          <c:order val="1"/>
          <c:tx>
            <c:strRef>
              <c:f>'LAFO10Py5Pt5 - Vary Ku1_LAFO'!$C$55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'LAFO10Py5Pt5 - Vary Ku1_LAFO'!$A$56:$A$76</c:f>
            </c:numRef>
          </c:xVal>
          <c:yVal>
            <c:numRef>
              <c:f>'LAFO10Py5Pt5 - Vary Ku1_LAFO'!$C$56:$C$76</c:f>
              <c:numCache/>
            </c:numRef>
          </c:yVal>
        </c:ser>
        <c:ser>
          <c:idx val="2"/>
          <c:order val="2"/>
          <c:tx>
            <c:strRef>
              <c:f>'LAFO10Py5Pt5 - Vary Ku1_LAFO'!$D$55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'LAFO10Py5Pt5 - Vary Ku1_LAFO'!$A$56:$A$76</c:f>
            </c:numRef>
          </c:xVal>
          <c:yVal>
            <c:numRef>
              <c:f>'LAFO10Py5Pt5 - Vary Ku1_LAFO'!$D$56:$D$76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05932"/>
        <c:axId val="1842561677"/>
      </c:scatterChart>
      <c:valAx>
        <c:axId val="4819059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Ku1 (J/m^3)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561677"/>
      </c:valAx>
      <c:valAx>
        <c:axId val="1842561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Magnetization (A/m)</a:t>
                </a:r>
              </a:p>
            </c:rich>
          </c:tx>
          <c:overlay val="0"/>
        </c:title>
        <c:numFmt formatCode="0.00E+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9059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calculated FMR freq vs. Ku1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'LAFO10Py5Pt5 - Vary Ku1_LAFO'!$E$55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'LAFO10Py5Pt5 - Vary Ku1_LAFO'!$A$56:$A$76</c:f>
            </c:numRef>
          </c:xVal>
          <c:yVal>
            <c:numRef>
              <c:f>'LAFO10Py5Pt5 - Vary Ku1_LAFO'!$E$56:$E$76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9495"/>
        <c:axId val="1508252801"/>
      </c:scatterChart>
      <c:valAx>
        <c:axId val="2466394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Ku1(J/m^3)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8252801"/>
      </c:valAx>
      <c:valAx>
        <c:axId val="1508252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FMR freq 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639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jpg"/><Relationship Id="rId4" Type="http://schemas.openxmlformats.org/officeDocument/2006/relationships/image" Target="../media/image3.jpg"/><Relationship Id="rId5" Type="http://schemas.openxmlformats.org/officeDocument/2006/relationships/image" Target="../media/image2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514350</xdr:colOff>
      <xdr:row>39</xdr:row>
      <xdr:rowOff>161925</xdr:rowOff>
    </xdr:from>
    <xdr:ext cx="4086225" cy="3352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1685925</xdr:colOff>
      <xdr:row>52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895350</xdr:colOff>
      <xdr:row>2</xdr:row>
      <xdr:rowOff>-57150</xdr:rowOff>
    </xdr:from>
    <xdr:ext cx="4248150" cy="3267075"/>
    <xdr:pic>
      <xdr:nvPicPr>
        <xdr:cNvPr id="0" name="image1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276225</xdr:colOff>
      <xdr:row>0</xdr:row>
      <xdr:rowOff>104775</xdr:rowOff>
    </xdr:from>
    <xdr:ext cx="4838700" cy="3505200"/>
    <xdr:pic>
      <xdr:nvPicPr>
        <xdr:cNvPr id="0" name="image3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895350</xdr:colOff>
      <xdr:row>19</xdr:row>
      <xdr:rowOff>142875</xdr:rowOff>
    </xdr:from>
    <xdr:ext cx="5086350" cy="3905250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31</xdr:row>
      <xdr:rowOff>9525</xdr:rowOff>
    </xdr:from>
    <xdr:ext cx="4848225" cy="3314700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790575</xdr:colOff>
      <xdr:row>31</xdr:row>
      <xdr:rowOff>9525</xdr:rowOff>
    </xdr:from>
    <xdr:ext cx="5372100" cy="508635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1047750</xdr:colOff>
      <xdr:row>30</xdr:row>
      <xdr:rowOff>95250</xdr:rowOff>
    </xdr:from>
    <xdr:ext cx="5048250" cy="3543300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</xdr:colOff>
      <xdr:row>11</xdr:row>
      <xdr:rowOff>133350</xdr:rowOff>
    </xdr:from>
    <xdr:ext cx="4410075" cy="3124200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676275</xdr:colOff>
      <xdr:row>79</xdr:row>
      <xdr:rowOff>47625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1190625</xdr:colOff>
      <xdr:row>80</xdr:row>
      <xdr:rowOff>47625</xdr:rowOff>
    </xdr:from>
    <xdr:ext cx="5572125" cy="3448050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1000125</xdr:colOff>
      <xdr:row>121</xdr:row>
      <xdr:rowOff>47625</xdr:rowOff>
    </xdr:from>
    <xdr:ext cx="5715000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76200</xdr:colOff>
      <xdr:row>121</xdr:row>
      <xdr:rowOff>47625</xdr:rowOff>
    </xdr:from>
    <xdr:ext cx="5715000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600075</xdr:colOff>
      <xdr:row>7</xdr:row>
      <xdr:rowOff>57150</xdr:rowOff>
    </xdr:from>
    <xdr:ext cx="5086350" cy="31527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1304925</xdr:colOff>
      <xdr:row>9</xdr:row>
      <xdr:rowOff>38100</xdr:rowOff>
    </xdr:from>
    <xdr:ext cx="3352800" cy="2781300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495300</xdr:colOff>
      <xdr:row>22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304800</xdr:colOff>
      <xdr:row>22</xdr:row>
      <xdr:rowOff>0</xdr:rowOff>
    </xdr:from>
    <xdr:ext cx="3257550" cy="20383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447675</xdr:colOff>
      <xdr:row>23</xdr:row>
      <xdr:rowOff>171450</xdr:rowOff>
    </xdr:from>
    <xdr:ext cx="3038475" cy="24765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666750</xdr:colOff>
      <xdr:row>5</xdr:row>
      <xdr:rowOff>171450</xdr:rowOff>
    </xdr:from>
    <xdr:ext cx="3667125" cy="33528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514350</xdr:colOff>
      <xdr:row>41</xdr:row>
      <xdr:rowOff>19050</xdr:rowOff>
    </xdr:from>
    <xdr:ext cx="5362575" cy="33147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1428750</xdr:colOff>
      <xdr:row>50</xdr:row>
      <xdr:rowOff>28575</xdr:rowOff>
    </xdr:from>
    <xdr:ext cx="7858125" cy="48768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752475</xdr:colOff>
      <xdr:row>79</xdr:row>
      <xdr:rowOff>76200</xdr:rowOff>
    </xdr:from>
    <xdr:ext cx="3619500" cy="24193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2438400</xdr:colOff>
      <xdr:row>79</xdr:row>
      <xdr:rowOff>76200</xdr:rowOff>
    </xdr:from>
    <xdr:ext cx="4067175" cy="26479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66675</xdr:colOff>
      <xdr:row>7</xdr:row>
      <xdr:rowOff>9525</xdr:rowOff>
    </xdr:from>
    <xdr:ext cx="4257675" cy="36671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114300</xdr:colOff>
      <xdr:row>22</xdr:row>
      <xdr:rowOff>57150</xdr:rowOff>
    </xdr:from>
    <xdr:ext cx="3295650" cy="27051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762000</xdr:colOff>
      <xdr:row>57</xdr:row>
      <xdr:rowOff>123825</xdr:rowOff>
    </xdr:from>
    <xdr:ext cx="4086225" cy="33528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22</xdr:row>
      <xdr:rowOff>114300</xdr:rowOff>
    </xdr:from>
    <xdr:ext cx="4000500" cy="35433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1800225</xdr:colOff>
      <xdr:row>22</xdr:row>
      <xdr:rowOff>190500</xdr:rowOff>
    </xdr:from>
    <xdr:ext cx="4410075" cy="33909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733425</xdr:colOff>
      <xdr:row>23</xdr:row>
      <xdr:rowOff>161925</xdr:rowOff>
    </xdr:from>
    <xdr:ext cx="5095875" cy="34956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381000</xdr:colOff>
      <xdr:row>24</xdr:row>
      <xdr:rowOff>9525</xdr:rowOff>
    </xdr:from>
    <xdr:ext cx="4410075" cy="272415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342900</xdr:colOff>
      <xdr:row>5</xdr:row>
      <xdr:rowOff>161925</xdr:rowOff>
    </xdr:from>
    <xdr:ext cx="4810125" cy="298132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457200</xdr:colOff>
      <xdr:row>6</xdr:row>
      <xdr:rowOff>104775</xdr:rowOff>
    </xdr:from>
    <xdr:ext cx="3305175" cy="28956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666750</xdr:colOff>
      <xdr:row>17</xdr:row>
      <xdr:rowOff>76200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21</xdr:row>
      <xdr:rowOff>152400</xdr:rowOff>
    </xdr:from>
    <xdr:ext cx="4648200" cy="286702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390525</xdr:colOff>
      <xdr:row>21</xdr:row>
      <xdr:rowOff>152400</xdr:rowOff>
    </xdr:from>
    <xdr:ext cx="3543300" cy="286702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466725</xdr:colOff>
      <xdr:row>21</xdr:row>
      <xdr:rowOff>152400</xdr:rowOff>
    </xdr:from>
    <xdr:ext cx="3848100" cy="240030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466725</xdr:colOff>
      <xdr:row>5</xdr:row>
      <xdr:rowOff>171450</xdr:rowOff>
    </xdr:from>
    <xdr:ext cx="3276600" cy="300990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933450</xdr:colOff>
      <xdr:row>6</xdr:row>
      <xdr:rowOff>152400</xdr:rowOff>
    </xdr:from>
    <xdr:ext cx="5191125" cy="42386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13"/>
    <col customWidth="1" min="6" max="6" width="16.5"/>
  </cols>
  <sheetData>
    <row r="1">
      <c r="A1" s="1" t="s">
        <v>0</v>
      </c>
      <c r="B1" s="2"/>
      <c r="C1" s="1" t="s">
        <v>1</v>
      </c>
    </row>
    <row r="2">
      <c r="A2" s="1" t="s">
        <v>2</v>
      </c>
      <c r="B2" s="2"/>
    </row>
    <row r="3">
      <c r="A3" s="1" t="s">
        <v>3</v>
      </c>
      <c r="B3" s="2"/>
    </row>
    <row r="4">
      <c r="A4" s="1" t="s">
        <v>4</v>
      </c>
      <c r="B4" s="2"/>
    </row>
    <row r="5">
      <c r="A5" s="1" t="s">
        <v>5</v>
      </c>
      <c r="B5" s="2"/>
    </row>
    <row r="6">
      <c r="A6" s="1" t="s">
        <v>6</v>
      </c>
      <c r="B6" s="2"/>
    </row>
    <row r="7">
      <c r="A7" s="3" t="s">
        <v>7</v>
      </c>
      <c r="B7" s="2"/>
    </row>
    <row r="8">
      <c r="A8" s="4" t="s">
        <v>8</v>
      </c>
      <c r="B8" s="4" t="s">
        <v>9</v>
      </c>
      <c r="C8" s="5" t="s">
        <v>10</v>
      </c>
      <c r="D8" s="5" t="s">
        <v>10</v>
      </c>
      <c r="E8" s="5" t="s">
        <v>11</v>
      </c>
      <c r="F8" s="1" t="s">
        <v>12</v>
      </c>
    </row>
    <row r="9">
      <c r="A9" s="6">
        <v>850.0</v>
      </c>
      <c r="B9" s="6"/>
      <c r="C9" s="7"/>
      <c r="D9" s="7"/>
      <c r="E9" s="7"/>
    </row>
    <row r="10">
      <c r="A10" s="6">
        <v>942.0</v>
      </c>
      <c r="B10" s="6">
        <v>77.0</v>
      </c>
      <c r="C10" s="8">
        <v>6.53</v>
      </c>
      <c r="D10" s="7">
        <v>7.245</v>
      </c>
      <c r="E10" s="7">
        <v>8.4</v>
      </c>
      <c r="F10" s="9">
        <f t="shared" ref="F10:F18" si="1">B10*3*1.2/5</f>
        <v>55.44</v>
      </c>
    </row>
    <row r="11">
      <c r="A11" s="6">
        <v>1000.0</v>
      </c>
      <c r="B11" s="6">
        <v>76.0</v>
      </c>
      <c r="F11" s="9">
        <f t="shared" si="1"/>
        <v>54.72</v>
      </c>
    </row>
    <row r="12">
      <c r="A12" s="6">
        <v>1150.0</v>
      </c>
      <c r="B12" s="6">
        <v>77.0</v>
      </c>
      <c r="C12" s="1">
        <v>6.4</v>
      </c>
      <c r="D12" s="1">
        <v>7.4</v>
      </c>
      <c r="E12" s="1">
        <v>8.475</v>
      </c>
      <c r="F12" s="9">
        <f t="shared" si="1"/>
        <v>55.44</v>
      </c>
    </row>
    <row r="13">
      <c r="A13" s="6">
        <v>1300.0</v>
      </c>
      <c r="B13" s="6">
        <v>77.0</v>
      </c>
      <c r="F13" s="9">
        <f t="shared" si="1"/>
        <v>55.44</v>
      </c>
    </row>
    <row r="14">
      <c r="A14" s="6">
        <v>1500.0</v>
      </c>
      <c r="B14" s="6">
        <v>76.0</v>
      </c>
      <c r="F14" s="9">
        <f t="shared" si="1"/>
        <v>54.72</v>
      </c>
    </row>
    <row r="15">
      <c r="A15" s="6">
        <v>1700.0</v>
      </c>
      <c r="B15" s="6">
        <v>76.0</v>
      </c>
      <c r="F15" s="9">
        <f t="shared" si="1"/>
        <v>54.72</v>
      </c>
    </row>
    <row r="16">
      <c r="A16" s="6">
        <v>2300.0</v>
      </c>
      <c r="B16" s="2">
        <f t="shared" ref="B16:B17" si="2">47*5/3</f>
        <v>78.33333333</v>
      </c>
      <c r="F16" s="9">
        <f t="shared" si="1"/>
        <v>56.4</v>
      </c>
    </row>
    <row r="17">
      <c r="A17" s="6">
        <v>2700.0</v>
      </c>
      <c r="B17" s="10">
        <f t="shared" si="2"/>
        <v>78.33333333</v>
      </c>
      <c r="F17" s="9">
        <f t="shared" si="1"/>
        <v>56.4</v>
      </c>
    </row>
    <row r="18">
      <c r="A18" s="3" t="s">
        <v>13</v>
      </c>
      <c r="B18" s="2"/>
      <c r="F18" s="9">
        <f t="shared" si="1"/>
        <v>0</v>
      </c>
    </row>
    <row r="19">
      <c r="A19" s="11"/>
      <c r="B19" s="2"/>
    </row>
    <row r="20">
      <c r="A20" s="6">
        <v>942.0</v>
      </c>
      <c r="B20" s="12">
        <v>115.0</v>
      </c>
    </row>
    <row r="21">
      <c r="A21" s="6">
        <v>1150.0</v>
      </c>
      <c r="B21" s="12">
        <v>117.0</v>
      </c>
    </row>
    <row r="22">
      <c r="A22" s="6">
        <v>1300.0</v>
      </c>
      <c r="B22" s="12">
        <v>117.0</v>
      </c>
    </row>
    <row r="23">
      <c r="A23" s="6">
        <v>1500.0</v>
      </c>
      <c r="B23" s="12">
        <v>118.0</v>
      </c>
    </row>
    <row r="24">
      <c r="A24" s="6">
        <v>1700.0</v>
      </c>
      <c r="B24" s="12">
        <v>118.0</v>
      </c>
    </row>
    <row r="25">
      <c r="A25" s="6">
        <v>2300.0</v>
      </c>
      <c r="B25" s="12">
        <v>119.0</v>
      </c>
    </row>
    <row r="26">
      <c r="A26" s="6">
        <v>2700.0</v>
      </c>
      <c r="B26" s="12">
        <v>120.0</v>
      </c>
    </row>
    <row r="27">
      <c r="A27" s="11"/>
      <c r="B27" s="10"/>
    </row>
    <row r="28">
      <c r="A28" s="3" t="s">
        <v>14</v>
      </c>
      <c r="B28" s="2"/>
    </row>
    <row r="29">
      <c r="A29" s="6">
        <v>800.0</v>
      </c>
      <c r="B29" s="6">
        <v>188.0</v>
      </c>
    </row>
    <row r="30">
      <c r="A30" s="6">
        <v>942.0</v>
      </c>
      <c r="B30" s="6">
        <v>187.0</v>
      </c>
    </row>
    <row r="31">
      <c r="A31" s="6">
        <v>1150.0</v>
      </c>
      <c r="B31" s="6">
        <v>187.0</v>
      </c>
    </row>
    <row r="32">
      <c r="A32" s="6">
        <v>1300.0</v>
      </c>
      <c r="B32" s="6">
        <v>188.0</v>
      </c>
    </row>
    <row r="33">
      <c r="A33" s="6">
        <v>1500.0</v>
      </c>
      <c r="B33" s="6">
        <v>188.0</v>
      </c>
    </row>
    <row r="34">
      <c r="A34" s="13">
        <v>1700.0</v>
      </c>
      <c r="B34" s="13">
        <v>189.0</v>
      </c>
    </row>
    <row r="35">
      <c r="A35" s="13">
        <v>2300.0</v>
      </c>
      <c r="B35" s="13">
        <v>189.0</v>
      </c>
    </row>
    <row r="36">
      <c r="A36" s="13">
        <v>2700.0</v>
      </c>
      <c r="B36" s="13">
        <v>190.0</v>
      </c>
    </row>
    <row r="43">
      <c r="A43" s="1" t="s">
        <v>4</v>
      </c>
    </row>
    <row r="44">
      <c r="A44" s="1" t="s">
        <v>15</v>
      </c>
      <c r="B44" s="1" t="s">
        <v>16</v>
      </c>
      <c r="C44" s="1" t="s">
        <v>17</v>
      </c>
      <c r="D44" s="1" t="s">
        <v>18</v>
      </c>
      <c r="E44" s="1" t="s">
        <v>19</v>
      </c>
      <c r="F44" s="1" t="s">
        <v>20</v>
      </c>
    </row>
    <row r="45">
      <c r="A45" s="6">
        <v>0.04</v>
      </c>
      <c r="B45" s="14">
        <f t="shared" ref="B45:B51" si="3">-2*31701/A45</f>
        <v>-1585050</v>
      </c>
      <c r="C45" s="9">
        <f t="shared" ref="C45:C51" si="4">A45/(4*3.1415*10^-7)</f>
        <v>31831.92742</v>
      </c>
      <c r="D45" s="9">
        <f t="shared" ref="D45:D51" si="5">(C45-B45)*4*3.1415*10^-7</f>
        <v>2.03177383</v>
      </c>
      <c r="E45" s="9">
        <f t="shared" ref="E45:E51" si="6">B45*4*3.1415*10^-7</f>
        <v>-1.99177383</v>
      </c>
      <c r="F45" s="14">
        <f t="shared" ref="F45:F51" si="7">C45-B45</f>
        <v>1616881.927</v>
      </c>
    </row>
    <row r="46">
      <c r="A46" s="6">
        <v>0.06</v>
      </c>
      <c r="B46" s="14">
        <f t="shared" si="3"/>
        <v>-1056700</v>
      </c>
      <c r="C46" s="9">
        <f t="shared" si="4"/>
        <v>47747.89113</v>
      </c>
      <c r="D46" s="9">
        <f t="shared" si="5"/>
        <v>1.38784922</v>
      </c>
      <c r="E46" s="9">
        <f t="shared" si="6"/>
        <v>-1.32784922</v>
      </c>
      <c r="F46" s="14">
        <f t="shared" si="7"/>
        <v>1104447.891</v>
      </c>
    </row>
    <row r="47">
      <c r="A47" s="6">
        <v>0.08</v>
      </c>
      <c r="B47" s="14">
        <f t="shared" si="3"/>
        <v>-792525</v>
      </c>
      <c r="C47" s="9">
        <f t="shared" si="4"/>
        <v>63663.85485</v>
      </c>
      <c r="D47" s="9">
        <f t="shared" si="5"/>
        <v>1.075886915</v>
      </c>
      <c r="E47" s="9">
        <f t="shared" si="6"/>
        <v>-0.995886915</v>
      </c>
      <c r="F47" s="14">
        <f t="shared" si="7"/>
        <v>856188.8548</v>
      </c>
    </row>
    <row r="48">
      <c r="A48" s="6">
        <v>0.1</v>
      </c>
      <c r="B48" s="14">
        <f t="shared" si="3"/>
        <v>-634020</v>
      </c>
      <c r="C48" s="9">
        <f t="shared" si="4"/>
        <v>79579.81856</v>
      </c>
      <c r="D48" s="9">
        <f t="shared" si="5"/>
        <v>0.896709532</v>
      </c>
      <c r="E48" s="9">
        <f t="shared" si="6"/>
        <v>-0.796709532</v>
      </c>
      <c r="F48" s="14">
        <f t="shared" si="7"/>
        <v>713599.8186</v>
      </c>
    </row>
    <row r="49">
      <c r="A49" s="6">
        <v>0.12</v>
      </c>
      <c r="B49" s="14">
        <f t="shared" si="3"/>
        <v>-528350</v>
      </c>
      <c r="C49" s="9">
        <f t="shared" si="4"/>
        <v>95495.78227</v>
      </c>
      <c r="D49" s="9">
        <f t="shared" si="5"/>
        <v>0.78392461</v>
      </c>
      <c r="E49" s="9">
        <f t="shared" si="6"/>
        <v>-0.66392461</v>
      </c>
      <c r="F49" s="14">
        <f t="shared" si="7"/>
        <v>623845.7823</v>
      </c>
    </row>
    <row r="50">
      <c r="A50" s="6">
        <v>0.14</v>
      </c>
      <c r="B50" s="14">
        <f t="shared" si="3"/>
        <v>-452871.4286</v>
      </c>
      <c r="C50" s="9">
        <f t="shared" si="4"/>
        <v>111411.746</v>
      </c>
      <c r="D50" s="9">
        <f t="shared" si="5"/>
        <v>0.7090782371</v>
      </c>
      <c r="E50" s="9">
        <f t="shared" si="6"/>
        <v>-0.5690782371</v>
      </c>
      <c r="F50" s="14">
        <f t="shared" si="7"/>
        <v>564283.1746</v>
      </c>
    </row>
    <row r="51">
      <c r="A51" s="6">
        <v>0.16</v>
      </c>
      <c r="B51" s="14">
        <f t="shared" si="3"/>
        <v>-396262.5</v>
      </c>
      <c r="C51" s="9">
        <f t="shared" si="4"/>
        <v>127327.7097</v>
      </c>
      <c r="D51" s="9">
        <f t="shared" si="5"/>
        <v>0.6579434575</v>
      </c>
      <c r="E51" s="9">
        <f t="shared" si="6"/>
        <v>-0.4979434575</v>
      </c>
      <c r="F51" s="14">
        <f t="shared" si="7"/>
        <v>523590.2097</v>
      </c>
    </row>
    <row r="52">
      <c r="A52" s="6"/>
      <c r="B52" s="1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  <col customWidth="1" min="2" max="2" width="34.25"/>
  </cols>
  <sheetData>
    <row r="1">
      <c r="A1" s="1" t="s">
        <v>113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  <row r="6">
      <c r="A6" s="32" t="s">
        <v>94</v>
      </c>
    </row>
    <row r="7">
      <c r="A7" s="3" t="s">
        <v>7</v>
      </c>
    </row>
    <row r="8">
      <c r="A8" s="4" t="s">
        <v>114</v>
      </c>
      <c r="B8" s="4" t="s">
        <v>115</v>
      </c>
    </row>
    <row r="9">
      <c r="A9" s="29">
        <v>0.1</v>
      </c>
      <c r="B9" s="1">
        <v>93.0</v>
      </c>
    </row>
    <row r="10">
      <c r="A10" s="29">
        <v>0.08</v>
      </c>
      <c r="B10" s="1">
        <v>75.5</v>
      </c>
    </row>
    <row r="11">
      <c r="A11" s="29">
        <v>0.06</v>
      </c>
      <c r="B11" s="1">
        <v>58.0</v>
      </c>
    </row>
    <row r="12">
      <c r="A12" s="29">
        <v>0.04</v>
      </c>
      <c r="B12" s="1">
        <v>41.0</v>
      </c>
    </row>
    <row r="13">
      <c r="A13" s="29">
        <v>0.026</v>
      </c>
      <c r="B13" s="1">
        <v>27.5</v>
      </c>
    </row>
    <row r="14">
      <c r="A14" s="29">
        <v>0.02</v>
      </c>
      <c r="B14" s="1">
        <v>22.0</v>
      </c>
    </row>
    <row r="15">
      <c r="A15" s="29">
        <v>0.01</v>
      </c>
      <c r="B15" s="1">
        <v>12.5</v>
      </c>
    </row>
    <row r="16">
      <c r="A16" s="1">
        <v>0.0</v>
      </c>
    </row>
    <row r="21">
      <c r="A21" s="3" t="s">
        <v>13</v>
      </c>
    </row>
    <row r="35">
      <c r="A35" s="3" t="s">
        <v>14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  <col customWidth="1" min="2" max="2" width="33.63"/>
  </cols>
  <sheetData>
    <row r="1">
      <c r="A1" s="1" t="s">
        <v>116</v>
      </c>
      <c r="B1" s="1" t="s">
        <v>117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  <row r="6">
      <c r="A6" s="32" t="s">
        <v>94</v>
      </c>
    </row>
    <row r="7">
      <c r="A7" s="3" t="s">
        <v>7</v>
      </c>
    </row>
    <row r="8">
      <c r="A8" s="4" t="s">
        <v>118</v>
      </c>
      <c r="B8" s="4" t="s">
        <v>115</v>
      </c>
    </row>
    <row r="9">
      <c r="A9" s="29"/>
    </row>
    <row r="10">
      <c r="A10" s="29"/>
    </row>
    <row r="11">
      <c r="A11" s="29">
        <v>1400000.0</v>
      </c>
      <c r="B11" s="1">
        <v>47.0</v>
      </c>
    </row>
    <row r="12">
      <c r="A12" s="29">
        <v>1000000.0</v>
      </c>
      <c r="B12" s="1">
        <v>32.5</v>
      </c>
    </row>
    <row r="13">
      <c r="A13" s="29">
        <v>860000.0</v>
      </c>
      <c r="B13" s="1">
        <v>27.5</v>
      </c>
    </row>
    <row r="14">
      <c r="A14" s="29">
        <v>600000.0</v>
      </c>
      <c r="B14" s="1">
        <v>19.0</v>
      </c>
    </row>
    <row r="15">
      <c r="A15" s="29">
        <v>400000.0</v>
      </c>
      <c r="B15" s="1">
        <v>13.5</v>
      </c>
    </row>
    <row r="21">
      <c r="A21" s="3" t="s">
        <v>13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  <col customWidth="1" min="2" max="2" width="14.63"/>
    <col customWidth="1" min="3" max="3" width="17.13"/>
    <col customWidth="1" min="4" max="4" width="18.13"/>
  </cols>
  <sheetData>
    <row r="1">
      <c r="A1" s="1" t="s">
        <v>119</v>
      </c>
    </row>
    <row r="2">
      <c r="A2" s="1" t="s">
        <v>3</v>
      </c>
    </row>
    <row r="3">
      <c r="A3" s="1" t="s">
        <v>120</v>
      </c>
    </row>
    <row r="4">
      <c r="A4" s="1" t="s">
        <v>121</v>
      </c>
    </row>
    <row r="5">
      <c r="A5" s="32" t="s">
        <v>94</v>
      </c>
      <c r="N5" s="1">
        <v>50000.0</v>
      </c>
    </row>
    <row r="6">
      <c r="A6" s="1" t="s">
        <v>122</v>
      </c>
      <c r="G6" s="29"/>
      <c r="N6" s="1">
        <v>45000.0</v>
      </c>
    </row>
    <row r="7">
      <c r="N7" s="1">
        <v>40000.0</v>
      </c>
    </row>
    <row r="8">
      <c r="A8" s="1"/>
      <c r="N8" s="1">
        <v>35000.0</v>
      </c>
    </row>
    <row r="9">
      <c r="A9" s="3" t="s">
        <v>7</v>
      </c>
      <c r="B9" s="1" t="s">
        <v>123</v>
      </c>
      <c r="N9" s="1">
        <v>30000.0</v>
      </c>
    </row>
    <row r="10">
      <c r="A10" s="4" t="s">
        <v>67</v>
      </c>
      <c r="B10" s="33" t="s">
        <v>124</v>
      </c>
      <c r="C10" s="33" t="s">
        <v>125</v>
      </c>
      <c r="D10" s="33" t="s">
        <v>126</v>
      </c>
      <c r="E10" s="33" t="s">
        <v>127</v>
      </c>
      <c r="F10" s="33" t="s">
        <v>128</v>
      </c>
      <c r="G10" s="1" t="s">
        <v>129</v>
      </c>
      <c r="N10" s="1">
        <v>25000.0</v>
      </c>
    </row>
    <row r="11">
      <c r="A11" s="17">
        <v>50000.0</v>
      </c>
      <c r="B11" s="29">
        <v>-9.0036E-16</v>
      </c>
      <c r="C11" s="29">
        <v>1.3664E-16</v>
      </c>
      <c r="D11" s="29">
        <v>7.1468E-17</v>
      </c>
      <c r="E11" s="29">
        <v>-2.213E-16</v>
      </c>
      <c r="F11" s="29">
        <v>-9.1354E-16</v>
      </c>
      <c r="G11" s="34">
        <f t="shared" ref="G11:G29" si="1">C11-B11</f>
        <v>0</v>
      </c>
      <c r="N11" s="1">
        <v>20000.0</v>
      </c>
    </row>
    <row r="12">
      <c r="A12" s="29">
        <v>45000.0</v>
      </c>
      <c r="B12" s="29">
        <v>-8.0109E-16</v>
      </c>
      <c r="C12" s="29">
        <v>1.3945E-16</v>
      </c>
      <c r="D12" s="29">
        <v>6.6811E-17</v>
      </c>
      <c r="E12" s="29">
        <v>-2.1927E-16</v>
      </c>
      <c r="F12" s="29">
        <v>-8.1409E-16</v>
      </c>
      <c r="G12" s="34">
        <f t="shared" si="1"/>
        <v>0</v>
      </c>
      <c r="N12" s="1">
        <v>15000.0</v>
      </c>
    </row>
    <row r="13">
      <c r="A13" s="17">
        <v>40000.0</v>
      </c>
      <c r="B13" s="29">
        <v>-7.0068E-16</v>
      </c>
      <c r="C13" s="29">
        <v>1.334E-16</v>
      </c>
      <c r="D13" s="29">
        <v>5.6183E-17</v>
      </c>
      <c r="E13" s="29">
        <v>-2.2239E-16</v>
      </c>
      <c r="F13" s="29">
        <v>-7.3349E-16</v>
      </c>
      <c r="G13" s="34">
        <f t="shared" si="1"/>
        <v>0</v>
      </c>
      <c r="N13" s="1">
        <v>10000.0</v>
      </c>
    </row>
    <row r="14">
      <c r="A14" s="29">
        <v>35000.0</v>
      </c>
      <c r="B14" s="29">
        <v>-6.0101E-16</v>
      </c>
      <c r="C14" s="29">
        <v>1.2585E-16</v>
      </c>
      <c r="D14" s="29">
        <v>4.7265E-17</v>
      </c>
      <c r="E14" s="29">
        <v>-2.2697E-16</v>
      </c>
      <c r="F14" s="29">
        <v>-6.5487E-16</v>
      </c>
      <c r="G14" s="34">
        <f t="shared" si="1"/>
        <v>0</v>
      </c>
      <c r="N14" s="1">
        <v>5000.0</v>
      </c>
    </row>
    <row r="15">
      <c r="A15" s="17">
        <v>30000.0</v>
      </c>
      <c r="B15" s="29">
        <v>-5.0378E-16</v>
      </c>
      <c r="C15" s="29">
        <v>1.1752E-16</v>
      </c>
      <c r="D15" s="29">
        <v>3.8928E-17</v>
      </c>
      <c r="E15" s="29">
        <v>-2.3263E-16</v>
      </c>
      <c r="F15" s="29">
        <v>-5.7996E-16</v>
      </c>
      <c r="G15" s="34">
        <f t="shared" si="1"/>
        <v>0</v>
      </c>
      <c r="N15" s="1">
        <v>0.0</v>
      </c>
    </row>
    <row r="16">
      <c r="A16" s="29">
        <v>25000.0</v>
      </c>
      <c r="B16" s="29">
        <v>-4.0906E-16</v>
      </c>
      <c r="C16" s="29">
        <v>1.0926E-16</v>
      </c>
      <c r="D16" s="29">
        <v>3.1267E-17</v>
      </c>
      <c r="E16" s="29">
        <v>-2.3903E-16</v>
      </c>
      <c r="F16" s="29">
        <v>-5.0757E-16</v>
      </c>
      <c r="G16" s="34">
        <f t="shared" si="1"/>
        <v>0</v>
      </c>
      <c r="N16" s="1">
        <v>-5000.0</v>
      </c>
    </row>
    <row r="17">
      <c r="A17" s="17">
        <v>20000.0</v>
      </c>
      <c r="B17" s="29">
        <v>-3.1404E-16</v>
      </c>
      <c r="C17" s="29">
        <v>9.8811E-17</v>
      </c>
      <c r="D17" s="29">
        <v>2.3462E-17</v>
      </c>
      <c r="E17" s="29">
        <v>-2.4772E-16</v>
      </c>
      <c r="F17" s="29">
        <v>-4.3949E-16</v>
      </c>
      <c r="G17" s="34">
        <f t="shared" si="1"/>
        <v>0</v>
      </c>
      <c r="N17" s="1">
        <v>-10000.0</v>
      </c>
    </row>
    <row r="18">
      <c r="A18" s="29">
        <v>15000.0</v>
      </c>
      <c r="B18" s="29">
        <v>-2.1885E-16</v>
      </c>
      <c r="C18" s="29">
        <v>8.9464E-17</v>
      </c>
      <c r="D18" s="29">
        <v>1.888E-17</v>
      </c>
      <c r="E18" s="29">
        <v>-2.5895E-16</v>
      </c>
      <c r="F18" s="29">
        <v>-3.6945E-16</v>
      </c>
      <c r="G18" s="34">
        <f t="shared" si="1"/>
        <v>0</v>
      </c>
      <c r="N18" s="1">
        <v>-15000.0</v>
      </c>
    </row>
    <row r="19">
      <c r="A19" s="35">
        <v>10000.0</v>
      </c>
      <c r="B19" s="36">
        <v>-1.1723E-16</v>
      </c>
      <c r="C19" s="36">
        <v>6.5638E-17</v>
      </c>
      <c r="D19" s="36">
        <v>6.7388E-18</v>
      </c>
      <c r="E19" s="36">
        <v>-2.8858E-16</v>
      </c>
      <c r="F19" s="36">
        <v>-3.3344E-16</v>
      </c>
      <c r="G19" s="37">
        <f t="shared" si="1"/>
        <v>0</v>
      </c>
      <c r="N19" s="1">
        <v>-20000.0</v>
      </c>
    </row>
    <row r="20">
      <c r="A20" s="38">
        <v>5000.0</v>
      </c>
      <c r="B20" s="29">
        <v>-1.155E-17</v>
      </c>
      <c r="C20" s="29">
        <v>4.2471E-17</v>
      </c>
      <c r="D20" s="29">
        <v>2.1171E-17</v>
      </c>
      <c r="E20" s="29">
        <v>-3.2121E-16</v>
      </c>
      <c r="F20" s="29">
        <v>-2.6912E-16</v>
      </c>
      <c r="G20" s="39">
        <f t="shared" si="1"/>
        <v>0</v>
      </c>
      <c r="N20" s="1">
        <v>-25000.0</v>
      </c>
    </row>
    <row r="21">
      <c r="A21" s="38">
        <v>0.0</v>
      </c>
      <c r="B21" s="29">
        <v>-4.418E-18</v>
      </c>
      <c r="C21" s="29">
        <v>4.1182E-17</v>
      </c>
      <c r="D21" s="29">
        <v>1.8441E-17</v>
      </c>
      <c r="E21" s="29">
        <v>-3.2312E-16</v>
      </c>
      <c r="F21" s="29">
        <v>-2.6791E-16</v>
      </c>
      <c r="G21" s="39">
        <f t="shared" si="1"/>
        <v>0</v>
      </c>
      <c r="N21" s="1">
        <v>-30000.0</v>
      </c>
    </row>
    <row r="22">
      <c r="A22" s="40">
        <v>-5000.0</v>
      </c>
      <c r="B22" s="29">
        <v>-1.8436E-18</v>
      </c>
      <c r="C22" s="29">
        <v>4.1011E-17</v>
      </c>
      <c r="D22" s="29">
        <v>1.5627E-17</v>
      </c>
      <c r="E22" s="29">
        <v>-3.2437E-16</v>
      </c>
      <c r="F22" s="29">
        <v>-2.6958E-16</v>
      </c>
      <c r="G22" s="39">
        <f t="shared" si="1"/>
        <v>0</v>
      </c>
      <c r="N22" s="1">
        <v>-35000.0</v>
      </c>
    </row>
    <row r="23">
      <c r="A23" s="40">
        <v>-10000.0</v>
      </c>
      <c r="B23" s="29">
        <v>-7.991E-19</v>
      </c>
      <c r="C23" s="29">
        <v>4.2157E-17</v>
      </c>
      <c r="D23" s="29">
        <v>1.4623E-17</v>
      </c>
      <c r="E23" s="29">
        <v>-3.242E-16</v>
      </c>
      <c r="F23" s="29">
        <v>-2.6822E-16</v>
      </c>
      <c r="G23" s="39">
        <f t="shared" si="1"/>
        <v>0</v>
      </c>
      <c r="N23" s="1">
        <v>-40000.0</v>
      </c>
    </row>
    <row r="24">
      <c r="A24" s="38">
        <v>-15000.0</v>
      </c>
      <c r="B24" s="29">
        <v>-3.6548E-19</v>
      </c>
      <c r="C24" s="29">
        <v>4.2634E-17</v>
      </c>
      <c r="D24" s="29">
        <v>1.3814E-17</v>
      </c>
      <c r="E24" s="29">
        <v>-3.2432E-16</v>
      </c>
      <c r="F24" s="29">
        <v>-2.6824E-16</v>
      </c>
      <c r="G24" s="39">
        <f t="shared" si="1"/>
        <v>0</v>
      </c>
      <c r="N24" s="1">
        <v>-45000.0</v>
      </c>
    </row>
    <row r="25">
      <c r="A25" s="41">
        <v>-20000.0</v>
      </c>
      <c r="B25" s="42">
        <v>-9.4914E-19</v>
      </c>
      <c r="C25" s="42">
        <v>4.4777E-17</v>
      </c>
      <c r="D25" s="42">
        <v>1.3513E-17</v>
      </c>
      <c r="E25" s="42">
        <v>-3.2323E-16</v>
      </c>
      <c r="F25" s="42">
        <v>-2.6589E-16</v>
      </c>
      <c r="G25" s="43">
        <f t="shared" si="1"/>
        <v>0</v>
      </c>
      <c r="N25" s="1">
        <v>-50000.0</v>
      </c>
    </row>
    <row r="26">
      <c r="A26" s="44">
        <v>-31700.0</v>
      </c>
      <c r="B26" s="29">
        <v>-1.5017E-18</v>
      </c>
      <c r="C26" s="29">
        <v>4.1533E-17</v>
      </c>
      <c r="D26" s="29">
        <v>9.0625E-18</v>
      </c>
      <c r="E26" s="29">
        <v>-3.2601E-16</v>
      </c>
      <c r="F26" s="29">
        <v>-2.7691E-16</v>
      </c>
      <c r="G26" s="34">
        <f t="shared" si="1"/>
        <v>0</v>
      </c>
    </row>
    <row r="27">
      <c r="A27" s="16">
        <v>-50000.0</v>
      </c>
      <c r="B27" s="29">
        <v>-2.518E-18</v>
      </c>
      <c r="C27" s="29">
        <v>4.6769E-17</v>
      </c>
      <c r="D27" s="29">
        <v>1.24E-17</v>
      </c>
      <c r="E27" s="29">
        <v>-3.2393E-16</v>
      </c>
      <c r="F27" s="29">
        <v>-2.6728E-16</v>
      </c>
      <c r="G27" s="34">
        <f t="shared" si="1"/>
        <v>0</v>
      </c>
      <c r="H27" s="29"/>
    </row>
    <row r="28">
      <c r="A28" s="16">
        <v>-60000.0</v>
      </c>
      <c r="B28" s="29">
        <v>-2.5891E-18</v>
      </c>
      <c r="C28" s="29">
        <v>4.5699E-17</v>
      </c>
      <c r="D28" s="29">
        <v>1.2043E-17</v>
      </c>
      <c r="E28" s="29">
        <v>-3.2486E-16</v>
      </c>
      <c r="F28" s="29">
        <v>-2.6971E-16</v>
      </c>
      <c r="G28" s="34">
        <f t="shared" si="1"/>
        <v>0</v>
      </c>
    </row>
    <row r="29">
      <c r="A29" s="16">
        <v>-80000.0</v>
      </c>
      <c r="B29" s="29">
        <v>-2.8852E-18</v>
      </c>
      <c r="C29" s="29">
        <v>4.5107E-17</v>
      </c>
      <c r="D29" s="29">
        <v>1.2189E-17</v>
      </c>
      <c r="E29" s="29">
        <v>-3.2568E-16</v>
      </c>
      <c r="F29" s="29">
        <v>-2.7127E-16</v>
      </c>
      <c r="G29" s="34">
        <f t="shared" si="1"/>
        <v>0</v>
      </c>
    </row>
    <row r="69">
      <c r="A69" s="3" t="s">
        <v>7</v>
      </c>
      <c r="B69" s="1" t="s">
        <v>123</v>
      </c>
    </row>
    <row r="70">
      <c r="A70" s="4" t="s">
        <v>67</v>
      </c>
      <c r="B70" s="33" t="s">
        <v>124</v>
      </c>
      <c r="C70" s="33" t="s">
        <v>125</v>
      </c>
      <c r="D70" s="33" t="s">
        <v>126</v>
      </c>
      <c r="E70" s="33" t="s">
        <v>127</v>
      </c>
      <c r="F70" s="33" t="s">
        <v>128</v>
      </c>
      <c r="G70" s="1" t="s">
        <v>129</v>
      </c>
    </row>
    <row r="71">
      <c r="A71" s="29">
        <v>-5000.0</v>
      </c>
      <c r="B71" s="29">
        <v>-1.8436E-18</v>
      </c>
      <c r="C71" s="29">
        <v>4.1011E-17</v>
      </c>
      <c r="D71" s="29">
        <v>1.5627E-17</v>
      </c>
      <c r="E71" s="29">
        <v>-3.2437E-16</v>
      </c>
      <c r="F71" s="29">
        <v>-2.6958E-16</v>
      </c>
      <c r="G71" s="34">
        <f t="shared" ref="G71:G78" si="2">C71-B71</f>
        <v>0</v>
      </c>
    </row>
    <row r="72">
      <c r="A72" s="29">
        <v>-10000.0</v>
      </c>
      <c r="B72" s="29">
        <v>-7.991E-19</v>
      </c>
      <c r="C72" s="29">
        <v>4.2157E-17</v>
      </c>
      <c r="D72" s="29">
        <v>1.4623E-17</v>
      </c>
      <c r="E72" s="29">
        <v>-3.242E-16</v>
      </c>
      <c r="F72" s="29">
        <v>-2.6822E-16</v>
      </c>
      <c r="G72" s="34">
        <f t="shared" si="2"/>
        <v>0</v>
      </c>
    </row>
    <row r="73">
      <c r="A73" s="17">
        <v>-15000.0</v>
      </c>
      <c r="B73" s="29">
        <v>-3.6548E-19</v>
      </c>
      <c r="C73" s="29">
        <v>4.2634E-17</v>
      </c>
      <c r="D73" s="29">
        <v>1.3814E-17</v>
      </c>
      <c r="E73" s="29">
        <v>-3.2432E-16</v>
      </c>
      <c r="F73" s="29">
        <v>-2.6824E-16</v>
      </c>
      <c r="G73" s="34">
        <f t="shared" si="2"/>
        <v>0</v>
      </c>
    </row>
    <row r="74">
      <c r="A74" s="17">
        <v>-20000.0</v>
      </c>
      <c r="B74" s="29">
        <v>-9.4914E-19</v>
      </c>
      <c r="C74" s="29">
        <v>4.4777E-17</v>
      </c>
      <c r="D74" s="29">
        <v>1.3513E-17</v>
      </c>
      <c r="E74" s="29">
        <v>-3.2323E-16</v>
      </c>
      <c r="F74" s="29">
        <v>-2.6589E-16</v>
      </c>
      <c r="G74" s="34">
        <f t="shared" si="2"/>
        <v>0</v>
      </c>
    </row>
    <row r="75">
      <c r="A75" s="18">
        <v>-31700.0</v>
      </c>
      <c r="B75" s="29">
        <v>-1.5017E-18</v>
      </c>
      <c r="C75" s="29">
        <v>4.1533E-17</v>
      </c>
      <c r="D75" s="29">
        <v>9.0625E-18</v>
      </c>
      <c r="E75" s="29">
        <v>-3.2601E-16</v>
      </c>
      <c r="F75" s="29">
        <v>-2.7691E-16</v>
      </c>
      <c r="G75" s="34">
        <f t="shared" si="2"/>
        <v>0</v>
      </c>
    </row>
    <row r="76">
      <c r="A76" s="16">
        <v>-50000.0</v>
      </c>
      <c r="B76" s="29">
        <v>-2.518E-18</v>
      </c>
      <c r="C76" s="29">
        <v>4.6769E-17</v>
      </c>
      <c r="D76" s="29">
        <v>1.24E-17</v>
      </c>
      <c r="E76" s="29">
        <v>-3.2393E-16</v>
      </c>
      <c r="F76" s="29">
        <v>-2.6728E-16</v>
      </c>
      <c r="G76" s="34">
        <f t="shared" si="2"/>
        <v>0</v>
      </c>
    </row>
    <row r="77">
      <c r="A77" s="16">
        <v>-60000.0</v>
      </c>
      <c r="B77" s="29">
        <v>-2.5891E-18</v>
      </c>
      <c r="C77" s="29">
        <v>4.5699E-17</v>
      </c>
      <c r="D77" s="29">
        <v>1.2043E-17</v>
      </c>
      <c r="E77" s="29">
        <v>-3.2486E-16</v>
      </c>
      <c r="F77" s="29">
        <v>-2.6971E-16</v>
      </c>
      <c r="G77" s="34">
        <f t="shared" si="2"/>
        <v>0</v>
      </c>
    </row>
    <row r="78">
      <c r="A78" s="16">
        <v>-80000.0</v>
      </c>
      <c r="B78" s="29">
        <v>-2.8852E-18</v>
      </c>
      <c r="C78" s="29">
        <v>4.5107E-17</v>
      </c>
      <c r="D78" s="29">
        <v>1.2189E-17</v>
      </c>
      <c r="E78" s="29">
        <v>-3.2568E-16</v>
      </c>
      <c r="F78" s="29">
        <v>-2.7127E-16</v>
      </c>
      <c r="G78" s="34">
        <f t="shared" si="2"/>
        <v>0</v>
      </c>
    </row>
    <row r="112">
      <c r="A112" s="3" t="s">
        <v>7</v>
      </c>
      <c r="B112" s="1" t="s">
        <v>123</v>
      </c>
    </row>
    <row r="113">
      <c r="A113" s="4" t="s">
        <v>67</v>
      </c>
      <c r="B113" s="33" t="s">
        <v>124</v>
      </c>
      <c r="C113" s="33" t="s">
        <v>125</v>
      </c>
      <c r="D113" s="33" t="s">
        <v>126</v>
      </c>
      <c r="E113" s="33" t="s">
        <v>127</v>
      </c>
      <c r="F113" s="33" t="s">
        <v>128</v>
      </c>
      <c r="G113" s="1" t="s">
        <v>129</v>
      </c>
    </row>
    <row r="114">
      <c r="A114" s="29">
        <v>15000.0</v>
      </c>
      <c r="B114" s="29">
        <v>-2.1885E-16</v>
      </c>
      <c r="C114" s="29">
        <v>8.9464E-17</v>
      </c>
      <c r="D114" s="29">
        <v>1.888E-17</v>
      </c>
      <c r="E114" s="29">
        <v>-2.5895E-16</v>
      </c>
      <c r="F114" s="29">
        <v>-3.6945E-16</v>
      </c>
      <c r="G114" s="34">
        <f t="shared" ref="G114:G120" si="3">C114-B114</f>
        <v>0</v>
      </c>
    </row>
    <row r="115">
      <c r="A115" s="17">
        <v>10000.0</v>
      </c>
      <c r="B115" s="29">
        <v>-1.1723E-16</v>
      </c>
      <c r="C115" s="29">
        <v>6.5638E-17</v>
      </c>
      <c r="D115" s="29">
        <v>6.7388E-18</v>
      </c>
      <c r="E115" s="29">
        <v>-2.8858E-16</v>
      </c>
      <c r="F115" s="29">
        <v>-3.3344E-16</v>
      </c>
      <c r="G115" s="34">
        <f t="shared" si="3"/>
        <v>0</v>
      </c>
    </row>
    <row r="116">
      <c r="A116" s="17">
        <v>5000.0</v>
      </c>
      <c r="B116" s="29">
        <v>-1.155E-17</v>
      </c>
      <c r="C116" s="29">
        <v>4.2471E-17</v>
      </c>
      <c r="D116" s="29">
        <v>2.1171E-17</v>
      </c>
      <c r="E116" s="29">
        <v>-3.2121E-16</v>
      </c>
      <c r="F116" s="29">
        <v>-2.6912E-16</v>
      </c>
      <c r="G116" s="34">
        <f t="shared" si="3"/>
        <v>0</v>
      </c>
    </row>
    <row r="117">
      <c r="A117" s="17">
        <v>0.0</v>
      </c>
      <c r="B117" s="29">
        <v>-4.418E-18</v>
      </c>
      <c r="C117" s="29">
        <v>4.1182E-17</v>
      </c>
      <c r="D117" s="29">
        <v>1.8441E-17</v>
      </c>
      <c r="E117" s="29">
        <v>-3.2312E-16</v>
      </c>
      <c r="F117" s="29">
        <v>-2.6791E-16</v>
      </c>
      <c r="G117" s="34">
        <f t="shared" si="3"/>
        <v>0</v>
      </c>
    </row>
    <row r="118">
      <c r="A118" s="29">
        <v>-5000.0</v>
      </c>
      <c r="B118" s="29">
        <v>-1.8436E-18</v>
      </c>
      <c r="C118" s="29">
        <v>4.1011E-17</v>
      </c>
      <c r="D118" s="29">
        <v>1.5627E-17</v>
      </c>
      <c r="E118" s="29">
        <v>-3.2437E-16</v>
      </c>
      <c r="F118" s="29">
        <v>-2.6958E-16</v>
      </c>
      <c r="G118" s="34">
        <f t="shared" si="3"/>
        <v>0</v>
      </c>
    </row>
    <row r="119">
      <c r="A119" s="29">
        <v>-10000.0</v>
      </c>
      <c r="B119" s="29">
        <v>-7.991E-19</v>
      </c>
      <c r="C119" s="29">
        <v>4.2157E-17</v>
      </c>
      <c r="D119" s="29">
        <v>1.4623E-17</v>
      </c>
      <c r="E119" s="29">
        <v>-3.242E-16</v>
      </c>
      <c r="F119" s="29">
        <v>-2.6822E-16</v>
      </c>
      <c r="G119" s="34">
        <f t="shared" si="3"/>
        <v>0</v>
      </c>
    </row>
    <row r="120">
      <c r="A120" s="17">
        <v>-15000.0</v>
      </c>
      <c r="B120" s="29">
        <v>-3.6548E-19</v>
      </c>
      <c r="C120" s="29">
        <v>4.2634E-17</v>
      </c>
      <c r="D120" s="29">
        <v>1.3814E-17</v>
      </c>
      <c r="E120" s="29">
        <v>-3.2432E-16</v>
      </c>
      <c r="F120" s="29">
        <v>-2.6824E-16</v>
      </c>
      <c r="G120" s="34">
        <f t="shared" si="3"/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3" width="15.5"/>
    <col customWidth="1" min="6" max="6" width="24.13"/>
  </cols>
  <sheetData>
    <row r="1">
      <c r="A1" s="1" t="s">
        <v>67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</row>
    <row r="2">
      <c r="A2" s="1">
        <v>-5.0</v>
      </c>
      <c r="B2" s="1">
        <v>7.17</v>
      </c>
      <c r="C2" s="1">
        <v>10.0</v>
      </c>
      <c r="D2" s="1">
        <v>9.8</v>
      </c>
      <c r="E2" s="1">
        <v>6.8</v>
      </c>
    </row>
    <row r="3">
      <c r="A3" s="1">
        <v>-4.5</v>
      </c>
      <c r="B3" s="1">
        <v>7.0</v>
      </c>
      <c r="C3" s="1">
        <v>9.6</v>
      </c>
      <c r="D3" s="1">
        <v>9.36</v>
      </c>
      <c r="E3" s="1">
        <v>6.8</v>
      </c>
    </row>
    <row r="4">
      <c r="A4" s="1">
        <v>-4.0</v>
      </c>
      <c r="B4" s="1">
        <v>7.0</v>
      </c>
      <c r="C4" s="1">
        <v>9.18</v>
      </c>
      <c r="E4" s="1">
        <v>6.8</v>
      </c>
    </row>
    <row r="5">
      <c r="A5" s="1">
        <v>-3.5</v>
      </c>
      <c r="B5" s="1">
        <v>6.85</v>
      </c>
      <c r="C5" s="1">
        <v>8.66</v>
      </c>
      <c r="D5" s="1">
        <v>8.4</v>
      </c>
      <c r="E5" s="1">
        <v>6.8</v>
      </c>
    </row>
    <row r="6">
      <c r="A6" s="1">
        <v>-3.0</v>
      </c>
      <c r="B6" s="1">
        <v>6.77</v>
      </c>
      <c r="C6" s="1">
        <v>8.14</v>
      </c>
      <c r="D6" s="1">
        <v>7.86</v>
      </c>
      <c r="E6" s="1">
        <v>6.8</v>
      </c>
    </row>
    <row r="7">
      <c r="A7" s="1">
        <v>-2.5</v>
      </c>
      <c r="B7" s="1">
        <v>6.7</v>
      </c>
      <c r="C7" s="1">
        <v>7.51</v>
      </c>
      <c r="D7" s="1">
        <v>7.32</v>
      </c>
      <c r="E7" s="1">
        <v>6.8</v>
      </c>
    </row>
    <row r="8">
      <c r="A8" s="1">
        <v>-2.0</v>
      </c>
      <c r="B8" s="1">
        <v>6.77</v>
      </c>
      <c r="C8" s="1">
        <v>6.77</v>
      </c>
      <c r="D8" s="1">
        <v>6.72</v>
      </c>
      <c r="E8" s="1">
        <v>6.8</v>
      </c>
    </row>
    <row r="9">
      <c r="A9" s="1">
        <v>-1.5</v>
      </c>
      <c r="B9" s="1">
        <v>6.74</v>
      </c>
      <c r="C9" s="1">
        <v>6.26</v>
      </c>
      <c r="D9" s="1">
        <v>6.04</v>
      </c>
      <c r="E9" s="1">
        <v>6.8</v>
      </c>
    </row>
    <row r="10">
      <c r="A10" s="1">
        <v>-1.0</v>
      </c>
      <c r="B10" s="1">
        <v>6.52</v>
      </c>
      <c r="C10" s="1">
        <v>5.5</v>
      </c>
      <c r="D10" s="1">
        <v>5.28</v>
      </c>
      <c r="E10" s="1">
        <v>6.8</v>
      </c>
    </row>
    <row r="11">
      <c r="A11" s="1">
        <v>-0.5</v>
      </c>
      <c r="B11" s="1">
        <v>6.33</v>
      </c>
      <c r="C11" s="1">
        <v>4.63</v>
      </c>
      <c r="D11" s="1">
        <v>4.4</v>
      </c>
      <c r="E11" s="1">
        <v>6.8</v>
      </c>
    </row>
    <row r="12">
      <c r="A12" s="1">
        <v>0.0</v>
      </c>
      <c r="B12" s="1">
        <v>5.96</v>
      </c>
      <c r="C12" s="1">
        <v>3.51</v>
      </c>
      <c r="D12" s="1">
        <v>3.32</v>
      </c>
      <c r="E12" s="1">
        <v>6.8</v>
      </c>
    </row>
    <row r="13">
      <c r="A13" s="1">
        <v>0.5</v>
      </c>
      <c r="B13" s="1">
        <v>6.07</v>
      </c>
      <c r="C13" s="1">
        <v>1.77</v>
      </c>
      <c r="D13" s="1">
        <v>1.6</v>
      </c>
      <c r="E13" s="1">
        <v>6.8</v>
      </c>
    </row>
    <row r="14">
      <c r="A14" s="1">
        <v>1.0</v>
      </c>
      <c r="B14" s="1">
        <v>5.04</v>
      </c>
      <c r="C14" s="1">
        <v>4.25</v>
      </c>
      <c r="D14" s="1">
        <v>4.36</v>
      </c>
      <c r="E14" s="1">
        <v>6.8</v>
      </c>
    </row>
    <row r="15">
      <c r="A15" s="1">
        <v>1.5</v>
      </c>
      <c r="B15" s="1">
        <v>5.51</v>
      </c>
      <c r="C15" s="1">
        <v>8.37</v>
      </c>
      <c r="D15" s="1">
        <v>8.32</v>
      </c>
      <c r="E15" s="1">
        <v>6.8</v>
      </c>
    </row>
    <row r="16">
      <c r="A16" s="1">
        <v>2.0</v>
      </c>
      <c r="B16" s="1">
        <v>5.37</v>
      </c>
      <c r="C16" s="1">
        <v>12.25</v>
      </c>
      <c r="D16" s="1">
        <v>12.12</v>
      </c>
      <c r="E16" s="1">
        <v>6.8</v>
      </c>
    </row>
    <row r="17">
      <c r="A17" s="1">
        <v>2.5</v>
      </c>
      <c r="B17" s="1">
        <v>5.0</v>
      </c>
      <c r="C17" s="1">
        <v>16.04</v>
      </c>
      <c r="D17" s="1">
        <v>15.92</v>
      </c>
      <c r="E17" s="1">
        <v>6.8</v>
      </c>
    </row>
    <row r="18">
      <c r="A18" s="1">
        <v>3.0</v>
      </c>
      <c r="B18" s="1">
        <v>4.6</v>
      </c>
      <c r="C18" s="1">
        <v>19.88</v>
      </c>
      <c r="D18" s="1">
        <v>19.68</v>
      </c>
      <c r="E18" s="1">
        <v>6.8</v>
      </c>
    </row>
    <row r="19">
      <c r="A19" s="1">
        <v>3.5</v>
      </c>
      <c r="D19" s="1">
        <v>23.44</v>
      </c>
      <c r="E19" s="1">
        <v>6.8</v>
      </c>
    </row>
    <row r="20">
      <c r="A20" s="1">
        <v>4.0</v>
      </c>
      <c r="E20" s="1">
        <v>6.8</v>
      </c>
    </row>
    <row r="21">
      <c r="A21" s="1">
        <v>4.5</v>
      </c>
    </row>
    <row r="22">
      <c r="A22" s="1">
        <v>5.0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3" max="3" width="14.13"/>
    <col customWidth="1" min="4" max="4" width="17.38"/>
    <col customWidth="1" min="6" max="6" width="14.13"/>
    <col customWidth="1" min="7" max="7" width="17.38"/>
    <col customWidth="1" min="9" max="9" width="14.5"/>
    <col customWidth="1" min="10" max="10" width="17.75"/>
  </cols>
  <sheetData>
    <row r="1">
      <c r="A1" s="1" t="s">
        <v>135</v>
      </c>
      <c r="B1" s="1" t="s">
        <v>136</v>
      </c>
      <c r="C1" s="1" t="s">
        <v>137</v>
      </c>
      <c r="D1" s="1" t="s">
        <v>138</v>
      </c>
      <c r="F1" s="1" t="s">
        <v>139</v>
      </c>
      <c r="G1" s="1" t="s">
        <v>140</v>
      </c>
      <c r="I1" s="1" t="s">
        <v>141</v>
      </c>
      <c r="J1" s="1" t="s">
        <v>142</v>
      </c>
    </row>
    <row r="2">
      <c r="A2" s="1">
        <v>55.0</v>
      </c>
      <c r="B2" s="9">
        <f t="shared" ref="B2:B5" si="1">A2/30</f>
        <v>1.833333333</v>
      </c>
      <c r="C2" s="1">
        <v>6.4</v>
      </c>
      <c r="D2" s="1">
        <v>9.77</v>
      </c>
      <c r="F2" s="1">
        <v>5.41</v>
      </c>
      <c r="G2" s="1">
        <v>9.66</v>
      </c>
      <c r="I2" s="1">
        <v>6.63</v>
      </c>
      <c r="J2" s="1">
        <v>8.35</v>
      </c>
    </row>
    <row r="3">
      <c r="A3" s="1">
        <v>60.0</v>
      </c>
      <c r="B3" s="9">
        <f t="shared" si="1"/>
        <v>2</v>
      </c>
      <c r="C3" s="1">
        <v>6.3</v>
      </c>
      <c r="D3" s="1">
        <v>11.84</v>
      </c>
      <c r="F3" s="1">
        <v>5.29</v>
      </c>
      <c r="G3" s="1">
        <v>8.55</v>
      </c>
      <c r="I3" s="1">
        <v>6.44</v>
      </c>
      <c r="J3" s="1">
        <v>7.4</v>
      </c>
    </row>
    <row r="4">
      <c r="A4" s="1">
        <v>65.0</v>
      </c>
      <c r="B4" s="9">
        <f t="shared" si="1"/>
        <v>2.166666667</v>
      </c>
      <c r="C4" s="1">
        <v>6.24</v>
      </c>
      <c r="D4" s="1">
        <v>11.67</v>
      </c>
      <c r="F4" s="1">
        <v>5.18</v>
      </c>
      <c r="G4" s="1">
        <v>9.11</v>
      </c>
      <c r="I4" s="1">
        <v>6.34</v>
      </c>
      <c r="J4" s="1">
        <v>5.79</v>
      </c>
    </row>
    <row r="5">
      <c r="A5" s="1">
        <v>70.0</v>
      </c>
      <c r="B5" s="9">
        <f t="shared" si="1"/>
        <v>2.333333333</v>
      </c>
      <c r="C5" s="1">
        <v>6.16</v>
      </c>
      <c r="D5" s="1">
        <v>9.47</v>
      </c>
      <c r="F5" s="1">
        <v>5.08</v>
      </c>
      <c r="G5" s="1">
        <v>8.05</v>
      </c>
      <c r="I5" s="1">
        <v>6.11</v>
      </c>
      <c r="J5" s="1">
        <v>5.6</v>
      </c>
    </row>
    <row r="6">
      <c r="A6" s="1">
        <v>85.0</v>
      </c>
    </row>
    <row r="7">
      <c r="A7" s="1">
        <v>80.0</v>
      </c>
      <c r="B7" s="9">
        <f>A7/30</f>
        <v>2.666666667</v>
      </c>
      <c r="C7" s="1">
        <v>5.97</v>
      </c>
      <c r="D7" s="1">
        <v>8.36</v>
      </c>
      <c r="F7" s="1">
        <v>4.91</v>
      </c>
      <c r="G7" s="1">
        <v>8.67</v>
      </c>
      <c r="I7" s="1">
        <v>5.85</v>
      </c>
      <c r="J7" s="1">
        <v>5.56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38"/>
  </cols>
  <sheetData>
    <row r="1">
      <c r="A1" s="1" t="s">
        <v>21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  <row r="6">
      <c r="F6" s="1" t="s">
        <v>22</v>
      </c>
      <c r="M6" s="1" t="s">
        <v>23</v>
      </c>
    </row>
    <row r="7">
      <c r="A7" s="3" t="s">
        <v>7</v>
      </c>
      <c r="F7" s="1" t="s">
        <v>24</v>
      </c>
      <c r="M7" s="1" t="s">
        <v>24</v>
      </c>
    </row>
    <row r="8">
      <c r="A8" s="4" t="s">
        <v>25</v>
      </c>
      <c r="B8" s="4" t="s">
        <v>26</v>
      </c>
      <c r="C8" s="5" t="s">
        <v>10</v>
      </c>
      <c r="D8" s="5" t="s">
        <v>10</v>
      </c>
      <c r="E8" s="5" t="s">
        <v>11</v>
      </c>
      <c r="F8" s="1" t="s">
        <v>27</v>
      </c>
      <c r="G8" s="1" t="s">
        <v>28</v>
      </c>
      <c r="H8" s="1" t="s">
        <v>29</v>
      </c>
      <c r="I8" s="1" t="s">
        <v>30</v>
      </c>
      <c r="M8" s="1" t="s">
        <v>27</v>
      </c>
      <c r="N8" s="1" t="s">
        <v>29</v>
      </c>
      <c r="O8" s="1" t="s">
        <v>28</v>
      </c>
      <c r="P8" s="1" t="s">
        <v>30</v>
      </c>
      <c r="Q8" s="1" t="s">
        <v>31</v>
      </c>
      <c r="R8" s="1" t="s">
        <v>32</v>
      </c>
    </row>
    <row r="9">
      <c r="A9" s="1">
        <v>1200.0</v>
      </c>
      <c r="F9" s="1">
        <v>6.8071</v>
      </c>
      <c r="G9" s="1">
        <v>7.1115</v>
      </c>
      <c r="H9" s="1">
        <v>7.3496</v>
      </c>
      <c r="I9" s="1">
        <v>0.9017</v>
      </c>
      <c r="M9" s="1">
        <v>6.8072</v>
      </c>
      <c r="O9" s="1">
        <v>7.636</v>
      </c>
      <c r="Q9" s="1">
        <v>0.1719</v>
      </c>
    </row>
    <row r="10">
      <c r="A10" s="1">
        <v>1000.0</v>
      </c>
      <c r="B10" s="1">
        <v>84.0</v>
      </c>
      <c r="F10" s="1">
        <v>6.8045</v>
      </c>
      <c r="G10" s="1">
        <v>3.7385</v>
      </c>
      <c r="M10" s="1">
        <v>6.7548</v>
      </c>
      <c r="O10" s="1">
        <v>5.5586</v>
      </c>
      <c r="Q10" s="1">
        <v>0.2317</v>
      </c>
    </row>
    <row r="11">
      <c r="A11" s="1">
        <v>942.0</v>
      </c>
      <c r="B11" s="1">
        <v>84.0</v>
      </c>
      <c r="F11" s="1">
        <v>6.683</v>
      </c>
      <c r="G11" s="1">
        <v>7.2644</v>
      </c>
      <c r="H11" s="1">
        <v>7.4281</v>
      </c>
      <c r="I11" s="1">
        <v>0.7804</v>
      </c>
      <c r="M11" s="1">
        <v>6.7521</v>
      </c>
      <c r="O11" s="1">
        <v>8.3187</v>
      </c>
      <c r="Q11" s="1">
        <v>0.1756</v>
      </c>
    </row>
    <row r="12">
      <c r="A12" s="1">
        <v>900.0</v>
      </c>
      <c r="B12" s="1">
        <v>84.0</v>
      </c>
      <c r="M12" s="1">
        <v>6.681</v>
      </c>
      <c r="O12" s="1">
        <v>8.5412</v>
      </c>
      <c r="Q12" s="1">
        <v>0.2227</v>
      </c>
    </row>
    <row r="13">
      <c r="A13" s="1">
        <v>875.0</v>
      </c>
      <c r="F13" s="1">
        <v>6.6949</v>
      </c>
      <c r="G13" s="1">
        <v>4.6798</v>
      </c>
      <c r="H13" s="1">
        <v>7.3491</v>
      </c>
      <c r="I13" s="1">
        <v>1.0994</v>
      </c>
      <c r="M13" s="1">
        <v>6.7106</v>
      </c>
      <c r="O13" s="1">
        <v>4.7071</v>
      </c>
      <c r="Q13" s="1">
        <v>0.263</v>
      </c>
    </row>
    <row r="14">
      <c r="A14" s="1">
        <v>850.0</v>
      </c>
      <c r="F14" s="1">
        <v>6.6656</v>
      </c>
      <c r="G14" s="1">
        <v>7.3663</v>
      </c>
      <c r="H14" s="1">
        <v>7.3186</v>
      </c>
      <c r="I14" s="1">
        <v>1.0452</v>
      </c>
      <c r="M14" s="1">
        <v>6.6821</v>
      </c>
      <c r="O14" s="1">
        <v>9.0617</v>
      </c>
      <c r="Q14" s="1">
        <v>0.2005</v>
      </c>
    </row>
    <row r="15">
      <c r="A15" s="1">
        <v>825.0</v>
      </c>
      <c r="F15" s="1">
        <v>6.654</v>
      </c>
      <c r="G15" s="1">
        <v>5.8599</v>
      </c>
      <c r="H15" s="1">
        <v>7.3</v>
      </c>
      <c r="I15" s="1">
        <v>1.2225</v>
      </c>
      <c r="M15" s="1">
        <v>6.6672</v>
      </c>
      <c r="O15" s="1">
        <v>7.5123</v>
      </c>
      <c r="Q15" s="1">
        <v>0.2113</v>
      </c>
    </row>
    <row r="16">
      <c r="A16" s="1">
        <v>800.0</v>
      </c>
      <c r="B16" s="1">
        <v>84.0</v>
      </c>
      <c r="F16" s="1">
        <v>6.6</v>
      </c>
      <c r="G16" s="1">
        <v>6.078</v>
      </c>
      <c r="M16" s="1">
        <v>6.6138</v>
      </c>
      <c r="O16" s="1">
        <v>7.5669</v>
      </c>
      <c r="Q16" s="1">
        <v>0.2207</v>
      </c>
    </row>
    <row r="17">
      <c r="A17" s="1">
        <v>775.0</v>
      </c>
      <c r="F17" s="1">
        <v>6.6376</v>
      </c>
      <c r="G17" s="1">
        <v>5.099</v>
      </c>
      <c r="H17" s="1">
        <v>7.2496</v>
      </c>
      <c r="I17" s="1">
        <v>1.4335</v>
      </c>
      <c r="M17" s="1">
        <v>6.6565</v>
      </c>
      <c r="O17" s="1">
        <v>9.7535</v>
      </c>
      <c r="Q17" s="1">
        <v>0.1712</v>
      </c>
    </row>
    <row r="18">
      <c r="A18" s="1">
        <v>750.0</v>
      </c>
      <c r="F18" s="1">
        <v>6.6325</v>
      </c>
      <c r="G18" s="1">
        <v>6.3828</v>
      </c>
      <c r="H18" s="1">
        <v>7.289</v>
      </c>
      <c r="I18" s="1">
        <v>0.9974</v>
      </c>
      <c r="M18" s="1">
        <v>6.635</v>
      </c>
      <c r="O18" s="1">
        <v>7.758</v>
      </c>
      <c r="Q18" s="1">
        <v>0.2004</v>
      </c>
    </row>
    <row r="19">
      <c r="A19" s="1">
        <v>700.0</v>
      </c>
      <c r="B19" s="1">
        <v>84.0</v>
      </c>
      <c r="F19" s="1">
        <v>6.6009</v>
      </c>
      <c r="G19" s="1">
        <v>9.065</v>
      </c>
      <c r="H19" s="1">
        <v>7.2258</v>
      </c>
      <c r="I19" s="1">
        <v>1.0037</v>
      </c>
      <c r="M19" s="1">
        <v>6.6004</v>
      </c>
      <c r="O19" s="1">
        <v>9.8718</v>
      </c>
      <c r="Q19" s="1">
        <v>0.1987</v>
      </c>
    </row>
    <row r="20">
      <c r="A20" s="1">
        <v>600.0</v>
      </c>
      <c r="B20" s="1">
        <v>83.0</v>
      </c>
      <c r="F20" s="1">
        <v>6.5523</v>
      </c>
      <c r="G20" s="1">
        <v>6.2531</v>
      </c>
      <c r="M20" s="1">
        <v>6.57</v>
      </c>
      <c r="O20" s="1">
        <v>11.8</v>
      </c>
      <c r="Q20" s="1">
        <v>0.1572</v>
      </c>
    </row>
    <row r="23">
      <c r="A23" s="1" t="s">
        <v>0</v>
      </c>
      <c r="B23" s="1" t="s">
        <v>27</v>
      </c>
      <c r="C23" s="1" t="s">
        <v>28</v>
      </c>
      <c r="D23" s="1" t="s">
        <v>29</v>
      </c>
      <c r="E23" s="1" t="s">
        <v>30</v>
      </c>
      <c r="F23" s="1" t="s">
        <v>33</v>
      </c>
    </row>
    <row r="24">
      <c r="A24" s="1">
        <v>800.0</v>
      </c>
      <c r="B24" s="1">
        <v>6.5494</v>
      </c>
      <c r="C24" s="1">
        <v>7.4513</v>
      </c>
      <c r="D24" s="1">
        <v>7.2715</v>
      </c>
      <c r="E24" s="1">
        <v>3.1461</v>
      </c>
      <c r="F24" s="1">
        <v>54.72</v>
      </c>
    </row>
    <row r="25">
      <c r="A25" s="1">
        <v>1000.0</v>
      </c>
      <c r="B25" s="1">
        <v>6.4792</v>
      </c>
      <c r="C25" s="1">
        <v>11.5288</v>
      </c>
      <c r="D25" s="1">
        <v>7.2343</v>
      </c>
      <c r="E25" s="1">
        <v>3.0376</v>
      </c>
      <c r="F25" s="1">
        <v>54.72</v>
      </c>
    </row>
    <row r="26">
      <c r="A26" s="1">
        <v>1300.0</v>
      </c>
      <c r="B26" s="1">
        <v>6.3816</v>
      </c>
      <c r="C26" s="1">
        <v>11.6095</v>
      </c>
      <c r="D26" s="1">
        <v>7.35</v>
      </c>
      <c r="E26" s="1">
        <v>5.4536</v>
      </c>
      <c r="F26" s="1">
        <v>55.44</v>
      </c>
    </row>
    <row r="27">
      <c r="A27" s="1">
        <v>1500.0</v>
      </c>
      <c r="B27" s="1">
        <v>6.4066</v>
      </c>
      <c r="C27" s="1">
        <v>11.4689</v>
      </c>
      <c r="D27" s="1">
        <v>7.1885</v>
      </c>
      <c r="E27" s="1">
        <v>5.1044</v>
      </c>
      <c r="F27" s="1">
        <v>54.72</v>
      </c>
    </row>
    <row r="28">
      <c r="A28" s="1">
        <v>1600.0</v>
      </c>
      <c r="B28" s="1">
        <v>6.2808</v>
      </c>
      <c r="C28" s="1">
        <v>14.0429</v>
      </c>
      <c r="D28" s="1">
        <v>7.0583</v>
      </c>
      <c r="E28" s="1">
        <v>5.0758</v>
      </c>
      <c r="F28" s="1">
        <v>54.72</v>
      </c>
    </row>
    <row r="29">
      <c r="A29" s="1">
        <v>1700.0</v>
      </c>
      <c r="B29" s="1">
        <v>6.2746</v>
      </c>
      <c r="C29" s="1">
        <v>26.0052</v>
      </c>
      <c r="D29" s="1">
        <v>7.0681</v>
      </c>
      <c r="E29" s="1">
        <v>6.0857</v>
      </c>
      <c r="F29" s="1">
        <v>54.72</v>
      </c>
    </row>
    <row r="30">
      <c r="A30" s="1">
        <v>1850.0</v>
      </c>
      <c r="B30" s="1">
        <v>6.2531</v>
      </c>
      <c r="C30" s="1">
        <v>16.1753</v>
      </c>
      <c r="D30" s="1">
        <v>7.0623</v>
      </c>
      <c r="E30" s="1">
        <v>8.8137</v>
      </c>
      <c r="F30" s="1">
        <v>55.14</v>
      </c>
    </row>
    <row r="31">
      <c r="A31" s="1">
        <v>2000.0</v>
      </c>
      <c r="B31" s="1">
        <v>6.2222</v>
      </c>
      <c r="C31" s="1">
        <v>20.2331</v>
      </c>
      <c r="D31" s="1">
        <v>7.042</v>
      </c>
      <c r="E31" s="1">
        <v>4.9629</v>
      </c>
      <c r="F31" s="1">
        <v>55.56</v>
      </c>
    </row>
    <row r="32">
      <c r="A32" s="15">
        <v>2300.0</v>
      </c>
      <c r="B32" s="1">
        <v>6.2567</v>
      </c>
      <c r="C32" s="1">
        <v>8.9786</v>
      </c>
      <c r="D32" s="1">
        <v>7.0573</v>
      </c>
      <c r="E32" s="1">
        <v>0.9803</v>
      </c>
      <c r="F32" s="1">
        <v>55.56</v>
      </c>
    </row>
    <row r="33">
      <c r="A33" s="1">
        <v>2700.0</v>
      </c>
      <c r="B33" s="1">
        <v>6.1262</v>
      </c>
      <c r="C33" s="1">
        <v>4.977</v>
      </c>
      <c r="D33" s="1">
        <v>6.9067</v>
      </c>
      <c r="E33" s="1">
        <v>4.9479</v>
      </c>
      <c r="F33" s="1">
        <v>55.56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7" max="27" width="13.63"/>
  </cols>
  <sheetData>
    <row r="1">
      <c r="A1" s="1" t="s">
        <v>34</v>
      </c>
    </row>
    <row r="2">
      <c r="A2" s="1" t="s">
        <v>35</v>
      </c>
    </row>
    <row r="3">
      <c r="A3" s="1" t="s">
        <v>36</v>
      </c>
      <c r="G3" s="1" t="s">
        <v>37</v>
      </c>
    </row>
    <row r="4">
      <c r="A4" s="1" t="s">
        <v>38</v>
      </c>
      <c r="B4" s="1" t="s">
        <v>20</v>
      </c>
      <c r="C4" s="1" t="s">
        <v>39</v>
      </c>
      <c r="D4" s="1" t="s">
        <v>39</v>
      </c>
      <c r="E4" s="1" t="s">
        <v>40</v>
      </c>
      <c r="F4" s="1" t="s">
        <v>40</v>
      </c>
      <c r="G4" s="1" t="s">
        <v>41</v>
      </c>
      <c r="H4" s="1" t="s">
        <v>20</v>
      </c>
      <c r="I4" s="1" t="s">
        <v>39</v>
      </c>
      <c r="J4" s="1" t="s">
        <v>39</v>
      </c>
    </row>
    <row r="5">
      <c r="N5" s="16"/>
      <c r="T5" s="1" t="s">
        <v>42</v>
      </c>
      <c r="X5" s="1" t="s">
        <v>28</v>
      </c>
      <c r="Z5" s="1" t="s">
        <v>30</v>
      </c>
      <c r="AA5" s="1"/>
    </row>
    <row r="6">
      <c r="N6" s="17"/>
      <c r="O6" s="1" t="s">
        <v>20</v>
      </c>
      <c r="P6" s="1" t="s">
        <v>43</v>
      </c>
      <c r="Q6" s="1" t="s">
        <v>44</v>
      </c>
      <c r="R6" s="1" t="s">
        <v>43</v>
      </c>
      <c r="T6" s="1" t="s">
        <v>45</v>
      </c>
      <c r="V6" s="1" t="s">
        <v>20</v>
      </c>
      <c r="W6" s="1" t="s">
        <v>46</v>
      </c>
      <c r="X6" s="1" t="s">
        <v>44</v>
      </c>
      <c r="Y6" s="1" t="s">
        <v>43</v>
      </c>
      <c r="Z6" s="1" t="s">
        <v>44</v>
      </c>
      <c r="AA6" s="1" t="s">
        <v>43</v>
      </c>
    </row>
    <row r="7">
      <c r="N7" s="16"/>
      <c r="O7" s="9">
        <v>2.228212738853503</v>
      </c>
      <c r="Q7" s="9">
        <v>0.485611</v>
      </c>
      <c r="T7" s="1">
        <v>2.6241</v>
      </c>
      <c r="U7" s="9">
        <f t="shared" ref="U7:U9" si="1">T7*0.07</f>
        <v>0.183687</v>
      </c>
      <c r="V7" s="9">
        <v>2.228212738853503</v>
      </c>
      <c r="X7" s="9">
        <v>0.485611</v>
      </c>
      <c r="Z7" s="9">
        <v>0.18368700000000002</v>
      </c>
    </row>
    <row r="8">
      <c r="A8" s="1">
        <v>0.08</v>
      </c>
      <c r="B8" s="9">
        <f t="shared" ref="B8:B28" si="2">(A8/(4*3.141*10^-7)+2*31700/A8)*4*3.14*10^-7</f>
        <v>1.07535453</v>
      </c>
      <c r="C8" s="1">
        <v>7.4513</v>
      </c>
      <c r="D8" s="9">
        <f>C8*0.05</f>
        <v>0.372565</v>
      </c>
      <c r="E8" s="1">
        <v>3.1461</v>
      </c>
      <c r="F8" s="9">
        <f>0.05*E8</f>
        <v>0.157305</v>
      </c>
      <c r="N8" s="17"/>
      <c r="O8" s="9">
        <v>2.094836942675159</v>
      </c>
      <c r="T8" s="1">
        <v>2.679</v>
      </c>
      <c r="U8" s="9">
        <f t="shared" si="1"/>
        <v>0.18753</v>
      </c>
      <c r="V8" s="9">
        <v>1.694709554140127</v>
      </c>
      <c r="X8" s="9">
        <v>0.44791600000000004</v>
      </c>
      <c r="Z8" s="9">
        <v>0.18753</v>
      </c>
    </row>
    <row r="9">
      <c r="A9" s="1">
        <v>0.09</v>
      </c>
      <c r="B9" s="9">
        <f t="shared" si="2"/>
        <v>0.9747535689</v>
      </c>
      <c r="G9" s="1">
        <v>-80000.0</v>
      </c>
      <c r="H9" s="9">
        <f t="shared" ref="H9:H25" si="3">(0.0942/(4*3.141*10^-7)-2*G9/0.0942)*4*3.141*10^-7</f>
        <v>2.228212739</v>
      </c>
      <c r="I9" s="1">
        <v>6.9373</v>
      </c>
      <c r="J9" s="9">
        <f>I9*0.07</f>
        <v>0.485611</v>
      </c>
      <c r="N9" s="18"/>
      <c r="O9" s="9">
        <v>1.9614611464968148</v>
      </c>
      <c r="T9" s="1">
        <v>2.8702</v>
      </c>
      <c r="U9" s="9">
        <f t="shared" si="1"/>
        <v>0.200914</v>
      </c>
      <c r="V9" s="9">
        <v>1.4279579617834393</v>
      </c>
      <c r="X9" s="9">
        <v>0.627235</v>
      </c>
      <c r="Z9" s="9">
        <v>0.20091400000000004</v>
      </c>
    </row>
    <row r="10">
      <c r="A10" s="1">
        <v>0.1</v>
      </c>
      <c r="B10" s="9">
        <f t="shared" si="2"/>
        <v>0.896272163</v>
      </c>
      <c r="C10" s="1">
        <v>11.5288</v>
      </c>
      <c r="D10" s="9">
        <f>C10*0.05</f>
        <v>0.57644</v>
      </c>
      <c r="E10" s="1">
        <v>3.0376</v>
      </c>
      <c r="F10" s="9">
        <f>0.05*E10</f>
        <v>0.15188</v>
      </c>
      <c r="G10" s="1">
        <v>-75000.0</v>
      </c>
      <c r="H10" s="9">
        <f t="shared" si="3"/>
        <v>2.094836943</v>
      </c>
      <c r="N10" s="16"/>
      <c r="O10" s="9">
        <v>1.8280853503184709</v>
      </c>
      <c r="V10" s="9">
        <v>1.0753545304043297</v>
      </c>
      <c r="W10" s="9">
        <v>0.37256500000000004</v>
      </c>
      <c r="Y10" s="9">
        <f>W10*1.5</f>
        <v>0.5588475</v>
      </c>
      <c r="AA10" s="9">
        <v>0.15730500000000003</v>
      </c>
    </row>
    <row r="11">
      <c r="A11" s="1">
        <v>0.11</v>
      </c>
      <c r="B11" s="9">
        <f t="shared" si="2"/>
        <v>0.8338777066</v>
      </c>
      <c r="G11" s="1">
        <v>-70000.0</v>
      </c>
      <c r="H11" s="9">
        <f t="shared" si="3"/>
        <v>1.961461146</v>
      </c>
      <c r="N11" s="16"/>
      <c r="O11" s="9">
        <v>1.694709554140127</v>
      </c>
      <c r="Q11" s="9">
        <v>0.44791600000000004</v>
      </c>
      <c r="T11" s="1">
        <v>3.6637</v>
      </c>
      <c r="U11" s="9">
        <f>T11*0.07</f>
        <v>0.256459</v>
      </c>
      <c r="V11" s="9">
        <v>0.9398025477707004</v>
      </c>
      <c r="X11" s="9">
        <v>0.5661740000000001</v>
      </c>
      <c r="Z11" s="9">
        <v>0.25645900000000005</v>
      </c>
    </row>
    <row r="12">
      <c r="A12" s="1">
        <v>0.12</v>
      </c>
      <c r="B12" s="9">
        <f t="shared" si="2"/>
        <v>0.7835484623</v>
      </c>
      <c r="G12" s="1">
        <v>-65000.0</v>
      </c>
      <c r="H12" s="9">
        <f t="shared" si="3"/>
        <v>1.82808535</v>
      </c>
      <c r="N12" s="16"/>
      <c r="O12" s="9">
        <v>1.5613337579617832</v>
      </c>
      <c r="V12" s="9">
        <v>0.8962721630054123</v>
      </c>
      <c r="W12" s="9">
        <v>0.5764400000000001</v>
      </c>
      <c r="Y12" s="9">
        <f>W12*1.5</f>
        <v>0.86466</v>
      </c>
      <c r="AA12" s="9">
        <v>0.15188000000000001</v>
      </c>
    </row>
    <row r="13">
      <c r="A13" s="1">
        <v>0.13</v>
      </c>
      <c r="B13" s="9">
        <f t="shared" si="2"/>
        <v>0.7425001504</v>
      </c>
      <c r="C13" s="1">
        <v>11.6095</v>
      </c>
      <c r="D13" s="9">
        <f>C13*0.05</f>
        <v>0.580475</v>
      </c>
      <c r="E13" s="1">
        <v>5.4536</v>
      </c>
      <c r="F13" s="9">
        <f>0.05*E13</f>
        <v>0.27268</v>
      </c>
      <c r="G13" s="1">
        <v>-60000.0</v>
      </c>
      <c r="H13" s="9">
        <f t="shared" si="3"/>
        <v>1.694709554</v>
      </c>
      <c r="I13" s="1">
        <v>6.3988</v>
      </c>
      <c r="J13" s="9">
        <f>I13*0.07</f>
        <v>0.447916</v>
      </c>
      <c r="K13" s="15"/>
      <c r="O13" s="9">
        <v>1.4279579617834393</v>
      </c>
      <c r="Q13" s="9">
        <v>0.627235</v>
      </c>
      <c r="T13" s="1">
        <v>3.1544</v>
      </c>
      <c r="U13" s="9">
        <f>T13*0.07</f>
        <v>0.220808</v>
      </c>
      <c r="V13" s="9">
        <v>0.7610789808917197</v>
      </c>
      <c r="X13" s="9">
        <v>0.6578390000000001</v>
      </c>
      <c r="Z13" s="9">
        <v>0.220808</v>
      </c>
    </row>
    <row r="14">
      <c r="A14" s="1">
        <v>0.14</v>
      </c>
      <c r="B14" s="9">
        <f t="shared" si="2"/>
        <v>0.7087439996</v>
      </c>
      <c r="G14" s="1">
        <v>-55000.0</v>
      </c>
      <c r="H14" s="9">
        <f t="shared" si="3"/>
        <v>1.561333758</v>
      </c>
      <c r="O14" s="9">
        <v>1.2945821656050953</v>
      </c>
      <c r="V14" s="9">
        <v>0.7425001503685745</v>
      </c>
      <c r="W14" s="9">
        <v>0.5804750000000001</v>
      </c>
      <c r="Y14" s="9">
        <f>W14*1.5</f>
        <v>0.8707125</v>
      </c>
      <c r="AA14" s="9">
        <v>0.27268</v>
      </c>
    </row>
    <row r="15">
      <c r="A15" s="1">
        <v>0.15</v>
      </c>
      <c r="B15" s="9">
        <f t="shared" si="2"/>
        <v>0.6808215778</v>
      </c>
      <c r="C15" s="1">
        <v>11.4689</v>
      </c>
      <c r="D15" s="9">
        <f t="shared" ref="D15:D17" si="4">C15*0.05</f>
        <v>0.573445</v>
      </c>
      <c r="E15" s="1">
        <v>5.1044</v>
      </c>
      <c r="F15" s="9">
        <f t="shared" ref="F15:F17" si="5">0.05*E15</f>
        <v>0.25522</v>
      </c>
      <c r="G15" s="1">
        <v>-50000.0</v>
      </c>
      <c r="H15" s="9">
        <f t="shared" si="3"/>
        <v>1.427957962</v>
      </c>
      <c r="I15" s="1">
        <v>8.9605</v>
      </c>
      <c r="J15" s="9">
        <f>I15*0.07</f>
        <v>0.627235</v>
      </c>
      <c r="O15" s="9">
        <v>1.1612063694267514</v>
      </c>
      <c r="V15" s="9">
        <v>0.6808215778414518</v>
      </c>
      <c r="Y15" s="9">
        <v>0.573445</v>
      </c>
      <c r="AA15" s="9">
        <v>0.25522</v>
      </c>
    </row>
    <row r="16">
      <c r="A16" s="1">
        <v>0.16</v>
      </c>
      <c r="B16" s="9">
        <f t="shared" si="2"/>
        <v>0.6576390608</v>
      </c>
      <c r="C16" s="1">
        <v>14.0429</v>
      </c>
      <c r="D16" s="9">
        <f t="shared" si="4"/>
        <v>0.702145</v>
      </c>
      <c r="E16" s="1">
        <v>5.0758</v>
      </c>
      <c r="F16" s="9">
        <f t="shared" si="5"/>
        <v>0.25379</v>
      </c>
      <c r="G16" s="1">
        <v>-45000.0</v>
      </c>
      <c r="H16" s="9">
        <f t="shared" si="3"/>
        <v>1.294582166</v>
      </c>
      <c r="O16" s="9">
        <v>1.0753545304043297</v>
      </c>
      <c r="P16" s="9">
        <v>0.37256500000000004</v>
      </c>
      <c r="R16" s="9">
        <f>P16*1.5</f>
        <v>0.5588475</v>
      </c>
      <c r="V16" s="9">
        <v>0.6576390608086596</v>
      </c>
      <c r="W16" s="9">
        <v>0.702145</v>
      </c>
      <c r="Y16" s="9">
        <f t="shared" ref="Y16:Y17" si="6">W16*1.5</f>
        <v>1.0532175</v>
      </c>
      <c r="AA16" s="9">
        <v>0.25379</v>
      </c>
    </row>
    <row r="17">
      <c r="A17" s="15">
        <v>0.17</v>
      </c>
      <c r="B17" s="9">
        <f t="shared" si="2"/>
        <v>0.6383599948</v>
      </c>
      <c r="C17" s="1">
        <v>26.0052</v>
      </c>
      <c r="D17" s="9">
        <f t="shared" si="4"/>
        <v>1.30026</v>
      </c>
      <c r="E17" s="1">
        <v>6.0857</v>
      </c>
      <c r="F17" s="9">
        <f t="shared" si="5"/>
        <v>0.304285</v>
      </c>
      <c r="G17" s="1">
        <v>-40000.0</v>
      </c>
      <c r="H17" s="9">
        <f t="shared" si="3"/>
        <v>1.161206369</v>
      </c>
      <c r="O17" s="9">
        <v>0.9747535689270934</v>
      </c>
      <c r="V17" s="9">
        <v>0.6383599947562596</v>
      </c>
      <c r="W17" s="9">
        <v>1.30026</v>
      </c>
      <c r="Y17" s="9">
        <f t="shared" si="6"/>
        <v>1.95039</v>
      </c>
      <c r="AA17" s="9">
        <v>0.304285</v>
      </c>
    </row>
    <row r="18">
      <c r="A18" s="1">
        <v>0.18</v>
      </c>
      <c r="B18" s="9">
        <f t="shared" si="2"/>
        <v>0.6223338045</v>
      </c>
      <c r="G18" s="1">
        <v>-35000.0</v>
      </c>
      <c r="H18" s="9">
        <f t="shared" si="3"/>
        <v>1.027830573</v>
      </c>
      <c r="O18" s="9">
        <v>0.9398025477707004</v>
      </c>
      <c r="Q18" s="9">
        <v>0.5661740000000001</v>
      </c>
      <c r="T18" s="1">
        <v>5.6554</v>
      </c>
      <c r="U18" s="9">
        <f>T18*0.07</f>
        <v>0.395878</v>
      </c>
      <c r="V18" s="9">
        <v>0.6277031847133758</v>
      </c>
      <c r="X18" s="9">
        <v>1.820357</v>
      </c>
      <c r="Z18" s="9">
        <v>0.39587800000000006</v>
      </c>
    </row>
    <row r="19">
      <c r="A19" s="1">
        <v>0.185</v>
      </c>
      <c r="B19" s="9">
        <f t="shared" si="2"/>
        <v>0.6153756962</v>
      </c>
      <c r="C19" s="1">
        <v>16.1753</v>
      </c>
      <c r="D19" s="9">
        <f>C19*0.05</f>
        <v>0.808765</v>
      </c>
      <c r="E19" s="1">
        <v>8.8137</v>
      </c>
      <c r="F19" s="9">
        <f>0.05*E19</f>
        <v>0.440685</v>
      </c>
      <c r="G19" s="1">
        <v>-31700.0</v>
      </c>
      <c r="H19" s="9">
        <f t="shared" si="3"/>
        <v>0.9398025478</v>
      </c>
      <c r="I19" s="1">
        <v>8.0882</v>
      </c>
      <c r="J19" s="9">
        <f>I19*0.07</f>
        <v>0.566174</v>
      </c>
      <c r="O19" s="9">
        <v>0.8962721630054123</v>
      </c>
      <c r="P19" s="9">
        <v>0.5764400000000001</v>
      </c>
      <c r="R19" s="9">
        <f>P19*1.5</f>
        <v>0.86466</v>
      </c>
      <c r="V19" s="9">
        <v>0.6153756961546073</v>
      </c>
      <c r="W19" s="9">
        <v>0.8087650000000001</v>
      </c>
      <c r="Y19" s="9">
        <f t="shared" ref="Y19:Y22" si="7">W19*1.5</f>
        <v>1.2131475</v>
      </c>
      <c r="AA19" s="9">
        <v>0.44068500000000005</v>
      </c>
    </row>
    <row r="20">
      <c r="A20" s="1">
        <v>0.19</v>
      </c>
      <c r="B20" s="9">
        <f t="shared" si="2"/>
        <v>0.6090468781</v>
      </c>
      <c r="G20" s="1">
        <v>-30000.0</v>
      </c>
      <c r="H20" s="9">
        <f t="shared" si="3"/>
        <v>0.8944547771</v>
      </c>
      <c r="O20" s="9">
        <v>0.8338777065786809</v>
      </c>
      <c r="V20" s="9">
        <v>0.5980883260108245</v>
      </c>
      <c r="W20" s="9">
        <v>1.011655</v>
      </c>
      <c r="Y20" s="9">
        <f t="shared" si="7"/>
        <v>1.5174825</v>
      </c>
      <c r="AA20" s="9">
        <v>0.24814500000000003</v>
      </c>
    </row>
    <row r="21">
      <c r="A21" s="1">
        <v>0.2</v>
      </c>
      <c r="B21" s="9">
        <f t="shared" si="2"/>
        <v>0.598088326</v>
      </c>
      <c r="C21" s="1">
        <v>20.2331</v>
      </c>
      <c r="D21" s="9">
        <f>C21*0.05</f>
        <v>1.011655</v>
      </c>
      <c r="E21" s="1">
        <v>4.9629</v>
      </c>
      <c r="F21" s="9">
        <f>0.05*E21</f>
        <v>0.248145</v>
      </c>
      <c r="G21" s="1">
        <v>-25000.0</v>
      </c>
      <c r="H21" s="9">
        <f t="shared" si="3"/>
        <v>0.7610789809</v>
      </c>
      <c r="I21" s="1">
        <v>9.3977</v>
      </c>
      <c r="J21" s="9">
        <f t="shared" ref="J21:J24" si="8">I21*0.07</f>
        <v>0.657839</v>
      </c>
      <c r="O21" s="9">
        <v>0.7610789808917197</v>
      </c>
      <c r="Q21" s="9">
        <v>0.6578390000000001</v>
      </c>
      <c r="V21" s="9">
        <v>0.5761459053472309</v>
      </c>
      <c r="W21" s="9">
        <v>0.44893000000000005</v>
      </c>
      <c r="Y21" s="9">
        <f t="shared" si="7"/>
        <v>0.673395</v>
      </c>
      <c r="AA21" s="9">
        <v>0.049015</v>
      </c>
    </row>
    <row r="22">
      <c r="A22" s="1">
        <v>0.21</v>
      </c>
      <c r="B22" s="9">
        <f t="shared" si="2"/>
        <v>0.5891255233</v>
      </c>
      <c r="G22" s="15">
        <v>-20000.0</v>
      </c>
      <c r="H22" s="9">
        <f t="shared" si="3"/>
        <v>0.6277031847</v>
      </c>
      <c r="I22" s="1">
        <v>26.0051</v>
      </c>
      <c r="J22" s="9">
        <f t="shared" si="8"/>
        <v>1.820357</v>
      </c>
      <c r="O22" s="9">
        <v>0.7425001503685745</v>
      </c>
      <c r="P22" s="9">
        <v>0.5804750000000001</v>
      </c>
      <c r="R22" s="9">
        <f>P22*1.5</f>
        <v>0.8707125</v>
      </c>
      <c r="V22" s="9">
        <v>0.5648414475220206</v>
      </c>
      <c r="W22" s="9">
        <v>0.24885000000000002</v>
      </c>
      <c r="Y22" s="9">
        <f t="shared" si="7"/>
        <v>0.373275</v>
      </c>
      <c r="AA22" s="9">
        <v>0.247395</v>
      </c>
    </row>
    <row r="23">
      <c r="A23" s="1">
        <v>0.22</v>
      </c>
      <c r="B23" s="9">
        <f t="shared" si="2"/>
        <v>0.5818863222</v>
      </c>
      <c r="G23" s="1">
        <v>-15000.0</v>
      </c>
      <c r="H23" s="9">
        <f t="shared" si="3"/>
        <v>0.4943273885</v>
      </c>
      <c r="I23" s="1">
        <v>10.5496</v>
      </c>
      <c r="J23" s="9">
        <f t="shared" si="8"/>
        <v>0.738472</v>
      </c>
      <c r="O23" s="9">
        <v>0.7087439996361486</v>
      </c>
      <c r="T23" s="1">
        <v>5.1676</v>
      </c>
      <c r="U23" s="9">
        <f t="shared" ref="U23:U24" si="9">T23*0.07</f>
        <v>0.361732</v>
      </c>
      <c r="V23" s="9">
        <v>0.49432738853503183</v>
      </c>
      <c r="X23" s="9">
        <v>0.738472</v>
      </c>
      <c r="Z23" s="9">
        <v>0.36173200000000005</v>
      </c>
    </row>
    <row r="24">
      <c r="A24" s="1">
        <v>0.23</v>
      </c>
      <c r="B24" s="9">
        <f t="shared" si="2"/>
        <v>0.5761459053</v>
      </c>
      <c r="C24" s="1">
        <v>8.9786</v>
      </c>
      <c r="D24" s="9">
        <f>C24*0.05</f>
        <v>0.44893</v>
      </c>
      <c r="E24" s="1">
        <v>0.9803</v>
      </c>
      <c r="F24" s="9">
        <f>0.05*E24</f>
        <v>0.049015</v>
      </c>
      <c r="G24" s="1">
        <v>-10000.0</v>
      </c>
      <c r="H24" s="9">
        <f t="shared" si="3"/>
        <v>0.3609515924</v>
      </c>
      <c r="I24" s="1">
        <v>1.5345</v>
      </c>
      <c r="J24" s="9">
        <f t="shared" si="8"/>
        <v>0.107415</v>
      </c>
      <c r="O24" s="9">
        <v>0.6808215778414518</v>
      </c>
      <c r="T24" s="1">
        <v>3.9747</v>
      </c>
      <c r="U24" s="9">
        <f t="shared" si="9"/>
        <v>0.278229</v>
      </c>
      <c r="V24" s="9">
        <v>0.3609515923566879</v>
      </c>
      <c r="X24" s="9">
        <v>0.10741500000000001</v>
      </c>
      <c r="Z24" s="9">
        <v>0.278229</v>
      </c>
    </row>
    <row r="25">
      <c r="A25" s="1">
        <v>0.24</v>
      </c>
      <c r="B25" s="9">
        <f t="shared" si="2"/>
        <v>0.5717169245</v>
      </c>
      <c r="G25" s="1">
        <v>-5000.0</v>
      </c>
      <c r="H25" s="9">
        <f t="shared" si="3"/>
        <v>0.2275757962</v>
      </c>
      <c r="O25" s="9">
        <v>0.6576390608086596</v>
      </c>
      <c r="P25" s="9">
        <v>0.702145</v>
      </c>
      <c r="R25" s="9">
        <f t="shared" ref="R25:R26" si="10">P25*1.5</f>
        <v>1.0532175</v>
      </c>
    </row>
    <row r="26">
      <c r="A26" s="1">
        <v>0.25</v>
      </c>
      <c r="B26" s="9">
        <f t="shared" si="2"/>
        <v>0.5684420075</v>
      </c>
      <c r="O26" s="9">
        <v>0.6383599947562596</v>
      </c>
      <c r="P26" s="9">
        <v>1.30026</v>
      </c>
      <c r="R26" s="9">
        <f t="shared" si="10"/>
        <v>1.95039</v>
      </c>
    </row>
    <row r="27">
      <c r="A27" s="1">
        <v>0.26</v>
      </c>
      <c r="B27" s="9">
        <f t="shared" si="2"/>
        <v>0.566187993</v>
      </c>
      <c r="O27" s="9">
        <v>0.6277031847133758</v>
      </c>
      <c r="Q27" s="9">
        <v>1.820357</v>
      </c>
    </row>
    <row r="28">
      <c r="A28" s="1">
        <v>0.27</v>
      </c>
      <c r="B28" s="9">
        <f t="shared" si="2"/>
        <v>0.5648414475</v>
      </c>
      <c r="C28" s="1">
        <v>4.977</v>
      </c>
      <c r="D28" s="9">
        <f>C28*0.05</f>
        <v>0.24885</v>
      </c>
      <c r="E28" s="1">
        <v>4.9479</v>
      </c>
      <c r="F28" s="9">
        <f>0.05*E28</f>
        <v>0.247395</v>
      </c>
      <c r="O28" s="9">
        <v>0.6153756961546073</v>
      </c>
      <c r="P28" s="9">
        <v>0.8087650000000001</v>
      </c>
      <c r="R28" s="9">
        <f>P28*1.5</f>
        <v>1.2131475</v>
      </c>
    </row>
    <row r="29">
      <c r="O29" s="9">
        <v>0.6090468781313361</v>
      </c>
    </row>
    <row r="30">
      <c r="O30" s="9">
        <v>0.5980883260108245</v>
      </c>
      <c r="P30" s="9">
        <v>1.011655</v>
      </c>
      <c r="R30" s="9">
        <f>P30*1.5</f>
        <v>1.5174825</v>
      </c>
    </row>
    <row r="31">
      <c r="O31" s="9">
        <v>0.5891255232637468</v>
      </c>
    </row>
    <row r="32">
      <c r="C32" s="1">
        <v>7.4513</v>
      </c>
      <c r="O32" s="9">
        <v>0.5818863222482707</v>
      </c>
    </row>
    <row r="33">
      <c r="C33" s="1">
        <v>11.5288</v>
      </c>
      <c r="O33" s="9">
        <v>0.5761459053472309</v>
      </c>
      <c r="P33" s="9">
        <v>0.44893000000000005</v>
      </c>
      <c r="R33" s="9">
        <f>P33*1.5</f>
        <v>0.673395</v>
      </c>
    </row>
    <row r="34">
      <c r="C34" s="1">
        <v>11.6095</v>
      </c>
      <c r="O34" s="9">
        <v>0.5717169245463227</v>
      </c>
    </row>
    <row r="35">
      <c r="C35" s="1">
        <v>11.4689</v>
      </c>
      <c r="O35" s="9">
        <v>0.5684420075135308</v>
      </c>
    </row>
    <row r="36">
      <c r="C36" s="1">
        <v>14.0429</v>
      </c>
      <c r="O36" s="9">
        <v>0.5661879930448411</v>
      </c>
    </row>
    <row r="37">
      <c r="C37" s="1">
        <v>26.0052</v>
      </c>
      <c r="O37" s="9">
        <v>0.5648414475220206</v>
      </c>
      <c r="P37" s="9">
        <v>0.24885000000000002</v>
      </c>
      <c r="R37" s="9">
        <f>P37*1.5</f>
        <v>0.373275</v>
      </c>
    </row>
    <row r="38">
      <c r="C38" s="1">
        <v>16.1753</v>
      </c>
      <c r="O38" s="9">
        <v>0.49432738853503183</v>
      </c>
      <c r="Q38" s="9">
        <v>0.738472</v>
      </c>
    </row>
    <row r="39">
      <c r="C39" s="1">
        <v>20.2331</v>
      </c>
      <c r="O39" s="9">
        <v>0.3609515923566879</v>
      </c>
      <c r="Q39" s="9">
        <v>0.10741500000000001</v>
      </c>
    </row>
    <row r="40">
      <c r="C40" s="1">
        <v>8.9786</v>
      </c>
      <c r="O40" s="9">
        <v>0.269483620972581</v>
      </c>
    </row>
    <row r="41">
      <c r="C41" s="1">
        <v>4.977</v>
      </c>
      <c r="O41" s="9">
        <v>0.167538693389915</v>
      </c>
    </row>
    <row r="42">
      <c r="O42" s="9">
        <v>0.065593765807249</v>
      </c>
    </row>
    <row r="43">
      <c r="O43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13"/>
    <col customWidth="1" min="4" max="4" width="14.25"/>
  </cols>
  <sheetData>
    <row r="1">
      <c r="A1" s="1">
        <v>1.0</v>
      </c>
      <c r="B1" s="2"/>
      <c r="C1" s="1" t="s">
        <v>1</v>
      </c>
    </row>
    <row r="2">
      <c r="A2" s="1" t="s">
        <v>2</v>
      </c>
      <c r="B2" s="2"/>
    </row>
    <row r="3">
      <c r="A3" s="1" t="s">
        <v>3</v>
      </c>
      <c r="B3" s="2"/>
    </row>
    <row r="4">
      <c r="A4" s="1" t="s">
        <v>4</v>
      </c>
      <c r="B4" s="2"/>
    </row>
    <row r="5">
      <c r="A5" s="1" t="s">
        <v>5</v>
      </c>
      <c r="B5" s="2"/>
    </row>
    <row r="6">
      <c r="A6" s="1" t="s">
        <v>47</v>
      </c>
      <c r="B6" s="2"/>
    </row>
    <row r="7">
      <c r="B7" s="2"/>
    </row>
    <row r="8">
      <c r="A8" s="3" t="s">
        <v>7</v>
      </c>
      <c r="B8" s="1" t="s">
        <v>47</v>
      </c>
    </row>
    <row r="9">
      <c r="A9" s="4" t="s">
        <v>48</v>
      </c>
      <c r="B9" s="4" t="s">
        <v>9</v>
      </c>
      <c r="C9" s="19" t="s">
        <v>49</v>
      </c>
      <c r="D9" s="19" t="s">
        <v>50</v>
      </c>
      <c r="E9" s="19" t="s">
        <v>51</v>
      </c>
      <c r="F9" s="20"/>
      <c r="G9" s="20"/>
      <c r="H9" s="20"/>
      <c r="I9" s="20"/>
      <c r="J9" s="20"/>
    </row>
    <row r="10">
      <c r="A10" s="21">
        <v>1.0E-4</v>
      </c>
      <c r="B10" s="12">
        <v>77.0</v>
      </c>
      <c r="C10" s="7"/>
      <c r="D10" s="12">
        <v>77.0</v>
      </c>
      <c r="E10" s="22">
        <f t="shared" ref="E10:E18" si="1">D10/50</f>
        <v>1.54</v>
      </c>
    </row>
    <row r="11">
      <c r="A11" s="21">
        <v>5.0E-4</v>
      </c>
      <c r="B11" s="12">
        <v>77.0</v>
      </c>
      <c r="C11" s="8"/>
      <c r="D11" s="12">
        <v>77.0</v>
      </c>
      <c r="E11" s="22">
        <f t="shared" si="1"/>
        <v>1.54</v>
      </c>
    </row>
    <row r="12">
      <c r="A12" s="21">
        <v>0.001</v>
      </c>
      <c r="B12" s="12">
        <v>77.0</v>
      </c>
      <c r="D12" s="12">
        <v>77.0</v>
      </c>
      <c r="E12" s="22">
        <f t="shared" si="1"/>
        <v>1.54</v>
      </c>
    </row>
    <row r="13">
      <c r="A13" s="21">
        <v>0.005</v>
      </c>
      <c r="B13" s="12">
        <v>79.0</v>
      </c>
      <c r="D13" s="12">
        <v>79.0</v>
      </c>
      <c r="E13" s="22">
        <f t="shared" si="1"/>
        <v>1.58</v>
      </c>
    </row>
    <row r="14">
      <c r="A14" s="21">
        <v>0.01</v>
      </c>
      <c r="B14" s="12">
        <v>80.0</v>
      </c>
      <c r="D14" s="12">
        <v>80.0</v>
      </c>
      <c r="E14" s="22">
        <f t="shared" si="1"/>
        <v>1.6</v>
      </c>
    </row>
    <row r="15">
      <c r="A15" s="21">
        <v>0.02</v>
      </c>
      <c r="C15" s="1">
        <v>51.5</v>
      </c>
      <c r="D15" s="23">
        <f t="shared" ref="D15:D18" si="2">C15*5/3</f>
        <v>85.83333333</v>
      </c>
      <c r="E15" s="22">
        <f t="shared" si="1"/>
        <v>1.716666667</v>
      </c>
    </row>
    <row r="16">
      <c r="A16" s="21">
        <v>0.05</v>
      </c>
      <c r="B16" s="10"/>
      <c r="C16" s="1">
        <v>60.0</v>
      </c>
      <c r="D16" s="9">
        <f t="shared" si="2"/>
        <v>100</v>
      </c>
      <c r="E16" s="22">
        <f t="shared" si="1"/>
        <v>2</v>
      </c>
    </row>
    <row r="17">
      <c r="A17" s="21">
        <v>0.1</v>
      </c>
      <c r="B17" s="2"/>
      <c r="C17" s="1">
        <v>71.5</v>
      </c>
      <c r="D17" s="9">
        <f t="shared" si="2"/>
        <v>119.1666667</v>
      </c>
      <c r="E17" s="22">
        <f t="shared" si="1"/>
        <v>2.383333333</v>
      </c>
    </row>
    <row r="18">
      <c r="A18" s="21">
        <v>0.5</v>
      </c>
      <c r="B18" s="2"/>
      <c r="C18" s="1">
        <v>142.5</v>
      </c>
      <c r="D18" s="9">
        <f t="shared" si="2"/>
        <v>237.5</v>
      </c>
      <c r="E18" s="22">
        <f t="shared" si="1"/>
        <v>4.75</v>
      </c>
    </row>
    <row r="19">
      <c r="A19" s="3" t="s">
        <v>13</v>
      </c>
      <c r="B19" s="2"/>
      <c r="E19" s="7"/>
    </row>
    <row r="20">
      <c r="A20" s="21">
        <v>1.0E-4</v>
      </c>
      <c r="B20" s="6">
        <v>116.0</v>
      </c>
      <c r="E20" s="7"/>
    </row>
    <row r="21">
      <c r="A21" s="21">
        <v>5.0E-4</v>
      </c>
      <c r="B21" s="6">
        <v>116.0</v>
      </c>
      <c r="E21" s="7"/>
    </row>
    <row r="22">
      <c r="A22" s="21">
        <v>0.001</v>
      </c>
      <c r="B22" s="6">
        <v>115.0</v>
      </c>
      <c r="E22" s="7"/>
    </row>
    <row r="23">
      <c r="A23" s="21">
        <v>0.005</v>
      </c>
      <c r="B23" s="6">
        <v>119.0</v>
      </c>
      <c r="E23" s="7"/>
    </row>
    <row r="24">
      <c r="A24" s="21">
        <v>0.01</v>
      </c>
      <c r="B24" s="6">
        <v>122.0</v>
      </c>
      <c r="E24" s="7"/>
    </row>
    <row r="25">
      <c r="A25" s="6"/>
      <c r="B25" s="10"/>
      <c r="N25" s="24"/>
    </row>
    <row r="26">
      <c r="A26" s="6"/>
      <c r="B26" s="10"/>
    </row>
    <row r="27">
      <c r="A27" s="6"/>
      <c r="B27" s="10"/>
    </row>
    <row r="28">
      <c r="A28" s="11"/>
      <c r="B28" s="10"/>
    </row>
    <row r="29">
      <c r="A29" s="3" t="s">
        <v>14</v>
      </c>
      <c r="B29" s="2"/>
    </row>
    <row r="30">
      <c r="A30" s="21">
        <v>1.0E-4</v>
      </c>
      <c r="B30" s="12">
        <v>186.0</v>
      </c>
    </row>
    <row r="31">
      <c r="A31" s="21">
        <v>5.0E-4</v>
      </c>
      <c r="B31" s="12">
        <v>186.0</v>
      </c>
    </row>
    <row r="32">
      <c r="A32" s="21">
        <v>0.001</v>
      </c>
      <c r="B32" s="12">
        <v>187.0</v>
      </c>
    </row>
    <row r="33">
      <c r="A33" s="21">
        <v>0.005</v>
      </c>
      <c r="B33" s="12">
        <v>194.0</v>
      </c>
    </row>
    <row r="34">
      <c r="A34" s="21">
        <v>0.01</v>
      </c>
      <c r="B34" s="6">
        <v>199.0</v>
      </c>
    </row>
    <row r="35">
      <c r="A35" s="13"/>
    </row>
    <row r="36">
      <c r="A36" s="13"/>
    </row>
    <row r="37">
      <c r="A37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  <col customWidth="1" min="2" max="2" width="29.0"/>
    <col customWidth="1" min="3" max="3" width="18.88"/>
    <col customWidth="1" min="7" max="7" width="14.13"/>
    <col customWidth="1" min="9" max="9" width="17.63"/>
    <col customWidth="1" min="10" max="10" width="19.63"/>
    <col customWidth="1" min="11" max="12" width="15.88"/>
    <col customWidth="1" min="14" max="15" width="15.88"/>
    <col customWidth="1" min="16" max="17" width="14.13"/>
    <col customWidth="1" min="18" max="18" width="10.25"/>
  </cols>
  <sheetData>
    <row r="2">
      <c r="A2" s="1" t="s">
        <v>2</v>
      </c>
    </row>
    <row r="3">
      <c r="A3" s="1" t="s">
        <v>3</v>
      </c>
    </row>
    <row r="4">
      <c r="A4" s="1" t="s">
        <v>52</v>
      </c>
      <c r="C4" s="1" t="s">
        <v>53</v>
      </c>
    </row>
    <row r="5">
      <c r="A5" s="1" t="s">
        <v>5</v>
      </c>
    </row>
    <row r="6">
      <c r="A6" s="1" t="s">
        <v>6</v>
      </c>
    </row>
    <row r="7">
      <c r="A7" s="1"/>
    </row>
    <row r="8">
      <c r="A8" s="3" t="s">
        <v>7</v>
      </c>
      <c r="I8" s="25" t="s">
        <v>54</v>
      </c>
      <c r="N8" s="25" t="s">
        <v>55</v>
      </c>
    </row>
    <row r="9">
      <c r="A9" s="4">
        <v>1.0</v>
      </c>
      <c r="B9" s="4" t="s">
        <v>26</v>
      </c>
      <c r="C9" s="5" t="s">
        <v>10</v>
      </c>
      <c r="D9" s="5" t="s">
        <v>10</v>
      </c>
      <c r="E9" s="5" t="s">
        <v>11</v>
      </c>
      <c r="F9" s="1" t="s">
        <v>56</v>
      </c>
      <c r="G9" s="1" t="s">
        <v>57</v>
      </c>
      <c r="H9" s="1" t="s">
        <v>58</v>
      </c>
      <c r="I9" s="1" t="s">
        <v>59</v>
      </c>
      <c r="J9" s="1" t="s">
        <v>60</v>
      </c>
      <c r="K9" s="1" t="s">
        <v>61</v>
      </c>
      <c r="L9" s="1" t="s">
        <v>62</v>
      </c>
      <c r="M9" s="1" t="s">
        <v>63</v>
      </c>
      <c r="N9" s="1" t="s">
        <v>59</v>
      </c>
      <c r="O9" s="1" t="s">
        <v>60</v>
      </c>
      <c r="P9" s="1" t="s">
        <v>61</v>
      </c>
      <c r="Q9" s="1" t="s">
        <v>62</v>
      </c>
      <c r="R9" s="1" t="s">
        <v>64</v>
      </c>
      <c r="S9" s="1" t="s">
        <v>65</v>
      </c>
    </row>
    <row r="10">
      <c r="A10" s="16">
        <v>-10000.0</v>
      </c>
      <c r="B10" s="6">
        <v>82.0</v>
      </c>
      <c r="C10" s="8">
        <v>6.53</v>
      </c>
      <c r="D10" s="7">
        <v>7.245</v>
      </c>
      <c r="E10" s="7">
        <v>8.4</v>
      </c>
      <c r="F10" s="9">
        <f t="shared" ref="F10:F17" si="1">3/5*B10</f>
        <v>49.2</v>
      </c>
      <c r="G10" s="1">
        <f t="shared" ref="G10:G17" si="2">1.2*B10</f>
        <v>98.4</v>
      </c>
      <c r="H10" s="9">
        <f t="shared" ref="H10:H17" si="3">3/5*G10</f>
        <v>59.04</v>
      </c>
      <c r="I10" s="1">
        <v>7.96</v>
      </c>
      <c r="J10" s="1">
        <v>13.8</v>
      </c>
      <c r="K10" s="1">
        <v>5.86</v>
      </c>
      <c r="L10" s="1">
        <v>6.79</v>
      </c>
      <c r="N10" s="1">
        <v>1.5345</v>
      </c>
      <c r="O10" s="1">
        <v>3.9747</v>
      </c>
      <c r="P10" s="1">
        <v>5.7775</v>
      </c>
      <c r="Q10" s="1">
        <v>6.9254</v>
      </c>
      <c r="R10" s="1">
        <v>0.8168</v>
      </c>
      <c r="S10" s="1">
        <v>0.2181</v>
      </c>
    </row>
    <row r="11">
      <c r="A11" s="17">
        <v>-15000.0</v>
      </c>
      <c r="B11" s="6">
        <v>79.5</v>
      </c>
      <c r="C11" s="7"/>
      <c r="D11" s="7"/>
      <c r="E11" s="7"/>
      <c r="F11" s="9">
        <f t="shared" si="1"/>
        <v>47.7</v>
      </c>
      <c r="G11" s="1">
        <f t="shared" si="2"/>
        <v>95.4</v>
      </c>
      <c r="H11" s="9">
        <f t="shared" si="3"/>
        <v>57.24</v>
      </c>
      <c r="I11" s="1">
        <v>21.7</v>
      </c>
      <c r="J11" s="1">
        <v>10.9</v>
      </c>
      <c r="K11" s="1">
        <v>6.08</v>
      </c>
      <c r="L11" s="1">
        <v>7.17</v>
      </c>
      <c r="N11" s="1">
        <v>10.5496</v>
      </c>
      <c r="O11" s="1">
        <v>5.1676</v>
      </c>
      <c r="P11" s="1">
        <v>6.0397</v>
      </c>
      <c r="Q11" s="1">
        <v>6.959</v>
      </c>
      <c r="R11" s="1">
        <v>0.214</v>
      </c>
    </row>
    <row r="12">
      <c r="A12" s="16">
        <v>-20000.0</v>
      </c>
      <c r="B12" s="6">
        <v>77.0</v>
      </c>
      <c r="F12" s="9">
        <f t="shared" si="1"/>
        <v>46.2</v>
      </c>
      <c r="G12" s="1">
        <f t="shared" si="2"/>
        <v>92.4</v>
      </c>
      <c r="H12" s="9">
        <f t="shared" si="3"/>
        <v>55.44</v>
      </c>
      <c r="I12" s="1">
        <v>43.8</v>
      </c>
      <c r="J12" s="1">
        <v>11.7</v>
      </c>
      <c r="K12" s="1">
        <v>6.16</v>
      </c>
      <c r="L12" s="1">
        <v>7.17</v>
      </c>
      <c r="N12" s="1">
        <v>26.0051</v>
      </c>
      <c r="O12" s="1">
        <v>5.6554</v>
      </c>
      <c r="P12" s="1">
        <v>6.1947</v>
      </c>
      <c r="Q12" s="1">
        <v>7.0945</v>
      </c>
      <c r="R12" s="1">
        <v>0.0754</v>
      </c>
      <c r="S12" s="1">
        <v>0.2506</v>
      </c>
    </row>
    <row r="13">
      <c r="A13" s="17">
        <v>-25000.0</v>
      </c>
      <c r="B13" s="6">
        <v>77.0</v>
      </c>
      <c r="F13" s="9">
        <f t="shared" si="1"/>
        <v>46.2</v>
      </c>
      <c r="G13" s="1">
        <f t="shared" si="2"/>
        <v>92.4</v>
      </c>
      <c r="H13" s="9">
        <f t="shared" si="3"/>
        <v>55.44</v>
      </c>
      <c r="I13" s="1">
        <v>17.8</v>
      </c>
      <c r="J13" s="1">
        <v>4.95</v>
      </c>
      <c r="K13" s="1">
        <v>6.37</v>
      </c>
      <c r="L13" s="1">
        <v>7.48</v>
      </c>
      <c r="N13" s="1">
        <v>9.3977</v>
      </c>
      <c r="O13" s="1">
        <v>3.1544</v>
      </c>
      <c r="P13" s="1">
        <v>6.3758</v>
      </c>
      <c r="Q13" s="1">
        <v>7.4132</v>
      </c>
      <c r="R13" s="1">
        <v>0.1986</v>
      </c>
      <c r="S13" s="1">
        <v>0.2039</v>
      </c>
    </row>
    <row r="14">
      <c r="A14" s="18">
        <v>-31700.0</v>
      </c>
      <c r="B14" s="26">
        <v>77.0</v>
      </c>
      <c r="F14" s="9">
        <f t="shared" si="1"/>
        <v>46.2</v>
      </c>
      <c r="G14" s="1">
        <f t="shared" si="2"/>
        <v>92.4</v>
      </c>
      <c r="H14" s="9">
        <f t="shared" si="3"/>
        <v>55.44</v>
      </c>
      <c r="I14" s="1">
        <v>14.45</v>
      </c>
      <c r="J14" s="1">
        <v>6.2</v>
      </c>
      <c r="K14" s="1">
        <v>6.53</v>
      </c>
      <c r="L14" s="1">
        <v>7.3</v>
      </c>
      <c r="N14" s="1">
        <v>8.0882</v>
      </c>
      <c r="O14" s="1">
        <v>3.6637</v>
      </c>
      <c r="P14" s="1">
        <v>6.5013</v>
      </c>
      <c r="Q14" s="1">
        <v>7.2355</v>
      </c>
      <c r="R14" s="1">
        <v>0.1746</v>
      </c>
      <c r="S14" s="1">
        <v>0.217</v>
      </c>
    </row>
    <row r="15">
      <c r="A15" s="16">
        <v>-50000.0</v>
      </c>
      <c r="B15" s="6">
        <v>80.0</v>
      </c>
      <c r="F15" s="9">
        <f t="shared" si="1"/>
        <v>48</v>
      </c>
      <c r="G15" s="1">
        <f t="shared" si="2"/>
        <v>96</v>
      </c>
      <c r="H15" s="9">
        <f t="shared" si="3"/>
        <v>57.6</v>
      </c>
      <c r="I15" s="1">
        <v>18.2</v>
      </c>
      <c r="J15" s="1">
        <v>6.5</v>
      </c>
      <c r="K15" s="1">
        <v>6.7</v>
      </c>
      <c r="L15" s="1">
        <v>7.46</v>
      </c>
      <c r="N15" s="1">
        <v>8.9605</v>
      </c>
      <c r="O15" s="1">
        <v>2.8702</v>
      </c>
      <c r="P15" s="1">
        <v>6.7199</v>
      </c>
      <c r="Q15" s="1">
        <v>7.4837</v>
      </c>
      <c r="R15" s="1">
        <v>0.1465</v>
      </c>
      <c r="S15" s="1">
        <v>0.2448</v>
      </c>
    </row>
    <row r="16">
      <c r="A16" s="16">
        <v>-60000.0</v>
      </c>
      <c r="B16" s="6">
        <v>79.0</v>
      </c>
      <c r="F16" s="9">
        <f t="shared" si="1"/>
        <v>47.4</v>
      </c>
      <c r="G16" s="1">
        <f t="shared" si="2"/>
        <v>94.8</v>
      </c>
      <c r="H16" s="9">
        <f t="shared" si="3"/>
        <v>56.88</v>
      </c>
      <c r="I16" s="1">
        <v>13.6</v>
      </c>
      <c r="J16" s="1">
        <v>4.6</v>
      </c>
      <c r="K16" s="1">
        <v>6.83</v>
      </c>
      <c r="L16" s="1">
        <v>7.59</v>
      </c>
      <c r="N16" s="1">
        <v>6.3988</v>
      </c>
      <c r="O16" s="1">
        <v>2.679</v>
      </c>
      <c r="P16" s="1">
        <v>6.8651</v>
      </c>
      <c r="Q16" s="1">
        <v>7.6035</v>
      </c>
      <c r="R16" s="1">
        <v>0.1677</v>
      </c>
      <c r="S16" s="1">
        <v>0.2837</v>
      </c>
    </row>
    <row r="17">
      <c r="A17" s="16">
        <v>-80000.0</v>
      </c>
      <c r="B17" s="6">
        <v>79.0</v>
      </c>
      <c r="F17" s="9">
        <f t="shared" si="1"/>
        <v>47.4</v>
      </c>
      <c r="G17" s="1">
        <f t="shared" si="2"/>
        <v>94.8</v>
      </c>
      <c r="H17" s="9">
        <f t="shared" si="3"/>
        <v>56.88</v>
      </c>
      <c r="I17" s="1">
        <v>9.91</v>
      </c>
      <c r="J17" s="1">
        <v>4.81</v>
      </c>
      <c r="K17" s="1">
        <v>7.02</v>
      </c>
      <c r="L17" s="1">
        <v>7.8</v>
      </c>
      <c r="N17" s="1">
        <v>6.9373</v>
      </c>
      <c r="O17" s="1">
        <v>2.6241</v>
      </c>
      <c r="P17" s="1">
        <v>7.0448</v>
      </c>
      <c r="Q17" s="1">
        <v>7.7498</v>
      </c>
      <c r="R17" s="1">
        <v>0.1379</v>
      </c>
      <c r="S17" s="1">
        <v>0.2373</v>
      </c>
    </row>
    <row r="18">
      <c r="A18" s="11"/>
      <c r="B18" s="6"/>
    </row>
    <row r="19">
      <c r="A19" s="11"/>
      <c r="B19" s="6"/>
    </row>
    <row r="20">
      <c r="A20" s="3" t="s">
        <v>13</v>
      </c>
      <c r="B20" s="6"/>
    </row>
    <row r="21">
      <c r="A21" s="16">
        <v>-10000.0</v>
      </c>
      <c r="B21" s="6">
        <v>125.0</v>
      </c>
      <c r="F21" s="9">
        <f t="shared" ref="F21:F27" si="4">3/5*B21</f>
        <v>75</v>
      </c>
      <c r="G21" s="1">
        <f t="shared" ref="G21:G27" si="5">1.2*B21</f>
        <v>150</v>
      </c>
      <c r="H21" s="9">
        <f t="shared" ref="H21:H27" si="6">3/5*G21</f>
        <v>90</v>
      </c>
      <c r="I21" s="1">
        <v>6.16</v>
      </c>
      <c r="J21" s="1">
        <v>9.46</v>
      </c>
      <c r="K21" s="1">
        <v>19.36</v>
      </c>
      <c r="L21" s="1">
        <v>21.3</v>
      </c>
      <c r="M21" s="1">
        <v>24.14</v>
      </c>
    </row>
    <row r="22">
      <c r="A22" s="17">
        <v>-15000.0</v>
      </c>
      <c r="B22" s="6">
        <v>120.5</v>
      </c>
      <c r="F22" s="9">
        <f t="shared" si="4"/>
        <v>72.3</v>
      </c>
      <c r="G22" s="1">
        <f t="shared" si="5"/>
        <v>144.6</v>
      </c>
      <c r="H22" s="9">
        <f t="shared" si="6"/>
        <v>86.76</v>
      </c>
      <c r="I22" s="1">
        <v>6.66</v>
      </c>
      <c r="J22" s="1">
        <v>15.038</v>
      </c>
      <c r="K22" s="1">
        <v>19.54</v>
      </c>
      <c r="L22" s="1">
        <v>22.51</v>
      </c>
      <c r="M22" s="1">
        <v>24.63</v>
      </c>
    </row>
    <row r="23">
      <c r="A23" s="16">
        <v>-20000.0</v>
      </c>
      <c r="B23" s="6">
        <v>116.0</v>
      </c>
      <c r="F23" s="9">
        <f t="shared" si="4"/>
        <v>69.6</v>
      </c>
      <c r="G23" s="1">
        <f t="shared" si="5"/>
        <v>139.2</v>
      </c>
      <c r="H23" s="9">
        <f t="shared" si="6"/>
        <v>83.52</v>
      </c>
      <c r="I23" s="1">
        <v>12.33</v>
      </c>
      <c r="J23" s="1">
        <v>5.13</v>
      </c>
      <c r="K23" s="1">
        <v>19.79</v>
      </c>
      <c r="L23" s="1">
        <v>23.11</v>
      </c>
      <c r="M23" s="1">
        <v>24.64</v>
      </c>
    </row>
    <row r="24">
      <c r="A24" s="17">
        <v>-25000.0</v>
      </c>
      <c r="B24" s="6">
        <v>116.0</v>
      </c>
      <c r="F24" s="9">
        <f t="shared" si="4"/>
        <v>69.6</v>
      </c>
      <c r="G24" s="1">
        <f t="shared" si="5"/>
        <v>139.2</v>
      </c>
      <c r="H24" s="9">
        <f t="shared" si="6"/>
        <v>83.52</v>
      </c>
      <c r="I24" s="1">
        <v>10.57</v>
      </c>
      <c r="J24" s="1">
        <v>4.72</v>
      </c>
      <c r="K24" s="1">
        <v>19.9</v>
      </c>
      <c r="L24" s="1">
        <v>23.33</v>
      </c>
      <c r="M24" s="1">
        <v>24.83</v>
      </c>
    </row>
    <row r="25">
      <c r="A25" s="16">
        <v>-31700.0</v>
      </c>
      <c r="B25" s="6">
        <v>115.0</v>
      </c>
      <c r="F25" s="9">
        <f t="shared" si="4"/>
        <v>69</v>
      </c>
      <c r="G25" s="1">
        <f t="shared" si="5"/>
        <v>138</v>
      </c>
      <c r="H25" s="9">
        <f t="shared" si="6"/>
        <v>82.8</v>
      </c>
      <c r="I25" s="1">
        <v>7.68</v>
      </c>
      <c r="J25" s="1">
        <v>6.3</v>
      </c>
      <c r="K25" s="1">
        <v>20.99</v>
      </c>
      <c r="L25" s="1">
        <v>23.55</v>
      </c>
      <c r="M25" s="1">
        <v>25.22</v>
      </c>
    </row>
    <row r="26">
      <c r="A26" s="16">
        <v>-50000.0</v>
      </c>
      <c r="B26" s="6">
        <v>118.0</v>
      </c>
      <c r="F26" s="9">
        <f t="shared" si="4"/>
        <v>70.8</v>
      </c>
      <c r="G26" s="1">
        <f t="shared" si="5"/>
        <v>141.6</v>
      </c>
      <c r="H26" s="9">
        <f t="shared" si="6"/>
        <v>84.96</v>
      </c>
      <c r="I26" s="1">
        <v>4.61</v>
      </c>
      <c r="J26" s="1">
        <v>6.04</v>
      </c>
      <c r="K26" s="1">
        <v>22.7</v>
      </c>
      <c r="L26" s="1">
        <v>23.99</v>
      </c>
      <c r="M26" s="1">
        <v>25.76</v>
      </c>
    </row>
    <row r="27">
      <c r="A27" s="16">
        <v>-60000.0</v>
      </c>
      <c r="B27" s="6">
        <v>119.0</v>
      </c>
      <c r="F27" s="9">
        <f t="shared" si="4"/>
        <v>71.4</v>
      </c>
      <c r="G27" s="1">
        <f t="shared" si="5"/>
        <v>142.8</v>
      </c>
      <c r="H27" s="9">
        <f t="shared" si="6"/>
        <v>85.68</v>
      </c>
      <c r="I27" s="1">
        <v>4.99</v>
      </c>
      <c r="J27" s="1">
        <v>6.41</v>
      </c>
      <c r="K27" s="1">
        <v>22.85</v>
      </c>
      <c r="L27" s="1">
        <v>24.28</v>
      </c>
      <c r="M27" s="1">
        <v>25.91</v>
      </c>
    </row>
    <row r="28">
      <c r="A28" s="16">
        <v>-80000.0</v>
      </c>
      <c r="B28" s="6">
        <f>72.5/3*5</f>
        <v>120.8333333</v>
      </c>
    </row>
    <row r="29">
      <c r="A29" s="11"/>
      <c r="B29" s="6"/>
    </row>
    <row r="30">
      <c r="A30" s="11"/>
      <c r="B30" s="6"/>
    </row>
    <row r="31">
      <c r="A31" s="3" t="s">
        <v>14</v>
      </c>
      <c r="B31" s="11"/>
    </row>
    <row r="32">
      <c r="A32" s="16">
        <v>-10000.0</v>
      </c>
      <c r="B32" s="6">
        <v>195.0</v>
      </c>
      <c r="F32" s="9">
        <f t="shared" ref="F32:F39" si="7">3/5*B32</f>
        <v>117</v>
      </c>
      <c r="G32" s="1">
        <f t="shared" ref="G32:G39" si="8">1.2*B32</f>
        <v>234</v>
      </c>
      <c r="H32" s="9">
        <f t="shared" ref="H32:H39" si="9">3/5*G32</f>
        <v>140.4</v>
      </c>
      <c r="I32" s="1">
        <v>7.12</v>
      </c>
      <c r="J32" s="1">
        <v>9.1</v>
      </c>
      <c r="K32" s="1">
        <v>34.86</v>
      </c>
      <c r="L32" s="1">
        <v>38.35</v>
      </c>
      <c r="M32" s="1">
        <v>41.81</v>
      </c>
    </row>
    <row r="33">
      <c r="A33" s="17">
        <v>-15000.0</v>
      </c>
      <c r="B33" s="6">
        <v>190.5</v>
      </c>
      <c r="F33" s="9">
        <f t="shared" si="7"/>
        <v>114.3</v>
      </c>
      <c r="G33" s="1">
        <f t="shared" si="8"/>
        <v>228.6</v>
      </c>
      <c r="H33" s="9">
        <f t="shared" si="9"/>
        <v>137.16</v>
      </c>
      <c r="I33" s="1">
        <v>10.8</v>
      </c>
      <c r="J33" s="1">
        <v>6.76</v>
      </c>
      <c r="K33" s="1">
        <v>35.28</v>
      </c>
      <c r="L33" s="1">
        <v>39.89</v>
      </c>
      <c r="M33" s="1">
        <v>41.74</v>
      </c>
    </row>
    <row r="34">
      <c r="A34" s="16">
        <v>-20000.0</v>
      </c>
      <c r="B34" s="6">
        <v>186.0</v>
      </c>
      <c r="F34" s="9">
        <f t="shared" si="7"/>
        <v>111.6</v>
      </c>
      <c r="G34" s="1">
        <f t="shared" si="8"/>
        <v>223.2</v>
      </c>
      <c r="H34" s="9">
        <f t="shared" si="9"/>
        <v>133.92</v>
      </c>
      <c r="I34" s="1">
        <v>15.74</v>
      </c>
      <c r="J34" s="1">
        <v>2.97</v>
      </c>
      <c r="K34" s="1">
        <v>35.62</v>
      </c>
      <c r="L34" s="1">
        <v>40.13</v>
      </c>
      <c r="M34" s="1">
        <v>41.89</v>
      </c>
    </row>
    <row r="35">
      <c r="A35" s="17">
        <v>-25000.0</v>
      </c>
      <c r="B35" s="6">
        <v>187.0</v>
      </c>
      <c r="F35" s="9">
        <f t="shared" si="7"/>
        <v>112.2</v>
      </c>
      <c r="G35" s="1">
        <f t="shared" si="8"/>
        <v>224.4</v>
      </c>
      <c r="H35" s="9">
        <f t="shared" si="9"/>
        <v>134.64</v>
      </c>
      <c r="I35" s="1">
        <v>14.55</v>
      </c>
      <c r="J35" s="1">
        <v>3.82</v>
      </c>
      <c r="K35" s="1">
        <v>35.58</v>
      </c>
      <c r="L35" s="1">
        <v>40.59</v>
      </c>
      <c r="M35" s="1"/>
    </row>
    <row r="36">
      <c r="A36" s="16">
        <v>-31700.0</v>
      </c>
      <c r="B36" s="6">
        <v>187.0</v>
      </c>
      <c r="F36" s="9">
        <f t="shared" si="7"/>
        <v>112.2</v>
      </c>
      <c r="G36" s="1">
        <f t="shared" si="8"/>
        <v>224.4</v>
      </c>
      <c r="H36" s="9">
        <f t="shared" si="9"/>
        <v>134.64</v>
      </c>
      <c r="I36" s="1">
        <v>10.59</v>
      </c>
      <c r="J36" s="1">
        <v>4.03</v>
      </c>
      <c r="K36" s="1">
        <v>35.79</v>
      </c>
      <c r="L36" s="1">
        <v>42.61</v>
      </c>
      <c r="M36" s="1">
        <v>44.91</v>
      </c>
    </row>
    <row r="37">
      <c r="A37" s="16">
        <v>-50000.0</v>
      </c>
      <c r="B37" s="6">
        <v>190.0</v>
      </c>
      <c r="F37" s="9">
        <f t="shared" si="7"/>
        <v>114</v>
      </c>
      <c r="G37" s="1">
        <f t="shared" si="8"/>
        <v>228</v>
      </c>
      <c r="H37" s="9">
        <f t="shared" si="9"/>
        <v>136.8</v>
      </c>
      <c r="I37" s="1">
        <v>7.35</v>
      </c>
      <c r="J37" s="1">
        <v>3.7</v>
      </c>
      <c r="K37" s="1">
        <v>36.31</v>
      </c>
      <c r="L37" s="1">
        <v>43.35</v>
      </c>
      <c r="M37" s="1">
        <v>49.61</v>
      </c>
    </row>
    <row r="38">
      <c r="A38" s="16">
        <v>-60000.0</v>
      </c>
      <c r="B38" s="13">
        <v>191.0</v>
      </c>
      <c r="F38" s="9">
        <f t="shared" si="7"/>
        <v>114.6</v>
      </c>
      <c r="G38" s="1">
        <f t="shared" si="8"/>
        <v>229.2</v>
      </c>
      <c r="H38" s="9">
        <f t="shared" si="9"/>
        <v>137.52</v>
      </c>
      <c r="I38" s="1">
        <v>7.23</v>
      </c>
      <c r="J38" s="1">
        <v>3.8</v>
      </c>
      <c r="K38" s="1">
        <v>37.46</v>
      </c>
      <c r="L38" s="1">
        <v>43.43</v>
      </c>
      <c r="M38" s="1">
        <v>47.83</v>
      </c>
    </row>
    <row r="39">
      <c r="A39" s="16">
        <v>-80000.0</v>
      </c>
      <c r="B39" s="6">
        <v>192.0</v>
      </c>
      <c r="F39" s="9">
        <f t="shared" si="7"/>
        <v>115.2</v>
      </c>
      <c r="G39" s="1">
        <f t="shared" si="8"/>
        <v>230.4</v>
      </c>
      <c r="H39" s="9">
        <f t="shared" si="9"/>
        <v>138.24</v>
      </c>
      <c r="I39" s="1">
        <v>7.41</v>
      </c>
      <c r="J39" s="1">
        <v>4.22</v>
      </c>
      <c r="K39" s="1">
        <v>38.75</v>
      </c>
      <c r="L39" s="1">
        <v>44.24</v>
      </c>
    </row>
    <row r="44">
      <c r="A44" s="27" t="s">
        <v>66</v>
      </c>
    </row>
    <row r="45">
      <c r="A45" s="1" t="s">
        <v>67</v>
      </c>
      <c r="B45" s="1" t="s">
        <v>16</v>
      </c>
      <c r="C45" s="1" t="s">
        <v>17</v>
      </c>
      <c r="D45" s="1" t="s">
        <v>20</v>
      </c>
      <c r="E45" s="1" t="s">
        <v>68</v>
      </c>
    </row>
    <row r="46">
      <c r="A46" s="1">
        <v>0.0</v>
      </c>
      <c r="B46" s="14">
        <f t="shared" ref="B46:B52" si="10">2*A46/0.0942</f>
        <v>0</v>
      </c>
      <c r="C46" s="9">
        <f t="shared" ref="C46:C52" si="11">0.0942/(4*3.1415*10^-7)</f>
        <v>74964.18908</v>
      </c>
      <c r="D46" s="14">
        <f t="shared" ref="D46:D52" si="12">C46-B46</f>
        <v>74964.18908</v>
      </c>
      <c r="E46" s="9">
        <f t="shared" ref="E46:E52" si="13">B46/C46</f>
        <v>0</v>
      </c>
    </row>
    <row r="47">
      <c r="A47" s="16">
        <v>-10000.0</v>
      </c>
      <c r="B47" s="14">
        <f t="shared" si="10"/>
        <v>-212314.2251</v>
      </c>
      <c r="C47" s="9">
        <f t="shared" si="11"/>
        <v>74964.18908</v>
      </c>
      <c r="D47" s="14">
        <f t="shared" si="12"/>
        <v>287278.4141</v>
      </c>
      <c r="E47" s="9">
        <f t="shared" si="13"/>
        <v>-2.832208654</v>
      </c>
    </row>
    <row r="48">
      <c r="A48" s="16">
        <v>-20000.0</v>
      </c>
      <c r="B48" s="14">
        <f t="shared" si="10"/>
        <v>-424628.4501</v>
      </c>
      <c r="C48" s="9">
        <f t="shared" si="11"/>
        <v>74964.18908</v>
      </c>
      <c r="D48" s="14">
        <f t="shared" si="12"/>
        <v>499592.6392</v>
      </c>
      <c r="E48" s="9">
        <f t="shared" si="13"/>
        <v>-5.664417308</v>
      </c>
    </row>
    <row r="49">
      <c r="A49" s="18">
        <v>-31700.0</v>
      </c>
      <c r="B49" s="14">
        <f t="shared" si="10"/>
        <v>-673036.0934</v>
      </c>
      <c r="C49" s="9">
        <f t="shared" si="11"/>
        <v>74964.18908</v>
      </c>
      <c r="D49" s="14">
        <f t="shared" si="12"/>
        <v>748000.2825</v>
      </c>
      <c r="E49" s="9">
        <f t="shared" si="13"/>
        <v>-8.978101433</v>
      </c>
    </row>
    <row r="50">
      <c r="A50" s="16">
        <v>-50000.0</v>
      </c>
      <c r="B50" s="14">
        <f t="shared" si="10"/>
        <v>-1061571.125</v>
      </c>
      <c r="C50" s="9">
        <f t="shared" si="11"/>
        <v>74964.18908</v>
      </c>
      <c r="D50" s="14">
        <f t="shared" si="12"/>
        <v>1136535.314</v>
      </c>
      <c r="E50" s="9">
        <f t="shared" si="13"/>
        <v>-14.16104327</v>
      </c>
    </row>
    <row r="51">
      <c r="A51" s="16">
        <v>-60000.0</v>
      </c>
      <c r="B51" s="14">
        <f t="shared" si="10"/>
        <v>-1273885.35</v>
      </c>
      <c r="C51" s="9">
        <f t="shared" si="11"/>
        <v>74964.18908</v>
      </c>
      <c r="D51" s="14">
        <f t="shared" si="12"/>
        <v>1348849.539</v>
      </c>
      <c r="E51" s="9">
        <f t="shared" si="13"/>
        <v>-16.99325192</v>
      </c>
    </row>
    <row r="52">
      <c r="A52" s="16">
        <v>-80000.0</v>
      </c>
      <c r="B52" s="14">
        <f t="shared" si="10"/>
        <v>-1698513.8</v>
      </c>
      <c r="C52" s="9">
        <f t="shared" si="11"/>
        <v>74964.18908</v>
      </c>
      <c r="D52" s="14">
        <f t="shared" si="12"/>
        <v>1773477.99</v>
      </c>
      <c r="E52" s="9">
        <f t="shared" si="13"/>
        <v>-22.65766923</v>
      </c>
    </row>
    <row r="53">
      <c r="B53" s="14"/>
    </row>
    <row r="54">
      <c r="E54" s="1" t="s">
        <v>69</v>
      </c>
    </row>
    <row r="55">
      <c r="A55" s="1" t="s">
        <v>67</v>
      </c>
      <c r="B55" s="1" t="s">
        <v>16</v>
      </c>
      <c r="C55" s="1" t="s">
        <v>17</v>
      </c>
      <c r="D55" s="1" t="s">
        <v>20</v>
      </c>
      <c r="E55" s="1" t="s">
        <v>70</v>
      </c>
    </row>
    <row r="56">
      <c r="A56" s="16">
        <v>-50000.0</v>
      </c>
      <c r="B56" s="14">
        <f t="shared" ref="B56:B76" si="14">2*A56/0.0942</f>
        <v>-1061571.125</v>
      </c>
      <c r="C56" s="9">
        <f t="shared" ref="C56:C76" si="15">0.0942/(4*3.1415*10^-7)</f>
        <v>74964.18908</v>
      </c>
      <c r="D56" s="14">
        <f t="shared" ref="D56:D76" si="16">C56-B56</f>
        <v>1136535.314</v>
      </c>
      <c r="E56" s="9">
        <f t="shared" ref="E56:E67" si="17">33*10^9*SQRT(0.08*(0.08+D56*4*3.1415*10^-7))</f>
        <v>11462625984</v>
      </c>
      <c r="F56" s="9">
        <f>E56/10^9</f>
        <v>11.46262598</v>
      </c>
    </row>
    <row r="57">
      <c r="A57" s="17">
        <v>-45000.0</v>
      </c>
      <c r="B57" s="14">
        <f t="shared" si="14"/>
        <v>-955414.0127</v>
      </c>
      <c r="C57" s="9">
        <f t="shared" si="15"/>
        <v>74964.18908</v>
      </c>
      <c r="D57" s="14">
        <f t="shared" si="16"/>
        <v>1030378.202</v>
      </c>
      <c r="E57" s="9">
        <f t="shared" si="17"/>
        <v>10943959311</v>
      </c>
    </row>
    <row r="58">
      <c r="A58" s="16">
        <v>-40000.0</v>
      </c>
      <c r="B58" s="14">
        <f t="shared" si="14"/>
        <v>-849256.9002</v>
      </c>
      <c r="C58" s="9">
        <f t="shared" si="15"/>
        <v>74964.18908</v>
      </c>
      <c r="D58" s="14">
        <f t="shared" si="16"/>
        <v>924221.0893</v>
      </c>
      <c r="E58" s="9">
        <f t="shared" si="17"/>
        <v>10399456541</v>
      </c>
    </row>
    <row r="59">
      <c r="A59" s="17">
        <v>-35000.0</v>
      </c>
      <c r="B59" s="14">
        <f t="shared" si="14"/>
        <v>-743099.7877</v>
      </c>
      <c r="C59" s="9">
        <f t="shared" si="15"/>
        <v>74964.18908</v>
      </c>
      <c r="D59" s="14">
        <f t="shared" si="16"/>
        <v>818063.9768</v>
      </c>
      <c r="E59" s="9">
        <f t="shared" si="17"/>
        <v>9824823017</v>
      </c>
    </row>
    <row r="60">
      <c r="A60" s="16">
        <v>-30000.0</v>
      </c>
      <c r="B60" s="14">
        <f t="shared" si="14"/>
        <v>-636942.6752</v>
      </c>
      <c r="C60" s="9">
        <f t="shared" si="15"/>
        <v>74964.18908</v>
      </c>
      <c r="D60" s="14">
        <f t="shared" si="16"/>
        <v>711906.8642</v>
      </c>
      <c r="E60" s="9">
        <f t="shared" si="17"/>
        <v>9214423382</v>
      </c>
    </row>
    <row r="61">
      <c r="A61" s="17">
        <v>-25000.0</v>
      </c>
      <c r="B61" s="14">
        <f t="shared" si="14"/>
        <v>-530785.5626</v>
      </c>
      <c r="C61" s="9">
        <f t="shared" si="15"/>
        <v>74964.18908</v>
      </c>
      <c r="D61" s="14">
        <f t="shared" si="16"/>
        <v>605749.7517</v>
      </c>
      <c r="E61" s="9">
        <f t="shared" si="17"/>
        <v>8560610330</v>
      </c>
    </row>
    <row r="62">
      <c r="A62" s="16">
        <v>-20000.0</v>
      </c>
      <c r="B62" s="14">
        <f t="shared" si="14"/>
        <v>-424628.4501</v>
      </c>
      <c r="C62" s="9">
        <f t="shared" si="15"/>
        <v>74964.18908</v>
      </c>
      <c r="D62" s="14">
        <f t="shared" si="16"/>
        <v>499592.6392</v>
      </c>
      <c r="E62" s="9">
        <f t="shared" si="17"/>
        <v>7852547369</v>
      </c>
    </row>
    <row r="63">
      <c r="A63" s="17">
        <v>-15000.0</v>
      </c>
      <c r="B63" s="14">
        <f t="shared" si="14"/>
        <v>-318471.3376</v>
      </c>
      <c r="C63" s="9">
        <f t="shared" si="15"/>
        <v>74964.18908</v>
      </c>
      <c r="D63" s="14">
        <f t="shared" si="16"/>
        <v>393435.5267</v>
      </c>
      <c r="E63" s="9">
        <f t="shared" si="17"/>
        <v>7073962902</v>
      </c>
    </row>
    <row r="64">
      <c r="A64" s="16">
        <v>-10000.0</v>
      </c>
      <c r="B64" s="14">
        <f t="shared" si="14"/>
        <v>-212314.2251</v>
      </c>
      <c r="C64" s="9">
        <f t="shared" si="15"/>
        <v>74964.18908</v>
      </c>
      <c r="D64" s="14">
        <f t="shared" si="16"/>
        <v>287278.4141</v>
      </c>
      <c r="E64" s="9">
        <f t="shared" si="17"/>
        <v>6198338656</v>
      </c>
    </row>
    <row r="65">
      <c r="A65" s="17">
        <v>-5000.0</v>
      </c>
      <c r="B65" s="14">
        <f t="shared" si="14"/>
        <v>-106157.1125</v>
      </c>
      <c r="C65" s="9">
        <f t="shared" si="15"/>
        <v>74964.18908</v>
      </c>
      <c r="D65" s="14">
        <f t="shared" si="16"/>
        <v>181121.3016</v>
      </c>
      <c r="E65" s="9">
        <f t="shared" si="17"/>
        <v>5176664278</v>
      </c>
    </row>
    <row r="66">
      <c r="A66" s="16">
        <v>0.0</v>
      </c>
      <c r="B66" s="14">
        <f t="shared" si="14"/>
        <v>0</v>
      </c>
      <c r="C66" s="9">
        <f t="shared" si="15"/>
        <v>74964.18908</v>
      </c>
      <c r="D66" s="14">
        <f t="shared" si="16"/>
        <v>74964.18908</v>
      </c>
      <c r="E66" s="9">
        <f t="shared" si="17"/>
        <v>3895677605</v>
      </c>
    </row>
    <row r="67">
      <c r="A67" s="17">
        <v>5000.0</v>
      </c>
      <c r="B67" s="14">
        <f t="shared" si="14"/>
        <v>106157.1125</v>
      </c>
      <c r="C67" s="9">
        <f t="shared" si="15"/>
        <v>74964.18908</v>
      </c>
      <c r="D67" s="14">
        <f t="shared" si="16"/>
        <v>-31192.92344</v>
      </c>
      <c r="E67" s="9">
        <f t="shared" si="17"/>
        <v>1885405780</v>
      </c>
    </row>
    <row r="68">
      <c r="A68" s="16">
        <v>10000.0</v>
      </c>
      <c r="B68" s="14">
        <f t="shared" si="14"/>
        <v>212314.2251</v>
      </c>
      <c r="C68" s="9">
        <f t="shared" si="15"/>
        <v>74964.18908</v>
      </c>
      <c r="D68" s="14">
        <f t="shared" si="16"/>
        <v>-137350.036</v>
      </c>
      <c r="E68" s="9" t="str">
        <f>35*10^9*SQRT(0.08*(0.08+D68*4*3.1415*10^-7))</f>
        <v>#NUM!</v>
      </c>
      <c r="F68" s="9" t="str">
        <f t="shared" ref="F68:F76" si="18">E68*18328323832</f>
        <v>#NUM!</v>
      </c>
    </row>
    <row r="69">
      <c r="A69" s="17">
        <v>15000.0</v>
      </c>
      <c r="B69" s="14">
        <f t="shared" si="14"/>
        <v>318471.3376</v>
      </c>
      <c r="C69" s="9">
        <f t="shared" si="15"/>
        <v>74964.18908</v>
      </c>
      <c r="D69" s="14">
        <f t="shared" si="16"/>
        <v>-243507.1485</v>
      </c>
      <c r="E69" s="9" t="str">
        <f t="shared" ref="E69:E76" si="19">1.76*10^11*SQRT(0.08*(0.08+D69*4*3.1415*10^-7))/2*3.1415</f>
        <v>#NUM!</v>
      </c>
      <c r="F69" s="9" t="str">
        <f t="shared" si="18"/>
        <v>#NUM!</v>
      </c>
    </row>
    <row r="70">
      <c r="A70" s="16">
        <v>20000.0</v>
      </c>
      <c r="B70" s="14">
        <f t="shared" si="14"/>
        <v>424628.4501</v>
      </c>
      <c r="C70" s="9">
        <f t="shared" si="15"/>
        <v>74964.18908</v>
      </c>
      <c r="D70" s="14">
        <f t="shared" si="16"/>
        <v>-349664.261</v>
      </c>
      <c r="E70" s="9" t="str">
        <f t="shared" si="19"/>
        <v>#NUM!</v>
      </c>
      <c r="F70" s="9" t="str">
        <f t="shared" si="18"/>
        <v>#NUM!</v>
      </c>
    </row>
    <row r="71">
      <c r="A71" s="17">
        <v>25000.0</v>
      </c>
      <c r="B71" s="14">
        <f t="shared" si="14"/>
        <v>530785.5626</v>
      </c>
      <c r="C71" s="9">
        <f t="shared" si="15"/>
        <v>74964.18908</v>
      </c>
      <c r="D71" s="14">
        <f t="shared" si="16"/>
        <v>-455821.3736</v>
      </c>
      <c r="E71" s="9" t="str">
        <f t="shared" si="19"/>
        <v>#NUM!</v>
      </c>
      <c r="F71" s="9" t="str">
        <f t="shared" si="18"/>
        <v>#NUM!</v>
      </c>
    </row>
    <row r="72">
      <c r="A72" s="16">
        <v>30000.0</v>
      </c>
      <c r="B72" s="14">
        <f t="shared" si="14"/>
        <v>636942.6752</v>
      </c>
      <c r="C72" s="9">
        <f t="shared" si="15"/>
        <v>74964.18908</v>
      </c>
      <c r="D72" s="14">
        <f t="shared" si="16"/>
        <v>-561978.4861</v>
      </c>
      <c r="E72" s="9" t="str">
        <f t="shared" si="19"/>
        <v>#NUM!</v>
      </c>
      <c r="F72" s="9" t="str">
        <f t="shared" si="18"/>
        <v>#NUM!</v>
      </c>
    </row>
    <row r="73">
      <c r="A73" s="17">
        <v>35000.0</v>
      </c>
      <c r="B73" s="14">
        <f t="shared" si="14"/>
        <v>743099.7877</v>
      </c>
      <c r="C73" s="9">
        <f t="shared" si="15"/>
        <v>74964.18908</v>
      </c>
      <c r="D73" s="14">
        <f t="shared" si="16"/>
        <v>-668135.5986</v>
      </c>
      <c r="E73" s="9" t="str">
        <f t="shared" si="19"/>
        <v>#NUM!</v>
      </c>
      <c r="F73" s="9" t="str">
        <f t="shared" si="18"/>
        <v>#NUM!</v>
      </c>
    </row>
    <row r="74">
      <c r="A74" s="16">
        <v>40000.0</v>
      </c>
      <c r="B74" s="14">
        <f t="shared" si="14"/>
        <v>849256.9002</v>
      </c>
      <c r="C74" s="9">
        <f t="shared" si="15"/>
        <v>74964.18908</v>
      </c>
      <c r="D74" s="14">
        <f t="shared" si="16"/>
        <v>-774292.7111</v>
      </c>
      <c r="E74" s="9" t="str">
        <f t="shared" si="19"/>
        <v>#NUM!</v>
      </c>
      <c r="F74" s="9" t="str">
        <f t="shared" si="18"/>
        <v>#NUM!</v>
      </c>
    </row>
    <row r="75">
      <c r="A75" s="17">
        <v>45000.0</v>
      </c>
      <c r="B75" s="14">
        <f t="shared" si="14"/>
        <v>955414.0127</v>
      </c>
      <c r="C75" s="9">
        <f t="shared" si="15"/>
        <v>74964.18908</v>
      </c>
      <c r="D75" s="14">
        <f t="shared" si="16"/>
        <v>-880449.8237</v>
      </c>
      <c r="E75" s="9" t="str">
        <f t="shared" si="19"/>
        <v>#NUM!</v>
      </c>
      <c r="F75" s="9" t="str">
        <f t="shared" si="18"/>
        <v>#NUM!</v>
      </c>
    </row>
    <row r="76">
      <c r="A76" s="16">
        <v>50000.0</v>
      </c>
      <c r="B76" s="14">
        <f t="shared" si="14"/>
        <v>1061571.125</v>
      </c>
      <c r="C76" s="9">
        <f t="shared" si="15"/>
        <v>74964.18908</v>
      </c>
      <c r="D76" s="14">
        <f t="shared" si="16"/>
        <v>-986606.9362</v>
      </c>
      <c r="E76" s="9" t="str">
        <f t="shared" si="19"/>
        <v>#NUM!</v>
      </c>
      <c r="F76" s="9" t="str">
        <f t="shared" si="18"/>
        <v>#NUM!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  <col customWidth="1" min="2" max="2" width="36.0"/>
    <col customWidth="1" min="4" max="4" width="15.0"/>
    <col customWidth="1" min="7" max="7" width="20.13"/>
    <col customWidth="1" min="8" max="8" width="27.75"/>
  </cols>
  <sheetData>
    <row r="1">
      <c r="A1" s="1" t="s">
        <v>2</v>
      </c>
    </row>
    <row r="2">
      <c r="A2" s="1" t="s">
        <v>3</v>
      </c>
    </row>
    <row r="3">
      <c r="A3" s="1" t="s">
        <v>71</v>
      </c>
    </row>
    <row r="4">
      <c r="A4" s="1" t="s">
        <v>5</v>
      </c>
    </row>
    <row r="5">
      <c r="A5" s="1" t="s">
        <v>6</v>
      </c>
    </row>
    <row r="6">
      <c r="A6" s="17" t="s">
        <v>72</v>
      </c>
    </row>
    <row r="8">
      <c r="A8" s="1" t="s">
        <v>73</v>
      </c>
      <c r="D8" s="1" t="s">
        <v>74</v>
      </c>
      <c r="G8" s="1" t="s">
        <v>75</v>
      </c>
    </row>
    <row r="9">
      <c r="A9" s="3" t="s">
        <v>76</v>
      </c>
      <c r="B9" s="4" t="s">
        <v>77</v>
      </c>
      <c r="C9" s="1" t="s">
        <v>78</v>
      </c>
      <c r="D9" s="1" t="s">
        <v>79</v>
      </c>
      <c r="E9" s="1" t="s">
        <v>80</v>
      </c>
      <c r="F9" s="1" t="s">
        <v>81</v>
      </c>
      <c r="G9" s="1" t="s">
        <v>79</v>
      </c>
      <c r="H9" s="1" t="s">
        <v>82</v>
      </c>
    </row>
    <row r="10">
      <c r="A10" s="1">
        <v>0.02</v>
      </c>
      <c r="B10" s="1">
        <v>48.0</v>
      </c>
      <c r="C10" s="9">
        <f t="shared" ref="C10:C21" si="1">1.2*B10</f>
        <v>57.6</v>
      </c>
      <c r="D10" s="1">
        <v>38.1075</v>
      </c>
      <c r="E10" s="1">
        <v>3.4916</v>
      </c>
      <c r="F10" s="1">
        <v>0.0141</v>
      </c>
      <c r="G10" s="1">
        <v>123.0</v>
      </c>
      <c r="H10" s="9">
        <f t="shared" ref="H10:H21" si="2">B10/30</f>
        <v>1.6</v>
      </c>
      <c r="I10" s="1" t="s">
        <v>83</v>
      </c>
    </row>
    <row r="11">
      <c r="A11" s="1">
        <v>0.04</v>
      </c>
      <c r="B11" s="1">
        <v>49.5</v>
      </c>
      <c r="C11" s="9">
        <f t="shared" si="1"/>
        <v>59.4</v>
      </c>
      <c r="D11" s="1">
        <v>19.0844</v>
      </c>
      <c r="E11" s="1">
        <v>4.6283</v>
      </c>
      <c r="F11" s="1">
        <v>0.1067</v>
      </c>
      <c r="G11" s="1">
        <v>35.6</v>
      </c>
      <c r="H11" s="9">
        <f t="shared" si="2"/>
        <v>1.65</v>
      </c>
    </row>
    <row r="12">
      <c r="A12" s="1">
        <v>0.06</v>
      </c>
      <c r="B12" s="1">
        <v>50.5</v>
      </c>
      <c r="C12" s="9">
        <f t="shared" si="1"/>
        <v>60.6</v>
      </c>
      <c r="D12" s="1">
        <v>16.7327</v>
      </c>
      <c r="E12" s="1">
        <v>5.3618</v>
      </c>
      <c r="F12" s="1">
        <v>0.2145</v>
      </c>
      <c r="G12" s="1">
        <v>30.1</v>
      </c>
      <c r="H12" s="9">
        <f t="shared" si="2"/>
        <v>1.683333333</v>
      </c>
    </row>
    <row r="13">
      <c r="A13" s="1">
        <v>0.08</v>
      </c>
      <c r="B13" s="1">
        <v>46.2</v>
      </c>
      <c r="C13" s="9">
        <f t="shared" si="1"/>
        <v>55.44</v>
      </c>
      <c r="D13" s="1">
        <v>22.8532</v>
      </c>
      <c r="E13" s="1">
        <v>6.1942</v>
      </c>
      <c r="F13" s="1">
        <v>0.1009</v>
      </c>
      <c r="G13" s="1">
        <v>43.8</v>
      </c>
      <c r="H13" s="9">
        <f t="shared" si="2"/>
        <v>1.54</v>
      </c>
    </row>
    <row r="14">
      <c r="A14" s="1">
        <v>0.1</v>
      </c>
      <c r="B14" s="1">
        <v>44.5</v>
      </c>
      <c r="C14" s="9">
        <f t="shared" si="1"/>
        <v>53.4</v>
      </c>
      <c r="D14" s="1">
        <v>16.04</v>
      </c>
      <c r="E14" s="1">
        <v>7.0334</v>
      </c>
      <c r="F14" s="1">
        <v>0.1476</v>
      </c>
      <c r="G14" s="1">
        <v>38.2</v>
      </c>
      <c r="H14" s="9">
        <f t="shared" si="2"/>
        <v>1.483333333</v>
      </c>
    </row>
    <row r="15">
      <c r="A15" s="1">
        <v>0.13</v>
      </c>
      <c r="B15" s="1">
        <v>43.0</v>
      </c>
      <c r="C15" s="9">
        <f t="shared" si="1"/>
        <v>51.6</v>
      </c>
      <c r="D15" s="1">
        <v>13.2864</v>
      </c>
      <c r="E15" s="1">
        <v>8.1939</v>
      </c>
      <c r="F15" s="1">
        <v>0.1981</v>
      </c>
      <c r="G15" s="1">
        <v>41.0</v>
      </c>
      <c r="H15" s="9">
        <f t="shared" si="2"/>
        <v>1.433333333</v>
      </c>
    </row>
    <row r="16">
      <c r="A16" s="1">
        <v>0.2</v>
      </c>
      <c r="B16" s="1">
        <v>44.0</v>
      </c>
      <c r="C16" s="9">
        <f t="shared" si="1"/>
        <v>52.8</v>
      </c>
      <c r="D16" s="1">
        <v>10.5512</v>
      </c>
      <c r="E16" s="1">
        <v>10.6829</v>
      </c>
      <c r="F16" s="1">
        <v>0.1889</v>
      </c>
      <c r="G16" s="1">
        <v>23.2</v>
      </c>
      <c r="H16" s="9">
        <f t="shared" si="2"/>
        <v>1.466666667</v>
      </c>
    </row>
    <row r="17">
      <c r="A17" s="1">
        <v>0.3</v>
      </c>
      <c r="B17" s="1">
        <v>48.5</v>
      </c>
      <c r="C17" s="9">
        <f t="shared" si="1"/>
        <v>58.2</v>
      </c>
      <c r="D17" s="1">
        <v>6.42</v>
      </c>
      <c r="E17" s="1">
        <v>13.8426</v>
      </c>
      <c r="F17" s="1">
        <v>0.4784</v>
      </c>
      <c r="G17" s="1">
        <v>37.0</v>
      </c>
      <c r="H17" s="9">
        <f t="shared" si="2"/>
        <v>1.616666667</v>
      </c>
    </row>
    <row r="18">
      <c r="A18" s="1">
        <v>0.4</v>
      </c>
      <c r="B18" s="1">
        <v>54.5</v>
      </c>
      <c r="C18" s="9">
        <f t="shared" si="1"/>
        <v>65.4</v>
      </c>
      <c r="D18" s="1">
        <v>4.4531</v>
      </c>
      <c r="E18" s="1">
        <v>15.5631</v>
      </c>
      <c r="F18" s="1">
        <v>0.3932</v>
      </c>
      <c r="G18" s="1">
        <v>10.6</v>
      </c>
      <c r="H18" s="9">
        <f t="shared" si="2"/>
        <v>1.816666667</v>
      </c>
    </row>
    <row r="19">
      <c r="A19" s="1">
        <v>0.6</v>
      </c>
      <c r="B19" s="1">
        <v>69.6</v>
      </c>
      <c r="C19" s="9">
        <f t="shared" si="1"/>
        <v>83.52</v>
      </c>
      <c r="D19" s="1">
        <v>4.9266</v>
      </c>
      <c r="E19" s="1">
        <v>19.8305</v>
      </c>
      <c r="F19" s="1">
        <v>0.4471</v>
      </c>
      <c r="G19" s="1">
        <v>11.44</v>
      </c>
      <c r="H19" s="9">
        <f t="shared" si="2"/>
        <v>2.32</v>
      </c>
    </row>
    <row r="20">
      <c r="A20" s="1">
        <v>0.8</v>
      </c>
      <c r="B20" s="1">
        <v>83.0</v>
      </c>
      <c r="C20" s="9">
        <f t="shared" si="1"/>
        <v>99.6</v>
      </c>
      <c r="D20" s="1">
        <v>4.488</v>
      </c>
      <c r="E20" s="1">
        <v>25.25</v>
      </c>
      <c r="F20" s="1">
        <v>0.5385</v>
      </c>
      <c r="G20" s="1">
        <v>13.059</v>
      </c>
      <c r="H20" s="9">
        <f t="shared" si="2"/>
        <v>2.766666667</v>
      </c>
    </row>
    <row r="21">
      <c r="A21" s="1">
        <v>1.2</v>
      </c>
      <c r="B21" s="1">
        <v>111.6</v>
      </c>
      <c r="C21" s="9">
        <f t="shared" si="1"/>
        <v>133.92</v>
      </c>
      <c r="D21" s="1">
        <v>4.5005</v>
      </c>
      <c r="E21" s="1">
        <v>35.5356</v>
      </c>
      <c r="F21" s="1">
        <v>0.588</v>
      </c>
      <c r="G21" s="1">
        <v>15.4</v>
      </c>
      <c r="H21" s="9">
        <f t="shared" si="2"/>
        <v>3.72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  <col customWidth="1" min="2" max="2" width="36.0"/>
  </cols>
  <sheetData>
    <row r="1">
      <c r="A1" s="28" t="s">
        <v>84</v>
      </c>
    </row>
    <row r="2">
      <c r="A2" s="1" t="s">
        <v>2</v>
      </c>
    </row>
    <row r="3">
      <c r="A3" s="1" t="s">
        <v>3</v>
      </c>
    </row>
    <row r="4">
      <c r="A4" s="1" t="s">
        <v>71</v>
      </c>
    </row>
    <row r="5">
      <c r="A5" s="1" t="s">
        <v>5</v>
      </c>
    </row>
    <row r="6">
      <c r="A6" s="1" t="s">
        <v>85</v>
      </c>
    </row>
    <row r="7">
      <c r="A7" s="17"/>
    </row>
    <row r="9">
      <c r="A9" s="1" t="s">
        <v>73</v>
      </c>
    </row>
    <row r="10">
      <c r="A10" s="3" t="s">
        <v>86</v>
      </c>
      <c r="B10" s="4" t="s">
        <v>87</v>
      </c>
    </row>
    <row r="11">
      <c r="A11" s="29">
        <v>0.01</v>
      </c>
      <c r="B11" s="30">
        <v>4.5</v>
      </c>
    </row>
    <row r="12">
      <c r="A12" s="29">
        <v>0.005</v>
      </c>
      <c r="B12" s="1">
        <v>4.5</v>
      </c>
    </row>
    <row r="13">
      <c r="A13" s="29">
        <v>0.001</v>
      </c>
      <c r="B13" s="1">
        <v>3.0</v>
      </c>
    </row>
    <row r="14">
      <c r="A14" s="29">
        <v>5.0E-4</v>
      </c>
      <c r="B14" s="1">
        <v>3.0</v>
      </c>
    </row>
    <row r="15">
      <c r="A15" s="29">
        <v>2.0E-4</v>
      </c>
      <c r="B15" s="1">
        <v>2.5</v>
      </c>
    </row>
    <row r="16">
      <c r="A16" s="29">
        <v>1.0E-4</v>
      </c>
      <c r="B16" s="1">
        <v>2.5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38"/>
    <col customWidth="1" min="7" max="7" width="27.0"/>
  </cols>
  <sheetData>
    <row r="1">
      <c r="A1" s="1" t="s">
        <v>0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  <row r="6">
      <c r="A6" s="1" t="s">
        <v>6</v>
      </c>
    </row>
    <row r="7">
      <c r="A7" s="1" t="s">
        <v>71</v>
      </c>
    </row>
    <row r="10">
      <c r="A10" s="3" t="s">
        <v>7</v>
      </c>
    </row>
    <row r="11">
      <c r="A11" s="4" t="s">
        <v>88</v>
      </c>
      <c r="B11" s="4" t="s">
        <v>89</v>
      </c>
      <c r="C11" s="5" t="s">
        <v>90</v>
      </c>
      <c r="D11" s="5" t="s">
        <v>27</v>
      </c>
      <c r="E11" s="5" t="s">
        <v>28</v>
      </c>
      <c r="F11" s="5" t="s">
        <v>91</v>
      </c>
      <c r="G11" s="1" t="s">
        <v>92</v>
      </c>
    </row>
    <row r="12">
      <c r="A12" s="13">
        <v>0.0</v>
      </c>
      <c r="B12" s="1">
        <v>46.5</v>
      </c>
      <c r="C12" s="9">
        <f t="shared" ref="C12:C17" si="1">B12/3</f>
        <v>15.5</v>
      </c>
      <c r="D12" s="1">
        <v>6.9203</v>
      </c>
      <c r="E12" s="1">
        <v>0.2981</v>
      </c>
      <c r="F12" s="1">
        <v>0.8583</v>
      </c>
      <c r="G12" s="9">
        <f t="shared" ref="G12:G17" si="2">B12/30</f>
        <v>1.55</v>
      </c>
    </row>
    <row r="13">
      <c r="A13" s="13">
        <v>0.1</v>
      </c>
      <c r="B13" s="1">
        <v>46.5</v>
      </c>
      <c r="C13" s="9">
        <f t="shared" si="1"/>
        <v>15.5</v>
      </c>
      <c r="D13" s="1">
        <v>6.4395</v>
      </c>
      <c r="E13" s="1">
        <v>5.9243</v>
      </c>
      <c r="F13" s="1">
        <v>0.3824</v>
      </c>
      <c r="G13" s="9">
        <f t="shared" si="2"/>
        <v>1.55</v>
      </c>
    </row>
    <row r="14">
      <c r="A14" s="13">
        <v>0.25</v>
      </c>
      <c r="B14" s="1">
        <v>46.5</v>
      </c>
      <c r="C14" s="9">
        <f t="shared" si="1"/>
        <v>15.5</v>
      </c>
      <c r="D14" s="1">
        <v>6.4711</v>
      </c>
      <c r="E14" s="1">
        <v>7.6728</v>
      </c>
      <c r="F14" s="1">
        <v>0.2478</v>
      </c>
      <c r="G14" s="9">
        <f t="shared" si="2"/>
        <v>1.55</v>
      </c>
    </row>
    <row r="15">
      <c r="A15" s="13">
        <v>0.5</v>
      </c>
      <c r="B15" s="1">
        <v>46.5</v>
      </c>
      <c r="C15" s="9">
        <f t="shared" si="1"/>
        <v>15.5</v>
      </c>
      <c r="D15" s="1">
        <v>6.494</v>
      </c>
      <c r="E15" s="1">
        <v>6.862</v>
      </c>
      <c r="F15" s="1">
        <v>0.2523</v>
      </c>
      <c r="G15" s="9">
        <f t="shared" si="2"/>
        <v>1.55</v>
      </c>
    </row>
    <row r="16">
      <c r="A16" s="13">
        <v>0.7</v>
      </c>
      <c r="B16" s="1">
        <v>46.5</v>
      </c>
      <c r="C16" s="9">
        <f t="shared" si="1"/>
        <v>15.5</v>
      </c>
      <c r="D16" s="1">
        <v>6.4907</v>
      </c>
      <c r="E16" s="1">
        <v>8.6567</v>
      </c>
      <c r="F16" s="1">
        <v>0.2306</v>
      </c>
      <c r="G16" s="9">
        <f t="shared" si="2"/>
        <v>1.55</v>
      </c>
    </row>
    <row r="17">
      <c r="A17" s="13">
        <v>1.0</v>
      </c>
      <c r="B17" s="1">
        <v>46.5</v>
      </c>
      <c r="C17" s="9">
        <f t="shared" si="1"/>
        <v>15.5</v>
      </c>
      <c r="D17" s="1">
        <v>6.4989</v>
      </c>
      <c r="E17" s="1">
        <v>6.7667</v>
      </c>
      <c r="F17" s="1">
        <v>0.194</v>
      </c>
      <c r="G17" s="9">
        <f t="shared" si="2"/>
        <v>1.55</v>
      </c>
    </row>
    <row r="18">
      <c r="A18" s="13"/>
    </row>
    <row r="19">
      <c r="A19" s="31"/>
    </row>
    <row r="20">
      <c r="A20" s="31"/>
    </row>
    <row r="21">
      <c r="A21" s="31"/>
    </row>
    <row r="22">
      <c r="A22" s="31"/>
    </row>
    <row r="23">
      <c r="A23" s="31"/>
    </row>
    <row r="24">
      <c r="A24" s="31"/>
    </row>
    <row r="25">
      <c r="A25" s="31"/>
    </row>
    <row r="26">
      <c r="A26" s="31"/>
    </row>
    <row r="27">
      <c r="A27" s="31"/>
    </row>
    <row r="28">
      <c r="A28" s="3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  <col customWidth="1" min="2" max="2" width="34.25"/>
    <col customWidth="1" min="3" max="3" width="13.5"/>
    <col customWidth="1" min="4" max="4" width="36.0"/>
    <col customWidth="1" min="5" max="5" width="8.75"/>
    <col customWidth="1" min="6" max="6" width="12.88"/>
    <col customWidth="1" min="7" max="7" width="20.88"/>
  </cols>
  <sheetData>
    <row r="1">
      <c r="A1" s="1" t="s">
        <v>93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  <row r="6">
      <c r="A6" s="32" t="s">
        <v>94</v>
      </c>
    </row>
    <row r="7">
      <c r="A7" s="3" t="s">
        <v>7</v>
      </c>
    </row>
    <row r="8">
      <c r="A8" s="4">
        <v>8.0</v>
      </c>
      <c r="B8" s="4" t="s">
        <v>95</v>
      </c>
      <c r="C8" s="5" t="s">
        <v>96</v>
      </c>
      <c r="D8" s="5" t="s">
        <v>97</v>
      </c>
      <c r="E8" s="5" t="s">
        <v>98</v>
      </c>
      <c r="F8" s="5" t="s">
        <v>99</v>
      </c>
      <c r="G8" s="5" t="s">
        <v>100</v>
      </c>
      <c r="H8" s="1" t="s">
        <v>101</v>
      </c>
      <c r="I8" s="1" t="s">
        <v>102</v>
      </c>
    </row>
    <row r="9">
      <c r="A9" s="1">
        <v>40.0</v>
      </c>
      <c r="F9" s="1">
        <v>161.0</v>
      </c>
      <c r="G9" s="1">
        <v>89.4</v>
      </c>
      <c r="H9" s="9">
        <f t="shared" ref="H9:H17" si="1">(0.0000942*A9/5+0.02808)*(0.84+0.088*A9/5)/(1.08+A9*0.0942/5)*3500</f>
        <v>84.97860733</v>
      </c>
      <c r="I9" s="9">
        <f t="shared" ref="I9:I17" si="2">G9/50</f>
        <v>1.788</v>
      </c>
    </row>
    <row r="10">
      <c r="A10" s="1">
        <v>35.0</v>
      </c>
      <c r="E10" s="1">
        <v>144.0</v>
      </c>
      <c r="G10" s="1">
        <v>90.0</v>
      </c>
      <c r="H10" s="9">
        <f t="shared" si="1"/>
        <v>84.19913901</v>
      </c>
      <c r="I10" s="9">
        <f t="shared" si="2"/>
        <v>1.8</v>
      </c>
    </row>
    <row r="11">
      <c r="A11" s="1">
        <v>30.0</v>
      </c>
      <c r="D11" s="1">
        <v>125.0</v>
      </c>
      <c r="E11" s="1"/>
      <c r="G11" s="1">
        <v>89.2</v>
      </c>
      <c r="H11" s="9">
        <f t="shared" si="1"/>
        <v>83.36568053</v>
      </c>
      <c r="I11" s="9">
        <f t="shared" si="2"/>
        <v>1.784</v>
      </c>
    </row>
    <row r="12">
      <c r="A12" s="1">
        <v>25.0</v>
      </c>
      <c r="C12" s="1">
        <v>103.0</v>
      </c>
      <c r="G12" s="1">
        <v>85.8</v>
      </c>
      <c r="H12" s="9">
        <f t="shared" si="1"/>
        <v>82.46839458</v>
      </c>
      <c r="I12" s="9">
        <f t="shared" si="2"/>
        <v>1.716</v>
      </c>
    </row>
    <row r="13">
      <c r="A13" s="1">
        <v>20.0</v>
      </c>
      <c r="B13" s="1">
        <v>83.0</v>
      </c>
      <c r="C13" s="1"/>
      <c r="G13" s="1">
        <v>83.0</v>
      </c>
      <c r="H13" s="9">
        <f t="shared" si="1"/>
        <v>81.49489951</v>
      </c>
      <c r="I13" s="9">
        <f t="shared" si="2"/>
        <v>1.66</v>
      </c>
    </row>
    <row r="14">
      <c r="A14" s="1">
        <v>15.0</v>
      </c>
      <c r="B14" s="1">
        <v>80.5</v>
      </c>
      <c r="C14" s="1"/>
      <c r="G14" s="1">
        <v>80.5</v>
      </c>
      <c r="H14" s="9">
        <f t="shared" si="1"/>
        <v>80.4293897</v>
      </c>
      <c r="I14" s="9">
        <f t="shared" si="2"/>
        <v>1.61</v>
      </c>
    </row>
    <row r="15">
      <c r="A15" s="1">
        <v>10.0</v>
      </c>
      <c r="B15" s="1">
        <v>77.0</v>
      </c>
      <c r="C15" s="1"/>
      <c r="G15" s="1">
        <v>77.0</v>
      </c>
      <c r="H15" s="9">
        <f t="shared" si="1"/>
        <v>79.25136424</v>
      </c>
      <c r="I15" s="9">
        <f t="shared" si="2"/>
        <v>1.54</v>
      </c>
    </row>
    <row r="16">
      <c r="A16" s="1">
        <v>5.0</v>
      </c>
      <c r="B16" s="1">
        <v>73.5</v>
      </c>
      <c r="C16" s="1"/>
      <c r="G16" s="1">
        <v>73.5</v>
      </c>
      <c r="H16" s="9">
        <f t="shared" si="1"/>
        <v>77.93374348</v>
      </c>
      <c r="I16" s="9">
        <f t="shared" si="2"/>
        <v>1.47</v>
      </c>
    </row>
    <row r="17">
      <c r="A17" s="1">
        <v>0.0</v>
      </c>
      <c r="B17" s="1">
        <v>68.0</v>
      </c>
      <c r="C17" s="1"/>
      <c r="G17" s="1">
        <v>68.0</v>
      </c>
      <c r="H17" s="9">
        <f t="shared" si="1"/>
        <v>76.44</v>
      </c>
      <c r="I17" s="9">
        <f t="shared" si="2"/>
        <v>1.36</v>
      </c>
    </row>
    <row r="21">
      <c r="A21" s="3" t="s">
        <v>13</v>
      </c>
    </row>
    <row r="23">
      <c r="A23" s="1">
        <v>40.0</v>
      </c>
      <c r="F23" s="1">
        <v>220.0</v>
      </c>
      <c r="G23" s="1">
        <v>122.2</v>
      </c>
    </row>
    <row r="24">
      <c r="A24" s="1">
        <v>35.0</v>
      </c>
      <c r="G24" s="1">
        <v>122.5</v>
      </c>
    </row>
    <row r="25">
      <c r="A25" s="1">
        <v>30.0</v>
      </c>
      <c r="D25" s="1">
        <v>172.0</v>
      </c>
      <c r="E25" s="1"/>
      <c r="G25" s="1">
        <v>123.0</v>
      </c>
    </row>
    <row r="26">
      <c r="A26" s="1">
        <v>25.0</v>
      </c>
      <c r="D26" s="1">
        <v>171.0</v>
      </c>
      <c r="E26" s="1"/>
      <c r="G26" s="1">
        <v>122.0</v>
      </c>
    </row>
    <row r="27">
      <c r="A27" s="1">
        <v>20.0</v>
      </c>
      <c r="B27" s="1">
        <v>121.0</v>
      </c>
      <c r="C27" s="1"/>
      <c r="D27" s="1">
        <v>169.0</v>
      </c>
      <c r="E27" s="1"/>
      <c r="G27" s="1">
        <v>120.7</v>
      </c>
    </row>
    <row r="28">
      <c r="A28" s="1">
        <v>15.0</v>
      </c>
      <c r="B28" s="1">
        <v>120.0</v>
      </c>
      <c r="C28" s="1"/>
      <c r="G28" s="1">
        <v>120.0</v>
      </c>
    </row>
    <row r="29">
      <c r="A29" s="1">
        <v>10.0</v>
      </c>
      <c r="B29" s="1">
        <v>117.0</v>
      </c>
      <c r="C29" s="1"/>
      <c r="D29" s="1">
        <v>164.0</v>
      </c>
      <c r="E29" s="1"/>
      <c r="G29" s="1">
        <v>117.0</v>
      </c>
    </row>
    <row r="30">
      <c r="A30" s="1">
        <v>5.0</v>
      </c>
      <c r="B30" s="1">
        <v>112.0</v>
      </c>
      <c r="C30" s="1"/>
      <c r="G30" s="1">
        <v>112.0</v>
      </c>
    </row>
    <row r="31">
      <c r="A31" s="1">
        <v>0.0</v>
      </c>
      <c r="B31" s="1">
        <v>107.0</v>
      </c>
      <c r="C31" s="1"/>
      <c r="G31" s="1">
        <v>107.0</v>
      </c>
    </row>
    <row r="35">
      <c r="A35" s="3" t="s">
        <v>14</v>
      </c>
    </row>
    <row r="37">
      <c r="A37" s="1">
        <v>40.0</v>
      </c>
      <c r="F37" s="1">
        <v>360.0</v>
      </c>
      <c r="G37" s="1">
        <v>200.0</v>
      </c>
    </row>
    <row r="38">
      <c r="A38" s="1">
        <v>35.0</v>
      </c>
    </row>
    <row r="39">
      <c r="A39" s="1">
        <v>30.0</v>
      </c>
      <c r="D39" s="1">
        <v>270.0</v>
      </c>
      <c r="G39" s="1">
        <v>192.8</v>
      </c>
    </row>
    <row r="40">
      <c r="A40" s="1">
        <v>25.0</v>
      </c>
    </row>
    <row r="41">
      <c r="A41" s="1">
        <v>20.0</v>
      </c>
      <c r="B41" s="1">
        <v>190.0</v>
      </c>
      <c r="G41" s="1">
        <v>190.0</v>
      </c>
    </row>
    <row r="42">
      <c r="A42" s="1">
        <v>15.0</v>
      </c>
    </row>
    <row r="43">
      <c r="A43" s="1">
        <v>10.0</v>
      </c>
      <c r="B43" s="1">
        <v>187.0</v>
      </c>
      <c r="G43" s="1">
        <v>187.0</v>
      </c>
    </row>
    <row r="44">
      <c r="A44" s="1">
        <v>5.0</v>
      </c>
    </row>
    <row r="45">
      <c r="A45" s="1">
        <v>0.0</v>
      </c>
      <c r="G45" s="1">
        <v>177.0</v>
      </c>
    </row>
    <row r="50">
      <c r="A50" s="3" t="s">
        <v>7</v>
      </c>
      <c r="H50" s="1" t="s">
        <v>103</v>
      </c>
    </row>
    <row r="51">
      <c r="A51" s="4">
        <v>8.0</v>
      </c>
      <c r="B51" s="1" t="s">
        <v>104</v>
      </c>
      <c r="C51" s="1" t="s">
        <v>105</v>
      </c>
      <c r="D51" s="1" t="s">
        <v>106</v>
      </c>
      <c r="E51" s="1" t="s">
        <v>27</v>
      </c>
      <c r="F51" s="1" t="s">
        <v>107</v>
      </c>
      <c r="G51" s="1" t="s">
        <v>108</v>
      </c>
      <c r="H51" s="1" t="s">
        <v>109</v>
      </c>
      <c r="I51" s="1" t="s">
        <v>110</v>
      </c>
      <c r="J51" s="1" t="s">
        <v>111</v>
      </c>
      <c r="K51" s="1" t="s">
        <v>112</v>
      </c>
    </row>
    <row r="52">
      <c r="A52" s="1">
        <v>40.0</v>
      </c>
      <c r="B52" s="1">
        <v>161.0</v>
      </c>
      <c r="C52" s="9">
        <f t="shared" ref="C52:C60" si="3">B52*1.2</f>
        <v>193.2</v>
      </c>
      <c r="D52" s="1">
        <v>5.1913</v>
      </c>
      <c r="E52" s="1">
        <v>6.9902</v>
      </c>
      <c r="F52" s="1">
        <v>1.108</v>
      </c>
      <c r="G52" s="1">
        <v>7.5838</v>
      </c>
      <c r="H52" s="1">
        <v>5.1986</v>
      </c>
      <c r="I52" s="1">
        <v>0.1046</v>
      </c>
      <c r="J52" s="1">
        <v>1.108</v>
      </c>
      <c r="K52" s="1">
        <v>0.045</v>
      </c>
    </row>
    <row r="53">
      <c r="A53" s="1">
        <v>35.0</v>
      </c>
      <c r="B53" s="1">
        <v>144.0</v>
      </c>
      <c r="C53" s="9">
        <f t="shared" si="3"/>
        <v>172.8</v>
      </c>
      <c r="D53" s="1">
        <v>4.6035</v>
      </c>
      <c r="E53" s="1">
        <v>6.9516</v>
      </c>
      <c r="F53" s="1">
        <v>1.4508</v>
      </c>
      <c r="G53" s="1">
        <v>7.4279</v>
      </c>
      <c r="H53" s="1">
        <v>4.6986</v>
      </c>
      <c r="I53" s="1">
        <v>0.0637</v>
      </c>
      <c r="J53" s="1">
        <v>1.7172</v>
      </c>
      <c r="K53" s="1">
        <v>0.045</v>
      </c>
    </row>
    <row r="54">
      <c r="A54" s="1">
        <v>30.0</v>
      </c>
      <c r="B54" s="1">
        <v>125.0</v>
      </c>
      <c r="C54" s="9">
        <f t="shared" si="3"/>
        <v>150</v>
      </c>
      <c r="D54" s="1">
        <v>7.6669</v>
      </c>
      <c r="E54" s="1">
        <v>6.8434</v>
      </c>
      <c r="F54" s="1">
        <v>1.4061</v>
      </c>
      <c r="G54" s="1">
        <v>7.4683</v>
      </c>
      <c r="H54" s="1">
        <v>7.6916</v>
      </c>
      <c r="I54" s="1">
        <v>0.1002</v>
      </c>
      <c r="J54" s="1">
        <v>1.4936</v>
      </c>
      <c r="K54" s="1">
        <v>0.0578</v>
      </c>
    </row>
    <row r="55">
      <c r="A55" s="1">
        <v>25.0</v>
      </c>
      <c r="B55" s="1">
        <v>103.0</v>
      </c>
      <c r="C55" s="9">
        <f t="shared" si="3"/>
        <v>123.6</v>
      </c>
    </row>
    <row r="56">
      <c r="A56" s="1">
        <v>20.0</v>
      </c>
      <c r="B56" s="1">
        <v>83.0</v>
      </c>
      <c r="C56" s="9">
        <f t="shared" si="3"/>
        <v>99.6</v>
      </c>
      <c r="D56" s="1">
        <v>8.031</v>
      </c>
      <c r="E56" s="1">
        <v>6.7171</v>
      </c>
      <c r="F56" s="1">
        <v>1.8466</v>
      </c>
      <c r="G56" s="1">
        <v>7.328</v>
      </c>
      <c r="H56" s="1">
        <v>8.1796</v>
      </c>
      <c r="I56" s="1">
        <v>0.2025</v>
      </c>
      <c r="J56" s="1">
        <v>2.1961</v>
      </c>
      <c r="K56" s="1">
        <v>0.0624</v>
      </c>
    </row>
    <row r="57">
      <c r="A57" s="1">
        <v>15.0</v>
      </c>
      <c r="B57" s="1">
        <v>80.5</v>
      </c>
      <c r="C57" s="9">
        <f t="shared" si="3"/>
        <v>96.6</v>
      </c>
      <c r="D57" s="1">
        <v>9.4619</v>
      </c>
      <c r="E57" s="1">
        <v>6.6037</v>
      </c>
      <c r="F57" s="1">
        <v>2.4888</v>
      </c>
      <c r="G57" s="1">
        <v>7.3989</v>
      </c>
      <c r="H57" s="1">
        <v>9.8852</v>
      </c>
      <c r="I57" s="1">
        <v>0.2074</v>
      </c>
      <c r="J57" s="1">
        <v>2.5408</v>
      </c>
      <c r="K57" s="1">
        <v>0.0646</v>
      </c>
    </row>
    <row r="58">
      <c r="A58" s="1">
        <v>10.0</v>
      </c>
      <c r="B58" s="1">
        <v>77.0</v>
      </c>
      <c r="C58" s="9">
        <f t="shared" si="3"/>
        <v>92.4</v>
      </c>
      <c r="D58" s="1">
        <v>9.4251</v>
      </c>
      <c r="E58" s="1">
        <v>6.4966</v>
      </c>
      <c r="F58" s="1">
        <v>3.2683</v>
      </c>
      <c r="G58" s="1">
        <v>7.2182</v>
      </c>
      <c r="H58" s="1">
        <v>9.1207</v>
      </c>
      <c r="I58" s="1">
        <v>0.1423</v>
      </c>
      <c r="J58" s="1">
        <v>3.2499</v>
      </c>
      <c r="K58" s="1">
        <v>0.0551</v>
      </c>
    </row>
    <row r="59">
      <c r="A59" s="1">
        <v>5.0</v>
      </c>
      <c r="B59" s="1">
        <v>73.5</v>
      </c>
      <c r="C59" s="9">
        <f t="shared" si="3"/>
        <v>88.2</v>
      </c>
      <c r="D59" s="1">
        <v>8.7066</v>
      </c>
      <c r="E59" s="1">
        <v>6.3453</v>
      </c>
      <c r="F59" s="1">
        <v>4.6543</v>
      </c>
      <c r="G59" s="1">
        <v>7.1006</v>
      </c>
      <c r="H59" s="1">
        <v>11.0529</v>
      </c>
      <c r="I59" s="1">
        <v>0.2313</v>
      </c>
      <c r="J59" s="1">
        <v>4.6543</v>
      </c>
      <c r="K59" s="1">
        <v>0.0802</v>
      </c>
    </row>
    <row r="60">
      <c r="A60" s="1">
        <v>0.0</v>
      </c>
      <c r="B60" s="1">
        <v>68.0</v>
      </c>
      <c r="C60" s="9">
        <f t="shared" si="3"/>
        <v>81.6</v>
      </c>
      <c r="D60" s="1">
        <v>7.0579</v>
      </c>
      <c r="E60" s="1">
        <v>6.2974</v>
      </c>
      <c r="F60" s="1">
        <v>11.49</v>
      </c>
      <c r="G60" s="1">
        <v>7.048</v>
      </c>
      <c r="H60" s="1">
        <v>6.6701</v>
      </c>
      <c r="I60" s="32">
        <v>0.1884</v>
      </c>
      <c r="J60" s="1">
        <v>12.5072</v>
      </c>
      <c r="K60" s="1">
        <v>0.546</v>
      </c>
    </row>
  </sheetData>
  <drawing r:id="rId1"/>
</worksheet>
</file>