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robert_liu_chevron_com/Documents/Documents/"/>
    </mc:Choice>
  </mc:AlternateContent>
  <xr:revisionPtr revIDLastSave="368" documentId="8_{6EFE20DA-8C8F-4962-BCD5-FF44F7C3ED5A}" xr6:coauthVersionLast="41" xr6:coauthVersionMax="41" xr10:uidLastSave="{642C847B-8D19-4682-8208-FE15ACCDB7E3}"/>
  <bookViews>
    <workbookView xWindow="-120" yWindow="-120" windowWidth="29040" windowHeight="15840" activeTab="1" xr2:uid="{9DAA12C7-5268-46C2-9AFE-26597C052031}"/>
  </bookViews>
  <sheets>
    <sheet name="Tournament Win" sheetId="1" r:id="rId1"/>
    <sheet name="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2" l="1"/>
  <c r="AA20" i="2"/>
  <c r="AA19" i="2"/>
  <c r="AA18" i="2"/>
  <c r="AA17" i="2"/>
  <c r="AA16" i="2"/>
  <c r="T23" i="2"/>
  <c r="U23" i="2"/>
  <c r="T24" i="2"/>
  <c r="U24" i="2"/>
  <c r="T25" i="2"/>
  <c r="U25" i="2"/>
  <c r="S25" i="2"/>
  <c r="R25" i="2"/>
  <c r="S24" i="2"/>
  <c r="R24" i="2"/>
  <c r="S23" i="2"/>
  <c r="R23" i="2"/>
  <c r="AF21" i="2"/>
  <c r="AG21" i="2" s="1"/>
  <c r="AH21" i="2" s="1"/>
  <c r="AC21" i="2"/>
  <c r="AB21" i="2"/>
  <c r="AF20" i="2"/>
  <c r="AG20" i="2" s="1"/>
  <c r="AH20" i="2" s="1"/>
  <c r="AC20" i="2"/>
  <c r="AB20" i="2"/>
  <c r="AF19" i="2"/>
  <c r="AG19" i="2" s="1"/>
  <c r="AH19" i="2" s="1"/>
  <c r="AC19" i="2"/>
  <c r="AB19" i="2"/>
  <c r="AG18" i="2"/>
  <c r="AF18" i="2"/>
  <c r="AC18" i="2"/>
  <c r="AB18" i="2"/>
  <c r="AG17" i="2"/>
  <c r="AF17" i="2"/>
  <c r="AC17" i="2"/>
  <c r="AB17" i="2"/>
  <c r="AF16" i="2"/>
  <c r="AG16" i="2"/>
  <c r="AH16" i="2" s="1"/>
  <c r="AC16" i="2"/>
  <c r="AB16" i="2"/>
  <c r="AH22" i="2"/>
  <c r="U22" i="2"/>
  <c r="T22" i="2"/>
  <c r="S22" i="2"/>
  <c r="R2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7" i="2"/>
  <c r="AH18" i="2"/>
  <c r="AH2" i="2"/>
  <c r="T21" i="2"/>
  <c r="S16" i="2"/>
  <c r="S17" i="2"/>
  <c r="R17" i="2"/>
  <c r="R21" i="2"/>
  <c r="U21" i="2" s="1"/>
  <c r="S21" i="2"/>
  <c r="T18" i="2"/>
  <c r="U18" i="2"/>
  <c r="T19" i="2"/>
  <c r="U19" i="2"/>
  <c r="T20" i="2"/>
  <c r="U20" i="2"/>
  <c r="S20" i="2"/>
  <c r="R20" i="2"/>
  <c r="S19" i="2"/>
  <c r="R19" i="2"/>
  <c r="S18" i="2"/>
  <c r="R18" i="2"/>
  <c r="AF15" i="2"/>
  <c r="AG15" i="2"/>
  <c r="AC15" i="2"/>
  <c r="AB15" i="2"/>
  <c r="AF14" i="2"/>
  <c r="AG14" i="2" s="1"/>
  <c r="AC14" i="2"/>
  <c r="AB14" i="2"/>
  <c r="AG13" i="2"/>
  <c r="AF13" i="2"/>
  <c r="AC13" i="2"/>
  <c r="AB13" i="2"/>
  <c r="AA14" i="2"/>
  <c r="AA13" i="2"/>
  <c r="AA12" i="2"/>
  <c r="AF12" i="2"/>
  <c r="AG12" i="2" s="1"/>
  <c r="AC12" i="2"/>
  <c r="AG11" i="2"/>
  <c r="AF11" i="2"/>
  <c r="AC11" i="2"/>
  <c r="AB11" i="2"/>
  <c r="AF10" i="2"/>
  <c r="AG10" i="2"/>
  <c r="AC10" i="2"/>
  <c r="AB10" i="2"/>
  <c r="AF9" i="2"/>
  <c r="AG9" i="2" s="1"/>
  <c r="AC9" i="2"/>
  <c r="AB9" i="2"/>
  <c r="AF8" i="2"/>
  <c r="AG8" i="2" s="1"/>
  <c r="AC8" i="2"/>
  <c r="AB8" i="2"/>
  <c r="AF7" i="2"/>
  <c r="AG7" i="2" s="1"/>
  <c r="AC7" i="2"/>
  <c r="AB7" i="2"/>
  <c r="AF6" i="2"/>
  <c r="AG6" i="2" s="1"/>
  <c r="AC6" i="2"/>
  <c r="AB6" i="2"/>
  <c r="AG5" i="2"/>
  <c r="AF5" i="2"/>
  <c r="AC5" i="2"/>
  <c r="AB5" i="2"/>
  <c r="AG4" i="2"/>
  <c r="AF4" i="2"/>
  <c r="AC4" i="2"/>
  <c r="AB4" i="2"/>
  <c r="AF3" i="2"/>
  <c r="AF2" i="2"/>
  <c r="AG2" i="2"/>
  <c r="AB3" i="2" s="1"/>
  <c r="AC3" i="2" s="1"/>
  <c r="AC2" i="2"/>
  <c r="AB12" i="2" l="1"/>
  <c r="AG3" i="2"/>
  <c r="AA15" i="2" l="1"/>
  <c r="AA11" i="2"/>
  <c r="AA10" i="2"/>
  <c r="AA9" i="2"/>
  <c r="AA8" i="2"/>
  <c r="AA7" i="2"/>
  <c r="AA6" i="2"/>
  <c r="AA5" i="2"/>
  <c r="AA4" i="2"/>
  <c r="AA3" i="2"/>
  <c r="AA2" i="2"/>
  <c r="T14" i="2"/>
  <c r="T15" i="2"/>
  <c r="T16" i="2"/>
  <c r="T17" i="2"/>
  <c r="U14" i="2"/>
  <c r="U15" i="2"/>
  <c r="U16" i="2"/>
  <c r="U17" i="2"/>
  <c r="S15" i="2"/>
  <c r="R15" i="2"/>
  <c r="S14" i="2"/>
  <c r="R14" i="2"/>
  <c r="R16" i="2"/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3" i="1"/>
  <c r="N2" i="1"/>
  <c r="M25" i="1"/>
  <c r="M10" i="1"/>
  <c r="M33" i="1"/>
  <c r="M2" i="1"/>
  <c r="Y2" i="2"/>
  <c r="Y3" i="2"/>
  <c r="Y4" i="2"/>
  <c r="Y5" i="2"/>
  <c r="Y6" i="2"/>
  <c r="Y7" i="2"/>
  <c r="Y8" i="2"/>
  <c r="Y9" i="2"/>
  <c r="Y10" i="2"/>
  <c r="Y11" i="2"/>
  <c r="Y12" i="2"/>
  <c r="Y13" i="2"/>
  <c r="X3" i="2"/>
  <c r="X4" i="2"/>
  <c r="X5" i="2"/>
  <c r="X6" i="2"/>
  <c r="X7" i="2"/>
  <c r="X8" i="2"/>
  <c r="X9" i="2"/>
  <c r="X10" i="2"/>
  <c r="X11" i="2"/>
  <c r="X12" i="2"/>
  <c r="X13" i="2"/>
  <c r="X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U2" i="2"/>
  <c r="T2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S8" i="2" l="1"/>
  <c r="R8" i="2"/>
  <c r="S13" i="2"/>
  <c r="R13" i="2"/>
  <c r="S9" i="2"/>
  <c r="R9" i="2"/>
  <c r="S11" i="2"/>
  <c r="R11" i="2"/>
  <c r="R12" i="2"/>
  <c r="S12" i="2"/>
  <c r="S7" i="2"/>
  <c r="R7" i="2"/>
  <c r="S2" i="2"/>
  <c r="R2" i="2"/>
  <c r="S10" i="2"/>
  <c r="R10" i="2"/>
  <c r="S3" i="2"/>
  <c r="R3" i="2"/>
  <c r="S6" i="2"/>
  <c r="R6" i="2"/>
  <c r="S5" i="2"/>
  <c r="R5" i="2"/>
  <c r="S4" i="2"/>
  <c r="R4" i="2"/>
</calcChain>
</file>

<file path=xl/sharedStrings.xml><?xml version="1.0" encoding="utf-8"?>
<sst xmlns="http://schemas.openxmlformats.org/spreadsheetml/2006/main" count="238" uniqueCount="82">
  <si>
    <t>Date</t>
  </si>
  <si>
    <t>Player</t>
  </si>
  <si>
    <t>Seed</t>
  </si>
  <si>
    <t>Rank</t>
  </si>
  <si>
    <t>ELO</t>
  </si>
  <si>
    <t>R16</t>
  </si>
  <si>
    <t>QF</t>
  </si>
  <si>
    <t>SF</t>
  </si>
  <si>
    <t>F</t>
  </si>
  <si>
    <t>W</t>
  </si>
  <si>
    <t>Draw Bonus</t>
  </si>
  <si>
    <t>Tournament</t>
  </si>
  <si>
    <t>Doha</t>
  </si>
  <si>
    <t>Stan Wawrinka</t>
  </si>
  <si>
    <t>Gregoire Barrere</t>
  </si>
  <si>
    <t>Q</t>
  </si>
  <si>
    <t>Bye</t>
  </si>
  <si>
    <t>WC</t>
  </si>
  <si>
    <t>Jeremy Chardy </t>
  </si>
  <si>
    <t>Mikael Ymer </t>
  </si>
  <si>
    <t>Aljaz Bedene </t>
  </si>
  <si>
    <t>Alexander Bublik </t>
  </si>
  <si>
    <t>Adrian Mannarino </t>
  </si>
  <si>
    <t>Milos Raonic </t>
  </si>
  <si>
    <t>Corentin Moutet </t>
  </si>
  <si>
    <t>Tennys Sandgren </t>
  </si>
  <si>
    <t>Fernando Verdasco </t>
  </si>
  <si>
    <t>Pablo Andujar </t>
  </si>
  <si>
    <t>Kyle Edmund </t>
  </si>
  <si>
    <t>Filip Krajinovic </t>
  </si>
  <si>
    <t>Frances Tiafoe </t>
  </si>
  <si>
    <t>Marton Fucsovics </t>
  </si>
  <si>
    <t>Cem Ilkel </t>
  </si>
  <si>
    <t>Ricardas Berankis </t>
  </si>
  <si>
    <t>Miomir Kecmanovic </t>
  </si>
  <si>
    <t>Jordan Thompson </t>
  </si>
  <si>
    <t>Jo Wilfried Tsonga </t>
  </si>
  <si>
    <t>Player 1</t>
  </si>
  <si>
    <t>Player 2</t>
  </si>
  <si>
    <t>Rank P1</t>
  </si>
  <si>
    <t>ELO P1</t>
  </si>
  <si>
    <t>Rank P2</t>
  </si>
  <si>
    <t>ELO P2</t>
  </si>
  <si>
    <t>R16 P1</t>
  </si>
  <si>
    <t>R16 P2</t>
  </si>
  <si>
    <t>Seed P1</t>
  </si>
  <si>
    <t>Seed P2</t>
  </si>
  <si>
    <t>Laslo Djere </t>
  </si>
  <si>
    <t>Lorenzo Sonego </t>
  </si>
  <si>
    <t>Marco Cecchinato </t>
  </si>
  <si>
    <t>Pierre Hugues Herbert </t>
  </si>
  <si>
    <t>Malek Jaziri </t>
  </si>
  <si>
    <t>Mikhail Kukushkin </t>
  </si>
  <si>
    <t>B365 P1</t>
  </si>
  <si>
    <t>B365 P2</t>
  </si>
  <si>
    <t>B365 % P1</t>
  </si>
  <si>
    <t>B365 % P2</t>
  </si>
  <si>
    <t>BetFair P1</t>
  </si>
  <si>
    <t>Betfair P2</t>
  </si>
  <si>
    <t>BetFair % P1</t>
  </si>
  <si>
    <t>BetFair % P2</t>
  </si>
  <si>
    <t>Pinnacle P1</t>
  </si>
  <si>
    <t>Pinnacle P2</t>
  </si>
  <si>
    <t>Pinnacle % P1</t>
  </si>
  <si>
    <t>Pinnacle % P2</t>
  </si>
  <si>
    <t>Win Odds</t>
  </si>
  <si>
    <t>Andrey Rublev </t>
  </si>
  <si>
    <t>Prob</t>
  </si>
  <si>
    <t>Winner</t>
  </si>
  <si>
    <t>Round</t>
  </si>
  <si>
    <t>R32</t>
  </si>
  <si>
    <t>Milos Raonic</t>
  </si>
  <si>
    <t>Corentin Moutet</t>
  </si>
  <si>
    <t>Bankroll</t>
  </si>
  <si>
    <t>Max Bet Size</t>
  </si>
  <si>
    <t>Win</t>
  </si>
  <si>
    <t>Betsize</t>
  </si>
  <si>
    <t>Bet</t>
  </si>
  <si>
    <t>Jo Wilfried Tsonga</t>
  </si>
  <si>
    <t>Andrey Rublev</t>
  </si>
  <si>
    <t>Payout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</si>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</sst>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4" fontId="0" fillId="0" borderId="0" xfId="1" applyFont="1"/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2" applyNumberFormat="1" applyFont="1" applyFill="1"/>
    <xf numFmtId="44" fontId="0" fillId="0" borderId="0" xfId="0" applyNumberFormat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3A5-2038-473C-8854-2A29C0A85721}">
  <dimension ref="A1:N33"/>
  <sheetViews>
    <sheetView workbookViewId="0">
      <selection activeCell="L19" sqref="L19"/>
    </sheetView>
  </sheetViews>
  <sheetFormatPr defaultRowHeight="15" x14ac:dyDescent="0.25"/>
  <cols>
    <col min="2" max="2" width="22" bestFit="1" customWidth="1"/>
    <col min="3" max="3" width="5.42578125" bestFit="1" customWidth="1"/>
    <col min="4" max="4" width="11.85546875" bestFit="1" customWidth="1"/>
    <col min="5" max="5" width="5.28515625" bestFit="1" customWidth="1"/>
    <col min="6" max="6" width="5" bestFit="1" customWidth="1"/>
    <col min="7" max="7" width="8.140625" bestFit="1" customWidth="1"/>
    <col min="8" max="11" width="7.140625" bestFit="1" customWidth="1"/>
    <col min="12" max="12" width="11.42578125" bestFit="1" customWidth="1"/>
    <col min="13" max="13" width="9.5703125" bestFit="1" customWidth="1"/>
    <col min="17" max="17" width="9.140625" customWidth="1"/>
    <col min="18" max="18" width="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65</v>
      </c>
      <c r="N1" t="s">
        <v>67</v>
      </c>
    </row>
    <row r="2" spans="1:14" x14ac:dyDescent="0.25">
      <c r="A2" s="1">
        <v>43836</v>
      </c>
      <c r="B2" t="s">
        <v>13</v>
      </c>
      <c r="C2">
        <v>1</v>
      </c>
      <c r="D2" t="s">
        <v>12</v>
      </c>
      <c r="E2">
        <v>15</v>
      </c>
      <c r="F2">
        <v>2114</v>
      </c>
      <c r="G2" s="2">
        <v>1</v>
      </c>
      <c r="H2" s="3">
        <v>0.749</v>
      </c>
      <c r="I2" s="3">
        <v>0.56100000000000005</v>
      </c>
      <c r="J2" s="3">
        <v>0.35699999999999998</v>
      </c>
      <c r="K2" s="3">
        <v>0.22600000000000001</v>
      </c>
      <c r="L2" s="3">
        <v>0.34899999999999998</v>
      </c>
      <c r="M2" s="4">
        <f>1+5/2</f>
        <v>3.5</v>
      </c>
      <c r="N2" s="5">
        <f>(1/M2)</f>
        <v>0.2857142857142857</v>
      </c>
    </row>
    <row r="3" spans="1:14" x14ac:dyDescent="0.25">
      <c r="B3" t="s">
        <v>16</v>
      </c>
      <c r="M3" s="4"/>
      <c r="N3" s="5"/>
    </row>
    <row r="4" spans="1:14" x14ac:dyDescent="0.25">
      <c r="A4" s="1">
        <v>43836</v>
      </c>
      <c r="B4" t="s">
        <v>14</v>
      </c>
      <c r="C4" t="s">
        <v>15</v>
      </c>
      <c r="D4" t="s">
        <v>12</v>
      </c>
      <c r="E4">
        <v>83</v>
      </c>
      <c r="F4">
        <v>1787</v>
      </c>
      <c r="G4" s="3">
        <v>0.29199999999999998</v>
      </c>
      <c r="H4" s="3">
        <v>4.3999999999999997E-2</v>
      </c>
      <c r="I4" s="3">
        <v>1.4999999999999999E-2</v>
      </c>
      <c r="J4" s="3">
        <v>4.0000000000000001E-3</v>
      </c>
      <c r="K4" s="9">
        <v>1E-3</v>
      </c>
      <c r="L4" s="3">
        <v>-0.77900000000000003</v>
      </c>
      <c r="M4" s="4">
        <v>101</v>
      </c>
      <c r="N4" s="5">
        <f t="shared" ref="N4:N33" si="0">(1/M4)</f>
        <v>9.9009900990099011E-3</v>
      </c>
    </row>
    <row r="5" spans="1:14" x14ac:dyDescent="0.25">
      <c r="A5" s="1">
        <v>43836</v>
      </c>
      <c r="B5" t="s">
        <v>18</v>
      </c>
      <c r="D5" t="s">
        <v>12</v>
      </c>
      <c r="E5">
        <v>54</v>
      </c>
      <c r="F5">
        <v>1967</v>
      </c>
      <c r="G5" s="3">
        <v>0.70799999999999996</v>
      </c>
      <c r="H5" s="3">
        <v>0.20699999999999999</v>
      </c>
      <c r="I5" s="3">
        <v>0.11799999999999999</v>
      </c>
      <c r="J5" s="3">
        <v>5.0999999999999997E-2</v>
      </c>
      <c r="K5" s="3">
        <v>2.1999999999999999E-2</v>
      </c>
      <c r="L5" s="3">
        <v>-0.46200000000000002</v>
      </c>
      <c r="M5" s="4">
        <v>34</v>
      </c>
      <c r="N5" s="5">
        <f t="shared" si="0"/>
        <v>2.9411764705882353E-2</v>
      </c>
    </row>
    <row r="6" spans="1:14" x14ac:dyDescent="0.25">
      <c r="A6" s="1">
        <v>43836</v>
      </c>
      <c r="B6" t="s">
        <v>19</v>
      </c>
      <c r="D6" t="s">
        <v>12</v>
      </c>
      <c r="E6">
        <v>76</v>
      </c>
      <c r="F6">
        <v>1778</v>
      </c>
      <c r="G6" s="3">
        <v>0.34399999999999997</v>
      </c>
      <c r="H6" s="3">
        <v>0.122</v>
      </c>
      <c r="I6" s="3">
        <v>2.5999999999999999E-2</v>
      </c>
      <c r="J6" s="3">
        <v>7.0000000000000001E-3</v>
      </c>
      <c r="K6" s="9">
        <v>2E-3</v>
      </c>
      <c r="L6" s="3">
        <v>-0.66300000000000003</v>
      </c>
      <c r="M6" s="4">
        <v>51</v>
      </c>
      <c r="N6" s="5">
        <f t="shared" si="0"/>
        <v>1.9607843137254902E-2</v>
      </c>
    </row>
    <row r="7" spans="1:14" x14ac:dyDescent="0.25">
      <c r="A7" s="1">
        <v>43836</v>
      </c>
      <c r="B7" t="s">
        <v>20</v>
      </c>
      <c r="D7" t="s">
        <v>12</v>
      </c>
      <c r="E7">
        <v>58</v>
      </c>
      <c r="F7">
        <v>1927</v>
      </c>
      <c r="G7" s="3">
        <v>0.65600000000000003</v>
      </c>
      <c r="H7" s="3">
        <v>0.33200000000000002</v>
      </c>
      <c r="I7" s="3">
        <v>0.106</v>
      </c>
      <c r="J7" s="3">
        <v>4.1000000000000002E-2</v>
      </c>
      <c r="K7" s="3">
        <v>1.6E-2</v>
      </c>
      <c r="L7" s="3">
        <v>-0.40799999999999997</v>
      </c>
      <c r="M7" s="4">
        <v>19</v>
      </c>
      <c r="N7" s="5">
        <f t="shared" si="0"/>
        <v>5.2631578947368418E-2</v>
      </c>
    </row>
    <row r="8" spans="1:14" x14ac:dyDescent="0.25">
      <c r="A8" s="1">
        <v>43836</v>
      </c>
      <c r="B8" t="s">
        <v>21</v>
      </c>
      <c r="D8" t="s">
        <v>12</v>
      </c>
      <c r="E8">
        <v>55</v>
      </c>
      <c r="F8">
        <v>1849</v>
      </c>
      <c r="G8" s="3">
        <v>0.4</v>
      </c>
      <c r="H8" s="3">
        <v>0.19400000000000001</v>
      </c>
      <c r="I8" s="3">
        <v>5.1999999999999998E-2</v>
      </c>
      <c r="J8" s="3">
        <v>1.7999999999999999E-2</v>
      </c>
      <c r="K8" s="3">
        <v>6.0000000000000001E-3</v>
      </c>
      <c r="L8" s="3">
        <v>-0.58399999999999996</v>
      </c>
      <c r="M8" s="4">
        <v>51</v>
      </c>
      <c r="N8" s="5">
        <f t="shared" si="0"/>
        <v>1.9607843137254902E-2</v>
      </c>
    </row>
    <row r="9" spans="1:14" x14ac:dyDescent="0.25">
      <c r="A9" s="1">
        <v>43836</v>
      </c>
      <c r="B9" t="s">
        <v>22</v>
      </c>
      <c r="C9">
        <v>7</v>
      </c>
      <c r="D9" t="s">
        <v>12</v>
      </c>
      <c r="E9">
        <v>43</v>
      </c>
      <c r="F9">
        <v>1949</v>
      </c>
      <c r="G9" s="3">
        <v>0.6</v>
      </c>
      <c r="H9" s="3">
        <v>0.35299999999999998</v>
      </c>
      <c r="I9" s="3">
        <v>0.121</v>
      </c>
      <c r="J9" s="3">
        <v>5.1999999999999998E-2</v>
      </c>
      <c r="K9" s="9">
        <v>2.1999999999999999E-2</v>
      </c>
      <c r="L9" s="3">
        <v>-0.40400000000000003</v>
      </c>
      <c r="M9" s="4">
        <v>41</v>
      </c>
      <c r="N9" s="5">
        <f t="shared" si="0"/>
        <v>2.4390243902439025E-2</v>
      </c>
    </row>
    <row r="10" spans="1:14" x14ac:dyDescent="0.25">
      <c r="A10" s="1">
        <v>43836</v>
      </c>
      <c r="B10" t="s">
        <v>23</v>
      </c>
      <c r="C10">
        <v>4</v>
      </c>
      <c r="D10" t="s">
        <v>12</v>
      </c>
      <c r="E10">
        <v>32</v>
      </c>
      <c r="F10">
        <v>2063</v>
      </c>
      <c r="G10" s="3">
        <v>1</v>
      </c>
      <c r="H10" s="3">
        <v>0.75600000000000001</v>
      </c>
      <c r="I10" s="3">
        <v>0.47799999999999998</v>
      </c>
      <c r="J10" s="3">
        <v>0.25900000000000001</v>
      </c>
      <c r="K10" s="3">
        <v>0.14899999999999999</v>
      </c>
      <c r="L10" s="3">
        <v>0.28499999999999998</v>
      </c>
      <c r="M10" s="4">
        <f>1+6/1</f>
        <v>7</v>
      </c>
      <c r="N10" s="5">
        <f t="shared" si="0"/>
        <v>0.14285714285714285</v>
      </c>
    </row>
    <row r="11" spans="1:14" x14ac:dyDescent="0.25">
      <c r="B11" t="s">
        <v>16</v>
      </c>
      <c r="G11" s="3"/>
      <c r="H11" s="3"/>
      <c r="I11" s="3"/>
      <c r="J11" s="3"/>
      <c r="K11" s="3"/>
      <c r="L11" s="3"/>
      <c r="M11" s="4"/>
      <c r="N11" s="5"/>
    </row>
    <row r="12" spans="1:14" x14ac:dyDescent="0.25">
      <c r="A12" s="1">
        <v>43836</v>
      </c>
      <c r="B12" t="s">
        <v>24</v>
      </c>
      <c r="C12" t="s">
        <v>15</v>
      </c>
      <c r="D12" t="s">
        <v>12</v>
      </c>
      <c r="E12">
        <v>81</v>
      </c>
      <c r="F12">
        <v>1762</v>
      </c>
      <c r="G12" s="3">
        <v>0.32400000000000001</v>
      </c>
      <c r="H12" s="3">
        <v>5.6000000000000001E-2</v>
      </c>
      <c r="I12" s="3">
        <v>1.4E-2</v>
      </c>
      <c r="J12" s="3">
        <v>3.0000000000000001E-3</v>
      </c>
      <c r="K12" s="3">
        <v>1E-3</v>
      </c>
      <c r="L12" s="3">
        <v>-0.73799999999999999</v>
      </c>
      <c r="M12" s="4">
        <v>101</v>
      </c>
      <c r="N12" s="5">
        <f t="shared" si="0"/>
        <v>9.9009900990099011E-3</v>
      </c>
    </row>
    <row r="13" spans="1:14" x14ac:dyDescent="0.25">
      <c r="A13" s="1">
        <v>43836</v>
      </c>
      <c r="B13" t="s">
        <v>25</v>
      </c>
      <c r="D13" t="s">
        <v>12</v>
      </c>
      <c r="E13">
        <v>68</v>
      </c>
      <c r="F13">
        <v>1873</v>
      </c>
      <c r="G13" s="3">
        <v>0.67600000000000005</v>
      </c>
      <c r="H13" s="3">
        <v>0.189</v>
      </c>
      <c r="I13" s="3">
        <v>7.5999999999999998E-2</v>
      </c>
      <c r="J13" s="3">
        <v>2.5999999999999999E-2</v>
      </c>
      <c r="K13" s="9">
        <v>8.9999999999999993E-3</v>
      </c>
      <c r="L13" s="3">
        <v>-0.49399999999999999</v>
      </c>
      <c r="M13" s="4">
        <v>67</v>
      </c>
      <c r="N13" s="5">
        <f t="shared" si="0"/>
        <v>1.4925373134328358E-2</v>
      </c>
    </row>
    <row r="14" spans="1:14" x14ac:dyDescent="0.25">
      <c r="A14" s="1">
        <v>43836</v>
      </c>
      <c r="B14" t="s">
        <v>26</v>
      </c>
      <c r="D14" t="s">
        <v>12</v>
      </c>
      <c r="E14">
        <v>49</v>
      </c>
      <c r="F14">
        <v>1941</v>
      </c>
      <c r="G14" s="3">
        <v>0.63700000000000001</v>
      </c>
      <c r="H14" s="3">
        <v>0.29099999999999998</v>
      </c>
      <c r="I14" s="3">
        <v>0.12</v>
      </c>
      <c r="J14" s="3">
        <v>4.8000000000000001E-2</v>
      </c>
      <c r="K14" s="3">
        <v>2.1000000000000001E-2</v>
      </c>
      <c r="L14" s="3">
        <v>-0.46700000000000003</v>
      </c>
      <c r="M14" s="4">
        <v>21</v>
      </c>
      <c r="N14" s="5">
        <f t="shared" si="0"/>
        <v>4.7619047619047616E-2</v>
      </c>
    </row>
    <row r="15" spans="1:14" x14ac:dyDescent="0.25">
      <c r="A15" s="1">
        <v>43836</v>
      </c>
      <c r="B15" t="s">
        <v>27</v>
      </c>
      <c r="D15" t="s">
        <v>12</v>
      </c>
      <c r="E15">
        <v>64</v>
      </c>
      <c r="F15">
        <v>1861</v>
      </c>
      <c r="G15" s="3">
        <v>0.36299999999999999</v>
      </c>
      <c r="H15" s="3">
        <v>0.12</v>
      </c>
      <c r="I15" s="3">
        <v>3.5999999999999997E-2</v>
      </c>
      <c r="J15" s="3">
        <v>0.01</v>
      </c>
      <c r="K15" s="9">
        <v>3.0000000000000001E-3</v>
      </c>
      <c r="L15" s="3">
        <v>-0.69099999999999995</v>
      </c>
      <c r="M15" s="4">
        <v>101</v>
      </c>
      <c r="N15" s="5">
        <f t="shared" si="0"/>
        <v>9.9009900990099011E-3</v>
      </c>
    </row>
    <row r="16" spans="1:14" x14ac:dyDescent="0.25">
      <c r="A16" s="1">
        <v>43836</v>
      </c>
      <c r="B16" t="s">
        <v>28</v>
      </c>
      <c r="D16" t="s">
        <v>12</v>
      </c>
      <c r="E16">
        <v>69</v>
      </c>
      <c r="F16">
        <v>1964</v>
      </c>
      <c r="G16" s="3">
        <v>0.47</v>
      </c>
      <c r="H16" s="3">
        <v>0.26300000000000001</v>
      </c>
      <c r="I16" s="3">
        <v>0.11799999999999999</v>
      </c>
      <c r="J16" s="3">
        <v>0.05</v>
      </c>
      <c r="K16" s="9">
        <v>2.3E-2</v>
      </c>
      <c r="L16" s="3">
        <v>-0.53100000000000003</v>
      </c>
      <c r="M16" s="4">
        <v>18</v>
      </c>
      <c r="N16" s="5">
        <f t="shared" si="0"/>
        <v>5.5555555555555552E-2</v>
      </c>
    </row>
    <row r="17" spans="1:14" x14ac:dyDescent="0.25">
      <c r="A17" s="1">
        <v>43836</v>
      </c>
      <c r="B17" t="s">
        <v>29</v>
      </c>
      <c r="C17">
        <v>6</v>
      </c>
      <c r="D17" t="s">
        <v>12</v>
      </c>
      <c r="E17">
        <v>40</v>
      </c>
      <c r="F17">
        <v>1987</v>
      </c>
      <c r="G17" s="3">
        <v>0.53</v>
      </c>
      <c r="H17" s="3">
        <v>0.32500000000000001</v>
      </c>
      <c r="I17" s="3">
        <v>0.157</v>
      </c>
      <c r="J17" s="3">
        <v>7.2999999999999995E-2</v>
      </c>
      <c r="K17" s="3">
        <v>3.5999999999999997E-2</v>
      </c>
      <c r="L17" s="3">
        <v>-0.45100000000000001</v>
      </c>
      <c r="M17" s="4">
        <v>26</v>
      </c>
      <c r="N17" s="5">
        <f t="shared" si="0"/>
        <v>3.8461538461538464E-2</v>
      </c>
    </row>
    <row r="18" spans="1:14" x14ac:dyDescent="0.25">
      <c r="A18" s="1">
        <v>43836</v>
      </c>
      <c r="B18" t="s">
        <v>30</v>
      </c>
      <c r="C18">
        <v>8</v>
      </c>
      <c r="D18" t="s">
        <v>12</v>
      </c>
      <c r="E18">
        <v>47</v>
      </c>
      <c r="F18">
        <v>1909</v>
      </c>
      <c r="G18" s="3">
        <v>0.52300000000000002</v>
      </c>
      <c r="H18" s="3">
        <v>0.33900000000000002</v>
      </c>
      <c r="I18" s="3">
        <v>0.13700000000000001</v>
      </c>
      <c r="J18" s="3">
        <v>6.2E-2</v>
      </c>
      <c r="K18" s="9">
        <v>2.4E-2</v>
      </c>
      <c r="L18" s="3">
        <v>-0.32</v>
      </c>
      <c r="M18" s="4">
        <v>26</v>
      </c>
      <c r="N18" s="5">
        <f t="shared" si="0"/>
        <v>3.8461538461538464E-2</v>
      </c>
    </row>
    <row r="19" spans="1:14" x14ac:dyDescent="0.25">
      <c r="A19" s="1">
        <v>43836</v>
      </c>
      <c r="B19" t="s">
        <v>31</v>
      </c>
      <c r="C19" t="s">
        <v>15</v>
      </c>
      <c r="D19" t="s">
        <v>12</v>
      </c>
      <c r="E19">
        <v>70</v>
      </c>
      <c r="F19">
        <v>1883</v>
      </c>
      <c r="G19" s="3">
        <v>0.47699999999999998</v>
      </c>
      <c r="H19" s="3">
        <v>0.29399999999999998</v>
      </c>
      <c r="I19" s="3">
        <v>0.111</v>
      </c>
      <c r="J19" s="3">
        <v>4.7E-2</v>
      </c>
      <c r="K19" s="3">
        <v>1.6E-2</v>
      </c>
      <c r="L19" s="3">
        <v>-0.36</v>
      </c>
      <c r="M19" s="4">
        <v>51</v>
      </c>
      <c r="N19" s="5">
        <f t="shared" si="0"/>
        <v>1.9607843137254902E-2</v>
      </c>
    </row>
    <row r="20" spans="1:14" x14ac:dyDescent="0.25">
      <c r="A20" s="1">
        <v>43836</v>
      </c>
      <c r="B20" t="s">
        <v>32</v>
      </c>
      <c r="C20" t="s">
        <v>17</v>
      </c>
      <c r="D20" t="s">
        <v>12</v>
      </c>
      <c r="E20">
        <v>279</v>
      </c>
      <c r="F20">
        <v>1571</v>
      </c>
      <c r="G20" s="3">
        <v>0.157</v>
      </c>
      <c r="H20" s="3">
        <v>0.02</v>
      </c>
      <c r="I20" s="3">
        <v>2E-3</v>
      </c>
      <c r="J20" s="3">
        <v>0</v>
      </c>
      <c r="K20" s="3">
        <v>0</v>
      </c>
      <c r="L20" s="3">
        <v>-0.72699999999999998</v>
      </c>
      <c r="M20" s="4">
        <v>101</v>
      </c>
      <c r="N20" s="5">
        <f t="shared" si="0"/>
        <v>9.9009900990099011E-3</v>
      </c>
    </row>
    <row r="21" spans="1:14" x14ac:dyDescent="0.25">
      <c r="A21" s="1">
        <v>43836</v>
      </c>
      <c r="B21" t="s">
        <v>33</v>
      </c>
      <c r="D21" t="s">
        <v>12</v>
      </c>
      <c r="E21">
        <v>67</v>
      </c>
      <c r="F21">
        <v>1832</v>
      </c>
      <c r="G21" s="3">
        <v>0.84299999999999997</v>
      </c>
      <c r="H21" s="3">
        <v>0.34699999999999998</v>
      </c>
      <c r="I21" s="3">
        <v>0.11</v>
      </c>
      <c r="J21" s="3">
        <v>0.04</v>
      </c>
      <c r="K21" s="9">
        <v>1.2E-2</v>
      </c>
      <c r="L21" s="3">
        <v>-0.10199999999999999</v>
      </c>
      <c r="M21" s="4">
        <v>67</v>
      </c>
      <c r="N21" s="5">
        <f t="shared" si="0"/>
        <v>1.4925373134328358E-2</v>
      </c>
    </row>
    <row r="22" spans="1:14" x14ac:dyDescent="0.25">
      <c r="A22" s="1">
        <v>43836</v>
      </c>
      <c r="B22" t="s">
        <v>34</v>
      </c>
      <c r="D22" t="s">
        <v>12</v>
      </c>
      <c r="E22">
        <v>62</v>
      </c>
      <c r="F22">
        <v>1869</v>
      </c>
      <c r="G22" s="3">
        <v>0.48299999999999998</v>
      </c>
      <c r="H22" s="3">
        <v>0.126</v>
      </c>
      <c r="I22" s="3">
        <v>5.8000000000000003E-2</v>
      </c>
      <c r="J22" s="3">
        <v>2.1999999999999999E-2</v>
      </c>
      <c r="K22" s="3">
        <v>6.0000000000000001E-3</v>
      </c>
      <c r="L22" s="3">
        <v>-0.54900000000000004</v>
      </c>
      <c r="M22" s="4">
        <v>51</v>
      </c>
      <c r="N22" s="5">
        <f t="shared" si="0"/>
        <v>1.9607843137254902E-2</v>
      </c>
    </row>
    <row r="23" spans="1:14" x14ac:dyDescent="0.25">
      <c r="A23" s="1">
        <v>43836</v>
      </c>
      <c r="B23" t="s">
        <v>35</v>
      </c>
      <c r="D23" t="s">
        <v>12</v>
      </c>
      <c r="E23">
        <v>63</v>
      </c>
      <c r="F23">
        <v>1880</v>
      </c>
      <c r="G23" s="3">
        <v>0.51700000000000002</v>
      </c>
      <c r="H23" s="3">
        <v>0.14599999999999999</v>
      </c>
      <c r="I23" s="3">
        <v>7.0999999999999994E-2</v>
      </c>
      <c r="J23" s="3">
        <v>2.7E-2</v>
      </c>
      <c r="K23" s="9">
        <v>8.9999999999999993E-3</v>
      </c>
      <c r="L23" s="3">
        <v>-0.51100000000000001</v>
      </c>
      <c r="M23" s="4">
        <v>51</v>
      </c>
      <c r="N23" s="5">
        <f t="shared" si="0"/>
        <v>1.9607843137254902E-2</v>
      </c>
    </row>
    <row r="24" spans="1:14" x14ac:dyDescent="0.25">
      <c r="A24" s="1"/>
      <c r="B24" t="s">
        <v>16</v>
      </c>
      <c r="G24" s="3"/>
      <c r="H24" s="3"/>
      <c r="I24" s="3"/>
      <c r="J24" s="3"/>
      <c r="K24" s="3"/>
      <c r="L24" s="3"/>
      <c r="M24" s="4"/>
      <c r="N24" s="5"/>
    </row>
    <row r="25" spans="1:14" x14ac:dyDescent="0.25">
      <c r="A25" s="1">
        <v>43836</v>
      </c>
      <c r="B25" t="s">
        <v>36</v>
      </c>
      <c r="C25">
        <v>3</v>
      </c>
      <c r="D25" t="s">
        <v>12</v>
      </c>
      <c r="E25">
        <v>30</v>
      </c>
      <c r="F25">
        <v>2063</v>
      </c>
      <c r="G25" s="3">
        <v>1</v>
      </c>
      <c r="H25" s="3">
        <v>0.72799999999999998</v>
      </c>
      <c r="I25" s="3">
        <v>0.51200000000000001</v>
      </c>
      <c r="J25" s="3">
        <v>0.312</v>
      </c>
      <c r="K25" s="3">
        <v>0.16500000000000001</v>
      </c>
      <c r="L25" s="3">
        <v>0.435</v>
      </c>
      <c r="M25" s="4">
        <f>1+6/1</f>
        <v>7</v>
      </c>
      <c r="N25" s="5">
        <f t="shared" si="0"/>
        <v>0.14285714285714285</v>
      </c>
    </row>
    <row r="26" spans="1:14" x14ac:dyDescent="0.25">
      <c r="A26" s="1">
        <v>43836</v>
      </c>
      <c r="B26" t="s">
        <v>47</v>
      </c>
      <c r="C26">
        <v>5</v>
      </c>
      <c r="D26" t="s">
        <v>12</v>
      </c>
      <c r="E26">
        <v>39</v>
      </c>
      <c r="F26">
        <v>1833</v>
      </c>
      <c r="G26" s="3">
        <v>0.39200000000000002</v>
      </c>
      <c r="H26" s="3">
        <v>0.159</v>
      </c>
      <c r="I26" s="3">
        <v>3.9E-2</v>
      </c>
      <c r="J26" s="3">
        <v>0.01</v>
      </c>
      <c r="K26" s="3">
        <v>2E-3</v>
      </c>
      <c r="L26" s="3">
        <v>-0.38100000000000001</v>
      </c>
      <c r="M26" s="4">
        <v>101</v>
      </c>
      <c r="N26" s="5">
        <f t="shared" si="0"/>
        <v>9.9009900990099011E-3</v>
      </c>
    </row>
    <row r="27" spans="1:14" x14ac:dyDescent="0.25">
      <c r="A27" s="1">
        <v>43836</v>
      </c>
      <c r="B27" t="s">
        <v>48</v>
      </c>
      <c r="D27" t="s">
        <v>12</v>
      </c>
      <c r="E27">
        <v>51</v>
      </c>
      <c r="F27">
        <v>1850</v>
      </c>
      <c r="G27" s="3">
        <v>0.60799999999999998</v>
      </c>
      <c r="H27" s="3">
        <v>0.30499999999999999</v>
      </c>
      <c r="I27" s="3">
        <v>0.09</v>
      </c>
      <c r="J27" s="3">
        <v>2.9000000000000001E-2</v>
      </c>
      <c r="K27" s="9">
        <v>8.0000000000000002E-3</v>
      </c>
      <c r="L27" s="3">
        <v>-0.192</v>
      </c>
      <c r="M27" s="4">
        <v>26</v>
      </c>
      <c r="N27" s="5">
        <f t="shared" si="0"/>
        <v>3.8461538461538464E-2</v>
      </c>
    </row>
    <row r="28" spans="1:14" x14ac:dyDescent="0.25">
      <c r="A28" s="1">
        <v>43836</v>
      </c>
      <c r="B28" t="s">
        <v>49</v>
      </c>
      <c r="C28" t="s">
        <v>17</v>
      </c>
      <c r="D28" t="s">
        <v>12</v>
      </c>
      <c r="E28">
        <v>75</v>
      </c>
      <c r="F28">
        <v>1770</v>
      </c>
      <c r="G28" s="3">
        <v>0.32700000000000001</v>
      </c>
      <c r="H28" s="3">
        <v>0.13900000000000001</v>
      </c>
      <c r="I28" s="3">
        <v>3.1E-2</v>
      </c>
      <c r="J28" s="3">
        <v>7.0000000000000001E-3</v>
      </c>
      <c r="K28" s="9">
        <v>2E-3</v>
      </c>
      <c r="L28" s="3">
        <v>-0.42799999999999999</v>
      </c>
      <c r="M28" s="4">
        <v>101</v>
      </c>
      <c r="N28" s="5">
        <f t="shared" si="0"/>
        <v>9.9009900990099011E-3</v>
      </c>
    </row>
    <row r="29" spans="1:14" x14ac:dyDescent="0.25">
      <c r="A29" s="1">
        <v>43836</v>
      </c>
      <c r="B29" t="s">
        <v>50</v>
      </c>
      <c r="D29" t="s">
        <v>12</v>
      </c>
      <c r="E29">
        <v>65</v>
      </c>
      <c r="F29">
        <v>1907</v>
      </c>
      <c r="G29" s="3">
        <v>0.67300000000000004</v>
      </c>
      <c r="H29" s="3">
        <v>0.39600000000000002</v>
      </c>
      <c r="I29" s="3">
        <v>0.13300000000000001</v>
      </c>
      <c r="J29" s="3">
        <v>4.8000000000000001E-2</v>
      </c>
      <c r="K29" s="3">
        <v>1.4999999999999999E-2</v>
      </c>
      <c r="L29" s="3">
        <v>-0.10100000000000001</v>
      </c>
      <c r="M29" s="4">
        <v>26</v>
      </c>
      <c r="N29" s="5">
        <f t="shared" si="0"/>
        <v>3.8461538461538464E-2</v>
      </c>
    </row>
    <row r="30" spans="1:14" x14ac:dyDescent="0.25">
      <c r="A30" s="1">
        <v>43836</v>
      </c>
      <c r="B30" t="s">
        <v>51</v>
      </c>
      <c r="C30" t="s">
        <v>17</v>
      </c>
      <c r="D30" t="s">
        <v>12</v>
      </c>
      <c r="E30">
        <v>229</v>
      </c>
      <c r="F30">
        <v>1727</v>
      </c>
      <c r="G30" s="3">
        <v>0.29699999999999999</v>
      </c>
      <c r="H30" s="3">
        <v>4.4999999999999998E-2</v>
      </c>
      <c r="I30" s="3">
        <v>1.7000000000000001E-2</v>
      </c>
      <c r="J30" s="3">
        <v>4.0000000000000001E-3</v>
      </c>
      <c r="K30" s="9">
        <v>1E-3</v>
      </c>
      <c r="L30" s="3">
        <v>-0.65400000000000003</v>
      </c>
      <c r="M30" s="4">
        <v>501</v>
      </c>
      <c r="N30" s="5">
        <f t="shared" si="0"/>
        <v>1.996007984031936E-3</v>
      </c>
    </row>
    <row r="31" spans="1:14" x14ac:dyDescent="0.25">
      <c r="A31" s="1">
        <v>43836</v>
      </c>
      <c r="B31" t="s">
        <v>52</v>
      </c>
      <c r="D31" t="s">
        <v>12</v>
      </c>
      <c r="E31">
        <v>66</v>
      </c>
      <c r="F31">
        <v>1900</v>
      </c>
      <c r="G31" s="3">
        <v>0.70299999999999996</v>
      </c>
      <c r="H31" s="3">
        <v>0.23</v>
      </c>
      <c r="I31" s="3">
        <v>0.13800000000000001</v>
      </c>
      <c r="J31" s="3">
        <v>5.6000000000000001E-2</v>
      </c>
      <c r="K31" s="3">
        <v>1.9E-2</v>
      </c>
      <c r="L31" s="3">
        <v>-0.218</v>
      </c>
      <c r="M31" s="4">
        <v>26</v>
      </c>
      <c r="N31" s="5">
        <f t="shared" si="0"/>
        <v>3.8461538461538464E-2</v>
      </c>
    </row>
    <row r="32" spans="1:14" x14ac:dyDescent="0.25">
      <c r="A32" s="1"/>
      <c r="B32" t="s">
        <v>16</v>
      </c>
      <c r="G32" s="3"/>
      <c r="H32" s="3"/>
      <c r="I32" s="3"/>
      <c r="J32" s="3"/>
      <c r="K32" s="3"/>
      <c r="L32" s="3"/>
      <c r="M32" s="4"/>
      <c r="N32" s="5"/>
    </row>
    <row r="33" spans="1:14" x14ac:dyDescent="0.25">
      <c r="A33" s="1">
        <v>43836</v>
      </c>
      <c r="B33" t="s">
        <v>66</v>
      </c>
      <c r="C33">
        <v>2</v>
      </c>
      <c r="D33" t="s">
        <v>12</v>
      </c>
      <c r="E33">
        <v>23</v>
      </c>
      <c r="F33">
        <v>2071</v>
      </c>
      <c r="G33" s="3">
        <v>1</v>
      </c>
      <c r="H33" s="3">
        <v>0.72499999999999998</v>
      </c>
      <c r="I33" s="3">
        <v>0.55300000000000005</v>
      </c>
      <c r="J33" s="3">
        <v>0.33400000000000002</v>
      </c>
      <c r="K33" s="3">
        <v>0.184</v>
      </c>
      <c r="L33" s="3">
        <v>0.51</v>
      </c>
      <c r="M33" s="4">
        <f>1+3/1</f>
        <v>4</v>
      </c>
      <c r="N33" s="5">
        <f t="shared" si="0"/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C8F0-D5AB-4423-B49E-E6980C367B00}">
  <dimension ref="A1:AH25"/>
  <sheetViews>
    <sheetView tabSelected="1" workbookViewId="0">
      <pane xSplit="3" topLeftCell="D1" activePane="topRight" state="frozen"/>
      <selection pane="topRight" activeCell="L22" sqref="L22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21.5703125" bestFit="1" customWidth="1"/>
    <col min="4" max="5" width="8" bestFit="1" customWidth="1"/>
    <col min="6" max="6" width="6.7109375" bestFit="1" customWidth="1"/>
    <col min="7" max="7" width="11.85546875" bestFit="1" customWidth="1"/>
    <col min="8" max="8" width="7.85546875" bestFit="1" customWidth="1"/>
    <col min="9" max="9" width="6.85546875" bestFit="1" customWidth="1"/>
    <col min="10" max="10" width="7.85546875" bestFit="1" customWidth="1"/>
    <col min="11" max="11" width="6.85546875" bestFit="1" customWidth="1"/>
    <col min="12" max="13" width="9.140625" bestFit="1" customWidth="1"/>
    <col min="14" max="15" width="9.140625" hidden="1" customWidth="1"/>
    <col min="16" max="17" width="9.7109375" hidden="1" customWidth="1"/>
    <col min="18" max="18" width="9.85546875" bestFit="1" customWidth="1"/>
    <col min="19" max="19" width="9.5703125" bestFit="1" customWidth="1"/>
    <col min="20" max="21" width="11.85546875" bestFit="1" customWidth="1"/>
    <col min="22" max="23" width="11.140625" hidden="1" customWidth="1"/>
    <col min="24" max="25" width="13.28515625" hidden="1" customWidth="1"/>
    <col min="26" max="26" width="21.5703125" bestFit="1" customWidth="1"/>
    <col min="29" max="29" width="12.140625" bestFit="1" customWidth="1"/>
    <col min="30" max="30" width="4.5703125" bestFit="1" customWidth="1"/>
    <col min="31" max="31" width="4.5703125" customWidth="1"/>
  </cols>
  <sheetData>
    <row r="1" spans="1:34" x14ac:dyDescent="0.25">
      <c r="A1" t="s">
        <v>0</v>
      </c>
      <c r="B1" t="s">
        <v>37</v>
      </c>
      <c r="C1" t="s">
        <v>38</v>
      </c>
      <c r="D1" t="s">
        <v>45</v>
      </c>
      <c r="E1" t="s">
        <v>46</v>
      </c>
      <c r="F1" t="s">
        <v>69</v>
      </c>
      <c r="G1" t="s">
        <v>11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68</v>
      </c>
      <c r="AB1" t="s">
        <v>73</v>
      </c>
      <c r="AC1" t="s">
        <v>74</v>
      </c>
      <c r="AD1" t="s">
        <v>75</v>
      </c>
      <c r="AE1" t="s">
        <v>77</v>
      </c>
      <c r="AF1" t="s">
        <v>76</v>
      </c>
      <c r="AG1" t="s">
        <v>80</v>
      </c>
      <c r="AH1" t="s">
        <v>81</v>
      </c>
    </row>
    <row r="2" spans="1:34" x14ac:dyDescent="0.25">
      <c r="A2" s="1">
        <v>43836</v>
      </c>
      <c r="B2" t="s">
        <v>14</v>
      </c>
      <c r="C2" t="s">
        <v>18</v>
      </c>
      <c r="D2" t="s">
        <v>15</v>
      </c>
      <c r="F2" t="s">
        <v>70</v>
      </c>
      <c r="G2" t="s">
        <v>12</v>
      </c>
      <c r="H2">
        <v>83</v>
      </c>
      <c r="I2">
        <v>1787</v>
      </c>
      <c r="J2">
        <v>54</v>
      </c>
      <c r="K2">
        <v>1967</v>
      </c>
      <c r="L2" s="3">
        <v>0.29199999999999998</v>
      </c>
      <c r="M2" s="3">
        <v>0.70799999999999996</v>
      </c>
      <c r="N2" s="4">
        <v>2.5</v>
      </c>
      <c r="O2" s="4">
        <v>1.5</v>
      </c>
      <c r="P2" s="5">
        <f>1-N2/($N2+$O2)</f>
        <v>0.375</v>
      </c>
      <c r="Q2" s="5">
        <f>1-O2/($N2+$O2)</f>
        <v>0.625</v>
      </c>
      <c r="R2" s="4">
        <f>1+29/20</f>
        <v>2.4500000000000002</v>
      </c>
      <c r="S2" s="4">
        <f>1+4/7</f>
        <v>1.5714285714285714</v>
      </c>
      <c r="T2" s="5">
        <f>1-R2/($R2+$S2)</f>
        <v>0.39076376554174064</v>
      </c>
      <c r="U2" s="6">
        <f>1-S2/($R2+$S2)</f>
        <v>0.60923623445825936</v>
      </c>
      <c r="V2" s="4">
        <v>2.5299999999999998</v>
      </c>
      <c r="W2" s="4">
        <v>1.5780000000000001</v>
      </c>
      <c r="X2" s="5">
        <f>1-V2/($V2+$W2)</f>
        <v>0.38412852969814992</v>
      </c>
      <c r="Y2" s="5">
        <f>1-W2/($V2+$W2)</f>
        <v>0.61587147030184997</v>
      </c>
      <c r="Z2" t="s">
        <v>18</v>
      </c>
      <c r="AA2" s="3">
        <f>M2-U2</f>
        <v>9.87637655417406E-2</v>
      </c>
      <c r="AB2" s="4">
        <v>100</v>
      </c>
      <c r="AC2" s="4">
        <f>AB2*0.1</f>
        <v>10</v>
      </c>
      <c r="AD2">
        <v>1</v>
      </c>
      <c r="AE2">
        <v>1</v>
      </c>
      <c r="AF2" s="4">
        <f>AE2*AC2*(M2*(S2+1)-1)/S2</f>
        <v>5.2218181818181799</v>
      </c>
      <c r="AG2" s="4">
        <f>AD2*AF2*S2</f>
        <v>8.2057142857142829</v>
      </c>
      <c r="AH2" s="8">
        <f>AG2-AF2</f>
        <v>2.9838961038961029</v>
      </c>
    </row>
    <row r="3" spans="1:34" x14ac:dyDescent="0.25">
      <c r="A3" s="1">
        <v>43836</v>
      </c>
      <c r="B3" t="s">
        <v>19</v>
      </c>
      <c r="C3" t="s">
        <v>20</v>
      </c>
      <c r="F3" t="s">
        <v>70</v>
      </c>
      <c r="G3" t="s">
        <v>12</v>
      </c>
      <c r="H3">
        <v>76</v>
      </c>
      <c r="I3">
        <v>1778</v>
      </c>
      <c r="J3">
        <v>58</v>
      </c>
      <c r="K3">
        <v>1927</v>
      </c>
      <c r="L3" s="3">
        <v>0.34399999999999997</v>
      </c>
      <c r="M3" s="3">
        <v>0.65600000000000003</v>
      </c>
      <c r="N3" s="4">
        <v>1.83</v>
      </c>
      <c r="O3" s="4">
        <v>1.83</v>
      </c>
      <c r="P3" s="5">
        <f t="shared" ref="P3:P13" si="0">1-N3/($N3+$O3)</f>
        <v>0.5</v>
      </c>
      <c r="Q3" s="7">
        <f t="shared" ref="Q3:Q13" si="1">1-O3/($N3+$O3)</f>
        <v>0.5</v>
      </c>
      <c r="R3" s="4">
        <f>1+20/21</f>
        <v>1.9523809523809523</v>
      </c>
      <c r="S3" s="4">
        <f>1+20/23</f>
        <v>1.8695652173913042</v>
      </c>
      <c r="T3" s="5">
        <f t="shared" ref="T3:T17" si="2">1-R3/($R3+$S3)</f>
        <v>0.48916576381365107</v>
      </c>
      <c r="U3" s="6">
        <f t="shared" ref="U3:U17" si="3">1-S3/($R3+$S3)</f>
        <v>0.51083423618634882</v>
      </c>
      <c r="V3" s="4">
        <v>2</v>
      </c>
      <c r="W3" s="4">
        <v>1.8919999999999999</v>
      </c>
      <c r="X3" s="5">
        <f t="shared" ref="X3:Y13" si="4">1-V3/($V3+$W3)</f>
        <v>0.48612538540596095</v>
      </c>
      <c r="Y3" s="6">
        <f t="shared" si="4"/>
        <v>0.51387461459403905</v>
      </c>
      <c r="Z3" t="s">
        <v>20</v>
      </c>
      <c r="AA3" s="3">
        <f>M3-U3</f>
        <v>0.14516576381365121</v>
      </c>
      <c r="AB3" s="8">
        <f>AB2-AF2+AG2</f>
        <v>102.9838961038961</v>
      </c>
      <c r="AC3" s="4">
        <f>AB3*0.1</f>
        <v>10.298389610389611</v>
      </c>
      <c r="AD3">
        <v>1</v>
      </c>
      <c r="AE3">
        <v>1</v>
      </c>
      <c r="AF3" s="4">
        <f>AE3*AC3*(M3*(S3+1)-1)/S3</f>
        <v>4.8608398961038963</v>
      </c>
      <c r="AG3" s="4">
        <f>AD3*AF3*S3</f>
        <v>9.0876571970638054</v>
      </c>
      <c r="AH3" s="8">
        <f t="shared" ref="AH3:AH22" si="5">AG3-AF3</f>
        <v>4.226817300959909</v>
      </c>
    </row>
    <row r="4" spans="1:34" x14ac:dyDescent="0.25">
      <c r="A4" s="1">
        <v>43836</v>
      </c>
      <c r="B4" t="s">
        <v>21</v>
      </c>
      <c r="C4" t="s">
        <v>22</v>
      </c>
      <c r="E4">
        <v>7</v>
      </c>
      <c r="F4" t="s">
        <v>70</v>
      </c>
      <c r="G4" t="s">
        <v>12</v>
      </c>
      <c r="H4">
        <v>55</v>
      </c>
      <c r="I4">
        <v>1849</v>
      </c>
      <c r="J4">
        <v>43</v>
      </c>
      <c r="K4">
        <v>1949</v>
      </c>
      <c r="L4" s="3">
        <v>0.4</v>
      </c>
      <c r="M4" s="3">
        <v>0.6</v>
      </c>
      <c r="N4" s="4">
        <v>2</v>
      </c>
      <c r="O4" s="4">
        <v>1.72</v>
      </c>
      <c r="P4" s="5">
        <f t="shared" si="0"/>
        <v>0.46236559139784938</v>
      </c>
      <c r="Q4" s="5">
        <f t="shared" si="1"/>
        <v>0.5376344086021505</v>
      </c>
      <c r="R4" s="4">
        <f>6/5+1</f>
        <v>2.2000000000000002</v>
      </c>
      <c r="S4" s="4">
        <f>7/10+1</f>
        <v>1.7</v>
      </c>
      <c r="T4" s="5">
        <f t="shared" si="2"/>
        <v>0.4358974358974359</v>
      </c>
      <c r="U4" s="5">
        <f t="shared" si="3"/>
        <v>0.5641025641025641</v>
      </c>
      <c r="V4" s="4">
        <v>2.21</v>
      </c>
      <c r="W4" s="4">
        <v>1.7350000000000001</v>
      </c>
      <c r="X4" s="5">
        <f t="shared" si="4"/>
        <v>0.43979721166032959</v>
      </c>
      <c r="Y4" s="5">
        <f t="shared" si="4"/>
        <v>0.56020278833967052</v>
      </c>
      <c r="Z4" t="s">
        <v>21</v>
      </c>
      <c r="AA4" s="3">
        <f>L4-T4</f>
        <v>-3.5897435897435881E-2</v>
      </c>
      <c r="AB4" s="8">
        <f>AB3-AF3+AG3</f>
        <v>107.21071340485601</v>
      </c>
      <c r="AC4" s="4">
        <f>AB4*0.1</f>
        <v>10.721071340485601</v>
      </c>
      <c r="AD4">
        <v>0</v>
      </c>
      <c r="AE4">
        <v>0</v>
      </c>
      <c r="AF4" s="4">
        <f>AE4*AC4*(M4*(S4+1)-1)/S4</f>
        <v>0</v>
      </c>
      <c r="AG4" s="4">
        <f>AD4*AF4*S4</f>
        <v>0</v>
      </c>
      <c r="AH4" s="8">
        <f t="shared" si="5"/>
        <v>0</v>
      </c>
    </row>
    <row r="5" spans="1:34" x14ac:dyDescent="0.25">
      <c r="A5" s="1">
        <v>43836</v>
      </c>
      <c r="B5" t="s">
        <v>24</v>
      </c>
      <c r="C5" t="s">
        <v>25</v>
      </c>
      <c r="D5" t="s">
        <v>15</v>
      </c>
      <c r="F5" t="s">
        <v>70</v>
      </c>
      <c r="G5" t="s">
        <v>12</v>
      </c>
      <c r="H5">
        <v>81</v>
      </c>
      <c r="I5">
        <v>1762</v>
      </c>
      <c r="J5">
        <v>68</v>
      </c>
      <c r="K5">
        <v>1873</v>
      </c>
      <c r="L5" s="3">
        <v>0.32400000000000001</v>
      </c>
      <c r="M5" s="3">
        <v>0.67600000000000005</v>
      </c>
      <c r="N5" s="4">
        <v>1.57</v>
      </c>
      <c r="O5" s="4">
        <v>2.25</v>
      </c>
      <c r="P5" s="5">
        <f t="shared" si="0"/>
        <v>0.58900523560209428</v>
      </c>
      <c r="Q5" s="5">
        <f t="shared" si="1"/>
        <v>0.41099476439790583</v>
      </c>
      <c r="R5" s="4">
        <f>1+8/13</f>
        <v>1.6153846153846154</v>
      </c>
      <c r="S5" s="4">
        <f>1+11/8</f>
        <v>2.375</v>
      </c>
      <c r="T5" s="5">
        <f t="shared" si="2"/>
        <v>0.59518072289156621</v>
      </c>
      <c r="U5" s="6">
        <f t="shared" si="3"/>
        <v>0.40481927710843379</v>
      </c>
      <c r="V5" s="4">
        <v>1.6279999999999999</v>
      </c>
      <c r="W5" s="4">
        <v>2.41</v>
      </c>
      <c r="X5" s="5">
        <f t="shared" si="4"/>
        <v>0.59683011391778118</v>
      </c>
      <c r="Y5" s="5">
        <f t="shared" si="4"/>
        <v>0.40316988608221893</v>
      </c>
      <c r="Z5" t="s">
        <v>25</v>
      </c>
      <c r="AA5" s="3">
        <f>L5-T5</f>
        <v>-0.27118072289156619</v>
      </c>
      <c r="AB5" s="8">
        <f>AB4-AF4+AG4</f>
        <v>107.21071340485601</v>
      </c>
      <c r="AC5" s="4">
        <f>AB5*0.1</f>
        <v>10.721071340485601</v>
      </c>
      <c r="AD5">
        <v>0</v>
      </c>
      <c r="AE5">
        <v>1</v>
      </c>
      <c r="AF5" s="4">
        <f>AE5*AC5*(M5*(S5+1)-1)/S5</f>
        <v>5.784864388560969</v>
      </c>
      <c r="AG5" s="4">
        <f>AD5*AF5*S5</f>
        <v>0</v>
      </c>
      <c r="AH5" s="8">
        <f t="shared" si="5"/>
        <v>-5.784864388560969</v>
      </c>
    </row>
    <row r="6" spans="1:34" x14ac:dyDescent="0.25">
      <c r="A6" s="1">
        <v>43836</v>
      </c>
      <c r="B6" t="s">
        <v>26</v>
      </c>
      <c r="C6" t="s">
        <v>27</v>
      </c>
      <c r="F6" t="s">
        <v>70</v>
      </c>
      <c r="G6" t="s">
        <v>12</v>
      </c>
      <c r="H6">
        <v>49</v>
      </c>
      <c r="I6">
        <v>1941</v>
      </c>
      <c r="J6">
        <v>64</v>
      </c>
      <c r="K6">
        <v>1861</v>
      </c>
      <c r="L6" s="3">
        <v>0.63700000000000001</v>
      </c>
      <c r="M6" s="3">
        <v>0.36299999999999999</v>
      </c>
      <c r="N6" s="4">
        <v>1.3</v>
      </c>
      <c r="O6" s="4">
        <v>3.4</v>
      </c>
      <c r="P6" s="5">
        <f t="shared" si="0"/>
        <v>0.72340425531914887</v>
      </c>
      <c r="Q6" s="5">
        <f t="shared" si="1"/>
        <v>0.27659574468085113</v>
      </c>
      <c r="R6" s="4">
        <f>1+1/3</f>
        <v>1.3333333333333333</v>
      </c>
      <c r="S6" s="4">
        <f>1+12/5</f>
        <v>3.4</v>
      </c>
      <c r="T6" s="5">
        <f t="shared" si="2"/>
        <v>0.71830985915492962</v>
      </c>
      <c r="U6" s="7">
        <f t="shared" si="3"/>
        <v>0.28169014084507049</v>
      </c>
      <c r="V6" s="4">
        <v>1.3740000000000001</v>
      </c>
      <c r="W6" s="4">
        <v>3.31</v>
      </c>
      <c r="X6" s="5">
        <f t="shared" si="4"/>
        <v>0.70666097352690005</v>
      </c>
      <c r="Y6" s="5">
        <f t="shared" si="4"/>
        <v>0.29333902647309995</v>
      </c>
      <c r="Z6" t="s">
        <v>26</v>
      </c>
      <c r="AA6" s="3">
        <f>L6-T6</f>
        <v>-8.1309859154929609E-2</v>
      </c>
      <c r="AB6" s="8">
        <f>AB5-AF5+AG5</f>
        <v>101.42584901629505</v>
      </c>
      <c r="AC6" s="4">
        <f>AB6*0.1</f>
        <v>10.142584901629505</v>
      </c>
      <c r="AD6">
        <v>0</v>
      </c>
      <c r="AE6">
        <v>0</v>
      </c>
      <c r="AF6" s="4">
        <f>AE6*AC6*(M6*(S6+1)-1)/S6</f>
        <v>0</v>
      </c>
      <c r="AG6" s="4">
        <f>AD6*AF6*S6</f>
        <v>0</v>
      </c>
      <c r="AH6" s="8">
        <f t="shared" si="5"/>
        <v>0</v>
      </c>
    </row>
    <row r="7" spans="1:34" x14ac:dyDescent="0.25">
      <c r="A7" s="1">
        <v>43836</v>
      </c>
      <c r="B7" t="s">
        <v>28</v>
      </c>
      <c r="C7" t="s">
        <v>29</v>
      </c>
      <c r="E7">
        <v>6</v>
      </c>
      <c r="F7" t="s">
        <v>70</v>
      </c>
      <c r="G7" t="s">
        <v>12</v>
      </c>
      <c r="H7">
        <v>69</v>
      </c>
      <c r="I7">
        <v>1964</v>
      </c>
      <c r="J7">
        <v>40</v>
      </c>
      <c r="K7">
        <v>1987</v>
      </c>
      <c r="L7" s="3">
        <v>0.47</v>
      </c>
      <c r="M7" s="3">
        <v>0.53</v>
      </c>
      <c r="N7" s="4">
        <v>1.61</v>
      </c>
      <c r="O7" s="4">
        <v>2.2000000000000002</v>
      </c>
      <c r="P7" s="5">
        <f t="shared" si="0"/>
        <v>0.57742782152230976</v>
      </c>
      <c r="Q7" s="5">
        <f t="shared" si="1"/>
        <v>0.42257217847769035</v>
      </c>
      <c r="R7" s="4">
        <f>1+8/11</f>
        <v>1.7272727272727273</v>
      </c>
      <c r="S7" s="4">
        <f>1+23/20</f>
        <v>2.15</v>
      </c>
      <c r="T7" s="5">
        <f t="shared" si="2"/>
        <v>0.55451348182883931</v>
      </c>
      <c r="U7" s="6">
        <f t="shared" si="3"/>
        <v>0.44548651817116058</v>
      </c>
      <c r="V7" s="4">
        <v>1.704</v>
      </c>
      <c r="W7" s="4">
        <v>2.2400000000000002</v>
      </c>
      <c r="X7" s="5">
        <f t="shared" si="4"/>
        <v>0.56795131845841784</v>
      </c>
      <c r="Y7" s="5">
        <f t="shared" si="4"/>
        <v>0.43204868154158205</v>
      </c>
      <c r="Z7" t="s">
        <v>29</v>
      </c>
      <c r="AA7" s="3">
        <f>M7-U7</f>
        <v>8.4513481828839443E-2</v>
      </c>
      <c r="AB7" s="8">
        <f>AB6-AF6+AG6</f>
        <v>101.42584901629505</v>
      </c>
      <c r="AC7" s="4">
        <f>AB7*0.1</f>
        <v>10.142584901629505</v>
      </c>
      <c r="AD7">
        <v>1</v>
      </c>
      <c r="AE7">
        <v>1</v>
      </c>
      <c r="AF7" s="4">
        <f>AE7*AC7*(M7*(S7+1)-1)/S7</f>
        <v>3.158353763553932</v>
      </c>
      <c r="AG7" s="4">
        <f>AD7*AF7*S7</f>
        <v>6.7904605916409535</v>
      </c>
      <c r="AH7" s="8">
        <f t="shared" si="5"/>
        <v>3.6321068280870215</v>
      </c>
    </row>
    <row r="8" spans="1:34" x14ac:dyDescent="0.25">
      <c r="A8" s="1">
        <v>43837</v>
      </c>
      <c r="B8" t="s">
        <v>30</v>
      </c>
      <c r="C8" t="s">
        <v>31</v>
      </c>
      <c r="D8">
        <v>8</v>
      </c>
      <c r="E8" t="s">
        <v>15</v>
      </c>
      <c r="F8" t="s">
        <v>70</v>
      </c>
      <c r="G8" t="s">
        <v>12</v>
      </c>
      <c r="H8">
        <v>47</v>
      </c>
      <c r="I8">
        <v>1909</v>
      </c>
      <c r="J8">
        <v>70</v>
      </c>
      <c r="K8">
        <v>1883</v>
      </c>
      <c r="L8" s="3">
        <v>0.52300000000000002</v>
      </c>
      <c r="M8" s="3">
        <v>0.47699999999999998</v>
      </c>
      <c r="N8" s="4">
        <v>1.72</v>
      </c>
      <c r="O8" s="4">
        <v>2</v>
      </c>
      <c r="P8" s="5">
        <f t="shared" si="0"/>
        <v>0.5376344086021505</v>
      </c>
      <c r="Q8" s="5">
        <f t="shared" si="1"/>
        <v>0.46236559139784938</v>
      </c>
      <c r="R8" s="4">
        <f>1+4/5</f>
        <v>1.8</v>
      </c>
      <c r="S8" s="4">
        <f>1+21/20</f>
        <v>2.0499999999999998</v>
      </c>
      <c r="T8" s="5">
        <f t="shared" si="2"/>
        <v>0.53246753246753242</v>
      </c>
      <c r="U8" s="5">
        <f t="shared" si="3"/>
        <v>0.46753246753246758</v>
      </c>
      <c r="V8" s="4">
        <v>1.806</v>
      </c>
      <c r="W8" s="4">
        <v>2.08</v>
      </c>
      <c r="X8" s="5">
        <f t="shared" si="4"/>
        <v>0.53525476067936184</v>
      </c>
      <c r="Y8" s="5">
        <f t="shared" si="4"/>
        <v>0.46474523932063816</v>
      </c>
      <c r="Z8" t="s">
        <v>31</v>
      </c>
      <c r="AA8" s="3">
        <f>M8-U8</f>
        <v>9.4675324675324024E-3</v>
      </c>
      <c r="AB8" s="8">
        <f>AB7-AF7+AG7</f>
        <v>105.05795584438206</v>
      </c>
      <c r="AC8" s="4">
        <f>AB8*0.1</f>
        <v>10.505795584438207</v>
      </c>
      <c r="AD8">
        <v>0</v>
      </c>
      <c r="AE8">
        <v>0</v>
      </c>
      <c r="AF8" s="4">
        <f>AE8*AC8*(M8*(S8+1)-1)/S8</f>
        <v>0</v>
      </c>
      <c r="AG8" s="4">
        <f>AD8*AF8*S8</f>
        <v>0</v>
      </c>
      <c r="AH8" s="8">
        <f t="shared" si="5"/>
        <v>0</v>
      </c>
    </row>
    <row r="9" spans="1:34" x14ac:dyDescent="0.25">
      <c r="A9" s="1">
        <v>43837</v>
      </c>
      <c r="B9" t="s">
        <v>32</v>
      </c>
      <c r="C9" t="s">
        <v>33</v>
      </c>
      <c r="D9" t="s">
        <v>17</v>
      </c>
      <c r="F9" t="s">
        <v>70</v>
      </c>
      <c r="G9" t="s">
        <v>12</v>
      </c>
      <c r="H9">
        <v>279</v>
      </c>
      <c r="I9">
        <v>1571</v>
      </c>
      <c r="J9">
        <v>67</v>
      </c>
      <c r="K9">
        <v>1832</v>
      </c>
      <c r="L9" s="3">
        <v>0.157</v>
      </c>
      <c r="M9" s="3">
        <v>0.84299999999999997</v>
      </c>
      <c r="N9" s="4">
        <v>4</v>
      </c>
      <c r="O9" s="4">
        <v>1.22</v>
      </c>
      <c r="P9" s="5">
        <f t="shared" si="0"/>
        <v>0.23371647509578541</v>
      </c>
      <c r="Q9" s="5">
        <f t="shared" si="1"/>
        <v>0.76628352490421459</v>
      </c>
      <c r="R9" s="4">
        <f>1+16/5</f>
        <v>4.2</v>
      </c>
      <c r="S9" s="4">
        <f>1+4/17</f>
        <v>1.2352941176470589</v>
      </c>
      <c r="T9" s="5">
        <f t="shared" si="2"/>
        <v>0.22727272727272729</v>
      </c>
      <c r="U9" s="5">
        <f t="shared" si="3"/>
        <v>0.77272727272727271</v>
      </c>
      <c r="V9" s="4">
        <v>4.3099999999999996</v>
      </c>
      <c r="W9" s="4">
        <v>1.246</v>
      </c>
      <c r="X9" s="5">
        <f t="shared" si="4"/>
        <v>0.22426205903527718</v>
      </c>
      <c r="Y9" s="5">
        <f t="shared" si="4"/>
        <v>0.77573794096472282</v>
      </c>
      <c r="Z9" t="s">
        <v>32</v>
      </c>
      <c r="AA9" s="3">
        <f>L9-T9</f>
        <v>-7.0272727272727292E-2</v>
      </c>
      <c r="AB9" s="8">
        <f>AB8-AF8+AG8</f>
        <v>105.05795584438206</v>
      </c>
      <c r="AC9" s="4">
        <f>AB9*0.1</f>
        <v>10.505795584438207</v>
      </c>
      <c r="AD9">
        <v>0</v>
      </c>
      <c r="AE9">
        <v>0</v>
      </c>
      <c r="AF9" s="4">
        <f>AE9*AC9*(M9*(S9+1)-1)/S9</f>
        <v>0</v>
      </c>
      <c r="AG9" s="4">
        <f>AD9*AF9*S9</f>
        <v>0</v>
      </c>
      <c r="AH9" s="8">
        <f t="shared" si="5"/>
        <v>0</v>
      </c>
    </row>
    <row r="10" spans="1:34" x14ac:dyDescent="0.25">
      <c r="A10" s="1">
        <v>43836</v>
      </c>
      <c r="B10" t="s">
        <v>34</v>
      </c>
      <c r="C10" t="s">
        <v>35</v>
      </c>
      <c r="F10" t="s">
        <v>70</v>
      </c>
      <c r="G10" t="s">
        <v>12</v>
      </c>
      <c r="H10">
        <v>62</v>
      </c>
      <c r="I10">
        <v>1869</v>
      </c>
      <c r="J10">
        <v>63</v>
      </c>
      <c r="K10">
        <v>1880</v>
      </c>
      <c r="L10" s="3">
        <v>0.48299999999999998</v>
      </c>
      <c r="M10" s="3">
        <v>0.51700000000000002</v>
      </c>
      <c r="N10" s="4">
        <v>1.66</v>
      </c>
      <c r="O10" s="4">
        <v>2.1</v>
      </c>
      <c r="P10" s="5">
        <f t="shared" si="0"/>
        <v>0.5585106382978724</v>
      </c>
      <c r="Q10" s="5">
        <f t="shared" si="1"/>
        <v>0.4414893617021276</v>
      </c>
      <c r="R10" s="4">
        <f>1+5/8</f>
        <v>1.625</v>
      </c>
      <c r="S10" s="4">
        <f>1+13/10</f>
        <v>2.2999999999999998</v>
      </c>
      <c r="T10" s="5">
        <f t="shared" si="2"/>
        <v>0.5859872611464968</v>
      </c>
      <c r="U10" s="6">
        <f t="shared" si="3"/>
        <v>0.4140127388535032</v>
      </c>
      <c r="V10" s="4">
        <v>1.6619999999999999</v>
      </c>
      <c r="W10" s="4">
        <v>2.34</v>
      </c>
      <c r="X10" s="5">
        <f t="shared" si="4"/>
        <v>0.58470764617691162</v>
      </c>
      <c r="Y10" s="5">
        <f t="shared" si="4"/>
        <v>0.41529235382308849</v>
      </c>
      <c r="Z10" t="s">
        <v>34</v>
      </c>
      <c r="AA10" s="3">
        <f>L10-T10</f>
        <v>-0.10298726114649681</v>
      </c>
      <c r="AB10" s="8">
        <f>AB9-AF9+AG9</f>
        <v>105.05795584438206</v>
      </c>
      <c r="AC10" s="4">
        <f>AB10*0.1</f>
        <v>10.505795584438207</v>
      </c>
      <c r="AD10">
        <v>0</v>
      </c>
      <c r="AE10">
        <v>1</v>
      </c>
      <c r="AF10" s="4">
        <f>AE10*AC10*(M10*(S10+1)-1)/S10</f>
        <v>3.2252792444225293</v>
      </c>
      <c r="AG10" s="4">
        <f>AD10*AF10*S10</f>
        <v>0</v>
      </c>
      <c r="AH10" s="8">
        <f t="shared" si="5"/>
        <v>-3.2252792444225293</v>
      </c>
    </row>
    <row r="11" spans="1:34" x14ac:dyDescent="0.25">
      <c r="A11" s="1">
        <v>43837</v>
      </c>
      <c r="B11" t="s">
        <v>47</v>
      </c>
      <c r="C11" t="s">
        <v>48</v>
      </c>
      <c r="D11">
        <v>5</v>
      </c>
      <c r="F11" t="s">
        <v>70</v>
      </c>
      <c r="G11" t="s">
        <v>12</v>
      </c>
      <c r="H11">
        <v>39</v>
      </c>
      <c r="I11">
        <v>1833</v>
      </c>
      <c r="J11">
        <v>51</v>
      </c>
      <c r="K11">
        <v>1850</v>
      </c>
      <c r="L11" s="3">
        <v>0.39200000000000002</v>
      </c>
      <c r="M11" s="3">
        <v>0.60799999999999998</v>
      </c>
      <c r="N11" s="4">
        <v>3</v>
      </c>
      <c r="O11" s="4">
        <v>1.36</v>
      </c>
      <c r="P11" s="5">
        <f t="shared" si="0"/>
        <v>0.31192660550458717</v>
      </c>
      <c r="Q11" s="5">
        <f t="shared" si="1"/>
        <v>0.68807339449541283</v>
      </c>
      <c r="R11" s="4">
        <f>1+2/1</f>
        <v>3</v>
      </c>
      <c r="S11" s="4">
        <f>1+0.4</f>
        <v>1.4</v>
      </c>
      <c r="T11" s="6">
        <f t="shared" si="2"/>
        <v>0.31818181818181823</v>
      </c>
      <c r="U11" s="7">
        <f t="shared" si="3"/>
        <v>0.68181818181818188</v>
      </c>
      <c r="V11" s="4">
        <v>3.1</v>
      </c>
      <c r="W11" s="4">
        <v>1.4059999999999999</v>
      </c>
      <c r="X11" s="5">
        <f t="shared" si="4"/>
        <v>0.31202840656901909</v>
      </c>
      <c r="Y11" s="5">
        <f t="shared" si="4"/>
        <v>0.68797159343098091</v>
      </c>
      <c r="Z11" t="s">
        <v>47</v>
      </c>
      <c r="AA11" s="3">
        <f>L11-T11</f>
        <v>7.3818181818181783E-2</v>
      </c>
      <c r="AB11" s="8">
        <f>AB10-AF10+AG10</f>
        <v>101.83267659995954</v>
      </c>
      <c r="AC11" s="4">
        <f>AB11*0.1</f>
        <v>10.183267659995956</v>
      </c>
      <c r="AD11">
        <v>1</v>
      </c>
      <c r="AE11">
        <v>1</v>
      </c>
      <c r="AF11" s="4">
        <f>AE11*AC11*(L11*(R11+1)-1)/R11</f>
        <v>1.9280320102925677</v>
      </c>
      <c r="AG11" s="4">
        <f>AD11*AF11*R11</f>
        <v>5.784096030877703</v>
      </c>
      <c r="AH11" s="8">
        <f t="shared" si="5"/>
        <v>3.8560640205851353</v>
      </c>
    </row>
    <row r="12" spans="1:34" x14ac:dyDescent="0.25">
      <c r="A12" s="1">
        <v>43837</v>
      </c>
      <c r="B12" t="s">
        <v>49</v>
      </c>
      <c r="C12" t="s">
        <v>50</v>
      </c>
      <c r="D12" t="s">
        <v>17</v>
      </c>
      <c r="F12" t="s">
        <v>70</v>
      </c>
      <c r="G12" t="s">
        <v>12</v>
      </c>
      <c r="H12">
        <v>75</v>
      </c>
      <c r="I12">
        <v>1770</v>
      </c>
      <c r="J12">
        <v>65</v>
      </c>
      <c r="K12">
        <v>1907</v>
      </c>
      <c r="L12" s="3">
        <v>0.32700000000000001</v>
      </c>
      <c r="M12" s="3">
        <v>0.67300000000000004</v>
      </c>
      <c r="N12" s="4">
        <v>2.37</v>
      </c>
      <c r="O12" s="4">
        <v>1.53</v>
      </c>
      <c r="P12" s="5">
        <f t="shared" si="0"/>
        <v>0.39230769230769236</v>
      </c>
      <c r="Q12" s="5">
        <f t="shared" si="1"/>
        <v>0.60769230769230775</v>
      </c>
      <c r="R12" s="4">
        <f>1+29/20</f>
        <v>2.4500000000000002</v>
      </c>
      <c r="S12" s="4">
        <f>1+4/7</f>
        <v>1.5714285714285714</v>
      </c>
      <c r="T12" s="5">
        <f t="shared" si="2"/>
        <v>0.39076376554174064</v>
      </c>
      <c r="U12" s="5">
        <f t="shared" si="3"/>
        <v>0.60923623445825936</v>
      </c>
      <c r="V12" s="4">
        <v>2.44</v>
      </c>
      <c r="W12" s="4">
        <v>1.6020000000000001</v>
      </c>
      <c r="X12" s="5">
        <f t="shared" si="4"/>
        <v>0.39633844631370607</v>
      </c>
      <c r="Y12" s="5">
        <f t="shared" si="4"/>
        <v>0.60366155368629393</v>
      </c>
      <c r="Z12" t="s">
        <v>50</v>
      </c>
      <c r="AA12" s="3">
        <f>M12-U12</f>
        <v>6.376376554174068E-2</v>
      </c>
      <c r="AB12" s="8">
        <f>AB11-AF11+AG11</f>
        <v>105.68874062054468</v>
      </c>
      <c r="AC12" s="4">
        <f>AB12*0.1</f>
        <v>10.568874062054469</v>
      </c>
      <c r="AD12">
        <v>0</v>
      </c>
      <c r="AE12">
        <v>0</v>
      </c>
      <c r="AF12" s="4">
        <f>AE12*AC12*(L12*(R12+1)-1)/R12</f>
        <v>0</v>
      </c>
      <c r="AG12" s="4">
        <f>AD12*AF12*R12</f>
        <v>0</v>
      </c>
      <c r="AH12" s="8">
        <f t="shared" si="5"/>
        <v>0</v>
      </c>
    </row>
    <row r="13" spans="1:34" x14ac:dyDescent="0.25">
      <c r="A13" s="1">
        <v>43837</v>
      </c>
      <c r="B13" t="s">
        <v>51</v>
      </c>
      <c r="C13" t="s">
        <v>52</v>
      </c>
      <c r="D13" t="s">
        <v>17</v>
      </c>
      <c r="F13" t="s">
        <v>70</v>
      </c>
      <c r="G13" t="s">
        <v>12</v>
      </c>
      <c r="H13">
        <v>229</v>
      </c>
      <c r="I13">
        <v>1727</v>
      </c>
      <c r="J13">
        <v>66</v>
      </c>
      <c r="K13">
        <v>1900</v>
      </c>
      <c r="L13" s="3">
        <v>0.29699999999999999</v>
      </c>
      <c r="M13" s="3">
        <v>0.70299999999999996</v>
      </c>
      <c r="N13" s="4">
        <v>4.5</v>
      </c>
      <c r="O13" s="4">
        <v>1.18</v>
      </c>
      <c r="P13" s="5">
        <f t="shared" si="0"/>
        <v>0.20774647887323938</v>
      </c>
      <c r="Q13" s="5">
        <f t="shared" si="1"/>
        <v>0.79225352112676051</v>
      </c>
      <c r="R13" s="4">
        <f>1+7/2</f>
        <v>4.5</v>
      </c>
      <c r="S13" s="4">
        <f>1+4/19</f>
        <v>1.2105263157894737</v>
      </c>
      <c r="T13" s="6">
        <f t="shared" si="2"/>
        <v>0.21198156682027647</v>
      </c>
      <c r="U13" s="7">
        <f t="shared" si="3"/>
        <v>0.78801843317972353</v>
      </c>
      <c r="V13" s="4">
        <v>4.6399999999999997</v>
      </c>
      <c r="W13" s="4">
        <v>1.222</v>
      </c>
      <c r="X13" s="5">
        <f t="shared" si="4"/>
        <v>0.20846127601501196</v>
      </c>
      <c r="Y13" s="5">
        <f t="shared" si="4"/>
        <v>0.79153872398498804</v>
      </c>
      <c r="Z13" t="s">
        <v>52</v>
      </c>
      <c r="AA13" s="3">
        <f>M13-U13</f>
        <v>-8.5018433179723574E-2</v>
      </c>
      <c r="AB13" s="8">
        <f>AB12-AF12+AG12</f>
        <v>105.68874062054468</v>
      </c>
      <c r="AC13" s="4">
        <f>AB13*0.1</f>
        <v>10.568874062054469</v>
      </c>
      <c r="AD13">
        <v>0</v>
      </c>
      <c r="AE13">
        <v>1</v>
      </c>
      <c r="AF13" s="4">
        <f>AE13*AC13*(L13*(R13+1)-1)/R13</f>
        <v>1.4878626040692235</v>
      </c>
      <c r="AG13" s="4">
        <f>AD13*AF13*R13</f>
        <v>0</v>
      </c>
      <c r="AH13" s="8">
        <f t="shared" si="5"/>
        <v>-1.4878626040692235</v>
      </c>
    </row>
    <row r="14" spans="1:34" x14ac:dyDescent="0.25">
      <c r="A14" s="1">
        <v>43837</v>
      </c>
      <c r="B14" t="s">
        <v>13</v>
      </c>
      <c r="C14" t="s">
        <v>18</v>
      </c>
      <c r="D14">
        <v>1</v>
      </c>
      <c r="F14" t="s">
        <v>5</v>
      </c>
      <c r="G14" t="s">
        <v>12</v>
      </c>
      <c r="H14">
        <v>15</v>
      </c>
      <c r="I14">
        <v>2114</v>
      </c>
      <c r="J14">
        <v>54</v>
      </c>
      <c r="K14">
        <v>1967</v>
      </c>
      <c r="L14" s="3">
        <v>0.70299999999999996</v>
      </c>
      <c r="M14" s="3">
        <v>0.29699999999999999</v>
      </c>
      <c r="R14" s="4">
        <f>1+1/3</f>
        <v>1.3333333333333333</v>
      </c>
      <c r="S14" s="4">
        <f>1+12/5</f>
        <v>3.4</v>
      </c>
      <c r="T14" s="7">
        <f t="shared" si="2"/>
        <v>0.71830985915492962</v>
      </c>
      <c r="U14" s="7">
        <f t="shared" si="3"/>
        <v>0.28169014084507049</v>
      </c>
      <c r="Z14" t="s">
        <v>13</v>
      </c>
      <c r="AA14" s="3">
        <f>L14-T14</f>
        <v>-1.5309859154929661E-2</v>
      </c>
      <c r="AB14" s="8">
        <f>AB13-AF13+AG13</f>
        <v>104.20087801647546</v>
      </c>
      <c r="AC14" s="4">
        <f>AB14*0.1</f>
        <v>10.420087801647547</v>
      </c>
      <c r="AD14">
        <v>0</v>
      </c>
      <c r="AE14">
        <v>0</v>
      </c>
      <c r="AF14" s="4">
        <f>AE14*AC14*(L14*(R14+1)-1)/R14</f>
        <v>0</v>
      </c>
      <c r="AG14" s="4">
        <f>AD14*AF14*R14</f>
        <v>0</v>
      </c>
      <c r="AH14" s="8">
        <f t="shared" si="5"/>
        <v>0</v>
      </c>
    </row>
    <row r="15" spans="1:34" x14ac:dyDescent="0.25">
      <c r="A15" s="1">
        <v>43837</v>
      </c>
      <c r="B15" t="s">
        <v>20</v>
      </c>
      <c r="C15" t="s">
        <v>21</v>
      </c>
      <c r="F15" t="s">
        <v>5</v>
      </c>
      <c r="G15" t="s">
        <v>12</v>
      </c>
      <c r="H15">
        <v>58</v>
      </c>
      <c r="I15">
        <v>1927</v>
      </c>
      <c r="J15">
        <v>55</v>
      </c>
      <c r="K15">
        <v>1849</v>
      </c>
      <c r="L15" s="3">
        <v>0.55500000000000005</v>
      </c>
      <c r="M15" s="3">
        <v>0.44500000000000001</v>
      </c>
      <c r="R15" s="4">
        <f>1+5/6</f>
        <v>1.8333333333333335</v>
      </c>
      <c r="S15" s="4">
        <f>1+1</f>
        <v>2</v>
      </c>
      <c r="T15" s="7">
        <f t="shared" si="2"/>
        <v>0.52173913043478259</v>
      </c>
      <c r="U15" s="7">
        <f t="shared" si="3"/>
        <v>0.47826086956521741</v>
      </c>
      <c r="Z15" t="s">
        <v>20</v>
      </c>
      <c r="AA15" s="3">
        <f>L15-T15</f>
        <v>3.3260869565217455E-2</v>
      </c>
      <c r="AB15" s="8">
        <f>AB14-AF14+AG14</f>
        <v>104.20087801647546</v>
      </c>
      <c r="AC15" s="4">
        <f>AB15*0.1</f>
        <v>10.420087801647547</v>
      </c>
      <c r="AD15">
        <v>0</v>
      </c>
      <c r="AE15">
        <v>0</v>
      </c>
      <c r="AF15" s="4">
        <f>AE15*AC15*(L15*(R15+1)-1)/R15</f>
        <v>0</v>
      </c>
      <c r="AG15" s="4">
        <f>AD15*AF15*R15</f>
        <v>0</v>
      </c>
      <c r="AH15" s="8">
        <f t="shared" si="5"/>
        <v>0</v>
      </c>
    </row>
    <row r="16" spans="1:34" x14ac:dyDescent="0.25">
      <c r="A16" s="1">
        <v>43838</v>
      </c>
      <c r="B16" t="s">
        <v>71</v>
      </c>
      <c r="C16" t="s">
        <v>72</v>
      </c>
      <c r="E16" t="s">
        <v>15</v>
      </c>
      <c r="F16" t="s">
        <v>5</v>
      </c>
      <c r="G16" t="s">
        <v>12</v>
      </c>
      <c r="H16">
        <v>32</v>
      </c>
      <c r="I16">
        <v>2063</v>
      </c>
      <c r="J16">
        <v>81</v>
      </c>
      <c r="K16">
        <v>1762</v>
      </c>
      <c r="L16" s="3">
        <v>0.80799999999999994</v>
      </c>
      <c r="M16" s="3">
        <v>0.192</v>
      </c>
      <c r="R16" s="4">
        <f>1+5/16</f>
        <v>1.3125</v>
      </c>
      <c r="S16" s="4">
        <f>1+12/5</f>
        <v>3.4</v>
      </c>
      <c r="T16" s="6">
        <f t="shared" si="2"/>
        <v>0.72148541114058351</v>
      </c>
      <c r="U16" s="7">
        <f t="shared" si="3"/>
        <v>0.27851458885941649</v>
      </c>
      <c r="Z16" t="s">
        <v>72</v>
      </c>
      <c r="AA16" s="3">
        <f>M16-U16</f>
        <v>-8.6514588859416486E-2</v>
      </c>
      <c r="AB16" s="8">
        <f>AB15-AF15+AG15</f>
        <v>104.20087801647546</v>
      </c>
      <c r="AC16" s="4">
        <f>AB16*0.1</f>
        <v>10.420087801647547</v>
      </c>
      <c r="AD16">
        <v>0</v>
      </c>
      <c r="AE16">
        <v>1</v>
      </c>
      <c r="AF16" s="4">
        <f>AE16*AC16*(L16*(R16+1)-1)/R16</f>
        <v>6.8951209567473466</v>
      </c>
      <c r="AG16" s="4">
        <f>AD16*AF16*R16</f>
        <v>0</v>
      </c>
      <c r="AH16" s="8">
        <f t="shared" si="5"/>
        <v>-6.8951209567473466</v>
      </c>
    </row>
    <row r="17" spans="1:34" x14ac:dyDescent="0.25">
      <c r="A17" s="1">
        <v>43838</v>
      </c>
      <c r="B17" t="s">
        <v>26</v>
      </c>
      <c r="C17" t="s">
        <v>29</v>
      </c>
      <c r="E17">
        <v>6</v>
      </c>
      <c r="F17" t="s">
        <v>5</v>
      </c>
      <c r="G17" t="s">
        <v>12</v>
      </c>
      <c r="H17">
        <v>49</v>
      </c>
      <c r="I17">
        <v>1941</v>
      </c>
      <c r="J17">
        <v>40</v>
      </c>
      <c r="K17">
        <v>1987</v>
      </c>
      <c r="L17" s="3">
        <v>0.42799999999999999</v>
      </c>
      <c r="M17" s="3">
        <v>0.57200000000000006</v>
      </c>
      <c r="R17" s="4">
        <f>1+27/20</f>
        <v>2.35</v>
      </c>
      <c r="S17" s="4">
        <f>1+8/13</f>
        <v>1.6153846153846154</v>
      </c>
      <c r="T17" s="7">
        <f t="shared" si="2"/>
        <v>0.40737148399612022</v>
      </c>
      <c r="U17" s="7">
        <f t="shared" si="3"/>
        <v>0.59262851600387978</v>
      </c>
      <c r="Z17" t="s">
        <v>26</v>
      </c>
      <c r="AA17" s="3">
        <f>L17-T17</f>
        <v>2.0628516003879771E-2</v>
      </c>
      <c r="AB17" s="8">
        <f>AB16-AF16+AG16</f>
        <v>97.305757059728109</v>
      </c>
      <c r="AC17" s="4">
        <f>AB17*0.1</f>
        <v>9.7305757059728109</v>
      </c>
      <c r="AD17">
        <v>0</v>
      </c>
      <c r="AE17">
        <v>0</v>
      </c>
      <c r="AF17" s="4">
        <f>AE17*AC17*(L17*(R17+1)-1)/R17</f>
        <v>0</v>
      </c>
      <c r="AG17" s="4">
        <f>AD17*AF17*R17</f>
        <v>0</v>
      </c>
      <c r="AH17" s="8">
        <f t="shared" si="5"/>
        <v>0</v>
      </c>
    </row>
    <row r="18" spans="1:34" x14ac:dyDescent="0.25">
      <c r="A18" s="1">
        <v>43838</v>
      </c>
      <c r="B18" t="s">
        <v>31</v>
      </c>
      <c r="C18" t="s">
        <v>32</v>
      </c>
      <c r="D18" t="s">
        <v>15</v>
      </c>
      <c r="E18" t="s">
        <v>17</v>
      </c>
      <c r="F18" t="s">
        <v>5</v>
      </c>
      <c r="G18" t="s">
        <v>12</v>
      </c>
      <c r="H18">
        <v>70</v>
      </c>
      <c r="I18">
        <v>1883</v>
      </c>
      <c r="J18">
        <v>279</v>
      </c>
      <c r="K18">
        <v>1571</v>
      </c>
      <c r="L18" s="3">
        <v>0.81299999999999994</v>
      </c>
      <c r="M18" s="3">
        <v>0.187</v>
      </c>
      <c r="R18" s="4">
        <f>1+2/11</f>
        <v>1.1818181818181819</v>
      </c>
      <c r="S18" s="4">
        <f>1+4</f>
        <v>5</v>
      </c>
      <c r="T18" s="7">
        <f t="shared" ref="T18:T21" si="6">1-R18/($R18+$S18)</f>
        <v>0.80882352941176472</v>
      </c>
      <c r="U18" s="7">
        <f t="shared" ref="U18:U22" si="7">1-S18/($R18+$S18)</f>
        <v>0.19117647058823528</v>
      </c>
      <c r="Z18" t="s">
        <v>31</v>
      </c>
      <c r="AA18" s="3">
        <f>L18-T18</f>
        <v>4.176470588235226E-3</v>
      </c>
      <c r="AB18" s="8">
        <f>AB17-AF17+AG17</f>
        <v>97.305757059728109</v>
      </c>
      <c r="AC18" s="4">
        <f>AB18*0.1</f>
        <v>9.7305757059728109</v>
      </c>
      <c r="AD18">
        <v>0</v>
      </c>
      <c r="AE18">
        <v>0</v>
      </c>
      <c r="AF18" s="4">
        <f>AE18*AC18*(L18*(R18+1)-1)/R18</f>
        <v>0</v>
      </c>
      <c r="AG18" s="4">
        <f>AD18*AF18*R18</f>
        <v>0</v>
      </c>
      <c r="AH18" s="8">
        <f t="shared" si="5"/>
        <v>0</v>
      </c>
    </row>
    <row r="19" spans="1:34" x14ac:dyDescent="0.25">
      <c r="A19" s="1">
        <v>43838</v>
      </c>
      <c r="B19" t="s">
        <v>34</v>
      </c>
      <c r="C19" t="s">
        <v>78</v>
      </c>
      <c r="E19">
        <v>3</v>
      </c>
      <c r="F19" t="s">
        <v>5</v>
      </c>
      <c r="G19" t="s">
        <v>12</v>
      </c>
      <c r="H19">
        <v>62</v>
      </c>
      <c r="I19">
        <v>1869</v>
      </c>
      <c r="J19">
        <v>30</v>
      </c>
      <c r="K19">
        <v>2063</v>
      </c>
      <c r="L19" s="3">
        <v>0.27699999999999997</v>
      </c>
      <c r="M19" s="3">
        <v>0.72299999999999998</v>
      </c>
      <c r="R19" s="4">
        <f>1+31/20</f>
        <v>2.5499999999999998</v>
      </c>
      <c r="S19" s="4">
        <f>1+8/15</f>
        <v>1.5333333333333332</v>
      </c>
      <c r="T19" s="7">
        <f t="shared" si="6"/>
        <v>0.3755102040816326</v>
      </c>
      <c r="U19" s="6">
        <f t="shared" si="7"/>
        <v>0.62448979591836729</v>
      </c>
      <c r="Z19" t="s">
        <v>34</v>
      </c>
      <c r="AA19" s="3">
        <f>L19-T19</f>
        <v>-9.8510204081632635E-2</v>
      </c>
      <c r="AB19" s="8">
        <f>AB18-AF18+AG18</f>
        <v>97.305757059728109</v>
      </c>
      <c r="AC19" s="4">
        <f>AB19*0.1</f>
        <v>9.7305757059728109</v>
      </c>
      <c r="AD19">
        <v>0</v>
      </c>
      <c r="AE19">
        <v>1</v>
      </c>
      <c r="AF19" s="4">
        <f>AE19*AC19*(M19*(S19+1)-1)/S19</f>
        <v>5.277356580708906</v>
      </c>
      <c r="AG19" s="4">
        <f>AD19*AF19*R19</f>
        <v>0</v>
      </c>
      <c r="AH19" s="8">
        <f t="shared" si="5"/>
        <v>-5.277356580708906</v>
      </c>
    </row>
    <row r="20" spans="1:34" x14ac:dyDescent="0.25">
      <c r="A20" s="1">
        <v>43838</v>
      </c>
      <c r="B20" t="s">
        <v>47</v>
      </c>
      <c r="C20" t="s">
        <v>50</v>
      </c>
      <c r="D20">
        <v>5</v>
      </c>
      <c r="F20" t="s">
        <v>5</v>
      </c>
      <c r="G20" t="s">
        <v>12</v>
      </c>
      <c r="H20">
        <v>39</v>
      </c>
      <c r="I20">
        <v>1833</v>
      </c>
      <c r="J20">
        <v>65</v>
      </c>
      <c r="K20">
        <v>1907</v>
      </c>
      <c r="L20" s="3">
        <v>0.38799999999999996</v>
      </c>
      <c r="M20" s="3">
        <v>0.61199999999999999</v>
      </c>
      <c r="R20" s="4">
        <f>1+21/10</f>
        <v>3.1</v>
      </c>
      <c r="S20" s="4">
        <f>1+5/13</f>
        <v>1.3846153846153846</v>
      </c>
      <c r="T20" s="7">
        <f t="shared" si="6"/>
        <v>0.30874785591766718</v>
      </c>
      <c r="U20" s="7">
        <f t="shared" si="7"/>
        <v>0.69125214408233271</v>
      </c>
      <c r="Z20" t="s">
        <v>50</v>
      </c>
      <c r="AA20" s="3">
        <f>M20-U20</f>
        <v>-7.9252144082332721E-2</v>
      </c>
      <c r="AB20" s="8">
        <f>AB19-AF19+AG19</f>
        <v>92.028400479019197</v>
      </c>
      <c r="AC20" s="4">
        <f>AB20*0.1</f>
        <v>9.2028400479019208</v>
      </c>
      <c r="AD20">
        <v>0</v>
      </c>
      <c r="AE20">
        <v>0</v>
      </c>
      <c r="AF20" s="4">
        <f>AE20*AC20*(M20*(S20+1)-1)/S20</f>
        <v>0</v>
      </c>
      <c r="AG20" s="4">
        <f>AD20*AF20*R20</f>
        <v>0</v>
      </c>
      <c r="AH20" s="8">
        <f t="shared" si="5"/>
        <v>0</v>
      </c>
    </row>
    <row r="21" spans="1:34" x14ac:dyDescent="0.25">
      <c r="A21" s="1">
        <v>43838</v>
      </c>
      <c r="B21" t="s">
        <v>52</v>
      </c>
      <c r="C21" t="s">
        <v>79</v>
      </c>
      <c r="E21">
        <v>2</v>
      </c>
      <c r="F21" t="s">
        <v>5</v>
      </c>
      <c r="G21" t="s">
        <v>12</v>
      </c>
      <c r="H21">
        <v>66</v>
      </c>
      <c r="I21">
        <v>1900</v>
      </c>
      <c r="J21">
        <v>23</v>
      </c>
      <c r="K21">
        <v>2071</v>
      </c>
      <c r="L21" s="3">
        <v>0.33399999999999996</v>
      </c>
      <c r="M21" s="3">
        <v>0.66599999999999993</v>
      </c>
      <c r="R21" s="4">
        <f>1+11/4</f>
        <v>3.75</v>
      </c>
      <c r="S21" s="4">
        <f>1+5/18</f>
        <v>1.2777777777777777</v>
      </c>
      <c r="T21" s="7">
        <f>1-R21/($R21+$S21)</f>
        <v>0.2541436464088398</v>
      </c>
      <c r="U21" s="7">
        <f t="shared" si="7"/>
        <v>0.7458563535911602</v>
      </c>
      <c r="Z21" t="s">
        <v>79</v>
      </c>
      <c r="AA21" s="3">
        <f>M21-U21</f>
        <v>-7.9856353591160278E-2</v>
      </c>
      <c r="AB21" s="8">
        <f>AB20-AF20+AG20</f>
        <v>92.028400479019197</v>
      </c>
      <c r="AC21" s="4">
        <f>AB21*0.1</f>
        <v>9.2028400479019208</v>
      </c>
      <c r="AD21">
        <v>0</v>
      </c>
      <c r="AE21">
        <v>0</v>
      </c>
      <c r="AF21" s="4">
        <f>AE21*AC21*(M21*(S21+1)-1)/S21</f>
        <v>0</v>
      </c>
      <c r="AG21" s="4">
        <f>AD21*AF21*R21</f>
        <v>0</v>
      </c>
      <c r="AH21" s="8">
        <f t="shared" si="5"/>
        <v>0</v>
      </c>
    </row>
    <row r="22" spans="1:34" x14ac:dyDescent="0.25">
      <c r="A22" s="1">
        <v>43839</v>
      </c>
      <c r="B22" t="s">
        <v>13</v>
      </c>
      <c r="C22" t="s">
        <v>20</v>
      </c>
      <c r="D22">
        <v>1</v>
      </c>
      <c r="F22" t="s">
        <v>6</v>
      </c>
      <c r="G22" t="s">
        <v>12</v>
      </c>
      <c r="H22">
        <v>15</v>
      </c>
      <c r="I22">
        <v>2119</v>
      </c>
      <c r="J22">
        <v>58</v>
      </c>
      <c r="K22">
        <v>1940</v>
      </c>
      <c r="L22" s="3">
        <v>0.73</v>
      </c>
      <c r="M22" s="3">
        <v>0.27</v>
      </c>
      <c r="R22" s="4">
        <f>1+4/11</f>
        <v>1.3636363636363638</v>
      </c>
      <c r="S22" s="4">
        <f>1+11/5</f>
        <v>3.2</v>
      </c>
      <c r="T22" s="7">
        <f>1-R22/($R22+$S22)</f>
        <v>0.70119521912350602</v>
      </c>
      <c r="U22" s="7">
        <f t="shared" si="7"/>
        <v>0.29880478087649409</v>
      </c>
      <c r="AH22" s="8">
        <f t="shared" si="5"/>
        <v>0</v>
      </c>
    </row>
    <row r="23" spans="1:34" x14ac:dyDescent="0.25">
      <c r="A23" s="1">
        <v>43839</v>
      </c>
      <c r="B23" t="s">
        <v>72</v>
      </c>
      <c r="C23" t="s">
        <v>26</v>
      </c>
      <c r="F23" t="s">
        <v>6</v>
      </c>
      <c r="G23" t="s">
        <v>12</v>
      </c>
      <c r="H23">
        <v>81</v>
      </c>
      <c r="I23">
        <v>1807</v>
      </c>
      <c r="J23">
        <v>49</v>
      </c>
      <c r="K23">
        <v>1958</v>
      </c>
      <c r="L23" s="3">
        <v>0.311</v>
      </c>
      <c r="M23" s="3">
        <v>0.68900000000000006</v>
      </c>
      <c r="R23" s="4">
        <f>1+11/8</f>
        <v>2.375</v>
      </c>
      <c r="S23" s="4">
        <f>1+3/5</f>
        <v>1.6</v>
      </c>
      <c r="T23" s="7">
        <f t="shared" ref="T23:T25" si="8">1-R23/($R23+$S23)</f>
        <v>0.40251572327044027</v>
      </c>
      <c r="U23" s="6">
        <f t="shared" ref="U23:U25" si="9">1-S23/($R23+$S23)</f>
        <v>0.59748427672955973</v>
      </c>
    </row>
    <row r="24" spans="1:34" x14ac:dyDescent="0.25">
      <c r="A24" s="1">
        <v>43839</v>
      </c>
      <c r="B24" t="s">
        <v>31</v>
      </c>
      <c r="C24" t="s">
        <v>34</v>
      </c>
      <c r="F24" t="s">
        <v>6</v>
      </c>
      <c r="G24" t="s">
        <v>12</v>
      </c>
      <c r="H24">
        <v>70</v>
      </c>
      <c r="I24">
        <v>1898</v>
      </c>
      <c r="J24">
        <v>62</v>
      </c>
      <c r="K24">
        <v>1895</v>
      </c>
      <c r="L24" s="3">
        <v>0.53200000000000003</v>
      </c>
      <c r="M24" s="3">
        <v>0.46799999999999997</v>
      </c>
      <c r="R24" s="4">
        <f>1+11/8</f>
        <v>2.375</v>
      </c>
      <c r="S24" s="4">
        <f>1+3/5</f>
        <v>1.6</v>
      </c>
      <c r="T24" s="6">
        <f t="shared" si="8"/>
        <v>0.40251572327044027</v>
      </c>
      <c r="U24" s="7">
        <f t="shared" si="9"/>
        <v>0.59748427672955973</v>
      </c>
    </row>
    <row r="25" spans="1:34" x14ac:dyDescent="0.25">
      <c r="A25" s="1">
        <v>43839</v>
      </c>
      <c r="B25" t="s">
        <v>50</v>
      </c>
      <c r="C25" t="s">
        <v>79</v>
      </c>
      <c r="E25">
        <v>2</v>
      </c>
      <c r="F25" t="s">
        <v>6</v>
      </c>
      <c r="G25" t="s">
        <v>12</v>
      </c>
      <c r="H25">
        <v>65</v>
      </c>
      <c r="I25">
        <v>1921</v>
      </c>
      <c r="J25">
        <v>23</v>
      </c>
      <c r="K25">
        <v>2076</v>
      </c>
      <c r="L25" s="3">
        <v>0.28499999999999998</v>
      </c>
      <c r="M25" s="3">
        <v>0.71499999999999997</v>
      </c>
      <c r="R25" s="4">
        <f>1+17/5</f>
        <v>4.4000000000000004</v>
      </c>
      <c r="S25" s="4">
        <f>1+2/9</f>
        <v>1.2222222222222223</v>
      </c>
      <c r="T25" s="7">
        <f t="shared" si="8"/>
        <v>0.21739130434782605</v>
      </c>
      <c r="U25" s="7">
        <f t="shared" si="9"/>
        <v>0.78260869565217395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9B7416D8C7754FB05D4D90506C7433" ma:contentTypeVersion="12" ma:contentTypeDescription="Create a new document." ma:contentTypeScope="" ma:versionID="7d0652e4acfb43d23dfd7d813b6289be">
  <xsd:schema xmlns:xsd="http://www.w3.org/2001/XMLSchema" xmlns:xs="http://www.w3.org/2001/XMLSchema" xmlns:p="http://schemas.microsoft.com/office/2006/metadata/properties" xmlns:ns3="037c7472-e586-468d-894c-bc66d7a27379" xmlns:ns4="88afbd3d-f80b-41ff-8c77-8d345550c47d" targetNamespace="http://schemas.microsoft.com/office/2006/metadata/properties" ma:root="true" ma:fieldsID="558f9e57fa018d1278ffb61f57d56dca" ns3:_="" ns4:_="">
    <xsd:import namespace="037c7472-e586-468d-894c-bc66d7a27379"/>
    <xsd:import namespace="88afbd3d-f80b-41ff-8c77-8d345550c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c7472-e586-468d-894c-bc66d7a27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fbd3d-f80b-41ff-8c77-8d345550c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17CAA7-D68F-4DF6-98CA-C7D389E4B74E}">
  <ds:schemaRefs>
    <ds:schemaRef ds:uri="http://purl.org/dc/terms/"/>
    <ds:schemaRef ds:uri="88afbd3d-f80b-41ff-8c77-8d345550c47d"/>
    <ds:schemaRef ds:uri="http://schemas.microsoft.com/office/2006/documentManagement/types"/>
    <ds:schemaRef ds:uri="http://purl.org/dc/elements/1.1/"/>
    <ds:schemaRef ds:uri="http://schemas.microsoft.com/office/2006/metadata/properties"/>
    <ds:schemaRef ds:uri="037c7472-e586-468d-894c-bc66d7a2737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735643-A131-4AEB-B7D6-D07F31D8A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DDAD42-1667-48B6-94EC-209BD93F4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7c7472-e586-468d-894c-bc66d7a27379"/>
    <ds:schemaRef ds:uri="88afbd3d-f80b-41ff-8c77-8d345550c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Tournament Win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Liu</dc:creator>
  <cp:lastModifiedBy>Robert Liu</cp:lastModifiedBy>
  <dcterms:created xsi:type="dcterms:W3CDTF">2020-01-06T08:11:52Z</dcterms:created>
  <dcterms:modified xsi:type="dcterms:W3CDTF">2020-01-09T14:53:18Z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0x0101001F9B7416D8C7754FB05D4D90506C7433</vt:lpwstr>
  </property>
</Properties>
</file>