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robertliu/Downloads/"/>
    </mc:Choice>
  </mc:AlternateContent>
  <bookViews>
    <workbookView xWindow="1040" yWindow="720" windowWidth="51200" windowHeight="28340" activeTab="1"/>
  </bookViews>
  <sheets>
    <sheet name="Tournament Win" sheetId="1" r:id="rId1"/>
    <sheet name="Match" sheetId="2" r:id="rId2"/>
  </sheets>
  <definedNames>
    <definedName name="_xlnm._FilterDatabase" localSheetId="1" hidden="1">Match!$A$1:$AH$51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3" i="2" l="1"/>
  <c r="Q54" i="2"/>
  <c r="Q55" i="2"/>
  <c r="Q56" i="2"/>
  <c r="Q57" i="2"/>
  <c r="Q58" i="2"/>
  <c r="Q59" i="2"/>
  <c r="P53" i="2"/>
  <c r="P54" i="2"/>
  <c r="P55" i="2"/>
  <c r="P56" i="2"/>
  <c r="P57" i="2"/>
  <c r="P58" i="2"/>
  <c r="P59" i="2"/>
  <c r="P52" i="2"/>
  <c r="Q52" i="2"/>
  <c r="U43" i="2"/>
  <c r="T43" i="2"/>
  <c r="Z42" i="2"/>
  <c r="Y42" i="2"/>
  <c r="X42" i="2"/>
  <c r="U42" i="2"/>
  <c r="T42" i="2"/>
  <c r="X41" i="2"/>
  <c r="Y41" i="2"/>
  <c r="Z41" i="2"/>
  <c r="U41" i="2"/>
  <c r="T41" i="2"/>
  <c r="Y40" i="2"/>
  <c r="X40" i="2"/>
  <c r="Z40" i="2"/>
  <c r="U40" i="2"/>
  <c r="T40" i="2"/>
  <c r="Z39" i="2"/>
  <c r="Y39" i="2"/>
  <c r="X39" i="2"/>
  <c r="U39" i="2"/>
  <c r="T39" i="2"/>
  <c r="Y38" i="2"/>
  <c r="Z38" i="2"/>
  <c r="X38" i="2"/>
  <c r="U38" i="2"/>
  <c r="T38" i="2"/>
  <c r="X37" i="2"/>
  <c r="Y37" i="2"/>
  <c r="Z37" i="2"/>
  <c r="U37" i="2"/>
  <c r="T37" i="2"/>
  <c r="Z36" i="2"/>
  <c r="Y36" i="2"/>
  <c r="X36" i="2"/>
  <c r="U36" i="2"/>
  <c r="T36" i="2"/>
  <c r="Z35" i="2"/>
  <c r="Y35" i="2"/>
  <c r="X35" i="2"/>
  <c r="U35" i="2"/>
  <c r="T35" i="2"/>
  <c r="Z34" i="2"/>
  <c r="Y34" i="2"/>
  <c r="X34" i="2"/>
  <c r="U34" i="2"/>
  <c r="T34" i="2"/>
  <c r="X33" i="2"/>
  <c r="Y33" i="2"/>
  <c r="Z33" i="2"/>
  <c r="U33" i="2"/>
  <c r="T33" i="2"/>
  <c r="Z32" i="2"/>
  <c r="Y32" i="2"/>
  <c r="X32" i="2"/>
  <c r="U32" i="2"/>
  <c r="T32" i="2"/>
  <c r="U2" i="2"/>
  <c r="O2" i="2"/>
  <c r="X2" i="2"/>
  <c r="Y2" i="2"/>
  <c r="T3" i="2"/>
  <c r="U3" i="2"/>
  <c r="O3" i="2"/>
  <c r="X3" i="2"/>
  <c r="Y3" i="2"/>
  <c r="T4" i="2"/>
  <c r="U4" i="2"/>
  <c r="O4" i="2"/>
  <c r="X4" i="2"/>
  <c r="Y4" i="2"/>
  <c r="T5" i="2"/>
  <c r="U5" i="2"/>
  <c r="O5" i="2"/>
  <c r="X5" i="2"/>
  <c r="Y5" i="2"/>
  <c r="T6" i="2"/>
  <c r="U6" i="2"/>
  <c r="O6" i="2"/>
  <c r="X6" i="2"/>
  <c r="Y6" i="2"/>
  <c r="T7" i="2"/>
  <c r="U7" i="2"/>
  <c r="O7" i="2"/>
  <c r="X7" i="2"/>
  <c r="Y7" i="2"/>
  <c r="T8" i="2"/>
  <c r="U8" i="2"/>
  <c r="O8" i="2"/>
  <c r="X8" i="2"/>
  <c r="Y8" i="2"/>
  <c r="T9" i="2"/>
  <c r="U9" i="2"/>
  <c r="O9" i="2"/>
  <c r="X9" i="2"/>
  <c r="Y9" i="2"/>
  <c r="T10" i="2"/>
  <c r="U10" i="2"/>
  <c r="O10" i="2"/>
  <c r="X10" i="2"/>
  <c r="Y10" i="2"/>
  <c r="T11" i="2"/>
  <c r="U11" i="2"/>
  <c r="N11" i="2"/>
  <c r="X11" i="2"/>
  <c r="Y11" i="2"/>
  <c r="T12" i="2"/>
  <c r="U12" i="2"/>
  <c r="N12" i="2"/>
  <c r="X12" i="2"/>
  <c r="Y12" i="2"/>
  <c r="T13" i="2"/>
  <c r="U13" i="2"/>
  <c r="N13" i="2"/>
  <c r="X13" i="2"/>
  <c r="Y13" i="2"/>
  <c r="T14" i="2"/>
  <c r="U14" i="2"/>
  <c r="N14" i="2"/>
  <c r="X14" i="2"/>
  <c r="Y14" i="2"/>
  <c r="T15" i="2"/>
  <c r="U15" i="2"/>
  <c r="N15" i="2"/>
  <c r="X15" i="2"/>
  <c r="Y15" i="2"/>
  <c r="T16" i="2"/>
  <c r="U16" i="2"/>
  <c r="N16" i="2"/>
  <c r="X16" i="2"/>
  <c r="Y16" i="2"/>
  <c r="T17" i="2"/>
  <c r="U17" i="2"/>
  <c r="N17" i="2"/>
  <c r="X17" i="2"/>
  <c r="Y17" i="2"/>
  <c r="T18" i="2"/>
  <c r="U18" i="2"/>
  <c r="N18" i="2"/>
  <c r="X18" i="2"/>
  <c r="Y18" i="2"/>
  <c r="T19" i="2"/>
  <c r="U19" i="2"/>
  <c r="O19" i="2"/>
  <c r="X19" i="2"/>
  <c r="N19" i="2"/>
  <c r="Y19" i="2"/>
  <c r="T20" i="2"/>
  <c r="U20" i="2"/>
  <c r="O20" i="2"/>
  <c r="X20" i="2"/>
  <c r="N20" i="2"/>
  <c r="Y20" i="2"/>
  <c r="T21" i="2"/>
  <c r="U21" i="2"/>
  <c r="O21" i="2"/>
  <c r="X21" i="2"/>
  <c r="N21" i="2"/>
  <c r="Y21" i="2"/>
  <c r="T22" i="2"/>
  <c r="U22" i="2"/>
  <c r="O22" i="2"/>
  <c r="X22" i="2"/>
  <c r="N22" i="2"/>
  <c r="Y22" i="2"/>
  <c r="T23" i="2"/>
  <c r="U23" i="2"/>
  <c r="O23" i="2"/>
  <c r="X23" i="2"/>
  <c r="N23" i="2"/>
  <c r="Y23" i="2"/>
  <c r="T24" i="2"/>
  <c r="U24" i="2"/>
  <c r="N24" i="2"/>
  <c r="X24" i="2"/>
  <c r="Y24" i="2"/>
  <c r="T25" i="2"/>
  <c r="U25" i="2"/>
  <c r="O25" i="2"/>
  <c r="X25" i="2"/>
  <c r="N25" i="2"/>
  <c r="Y25" i="2"/>
  <c r="T26" i="2"/>
  <c r="U26" i="2"/>
  <c r="X26" i="2"/>
  <c r="Y26" i="2"/>
  <c r="T27" i="2"/>
  <c r="U27" i="2"/>
  <c r="O27" i="2"/>
  <c r="X27" i="2"/>
  <c r="Y27" i="2"/>
  <c r="T28" i="2"/>
  <c r="U28" i="2"/>
  <c r="X28" i="2"/>
  <c r="Y28" i="2"/>
  <c r="T29" i="2"/>
  <c r="U29" i="2"/>
  <c r="N29" i="2"/>
  <c r="X29" i="2"/>
  <c r="Y29" i="2"/>
  <c r="T30" i="2"/>
  <c r="U30" i="2"/>
  <c r="O30" i="2"/>
  <c r="X30" i="2"/>
  <c r="Y30" i="2"/>
  <c r="T31" i="2"/>
  <c r="U31" i="2"/>
  <c r="O31" i="2"/>
  <c r="X31" i="2"/>
  <c r="Y31" i="2"/>
  <c r="Z31" i="2"/>
  <c r="Z30" i="2"/>
  <c r="Z29" i="2"/>
  <c r="O29" i="2"/>
  <c r="Q29" i="2"/>
  <c r="N30" i="2"/>
  <c r="Q30" i="2"/>
  <c r="N31" i="2"/>
  <c r="Q31" i="2"/>
  <c r="Q32" i="2"/>
  <c r="Q33" i="2"/>
  <c r="Q34" i="2"/>
  <c r="Q35" i="2"/>
  <c r="Q36" i="2"/>
  <c r="Q37" i="2"/>
  <c r="Q43" i="2"/>
  <c r="Q38" i="2"/>
  <c r="Q44" i="2"/>
  <c r="Q39" i="2"/>
  <c r="Q40" i="2"/>
  <c r="Q45" i="2"/>
  <c r="Q46" i="2"/>
  <c r="Q41" i="2"/>
  <c r="Q47" i="2"/>
  <c r="Q42" i="2"/>
  <c r="Q48" i="2"/>
  <c r="Q49" i="2"/>
  <c r="Q50" i="2"/>
  <c r="Q51" i="2"/>
  <c r="P29" i="2"/>
  <c r="P30" i="2"/>
  <c r="P31" i="2"/>
  <c r="P32" i="2"/>
  <c r="P33" i="2"/>
  <c r="P34" i="2"/>
  <c r="P35" i="2"/>
  <c r="P36" i="2"/>
  <c r="P37" i="2"/>
  <c r="P43" i="2"/>
  <c r="P38" i="2"/>
  <c r="P44" i="2"/>
  <c r="P39" i="2"/>
  <c r="P40" i="2"/>
  <c r="P45" i="2"/>
  <c r="P46" i="2"/>
  <c r="P41" i="2"/>
  <c r="P47" i="2"/>
  <c r="P42" i="2"/>
  <c r="P48" i="2"/>
  <c r="P49" i="2"/>
  <c r="P50" i="2"/>
  <c r="P51" i="2"/>
  <c r="Z28" i="2"/>
  <c r="Q28" i="2"/>
  <c r="P28" i="2"/>
  <c r="Z27" i="2"/>
  <c r="N27" i="2"/>
  <c r="Q27" i="2"/>
  <c r="P27" i="2"/>
  <c r="Z26" i="2"/>
  <c r="P26" i="2"/>
  <c r="Q26" i="2"/>
  <c r="Z25" i="2"/>
  <c r="Z24" i="2"/>
  <c r="Z23" i="2"/>
  <c r="Q21" i="2"/>
  <c r="S21" i="2"/>
  <c r="Q20" i="2"/>
  <c r="S20" i="2"/>
  <c r="P19" i="2"/>
  <c r="S19" i="2"/>
  <c r="O18" i="2"/>
  <c r="P18" i="2"/>
  <c r="S18" i="2"/>
  <c r="O17" i="2"/>
  <c r="P17" i="2"/>
  <c r="S17" i="2"/>
  <c r="O16" i="2"/>
  <c r="Q16" i="2"/>
  <c r="S16" i="2"/>
  <c r="P23" i="2"/>
  <c r="Q23" i="2"/>
  <c r="O24" i="2"/>
  <c r="P24" i="2"/>
  <c r="Q24" i="2"/>
  <c r="P25" i="2"/>
  <c r="Q25" i="2"/>
  <c r="Z21" i="2"/>
  <c r="Z20" i="2"/>
  <c r="Z19" i="2"/>
  <c r="Z16" i="2"/>
  <c r="Z22" i="2"/>
  <c r="Q22" i="2"/>
  <c r="P2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7" i="2"/>
  <c r="Z18" i="2"/>
  <c r="Z2" i="2"/>
  <c r="P21" i="2"/>
  <c r="Q18" i="2"/>
  <c r="Q19" i="2"/>
  <c r="P20" i="2"/>
  <c r="O14" i="2"/>
  <c r="P14" i="2"/>
  <c r="S14" i="2"/>
  <c r="O13" i="2"/>
  <c r="Q13" i="2"/>
  <c r="S13" i="2"/>
  <c r="O12" i="2"/>
  <c r="Q12" i="2"/>
  <c r="S12" i="2"/>
  <c r="O15" i="2"/>
  <c r="P15" i="2"/>
  <c r="S15" i="2"/>
  <c r="O11" i="2"/>
  <c r="P11" i="2"/>
  <c r="S11" i="2"/>
  <c r="N10" i="2"/>
  <c r="P10" i="2"/>
  <c r="S10" i="2"/>
  <c r="N9" i="2"/>
  <c r="P9" i="2"/>
  <c r="S9" i="2"/>
  <c r="N8" i="2"/>
  <c r="Q8" i="2"/>
  <c r="S8" i="2"/>
  <c r="N7" i="2"/>
  <c r="Q7" i="2"/>
  <c r="S7" i="2"/>
  <c r="N6" i="2"/>
  <c r="P6" i="2"/>
  <c r="S6" i="2"/>
  <c r="N5" i="2"/>
  <c r="P5" i="2"/>
  <c r="S5" i="2"/>
  <c r="N4" i="2"/>
  <c r="P4" i="2"/>
  <c r="S4" i="2"/>
  <c r="N3" i="2"/>
  <c r="Q3" i="2"/>
  <c r="S3" i="2"/>
  <c r="N2" i="2"/>
  <c r="Q2" i="2"/>
  <c r="S2" i="2"/>
  <c r="P16" i="2"/>
  <c r="Q14" i="2"/>
  <c r="Q15" i="2"/>
  <c r="Q17" i="2"/>
  <c r="N4" i="1"/>
  <c r="N5" i="1"/>
  <c r="N6" i="1"/>
  <c r="N7" i="1"/>
  <c r="N8" i="1"/>
  <c r="N9" i="1"/>
  <c r="M10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M25" i="1"/>
  <c r="N25" i="1"/>
  <c r="N26" i="1"/>
  <c r="N27" i="1"/>
  <c r="N28" i="1"/>
  <c r="N29" i="1"/>
  <c r="N30" i="1"/>
  <c r="N31" i="1"/>
  <c r="M33" i="1"/>
  <c r="N33" i="1"/>
  <c r="M2" i="1"/>
  <c r="N2" i="1"/>
  <c r="P3" i="2"/>
  <c r="Q4" i="2"/>
  <c r="Q5" i="2"/>
  <c r="Q6" i="2"/>
  <c r="P7" i="2"/>
  <c r="P8" i="2"/>
  <c r="Q9" i="2"/>
  <c r="Q10" i="2"/>
  <c r="Q11" i="2"/>
  <c r="P12" i="2"/>
  <c r="P13" i="2"/>
  <c r="P2" i="2"/>
</calcChain>
</file>

<file path=xl/sharedStrings.xml><?xml version="1.0" encoding="utf-8"?>
<sst xmlns="http://schemas.openxmlformats.org/spreadsheetml/2006/main" count="408" uniqueCount="117">
  <si>
    <t>Date</t>
  </si>
  <si>
    <t>Player</t>
  </si>
  <si>
    <t>Seed</t>
  </si>
  <si>
    <t>Rank</t>
  </si>
  <si>
    <t>ELO</t>
  </si>
  <si>
    <t>R16</t>
  </si>
  <si>
    <t>QF</t>
  </si>
  <si>
    <t>SF</t>
  </si>
  <si>
    <t>F</t>
  </si>
  <si>
    <t>W</t>
  </si>
  <si>
    <t>Draw Bonus</t>
  </si>
  <si>
    <t>Tournament</t>
  </si>
  <si>
    <t>Doha</t>
  </si>
  <si>
    <t>Stan Wawrinka</t>
  </si>
  <si>
    <t>Gregoire Barrere</t>
  </si>
  <si>
    <t>Q</t>
  </si>
  <si>
    <t>Bye</t>
  </si>
  <si>
    <t>WC</t>
  </si>
  <si>
    <t>Jeremy Chardy </t>
  </si>
  <si>
    <t>Mikael Ymer </t>
  </si>
  <si>
    <t>Aljaz Bedene </t>
  </si>
  <si>
    <t>Alexander Bublik </t>
  </si>
  <si>
    <t>Adrian Mannarino </t>
  </si>
  <si>
    <t>Milos Raonic </t>
  </si>
  <si>
    <t>Corentin Moutet </t>
  </si>
  <si>
    <t>Tennys Sandgren </t>
  </si>
  <si>
    <t>Fernando Verdasco </t>
  </si>
  <si>
    <t>Pablo Andujar </t>
  </si>
  <si>
    <t>Kyle Edmund </t>
  </si>
  <si>
    <t>Filip Krajinovic </t>
  </si>
  <si>
    <t>Frances Tiafoe </t>
  </si>
  <si>
    <t>Marton Fucsovics </t>
  </si>
  <si>
    <t>Cem Ilkel </t>
  </si>
  <si>
    <t>Ricardas Berankis </t>
  </si>
  <si>
    <t>Miomir Kecmanovic </t>
  </si>
  <si>
    <t>Jordan Thompson </t>
  </si>
  <si>
    <t>Jo Wilfried Tsonga </t>
  </si>
  <si>
    <t>Player 1</t>
  </si>
  <si>
    <t>Player 2</t>
  </si>
  <si>
    <t>Rank P1</t>
  </si>
  <si>
    <t>ELO P1</t>
  </si>
  <si>
    <t>Rank P2</t>
  </si>
  <si>
    <t>ELO P2</t>
  </si>
  <si>
    <t>Seed P1</t>
  </si>
  <si>
    <t>Seed P2</t>
  </si>
  <si>
    <t>Laslo Djere </t>
  </si>
  <si>
    <t>Lorenzo Sonego </t>
  </si>
  <si>
    <t>Marco Cecchinato </t>
  </si>
  <si>
    <t>Pierre Hugues Herbert </t>
  </si>
  <si>
    <t>Malek Jaziri </t>
  </si>
  <si>
    <t>Mikhail Kukushkin </t>
  </si>
  <si>
    <t>Win Odds</t>
  </si>
  <si>
    <t>Andrey Rublev </t>
  </si>
  <si>
    <t>Prob</t>
  </si>
  <si>
    <t>Winner</t>
  </si>
  <si>
    <t>Round</t>
  </si>
  <si>
    <t>R32</t>
  </si>
  <si>
    <t>Milos Raonic</t>
  </si>
  <si>
    <t>Corentin Moutet</t>
  </si>
  <si>
    <t>Bankroll</t>
  </si>
  <si>
    <t>Max Bet Size</t>
  </si>
  <si>
    <t>Win</t>
  </si>
  <si>
    <t>Betsize</t>
  </si>
  <si>
    <t>Bet</t>
  </si>
  <si>
    <t>Jo Wilfried Tsonga</t>
  </si>
  <si>
    <t>Andrey Rublev</t>
  </si>
  <si>
    <t>Payout</t>
  </si>
  <si>
    <t xml:space="preserve"> +/-</t>
  </si>
  <si>
    <t>Odds P1</t>
  </si>
  <si>
    <t>Odds P2</t>
  </si>
  <si>
    <t>Market P1</t>
  </si>
  <si>
    <t>Market P2</t>
  </si>
  <si>
    <t>Market % P1</t>
  </si>
  <si>
    <t>Market % P2</t>
  </si>
  <si>
    <t>Albert Ramos</t>
  </si>
  <si>
    <t>Adelaide</t>
  </si>
  <si>
    <t>Tommy Paul</t>
  </si>
  <si>
    <t>Pablo Cuevas</t>
  </si>
  <si>
    <t>Reilly Opelka</t>
  </si>
  <si>
    <t>Gilles Simon</t>
  </si>
  <si>
    <t>Alexei Popyrin</t>
  </si>
  <si>
    <t>Laslo Djere</t>
  </si>
  <si>
    <t>Lloyd George Muirhead Harris</t>
  </si>
  <si>
    <t>Christian Garin</t>
  </si>
  <si>
    <t>Taylor Harry Fritz</t>
  </si>
  <si>
    <t>Juan Ignacio Londero</t>
  </si>
  <si>
    <t>Daniel Evans</t>
  </si>
  <si>
    <t>Sam Querrey</t>
  </si>
  <si>
    <t>Alex Bolt</t>
  </si>
  <si>
    <t>Federico Delbonis</t>
  </si>
  <si>
    <t>James Duckworth</t>
  </si>
  <si>
    <t>Feliciano Lopez</t>
  </si>
  <si>
    <t>Auckland</t>
  </si>
  <si>
    <t>Frances Tiafoe</t>
  </si>
  <si>
    <t>Lorenzo Sonego</t>
  </si>
  <si>
    <t>Hubert Hurkacz</t>
  </si>
  <si>
    <t>Michael Mmoh</t>
  </si>
  <si>
    <t>John Millman</t>
  </si>
  <si>
    <t>Cameron Norrie</t>
  </si>
  <si>
    <t>Thiago Monteiro</t>
  </si>
  <si>
    <t>Jannik Sinner</t>
  </si>
  <si>
    <t>Benoit Paire</t>
  </si>
  <si>
    <t>Adrian Mannarino</t>
  </si>
  <si>
    <t>Andreas Seppi</t>
  </si>
  <si>
    <t>Alejandro Davidovich Fokina</t>
  </si>
  <si>
    <t>Kyle Edmund</t>
  </si>
  <si>
    <t>Tennys Sandgren</t>
  </si>
  <si>
    <t>Michael Venus</t>
  </si>
  <si>
    <t>Radu Albot</t>
  </si>
  <si>
    <t>Marco Cecchinato</t>
  </si>
  <si>
    <t>Ugo Humbert</t>
  </si>
  <si>
    <t>Casper Rudd</t>
  </si>
  <si>
    <t>Joao Sousa</t>
  </si>
  <si>
    <t>Vasek Pospisil</t>
  </si>
  <si>
    <t>John Isner</t>
  </si>
  <si>
    <t>Pablo Carreno Busta</t>
  </si>
  <si>
    <t>Felix Auger Aliassime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</si>
</sst>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164" fontId="0" fillId="0" borderId="0" xfId="1" applyFont="1"/>
    <xf numFmtId="10" fontId="0" fillId="0" borderId="0" xfId="2" applyNumberFormat="1" applyFont="1"/>
    <xf numFmtId="10" fontId="0" fillId="2" borderId="0" xfId="2" applyNumberFormat="1" applyFont="1" applyFill="1"/>
    <xf numFmtId="10" fontId="0" fillId="0" borderId="0" xfId="2" applyNumberFormat="1" applyFont="1" applyFill="1"/>
    <xf numFmtId="164" fontId="0" fillId="0" borderId="0" xfId="0" applyNumberFormat="1"/>
    <xf numFmtId="10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33" sqref="N33"/>
    </sheetView>
  </sheetViews>
  <sheetFormatPr baseColWidth="10" defaultColWidth="8.83203125" defaultRowHeight="15" x14ac:dyDescent="0.2"/>
  <cols>
    <col min="1" max="1" width="10" bestFit="1" customWidth="1"/>
    <col min="2" max="2" width="22" bestFit="1" customWidth="1"/>
    <col min="3" max="3" width="5.5" bestFit="1" customWidth="1"/>
    <col min="4" max="4" width="11.83203125" bestFit="1" customWidth="1"/>
    <col min="5" max="5" width="5.33203125" bestFit="1" customWidth="1"/>
    <col min="6" max="6" width="5" bestFit="1" customWidth="1"/>
    <col min="7" max="7" width="8.1640625" bestFit="1" customWidth="1"/>
    <col min="8" max="11" width="7.1640625" bestFit="1" customWidth="1"/>
    <col min="12" max="12" width="11.5" bestFit="1" customWidth="1"/>
    <col min="13" max="13" width="9.5" bestFit="1" customWidth="1"/>
    <col min="17" max="17" width="9.1640625" customWidth="1"/>
    <col min="18" max="18" width="8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51</v>
      </c>
      <c r="N1" t="s">
        <v>53</v>
      </c>
    </row>
    <row r="2" spans="1:14" x14ac:dyDescent="0.2">
      <c r="A2" s="1">
        <v>43836</v>
      </c>
      <c r="B2" t="s">
        <v>13</v>
      </c>
      <c r="C2">
        <v>1</v>
      </c>
      <c r="D2" t="s">
        <v>12</v>
      </c>
      <c r="E2">
        <v>15</v>
      </c>
      <c r="F2">
        <v>2114</v>
      </c>
      <c r="G2" s="2">
        <v>1</v>
      </c>
      <c r="H2" s="3">
        <v>0.749</v>
      </c>
      <c r="I2" s="3">
        <v>0.56100000000000005</v>
      </c>
      <c r="J2" s="3">
        <v>0.35699999999999998</v>
      </c>
      <c r="K2" s="3">
        <v>0.22600000000000001</v>
      </c>
      <c r="L2" s="3">
        <v>0.34899999999999998</v>
      </c>
      <c r="M2" s="4">
        <f>1+5/2</f>
        <v>3.5</v>
      </c>
      <c r="N2" s="5">
        <f>(1/M2)</f>
        <v>0.2857142857142857</v>
      </c>
    </row>
    <row r="3" spans="1:14" x14ac:dyDescent="0.2">
      <c r="B3" t="s">
        <v>16</v>
      </c>
      <c r="M3" s="4"/>
      <c r="N3" s="5"/>
    </row>
    <row r="4" spans="1:14" x14ac:dyDescent="0.2">
      <c r="A4" s="1">
        <v>43836</v>
      </c>
      <c r="B4" t="s">
        <v>14</v>
      </c>
      <c r="C4" t="s">
        <v>15</v>
      </c>
      <c r="D4" t="s">
        <v>12</v>
      </c>
      <c r="E4">
        <v>83</v>
      </c>
      <c r="F4">
        <v>1787</v>
      </c>
      <c r="G4" s="3">
        <v>0.29199999999999998</v>
      </c>
      <c r="H4" s="3">
        <v>4.3999999999999997E-2</v>
      </c>
      <c r="I4" s="3">
        <v>1.4999999999999999E-2</v>
      </c>
      <c r="J4" s="3">
        <v>4.0000000000000001E-3</v>
      </c>
      <c r="K4" s="9">
        <v>1E-3</v>
      </c>
      <c r="L4" s="3">
        <v>-0.77900000000000003</v>
      </c>
      <c r="M4" s="4">
        <v>101</v>
      </c>
      <c r="N4" s="5">
        <f t="shared" ref="N4:N33" si="0">(1/M4)</f>
        <v>9.9009900990099011E-3</v>
      </c>
    </row>
    <row r="5" spans="1:14" x14ac:dyDescent="0.2">
      <c r="A5" s="1">
        <v>43836</v>
      </c>
      <c r="B5" t="s">
        <v>18</v>
      </c>
      <c r="D5" t="s">
        <v>12</v>
      </c>
      <c r="E5">
        <v>54</v>
      </c>
      <c r="F5">
        <v>1967</v>
      </c>
      <c r="G5" s="3">
        <v>0.70799999999999996</v>
      </c>
      <c r="H5" s="3">
        <v>0.20699999999999999</v>
      </c>
      <c r="I5" s="3">
        <v>0.11799999999999999</v>
      </c>
      <c r="J5" s="3">
        <v>5.0999999999999997E-2</v>
      </c>
      <c r="K5" s="3">
        <v>2.1999999999999999E-2</v>
      </c>
      <c r="L5" s="3">
        <v>-0.46200000000000002</v>
      </c>
      <c r="M5" s="4">
        <v>34</v>
      </c>
      <c r="N5" s="5">
        <f t="shared" si="0"/>
        <v>2.9411764705882353E-2</v>
      </c>
    </row>
    <row r="6" spans="1:14" x14ac:dyDescent="0.2">
      <c r="A6" s="1">
        <v>43836</v>
      </c>
      <c r="B6" t="s">
        <v>19</v>
      </c>
      <c r="D6" t="s">
        <v>12</v>
      </c>
      <c r="E6">
        <v>76</v>
      </c>
      <c r="F6">
        <v>1778</v>
      </c>
      <c r="G6" s="3">
        <v>0.34399999999999997</v>
      </c>
      <c r="H6" s="3">
        <v>0.122</v>
      </c>
      <c r="I6" s="3">
        <v>2.5999999999999999E-2</v>
      </c>
      <c r="J6" s="3">
        <v>7.0000000000000001E-3</v>
      </c>
      <c r="K6" s="9">
        <v>2E-3</v>
      </c>
      <c r="L6" s="3">
        <v>-0.66300000000000003</v>
      </c>
      <c r="M6" s="4">
        <v>51</v>
      </c>
      <c r="N6" s="5">
        <f t="shared" si="0"/>
        <v>1.9607843137254902E-2</v>
      </c>
    </row>
    <row r="7" spans="1:14" x14ac:dyDescent="0.2">
      <c r="A7" s="1">
        <v>43836</v>
      </c>
      <c r="B7" t="s">
        <v>20</v>
      </c>
      <c r="D7" t="s">
        <v>12</v>
      </c>
      <c r="E7">
        <v>58</v>
      </c>
      <c r="F7">
        <v>1927</v>
      </c>
      <c r="G7" s="3">
        <v>0.65600000000000003</v>
      </c>
      <c r="H7" s="3">
        <v>0.33200000000000002</v>
      </c>
      <c r="I7" s="3">
        <v>0.106</v>
      </c>
      <c r="J7" s="3">
        <v>4.1000000000000002E-2</v>
      </c>
      <c r="K7" s="3">
        <v>1.6E-2</v>
      </c>
      <c r="L7" s="3">
        <v>-0.40799999999999997</v>
      </c>
      <c r="M7" s="4">
        <v>19</v>
      </c>
      <c r="N7" s="5">
        <f t="shared" si="0"/>
        <v>5.2631578947368418E-2</v>
      </c>
    </row>
    <row r="8" spans="1:14" x14ac:dyDescent="0.2">
      <c r="A8" s="1">
        <v>43836</v>
      </c>
      <c r="B8" t="s">
        <v>21</v>
      </c>
      <c r="D8" t="s">
        <v>12</v>
      </c>
      <c r="E8">
        <v>55</v>
      </c>
      <c r="F8">
        <v>1849</v>
      </c>
      <c r="G8" s="3">
        <v>0.4</v>
      </c>
      <c r="H8" s="3">
        <v>0.19400000000000001</v>
      </c>
      <c r="I8" s="3">
        <v>5.1999999999999998E-2</v>
      </c>
      <c r="J8" s="3">
        <v>1.7999999999999999E-2</v>
      </c>
      <c r="K8" s="3">
        <v>6.0000000000000001E-3</v>
      </c>
      <c r="L8" s="3">
        <v>-0.58399999999999996</v>
      </c>
      <c r="M8" s="4">
        <v>51</v>
      </c>
      <c r="N8" s="5">
        <f t="shared" si="0"/>
        <v>1.9607843137254902E-2</v>
      </c>
    </row>
    <row r="9" spans="1:14" x14ac:dyDescent="0.2">
      <c r="A9" s="1">
        <v>43836</v>
      </c>
      <c r="B9" t="s">
        <v>22</v>
      </c>
      <c r="C9">
        <v>7</v>
      </c>
      <c r="D9" t="s">
        <v>12</v>
      </c>
      <c r="E9">
        <v>43</v>
      </c>
      <c r="F9">
        <v>1949</v>
      </c>
      <c r="G9" s="3">
        <v>0.6</v>
      </c>
      <c r="H9" s="3">
        <v>0.35299999999999998</v>
      </c>
      <c r="I9" s="3">
        <v>0.121</v>
      </c>
      <c r="J9" s="3">
        <v>5.1999999999999998E-2</v>
      </c>
      <c r="K9" s="9">
        <v>2.1999999999999999E-2</v>
      </c>
      <c r="L9" s="3">
        <v>-0.40400000000000003</v>
      </c>
      <c r="M9" s="4">
        <v>41</v>
      </c>
      <c r="N9" s="5">
        <f t="shared" si="0"/>
        <v>2.4390243902439025E-2</v>
      </c>
    </row>
    <row r="10" spans="1:14" x14ac:dyDescent="0.2">
      <c r="A10" s="1">
        <v>43836</v>
      </c>
      <c r="B10" t="s">
        <v>23</v>
      </c>
      <c r="C10">
        <v>4</v>
      </c>
      <c r="D10" t="s">
        <v>12</v>
      </c>
      <c r="E10">
        <v>32</v>
      </c>
      <c r="F10">
        <v>2063</v>
      </c>
      <c r="G10" s="3">
        <v>1</v>
      </c>
      <c r="H10" s="3">
        <v>0.75600000000000001</v>
      </c>
      <c r="I10" s="3">
        <v>0.47799999999999998</v>
      </c>
      <c r="J10" s="3">
        <v>0.25900000000000001</v>
      </c>
      <c r="K10" s="3">
        <v>0.14899999999999999</v>
      </c>
      <c r="L10" s="3">
        <v>0.28499999999999998</v>
      </c>
      <c r="M10" s="4">
        <f>1+6/1</f>
        <v>7</v>
      </c>
      <c r="N10" s="5">
        <f t="shared" si="0"/>
        <v>0.14285714285714285</v>
      </c>
    </row>
    <row r="11" spans="1:14" x14ac:dyDescent="0.2">
      <c r="B11" t="s">
        <v>16</v>
      </c>
      <c r="G11" s="3"/>
      <c r="H11" s="3"/>
      <c r="I11" s="3"/>
      <c r="J11" s="3"/>
      <c r="K11" s="3"/>
      <c r="L11" s="3"/>
      <c r="M11" s="4"/>
      <c r="N11" s="5"/>
    </row>
    <row r="12" spans="1:14" x14ac:dyDescent="0.2">
      <c r="A12" s="1">
        <v>43836</v>
      </c>
      <c r="B12" t="s">
        <v>24</v>
      </c>
      <c r="C12" t="s">
        <v>15</v>
      </c>
      <c r="D12" t="s">
        <v>12</v>
      </c>
      <c r="E12">
        <v>81</v>
      </c>
      <c r="F12">
        <v>1762</v>
      </c>
      <c r="G12" s="3">
        <v>0.32400000000000001</v>
      </c>
      <c r="H12" s="3">
        <v>5.6000000000000001E-2</v>
      </c>
      <c r="I12" s="3">
        <v>1.4E-2</v>
      </c>
      <c r="J12" s="3">
        <v>3.0000000000000001E-3</v>
      </c>
      <c r="K12" s="3">
        <v>1E-3</v>
      </c>
      <c r="L12" s="3">
        <v>-0.73799999999999999</v>
      </c>
      <c r="M12" s="4">
        <v>101</v>
      </c>
      <c r="N12" s="5">
        <f t="shared" si="0"/>
        <v>9.9009900990099011E-3</v>
      </c>
    </row>
    <row r="13" spans="1:14" x14ac:dyDescent="0.2">
      <c r="A13" s="1">
        <v>43836</v>
      </c>
      <c r="B13" t="s">
        <v>25</v>
      </c>
      <c r="D13" t="s">
        <v>12</v>
      </c>
      <c r="E13">
        <v>68</v>
      </c>
      <c r="F13">
        <v>1873</v>
      </c>
      <c r="G13" s="3">
        <v>0.67600000000000005</v>
      </c>
      <c r="H13" s="3">
        <v>0.189</v>
      </c>
      <c r="I13" s="3">
        <v>7.5999999999999998E-2</v>
      </c>
      <c r="J13" s="3">
        <v>2.5999999999999999E-2</v>
      </c>
      <c r="K13" s="9">
        <v>8.9999999999999993E-3</v>
      </c>
      <c r="L13" s="3">
        <v>-0.49399999999999999</v>
      </c>
      <c r="M13" s="4">
        <v>67</v>
      </c>
      <c r="N13" s="5">
        <f t="shared" si="0"/>
        <v>1.4925373134328358E-2</v>
      </c>
    </row>
    <row r="14" spans="1:14" x14ac:dyDescent="0.2">
      <c r="A14" s="1">
        <v>43836</v>
      </c>
      <c r="B14" t="s">
        <v>26</v>
      </c>
      <c r="D14" t="s">
        <v>12</v>
      </c>
      <c r="E14">
        <v>49</v>
      </c>
      <c r="F14">
        <v>1941</v>
      </c>
      <c r="G14" s="3">
        <v>0.63700000000000001</v>
      </c>
      <c r="H14" s="3">
        <v>0.29099999999999998</v>
      </c>
      <c r="I14" s="3">
        <v>0.12</v>
      </c>
      <c r="J14" s="3">
        <v>4.8000000000000001E-2</v>
      </c>
      <c r="K14" s="3">
        <v>2.1000000000000001E-2</v>
      </c>
      <c r="L14" s="3">
        <v>-0.46700000000000003</v>
      </c>
      <c r="M14" s="4">
        <v>21</v>
      </c>
      <c r="N14" s="5">
        <f t="shared" si="0"/>
        <v>4.7619047619047616E-2</v>
      </c>
    </row>
    <row r="15" spans="1:14" x14ac:dyDescent="0.2">
      <c r="A15" s="1">
        <v>43836</v>
      </c>
      <c r="B15" t="s">
        <v>27</v>
      </c>
      <c r="D15" t="s">
        <v>12</v>
      </c>
      <c r="E15">
        <v>64</v>
      </c>
      <c r="F15">
        <v>1861</v>
      </c>
      <c r="G15" s="3">
        <v>0.36299999999999999</v>
      </c>
      <c r="H15" s="3">
        <v>0.12</v>
      </c>
      <c r="I15" s="3">
        <v>3.5999999999999997E-2</v>
      </c>
      <c r="J15" s="3">
        <v>0.01</v>
      </c>
      <c r="K15" s="9">
        <v>3.0000000000000001E-3</v>
      </c>
      <c r="L15" s="3">
        <v>-0.69099999999999995</v>
      </c>
      <c r="M15" s="4">
        <v>101</v>
      </c>
      <c r="N15" s="5">
        <f t="shared" si="0"/>
        <v>9.9009900990099011E-3</v>
      </c>
    </row>
    <row r="16" spans="1:14" x14ac:dyDescent="0.2">
      <c r="A16" s="1">
        <v>43836</v>
      </c>
      <c r="B16" t="s">
        <v>28</v>
      </c>
      <c r="D16" t="s">
        <v>12</v>
      </c>
      <c r="E16">
        <v>69</v>
      </c>
      <c r="F16">
        <v>1964</v>
      </c>
      <c r="G16" s="3">
        <v>0.47</v>
      </c>
      <c r="H16" s="3">
        <v>0.26300000000000001</v>
      </c>
      <c r="I16" s="3">
        <v>0.11799999999999999</v>
      </c>
      <c r="J16" s="3">
        <v>0.05</v>
      </c>
      <c r="K16" s="9">
        <v>2.3E-2</v>
      </c>
      <c r="L16" s="3">
        <v>-0.53100000000000003</v>
      </c>
      <c r="M16" s="4">
        <v>18</v>
      </c>
      <c r="N16" s="5">
        <f t="shared" si="0"/>
        <v>5.5555555555555552E-2</v>
      </c>
    </row>
    <row r="17" spans="1:14" x14ac:dyDescent="0.2">
      <c r="A17" s="1">
        <v>43836</v>
      </c>
      <c r="B17" t="s">
        <v>29</v>
      </c>
      <c r="C17">
        <v>6</v>
      </c>
      <c r="D17" t="s">
        <v>12</v>
      </c>
      <c r="E17">
        <v>40</v>
      </c>
      <c r="F17">
        <v>1987</v>
      </c>
      <c r="G17" s="3">
        <v>0.53</v>
      </c>
      <c r="H17" s="3">
        <v>0.32500000000000001</v>
      </c>
      <c r="I17" s="3">
        <v>0.157</v>
      </c>
      <c r="J17" s="3">
        <v>7.2999999999999995E-2</v>
      </c>
      <c r="K17" s="3">
        <v>3.5999999999999997E-2</v>
      </c>
      <c r="L17" s="3">
        <v>-0.45100000000000001</v>
      </c>
      <c r="M17" s="4">
        <v>26</v>
      </c>
      <c r="N17" s="5">
        <f t="shared" si="0"/>
        <v>3.8461538461538464E-2</v>
      </c>
    </row>
    <row r="18" spans="1:14" x14ac:dyDescent="0.2">
      <c r="A18" s="1">
        <v>43836</v>
      </c>
      <c r="B18" t="s">
        <v>30</v>
      </c>
      <c r="C18">
        <v>8</v>
      </c>
      <c r="D18" t="s">
        <v>12</v>
      </c>
      <c r="E18">
        <v>47</v>
      </c>
      <c r="F18">
        <v>1909</v>
      </c>
      <c r="G18" s="3">
        <v>0.52300000000000002</v>
      </c>
      <c r="H18" s="3">
        <v>0.33900000000000002</v>
      </c>
      <c r="I18" s="3">
        <v>0.13700000000000001</v>
      </c>
      <c r="J18" s="3">
        <v>6.2E-2</v>
      </c>
      <c r="K18" s="9">
        <v>2.4E-2</v>
      </c>
      <c r="L18" s="3">
        <v>-0.32</v>
      </c>
      <c r="M18" s="4">
        <v>26</v>
      </c>
      <c r="N18" s="5">
        <f t="shared" si="0"/>
        <v>3.8461538461538464E-2</v>
      </c>
    </row>
    <row r="19" spans="1:14" x14ac:dyDescent="0.2">
      <c r="A19" s="1">
        <v>43836</v>
      </c>
      <c r="B19" t="s">
        <v>31</v>
      </c>
      <c r="C19" t="s">
        <v>15</v>
      </c>
      <c r="D19" t="s">
        <v>12</v>
      </c>
      <c r="E19">
        <v>70</v>
      </c>
      <c r="F19">
        <v>1883</v>
      </c>
      <c r="G19" s="3">
        <v>0.47699999999999998</v>
      </c>
      <c r="H19" s="3">
        <v>0.29399999999999998</v>
      </c>
      <c r="I19" s="3">
        <v>0.111</v>
      </c>
      <c r="J19" s="3">
        <v>4.7E-2</v>
      </c>
      <c r="K19" s="3">
        <v>1.6E-2</v>
      </c>
      <c r="L19" s="3">
        <v>-0.36</v>
      </c>
      <c r="M19" s="4">
        <v>51</v>
      </c>
      <c r="N19" s="5">
        <f t="shared" si="0"/>
        <v>1.9607843137254902E-2</v>
      </c>
    </row>
    <row r="20" spans="1:14" x14ac:dyDescent="0.2">
      <c r="A20" s="1">
        <v>43836</v>
      </c>
      <c r="B20" t="s">
        <v>32</v>
      </c>
      <c r="C20" t="s">
        <v>17</v>
      </c>
      <c r="D20" t="s">
        <v>12</v>
      </c>
      <c r="E20">
        <v>279</v>
      </c>
      <c r="F20">
        <v>1571</v>
      </c>
      <c r="G20" s="3">
        <v>0.157</v>
      </c>
      <c r="H20" s="3">
        <v>0.02</v>
      </c>
      <c r="I20" s="3">
        <v>2E-3</v>
      </c>
      <c r="J20" s="3">
        <v>0</v>
      </c>
      <c r="K20" s="3">
        <v>0</v>
      </c>
      <c r="L20" s="3">
        <v>-0.72699999999999998</v>
      </c>
      <c r="M20" s="4">
        <v>101</v>
      </c>
      <c r="N20" s="5">
        <f t="shared" si="0"/>
        <v>9.9009900990099011E-3</v>
      </c>
    </row>
    <row r="21" spans="1:14" x14ac:dyDescent="0.2">
      <c r="A21" s="1">
        <v>43836</v>
      </c>
      <c r="B21" t="s">
        <v>33</v>
      </c>
      <c r="D21" t="s">
        <v>12</v>
      </c>
      <c r="E21">
        <v>67</v>
      </c>
      <c r="F21">
        <v>1832</v>
      </c>
      <c r="G21" s="3">
        <v>0.84299999999999997</v>
      </c>
      <c r="H21" s="3">
        <v>0.34699999999999998</v>
      </c>
      <c r="I21" s="3">
        <v>0.11</v>
      </c>
      <c r="J21" s="3">
        <v>0.04</v>
      </c>
      <c r="K21" s="9">
        <v>1.2E-2</v>
      </c>
      <c r="L21" s="3">
        <v>-0.10199999999999999</v>
      </c>
      <c r="M21" s="4">
        <v>67</v>
      </c>
      <c r="N21" s="5">
        <f t="shared" si="0"/>
        <v>1.4925373134328358E-2</v>
      </c>
    </row>
    <row r="22" spans="1:14" x14ac:dyDescent="0.2">
      <c r="A22" s="1">
        <v>43836</v>
      </c>
      <c r="B22" t="s">
        <v>34</v>
      </c>
      <c r="D22" t="s">
        <v>12</v>
      </c>
      <c r="E22">
        <v>62</v>
      </c>
      <c r="F22">
        <v>1869</v>
      </c>
      <c r="G22" s="3">
        <v>0.48299999999999998</v>
      </c>
      <c r="H22" s="3">
        <v>0.126</v>
      </c>
      <c r="I22" s="3">
        <v>5.8000000000000003E-2</v>
      </c>
      <c r="J22" s="3">
        <v>2.1999999999999999E-2</v>
      </c>
      <c r="K22" s="3">
        <v>6.0000000000000001E-3</v>
      </c>
      <c r="L22" s="3">
        <v>-0.54900000000000004</v>
      </c>
      <c r="M22" s="4">
        <v>51</v>
      </c>
      <c r="N22" s="5">
        <f t="shared" si="0"/>
        <v>1.9607843137254902E-2</v>
      </c>
    </row>
    <row r="23" spans="1:14" x14ac:dyDescent="0.2">
      <c r="A23" s="1">
        <v>43836</v>
      </c>
      <c r="B23" t="s">
        <v>35</v>
      </c>
      <c r="D23" t="s">
        <v>12</v>
      </c>
      <c r="E23">
        <v>63</v>
      </c>
      <c r="F23">
        <v>1880</v>
      </c>
      <c r="G23" s="3">
        <v>0.51700000000000002</v>
      </c>
      <c r="H23" s="3">
        <v>0.14599999999999999</v>
      </c>
      <c r="I23" s="3">
        <v>7.0999999999999994E-2</v>
      </c>
      <c r="J23" s="3">
        <v>2.7E-2</v>
      </c>
      <c r="K23" s="9">
        <v>8.9999999999999993E-3</v>
      </c>
      <c r="L23" s="3">
        <v>-0.51100000000000001</v>
      </c>
      <c r="M23" s="4">
        <v>51</v>
      </c>
      <c r="N23" s="5">
        <f t="shared" si="0"/>
        <v>1.9607843137254902E-2</v>
      </c>
    </row>
    <row r="24" spans="1:14" x14ac:dyDescent="0.2">
      <c r="A24" s="1"/>
      <c r="B24" t="s">
        <v>16</v>
      </c>
      <c r="G24" s="3"/>
      <c r="H24" s="3"/>
      <c r="I24" s="3"/>
      <c r="J24" s="3"/>
      <c r="K24" s="3"/>
      <c r="L24" s="3"/>
      <c r="M24" s="4"/>
      <c r="N24" s="5"/>
    </row>
    <row r="25" spans="1:14" x14ac:dyDescent="0.2">
      <c r="A25" s="1">
        <v>43836</v>
      </c>
      <c r="B25" t="s">
        <v>36</v>
      </c>
      <c r="C25">
        <v>3</v>
      </c>
      <c r="D25" t="s">
        <v>12</v>
      </c>
      <c r="E25">
        <v>30</v>
      </c>
      <c r="F25">
        <v>2063</v>
      </c>
      <c r="G25" s="3">
        <v>1</v>
      </c>
      <c r="H25" s="3">
        <v>0.72799999999999998</v>
      </c>
      <c r="I25" s="3">
        <v>0.51200000000000001</v>
      </c>
      <c r="J25" s="3">
        <v>0.312</v>
      </c>
      <c r="K25" s="3">
        <v>0.16500000000000001</v>
      </c>
      <c r="L25" s="3">
        <v>0.435</v>
      </c>
      <c r="M25" s="4">
        <f>1+6/1</f>
        <v>7</v>
      </c>
      <c r="N25" s="5">
        <f t="shared" si="0"/>
        <v>0.14285714285714285</v>
      </c>
    </row>
    <row r="26" spans="1:14" x14ac:dyDescent="0.2">
      <c r="A26" s="1">
        <v>43836</v>
      </c>
      <c r="B26" t="s">
        <v>45</v>
      </c>
      <c r="C26">
        <v>5</v>
      </c>
      <c r="D26" t="s">
        <v>12</v>
      </c>
      <c r="E26">
        <v>39</v>
      </c>
      <c r="F26">
        <v>1833</v>
      </c>
      <c r="G26" s="3">
        <v>0.39200000000000002</v>
      </c>
      <c r="H26" s="3">
        <v>0.159</v>
      </c>
      <c r="I26" s="3">
        <v>3.9E-2</v>
      </c>
      <c r="J26" s="3">
        <v>0.01</v>
      </c>
      <c r="K26" s="3">
        <v>2E-3</v>
      </c>
      <c r="L26" s="3">
        <v>-0.38100000000000001</v>
      </c>
      <c r="M26" s="4">
        <v>101</v>
      </c>
      <c r="N26" s="5">
        <f t="shared" si="0"/>
        <v>9.9009900990099011E-3</v>
      </c>
    </row>
    <row r="27" spans="1:14" x14ac:dyDescent="0.2">
      <c r="A27" s="1">
        <v>43836</v>
      </c>
      <c r="B27" t="s">
        <v>46</v>
      </c>
      <c r="D27" t="s">
        <v>12</v>
      </c>
      <c r="E27">
        <v>51</v>
      </c>
      <c r="F27">
        <v>1850</v>
      </c>
      <c r="G27" s="3">
        <v>0.60799999999999998</v>
      </c>
      <c r="H27" s="3">
        <v>0.30499999999999999</v>
      </c>
      <c r="I27" s="3">
        <v>0.09</v>
      </c>
      <c r="J27" s="3">
        <v>2.9000000000000001E-2</v>
      </c>
      <c r="K27" s="9">
        <v>8.0000000000000002E-3</v>
      </c>
      <c r="L27" s="3">
        <v>-0.192</v>
      </c>
      <c r="M27" s="4">
        <v>26</v>
      </c>
      <c r="N27" s="5">
        <f t="shared" si="0"/>
        <v>3.8461538461538464E-2</v>
      </c>
    </row>
    <row r="28" spans="1:14" x14ac:dyDescent="0.2">
      <c r="A28" s="1">
        <v>43836</v>
      </c>
      <c r="B28" t="s">
        <v>47</v>
      </c>
      <c r="C28" t="s">
        <v>17</v>
      </c>
      <c r="D28" t="s">
        <v>12</v>
      </c>
      <c r="E28">
        <v>75</v>
      </c>
      <c r="F28">
        <v>1770</v>
      </c>
      <c r="G28" s="3">
        <v>0.32700000000000001</v>
      </c>
      <c r="H28" s="3">
        <v>0.13900000000000001</v>
      </c>
      <c r="I28" s="3">
        <v>3.1E-2</v>
      </c>
      <c r="J28" s="3">
        <v>7.0000000000000001E-3</v>
      </c>
      <c r="K28" s="9">
        <v>2E-3</v>
      </c>
      <c r="L28" s="3">
        <v>-0.42799999999999999</v>
      </c>
      <c r="M28" s="4">
        <v>101</v>
      </c>
      <c r="N28" s="5">
        <f t="shared" si="0"/>
        <v>9.9009900990099011E-3</v>
      </c>
    </row>
    <row r="29" spans="1:14" x14ac:dyDescent="0.2">
      <c r="A29" s="1">
        <v>43836</v>
      </c>
      <c r="B29" t="s">
        <v>48</v>
      </c>
      <c r="D29" t="s">
        <v>12</v>
      </c>
      <c r="E29">
        <v>65</v>
      </c>
      <c r="F29">
        <v>1907</v>
      </c>
      <c r="G29" s="3">
        <v>0.67300000000000004</v>
      </c>
      <c r="H29" s="3">
        <v>0.39600000000000002</v>
      </c>
      <c r="I29" s="3">
        <v>0.13300000000000001</v>
      </c>
      <c r="J29" s="3">
        <v>4.8000000000000001E-2</v>
      </c>
      <c r="K29" s="3">
        <v>1.4999999999999999E-2</v>
      </c>
      <c r="L29" s="3">
        <v>-0.10100000000000001</v>
      </c>
      <c r="M29" s="4">
        <v>26</v>
      </c>
      <c r="N29" s="5">
        <f t="shared" si="0"/>
        <v>3.8461538461538464E-2</v>
      </c>
    </row>
    <row r="30" spans="1:14" x14ac:dyDescent="0.2">
      <c r="A30" s="1">
        <v>43836</v>
      </c>
      <c r="B30" t="s">
        <v>49</v>
      </c>
      <c r="C30" t="s">
        <v>17</v>
      </c>
      <c r="D30" t="s">
        <v>12</v>
      </c>
      <c r="E30">
        <v>229</v>
      </c>
      <c r="F30">
        <v>1727</v>
      </c>
      <c r="G30" s="3">
        <v>0.29699999999999999</v>
      </c>
      <c r="H30" s="3">
        <v>4.4999999999999998E-2</v>
      </c>
      <c r="I30" s="3">
        <v>1.7000000000000001E-2</v>
      </c>
      <c r="J30" s="3">
        <v>4.0000000000000001E-3</v>
      </c>
      <c r="K30" s="9">
        <v>1E-3</v>
      </c>
      <c r="L30" s="3">
        <v>-0.65400000000000003</v>
      </c>
      <c r="M30" s="4">
        <v>501</v>
      </c>
      <c r="N30" s="5">
        <f t="shared" si="0"/>
        <v>1.996007984031936E-3</v>
      </c>
    </row>
    <row r="31" spans="1:14" x14ac:dyDescent="0.2">
      <c r="A31" s="1">
        <v>43836</v>
      </c>
      <c r="B31" t="s">
        <v>50</v>
      </c>
      <c r="D31" t="s">
        <v>12</v>
      </c>
      <c r="E31">
        <v>66</v>
      </c>
      <c r="F31">
        <v>1900</v>
      </c>
      <c r="G31" s="3">
        <v>0.70299999999999996</v>
      </c>
      <c r="H31" s="3">
        <v>0.23</v>
      </c>
      <c r="I31" s="3">
        <v>0.13800000000000001</v>
      </c>
      <c r="J31" s="3">
        <v>5.6000000000000001E-2</v>
      </c>
      <c r="K31" s="3">
        <v>1.9E-2</v>
      </c>
      <c r="L31" s="3">
        <v>-0.218</v>
      </c>
      <c r="M31" s="4">
        <v>26</v>
      </c>
      <c r="N31" s="5">
        <f t="shared" si="0"/>
        <v>3.8461538461538464E-2</v>
      </c>
    </row>
    <row r="32" spans="1:14" x14ac:dyDescent="0.2">
      <c r="A32" s="1"/>
      <c r="B32" t="s">
        <v>16</v>
      </c>
      <c r="G32" s="3"/>
      <c r="H32" s="3"/>
      <c r="I32" s="3"/>
      <c r="J32" s="3"/>
      <c r="K32" s="3"/>
      <c r="L32" s="3"/>
      <c r="M32" s="4"/>
      <c r="N32" s="5"/>
    </row>
    <row r="33" spans="1:14" x14ac:dyDescent="0.2">
      <c r="A33" s="1">
        <v>43836</v>
      </c>
      <c r="B33" t="s">
        <v>52</v>
      </c>
      <c r="C33">
        <v>2</v>
      </c>
      <c r="D33" t="s">
        <v>12</v>
      </c>
      <c r="E33">
        <v>23</v>
      </c>
      <c r="F33">
        <v>2071</v>
      </c>
      <c r="G33" s="3">
        <v>1</v>
      </c>
      <c r="H33" s="3">
        <v>0.72499999999999998</v>
      </c>
      <c r="I33" s="3">
        <v>0.55300000000000005</v>
      </c>
      <c r="J33" s="3">
        <v>0.33400000000000002</v>
      </c>
      <c r="K33" s="3">
        <v>0.184</v>
      </c>
      <c r="L33" s="3">
        <v>0.51</v>
      </c>
      <c r="M33" s="4">
        <f>1+3/1</f>
        <v>4</v>
      </c>
      <c r="N33" s="5">
        <f t="shared" si="0"/>
        <v>0.25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zoomScale="120" zoomScaleNormal="120" zoomScalePageLayoutView="120" workbookViewId="0">
      <pane xSplit="3" ySplit="1" topLeftCell="D38" activePane="bottomRight" state="frozen"/>
      <selection pane="topRight" activeCell="D1" sqref="D1"/>
      <selection pane="bottomLeft" activeCell="A2" sqref="A2"/>
      <selection pane="bottomRight" activeCell="Q59" sqref="Q59"/>
    </sheetView>
  </sheetViews>
  <sheetFormatPr baseColWidth="10" defaultColWidth="8.83203125" defaultRowHeight="15" x14ac:dyDescent="0.2"/>
  <cols>
    <col min="1" max="1" width="10" bestFit="1" customWidth="1"/>
    <col min="2" max="3" width="23.5" bestFit="1" customWidth="1"/>
    <col min="4" max="5" width="8" bestFit="1" customWidth="1"/>
    <col min="6" max="6" width="6.6640625" bestFit="1" customWidth="1"/>
    <col min="7" max="7" width="11.83203125" bestFit="1" customWidth="1"/>
    <col min="8" max="8" width="7.83203125" bestFit="1" customWidth="1"/>
    <col min="9" max="9" width="6.83203125" bestFit="1" customWidth="1"/>
    <col min="10" max="10" width="7.83203125" bestFit="1" customWidth="1"/>
    <col min="11" max="11" width="6.83203125" bestFit="1" customWidth="1"/>
    <col min="12" max="13" width="9.1640625" bestFit="1" customWidth="1"/>
    <col min="14" max="14" width="9.83203125" bestFit="1" customWidth="1"/>
    <col min="15" max="15" width="9.5" bestFit="1" customWidth="1"/>
    <col min="16" max="17" width="11.83203125" bestFit="1" customWidth="1"/>
    <col min="18" max="18" width="21.5" bestFit="1" customWidth="1"/>
    <col min="21" max="21" width="12.1640625" bestFit="1" customWidth="1"/>
    <col min="22" max="22" width="4.5" bestFit="1" customWidth="1"/>
    <col min="23" max="23" width="4.5" customWidth="1"/>
  </cols>
  <sheetData>
    <row r="1" spans="1:26" x14ac:dyDescent="0.2">
      <c r="A1" t="s">
        <v>0</v>
      </c>
      <c r="B1" t="s">
        <v>37</v>
      </c>
      <c r="C1" t="s">
        <v>38</v>
      </c>
      <c r="D1" t="s">
        <v>43</v>
      </c>
      <c r="E1" t="s">
        <v>44</v>
      </c>
      <c r="F1" t="s">
        <v>55</v>
      </c>
      <c r="G1" t="s">
        <v>11</v>
      </c>
      <c r="H1" t="s">
        <v>39</v>
      </c>
      <c r="I1" t="s">
        <v>40</v>
      </c>
      <c r="J1" t="s">
        <v>41</v>
      </c>
      <c r="K1" t="s">
        <v>42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54</v>
      </c>
      <c r="T1" t="s">
        <v>59</v>
      </c>
      <c r="U1" t="s">
        <v>60</v>
      </c>
      <c r="V1" t="s">
        <v>61</v>
      </c>
      <c r="W1" t="s">
        <v>63</v>
      </c>
      <c r="X1" t="s">
        <v>62</v>
      </c>
      <c r="Y1" t="s">
        <v>66</v>
      </c>
      <c r="Z1" t="s">
        <v>67</v>
      </c>
    </row>
    <row r="2" spans="1:26" x14ac:dyDescent="0.2">
      <c r="A2" s="1">
        <v>43836</v>
      </c>
      <c r="B2" t="s">
        <v>14</v>
      </c>
      <c r="C2" t="s">
        <v>18</v>
      </c>
      <c r="D2" t="s">
        <v>15</v>
      </c>
      <c r="F2" t="s">
        <v>56</v>
      </c>
      <c r="G2" t="s">
        <v>12</v>
      </c>
      <c r="H2">
        <v>83</v>
      </c>
      <c r="I2">
        <v>1787</v>
      </c>
      <c r="J2">
        <v>54</v>
      </c>
      <c r="K2">
        <v>1967</v>
      </c>
      <c r="L2" s="3">
        <v>0.29199999999999998</v>
      </c>
      <c r="M2" s="3">
        <v>0.70799999999999996</v>
      </c>
      <c r="N2" s="4">
        <f>1+29/20</f>
        <v>2.4500000000000002</v>
      </c>
      <c r="O2" s="4">
        <f>1+4/7</f>
        <v>1.5714285714285714</v>
      </c>
      <c r="P2" s="5">
        <f>1-N2/($N2+$O2)</f>
        <v>0.39076376554174064</v>
      </c>
      <c r="Q2" s="6">
        <f>1-O2/($N2+$O2)</f>
        <v>0.60923623445825936</v>
      </c>
      <c r="R2" t="s">
        <v>18</v>
      </c>
      <c r="S2" s="3">
        <f>M2-Q2</f>
        <v>9.87637655417406E-2</v>
      </c>
      <c r="T2" s="4">
        <v>100</v>
      </c>
      <c r="U2" s="4">
        <f t="shared" ref="U2:U43" si="0">T2*0.1</f>
        <v>10</v>
      </c>
      <c r="V2">
        <v>1</v>
      </c>
      <c r="W2">
        <v>1</v>
      </c>
      <c r="X2" s="4">
        <f>W2*U2*(M2*(O2+1)-1)/O2</f>
        <v>5.2218181818181799</v>
      </c>
      <c r="Y2" s="4">
        <f>V2*X2*O2</f>
        <v>8.2057142857142829</v>
      </c>
      <c r="Z2" s="8">
        <f>Y2-X2</f>
        <v>2.9838961038961029</v>
      </c>
    </row>
    <row r="3" spans="1:26" x14ac:dyDescent="0.2">
      <c r="A3" s="1">
        <v>43836</v>
      </c>
      <c r="B3" t="s">
        <v>19</v>
      </c>
      <c r="C3" t="s">
        <v>20</v>
      </c>
      <c r="F3" t="s">
        <v>56</v>
      </c>
      <c r="G3" t="s">
        <v>12</v>
      </c>
      <c r="H3">
        <v>76</v>
      </c>
      <c r="I3">
        <v>1778</v>
      </c>
      <c r="J3">
        <v>58</v>
      </c>
      <c r="K3">
        <v>1927</v>
      </c>
      <c r="L3" s="3">
        <v>0.34399999999999997</v>
      </c>
      <c r="M3" s="3">
        <v>0.65600000000000003</v>
      </c>
      <c r="N3" s="4">
        <f>1+20/21</f>
        <v>1.9523809523809523</v>
      </c>
      <c r="O3" s="4">
        <f>1+20/23</f>
        <v>1.8695652173913042</v>
      </c>
      <c r="P3" s="5">
        <f t="shared" ref="P3:P17" si="1">1-N3/($N3+$O3)</f>
        <v>0.48916576381365107</v>
      </c>
      <c r="Q3" s="6">
        <f t="shared" ref="Q3:Q17" si="2">1-O3/($N3+$O3)</f>
        <v>0.51083423618634882</v>
      </c>
      <c r="R3" t="s">
        <v>20</v>
      </c>
      <c r="S3" s="3">
        <f>M3-Q3</f>
        <v>0.14516576381365121</v>
      </c>
      <c r="T3" s="8">
        <f t="shared" ref="T3:T43" si="3">T2-X2+Y2</f>
        <v>102.9838961038961</v>
      </c>
      <c r="U3" s="4">
        <f t="shared" si="0"/>
        <v>10.298389610389611</v>
      </c>
      <c r="V3">
        <v>1</v>
      </c>
      <c r="W3">
        <v>1</v>
      </c>
      <c r="X3" s="4">
        <f>W3*U3*(M3*(O3+1)-1)/O3</f>
        <v>4.8608398961038963</v>
      </c>
      <c r="Y3" s="4">
        <f>V3*X3*O3</f>
        <v>9.0876571970638054</v>
      </c>
      <c r="Z3" s="8">
        <f t="shared" ref="Z3:Z25" si="4">Y3-X3</f>
        <v>4.226817300959909</v>
      </c>
    </row>
    <row r="4" spans="1:26" x14ac:dyDescent="0.2">
      <c r="A4" s="1">
        <v>43836</v>
      </c>
      <c r="B4" t="s">
        <v>21</v>
      </c>
      <c r="C4" t="s">
        <v>22</v>
      </c>
      <c r="E4">
        <v>7</v>
      </c>
      <c r="F4" t="s">
        <v>56</v>
      </c>
      <c r="G4" t="s">
        <v>12</v>
      </c>
      <c r="H4">
        <v>55</v>
      </c>
      <c r="I4">
        <v>1849</v>
      </c>
      <c r="J4">
        <v>43</v>
      </c>
      <c r="K4">
        <v>1949</v>
      </c>
      <c r="L4" s="3">
        <v>0.4</v>
      </c>
      <c r="M4" s="3">
        <v>0.6</v>
      </c>
      <c r="N4" s="4">
        <f>6/5+1</f>
        <v>2.2000000000000002</v>
      </c>
      <c r="O4" s="4">
        <f>7/10+1</f>
        <v>1.7</v>
      </c>
      <c r="P4" s="5">
        <f t="shared" si="1"/>
        <v>0.4358974358974359</v>
      </c>
      <c r="Q4" s="5">
        <f t="shared" si="2"/>
        <v>0.5641025641025641</v>
      </c>
      <c r="R4" t="s">
        <v>21</v>
      </c>
      <c r="S4" s="3">
        <f>L4-P4</f>
        <v>-3.5897435897435881E-2</v>
      </c>
      <c r="T4" s="8">
        <f t="shared" si="3"/>
        <v>107.21071340485601</v>
      </c>
      <c r="U4" s="4">
        <f t="shared" si="0"/>
        <v>10.721071340485601</v>
      </c>
      <c r="V4">
        <v>0</v>
      </c>
      <c r="W4">
        <v>0</v>
      </c>
      <c r="X4" s="4">
        <f>W4*U4*(M4*(O4+1)-1)/O4</f>
        <v>0</v>
      </c>
      <c r="Y4" s="4">
        <f>V4*X4*O4</f>
        <v>0</v>
      </c>
      <c r="Z4" s="8">
        <f t="shared" si="4"/>
        <v>0</v>
      </c>
    </row>
    <row r="5" spans="1:26" x14ac:dyDescent="0.2">
      <c r="A5" s="1">
        <v>43836</v>
      </c>
      <c r="B5" t="s">
        <v>24</v>
      </c>
      <c r="C5" t="s">
        <v>25</v>
      </c>
      <c r="D5" t="s">
        <v>15</v>
      </c>
      <c r="F5" t="s">
        <v>56</v>
      </c>
      <c r="G5" t="s">
        <v>12</v>
      </c>
      <c r="H5">
        <v>81</v>
      </c>
      <c r="I5">
        <v>1762</v>
      </c>
      <c r="J5">
        <v>68</v>
      </c>
      <c r="K5">
        <v>1873</v>
      </c>
      <c r="L5" s="3">
        <v>0.32400000000000001</v>
      </c>
      <c r="M5" s="3">
        <v>0.67600000000000005</v>
      </c>
      <c r="N5" s="4">
        <f>1+8/13</f>
        <v>1.6153846153846154</v>
      </c>
      <c r="O5" s="4">
        <f>1+11/8</f>
        <v>2.375</v>
      </c>
      <c r="P5" s="5">
        <f t="shared" si="1"/>
        <v>0.59518072289156621</v>
      </c>
      <c r="Q5" s="6">
        <f t="shared" si="2"/>
        <v>0.40481927710843379</v>
      </c>
      <c r="R5" t="s">
        <v>25</v>
      </c>
      <c r="S5" s="3">
        <f>L5-P5</f>
        <v>-0.27118072289156619</v>
      </c>
      <c r="T5" s="8">
        <f t="shared" si="3"/>
        <v>107.21071340485601</v>
      </c>
      <c r="U5" s="4">
        <f t="shared" si="0"/>
        <v>10.721071340485601</v>
      </c>
      <c r="V5">
        <v>0</v>
      </c>
      <c r="W5">
        <v>1</v>
      </c>
      <c r="X5" s="4">
        <f>W5*U5*(M5*(O5+1)-1)/O5</f>
        <v>5.784864388560969</v>
      </c>
      <c r="Y5" s="4">
        <f>V5*X5*O5</f>
        <v>0</v>
      </c>
      <c r="Z5" s="8">
        <f t="shared" si="4"/>
        <v>-5.784864388560969</v>
      </c>
    </row>
    <row r="6" spans="1:26" x14ac:dyDescent="0.2">
      <c r="A6" s="1">
        <v>43836</v>
      </c>
      <c r="B6" t="s">
        <v>26</v>
      </c>
      <c r="C6" t="s">
        <v>27</v>
      </c>
      <c r="F6" t="s">
        <v>56</v>
      </c>
      <c r="G6" t="s">
        <v>12</v>
      </c>
      <c r="H6">
        <v>49</v>
      </c>
      <c r="I6">
        <v>1941</v>
      </c>
      <c r="J6">
        <v>64</v>
      </c>
      <c r="K6">
        <v>1861</v>
      </c>
      <c r="L6" s="3">
        <v>0.63700000000000001</v>
      </c>
      <c r="M6" s="3">
        <v>0.36299999999999999</v>
      </c>
      <c r="N6" s="4">
        <f>1+1/3</f>
        <v>1.3333333333333333</v>
      </c>
      <c r="O6" s="4">
        <f>1+12/5</f>
        <v>3.4</v>
      </c>
      <c r="P6" s="5">
        <f t="shared" si="1"/>
        <v>0.71830985915492962</v>
      </c>
      <c r="Q6" s="7">
        <f t="shared" si="2"/>
        <v>0.28169014084507049</v>
      </c>
      <c r="R6" t="s">
        <v>26</v>
      </c>
      <c r="S6" s="3">
        <f>L6-P6</f>
        <v>-8.1309859154929609E-2</v>
      </c>
      <c r="T6" s="8">
        <f t="shared" si="3"/>
        <v>101.42584901629505</v>
      </c>
      <c r="U6" s="4">
        <f t="shared" si="0"/>
        <v>10.142584901629505</v>
      </c>
      <c r="V6">
        <v>0</v>
      </c>
      <c r="W6">
        <v>0</v>
      </c>
      <c r="X6" s="4">
        <f>W6*U6*(M6*(O6+1)-1)/O6</f>
        <v>0</v>
      </c>
      <c r="Y6" s="4">
        <f>V6*X6*O6</f>
        <v>0</v>
      </c>
      <c r="Z6" s="8">
        <f t="shared" si="4"/>
        <v>0</v>
      </c>
    </row>
    <row r="7" spans="1:26" x14ac:dyDescent="0.2">
      <c r="A7" s="1">
        <v>43836</v>
      </c>
      <c r="B7" t="s">
        <v>28</v>
      </c>
      <c r="C7" t="s">
        <v>29</v>
      </c>
      <c r="E7">
        <v>6</v>
      </c>
      <c r="F7" t="s">
        <v>56</v>
      </c>
      <c r="G7" t="s">
        <v>12</v>
      </c>
      <c r="H7">
        <v>69</v>
      </c>
      <c r="I7">
        <v>1964</v>
      </c>
      <c r="J7">
        <v>40</v>
      </c>
      <c r="K7">
        <v>1987</v>
      </c>
      <c r="L7" s="3">
        <v>0.47</v>
      </c>
      <c r="M7" s="3">
        <v>0.53</v>
      </c>
      <c r="N7" s="4">
        <f>1+8/11</f>
        <v>1.7272727272727273</v>
      </c>
      <c r="O7" s="4">
        <f>1+23/20</f>
        <v>2.15</v>
      </c>
      <c r="P7" s="5">
        <f t="shared" si="1"/>
        <v>0.55451348182883931</v>
      </c>
      <c r="Q7" s="6">
        <f t="shared" si="2"/>
        <v>0.44548651817116058</v>
      </c>
      <c r="R7" t="s">
        <v>29</v>
      </c>
      <c r="S7" s="3">
        <f>M7-Q7</f>
        <v>8.4513481828839443E-2</v>
      </c>
      <c r="T7" s="8">
        <f t="shared" si="3"/>
        <v>101.42584901629505</v>
      </c>
      <c r="U7" s="4">
        <f t="shared" si="0"/>
        <v>10.142584901629505</v>
      </c>
      <c r="V7">
        <v>1</v>
      </c>
      <c r="W7">
        <v>1</v>
      </c>
      <c r="X7" s="4">
        <f>W7*U7*(M7*(O7+1)-1)/O7</f>
        <v>3.158353763553932</v>
      </c>
      <c r="Y7" s="4">
        <f>V7*X7*O7</f>
        <v>6.7904605916409535</v>
      </c>
      <c r="Z7" s="8">
        <f t="shared" si="4"/>
        <v>3.6321068280870215</v>
      </c>
    </row>
    <row r="8" spans="1:26" x14ac:dyDescent="0.2">
      <c r="A8" s="1">
        <v>43837</v>
      </c>
      <c r="B8" t="s">
        <v>30</v>
      </c>
      <c r="C8" t="s">
        <v>31</v>
      </c>
      <c r="D8">
        <v>8</v>
      </c>
      <c r="E8" t="s">
        <v>15</v>
      </c>
      <c r="F8" t="s">
        <v>56</v>
      </c>
      <c r="G8" t="s">
        <v>12</v>
      </c>
      <c r="H8">
        <v>47</v>
      </c>
      <c r="I8">
        <v>1909</v>
      </c>
      <c r="J8">
        <v>70</v>
      </c>
      <c r="K8">
        <v>1883</v>
      </c>
      <c r="L8" s="3">
        <v>0.52300000000000002</v>
      </c>
      <c r="M8" s="3">
        <v>0.47699999999999998</v>
      </c>
      <c r="N8" s="4">
        <f>1+4/5</f>
        <v>1.8</v>
      </c>
      <c r="O8" s="4">
        <f>1+21/20</f>
        <v>2.0499999999999998</v>
      </c>
      <c r="P8" s="5">
        <f t="shared" si="1"/>
        <v>0.53246753246753242</v>
      </c>
      <c r="Q8" s="5">
        <f t="shared" si="2"/>
        <v>0.46753246753246758</v>
      </c>
      <c r="R8" t="s">
        <v>31</v>
      </c>
      <c r="S8" s="3">
        <f>M8-Q8</f>
        <v>9.4675324675324024E-3</v>
      </c>
      <c r="T8" s="8">
        <f t="shared" si="3"/>
        <v>105.05795584438206</v>
      </c>
      <c r="U8" s="4">
        <f t="shared" si="0"/>
        <v>10.505795584438207</v>
      </c>
      <c r="V8">
        <v>0</v>
      </c>
      <c r="W8">
        <v>0</v>
      </c>
      <c r="X8" s="4">
        <f>W8*U8*(M8*(O8+1)-1)/O8</f>
        <v>0</v>
      </c>
      <c r="Y8" s="4">
        <f>V8*X8*O8</f>
        <v>0</v>
      </c>
      <c r="Z8" s="8">
        <f t="shared" si="4"/>
        <v>0</v>
      </c>
    </row>
    <row r="9" spans="1:26" x14ac:dyDescent="0.2">
      <c r="A9" s="1">
        <v>43837</v>
      </c>
      <c r="B9" t="s">
        <v>32</v>
      </c>
      <c r="C9" t="s">
        <v>33</v>
      </c>
      <c r="D9" t="s">
        <v>17</v>
      </c>
      <c r="F9" t="s">
        <v>56</v>
      </c>
      <c r="G9" t="s">
        <v>12</v>
      </c>
      <c r="H9">
        <v>279</v>
      </c>
      <c r="I9">
        <v>1571</v>
      </c>
      <c r="J9">
        <v>67</v>
      </c>
      <c r="K9">
        <v>1832</v>
      </c>
      <c r="L9" s="3">
        <v>0.157</v>
      </c>
      <c r="M9" s="3">
        <v>0.84299999999999997</v>
      </c>
      <c r="N9" s="4">
        <f>1+16/5</f>
        <v>4.2</v>
      </c>
      <c r="O9" s="4">
        <f>1+4/17</f>
        <v>1.2352941176470589</v>
      </c>
      <c r="P9" s="5">
        <f t="shared" si="1"/>
        <v>0.22727272727272729</v>
      </c>
      <c r="Q9" s="5">
        <f t="shared" si="2"/>
        <v>0.77272727272727271</v>
      </c>
      <c r="R9" t="s">
        <v>32</v>
      </c>
      <c r="S9" s="3">
        <f>L9-P9</f>
        <v>-7.0272727272727292E-2</v>
      </c>
      <c r="T9" s="8">
        <f t="shared" si="3"/>
        <v>105.05795584438206</v>
      </c>
      <c r="U9" s="4">
        <f t="shared" si="0"/>
        <v>10.505795584438207</v>
      </c>
      <c r="V9">
        <v>0</v>
      </c>
      <c r="W9">
        <v>0</v>
      </c>
      <c r="X9" s="4">
        <f>W9*U9*(M9*(O9+1)-1)/O9</f>
        <v>0</v>
      </c>
      <c r="Y9" s="4">
        <f>V9*X9*O9</f>
        <v>0</v>
      </c>
      <c r="Z9" s="8">
        <f t="shared" si="4"/>
        <v>0</v>
      </c>
    </row>
    <row r="10" spans="1:26" x14ac:dyDescent="0.2">
      <c r="A10" s="1">
        <v>43836</v>
      </c>
      <c r="B10" t="s">
        <v>34</v>
      </c>
      <c r="C10" t="s">
        <v>35</v>
      </c>
      <c r="F10" t="s">
        <v>56</v>
      </c>
      <c r="G10" t="s">
        <v>12</v>
      </c>
      <c r="H10">
        <v>62</v>
      </c>
      <c r="I10">
        <v>1869</v>
      </c>
      <c r="J10">
        <v>63</v>
      </c>
      <c r="K10">
        <v>1880</v>
      </c>
      <c r="L10" s="3">
        <v>0.48299999999999998</v>
      </c>
      <c r="M10" s="3">
        <v>0.51700000000000002</v>
      </c>
      <c r="N10" s="4">
        <f>1+5/8</f>
        <v>1.625</v>
      </c>
      <c r="O10" s="4">
        <f>1+13/10</f>
        <v>2.2999999999999998</v>
      </c>
      <c r="P10" s="5">
        <f t="shared" si="1"/>
        <v>0.5859872611464968</v>
      </c>
      <c r="Q10" s="6">
        <f t="shared" si="2"/>
        <v>0.4140127388535032</v>
      </c>
      <c r="R10" t="s">
        <v>34</v>
      </c>
      <c r="S10" s="3">
        <f>L10-P10</f>
        <v>-0.10298726114649681</v>
      </c>
      <c r="T10" s="8">
        <f t="shared" si="3"/>
        <v>105.05795584438206</v>
      </c>
      <c r="U10" s="4">
        <f t="shared" si="0"/>
        <v>10.505795584438207</v>
      </c>
      <c r="V10">
        <v>0</v>
      </c>
      <c r="W10">
        <v>1</v>
      </c>
      <c r="X10" s="4">
        <f>W10*U10*(M10*(O10+1)-1)/O10</f>
        <v>3.2252792444225293</v>
      </c>
      <c r="Y10" s="4">
        <f>V10*X10*O10</f>
        <v>0</v>
      </c>
      <c r="Z10" s="8">
        <f t="shared" si="4"/>
        <v>-3.2252792444225293</v>
      </c>
    </row>
    <row r="11" spans="1:26" x14ac:dyDescent="0.2">
      <c r="A11" s="1">
        <v>43837</v>
      </c>
      <c r="B11" t="s">
        <v>45</v>
      </c>
      <c r="C11" t="s">
        <v>46</v>
      </c>
      <c r="D11">
        <v>5</v>
      </c>
      <c r="F11" t="s">
        <v>56</v>
      </c>
      <c r="G11" t="s">
        <v>12</v>
      </c>
      <c r="H11">
        <v>39</v>
      </c>
      <c r="I11">
        <v>1833</v>
      </c>
      <c r="J11">
        <v>51</v>
      </c>
      <c r="K11">
        <v>1850</v>
      </c>
      <c r="L11" s="3">
        <v>0.39200000000000002</v>
      </c>
      <c r="M11" s="3">
        <v>0.60799999999999998</v>
      </c>
      <c r="N11" s="4">
        <f>1+2/1</f>
        <v>3</v>
      </c>
      <c r="O11" s="4">
        <f>1+0.4</f>
        <v>1.4</v>
      </c>
      <c r="P11" s="6">
        <f t="shared" si="1"/>
        <v>0.31818181818181823</v>
      </c>
      <c r="Q11" s="7">
        <f t="shared" si="2"/>
        <v>0.68181818181818188</v>
      </c>
      <c r="R11" t="s">
        <v>45</v>
      </c>
      <c r="S11" s="3">
        <f>L11-P11</f>
        <v>7.3818181818181783E-2</v>
      </c>
      <c r="T11" s="8">
        <f t="shared" si="3"/>
        <v>101.83267659995954</v>
      </c>
      <c r="U11" s="4">
        <f t="shared" si="0"/>
        <v>10.183267659995956</v>
      </c>
      <c r="V11">
        <v>1</v>
      </c>
      <c r="W11">
        <v>1</v>
      </c>
      <c r="X11" s="4">
        <f>W11*U11*(L11*(N11+1)-1)/N11</f>
        <v>1.9280320102925677</v>
      </c>
      <c r="Y11" s="4">
        <f>V11*X11*N11</f>
        <v>5.784096030877703</v>
      </c>
      <c r="Z11" s="8">
        <f t="shared" si="4"/>
        <v>3.8560640205851353</v>
      </c>
    </row>
    <row r="12" spans="1:26" x14ac:dyDescent="0.2">
      <c r="A12" s="1">
        <v>43837</v>
      </c>
      <c r="B12" t="s">
        <v>47</v>
      </c>
      <c r="C12" t="s">
        <v>48</v>
      </c>
      <c r="D12" t="s">
        <v>17</v>
      </c>
      <c r="F12" t="s">
        <v>56</v>
      </c>
      <c r="G12" t="s">
        <v>12</v>
      </c>
      <c r="H12">
        <v>75</v>
      </c>
      <c r="I12">
        <v>1770</v>
      </c>
      <c r="J12">
        <v>65</v>
      </c>
      <c r="K12">
        <v>1907</v>
      </c>
      <c r="L12" s="3">
        <v>0.32700000000000001</v>
      </c>
      <c r="M12" s="3">
        <v>0.67300000000000004</v>
      </c>
      <c r="N12" s="4">
        <f>1+29/20</f>
        <v>2.4500000000000002</v>
      </c>
      <c r="O12" s="4">
        <f>1+4/7</f>
        <v>1.5714285714285714</v>
      </c>
      <c r="P12" s="5">
        <f t="shared" si="1"/>
        <v>0.39076376554174064</v>
      </c>
      <c r="Q12" s="5">
        <f t="shared" si="2"/>
        <v>0.60923623445825936</v>
      </c>
      <c r="R12" t="s">
        <v>48</v>
      </c>
      <c r="S12" s="3">
        <f>M12-Q12</f>
        <v>6.376376554174068E-2</v>
      </c>
      <c r="T12" s="8">
        <f t="shared" si="3"/>
        <v>105.68874062054468</v>
      </c>
      <c r="U12" s="4">
        <f t="shared" si="0"/>
        <v>10.568874062054469</v>
      </c>
      <c r="V12">
        <v>0</v>
      </c>
      <c r="W12">
        <v>0</v>
      </c>
      <c r="X12" s="4">
        <f>W12*U12*(L12*(N12+1)-1)/N12</f>
        <v>0</v>
      </c>
      <c r="Y12" s="4">
        <f>V12*X12*N12</f>
        <v>0</v>
      </c>
      <c r="Z12" s="8">
        <f t="shared" si="4"/>
        <v>0</v>
      </c>
    </row>
    <row r="13" spans="1:26" x14ac:dyDescent="0.2">
      <c r="A13" s="1">
        <v>43837</v>
      </c>
      <c r="B13" t="s">
        <v>49</v>
      </c>
      <c r="C13" t="s">
        <v>50</v>
      </c>
      <c r="D13" t="s">
        <v>17</v>
      </c>
      <c r="F13" t="s">
        <v>56</v>
      </c>
      <c r="G13" t="s">
        <v>12</v>
      </c>
      <c r="H13">
        <v>229</v>
      </c>
      <c r="I13">
        <v>1727</v>
      </c>
      <c r="J13">
        <v>66</v>
      </c>
      <c r="K13">
        <v>1900</v>
      </c>
      <c r="L13" s="3">
        <v>0.29699999999999999</v>
      </c>
      <c r="M13" s="3">
        <v>0.70299999999999996</v>
      </c>
      <c r="N13" s="4">
        <f>1+7/2</f>
        <v>4.5</v>
      </c>
      <c r="O13" s="4">
        <f>1+4/19</f>
        <v>1.2105263157894737</v>
      </c>
      <c r="P13" s="6">
        <f t="shared" si="1"/>
        <v>0.21198156682027647</v>
      </c>
      <c r="Q13" s="7">
        <f t="shared" si="2"/>
        <v>0.78801843317972353</v>
      </c>
      <c r="R13" t="s">
        <v>50</v>
      </c>
      <c r="S13" s="3">
        <f>M13-Q13</f>
        <v>-8.5018433179723574E-2</v>
      </c>
      <c r="T13" s="8">
        <f t="shared" si="3"/>
        <v>105.68874062054468</v>
      </c>
      <c r="U13" s="4">
        <f t="shared" si="0"/>
        <v>10.568874062054469</v>
      </c>
      <c r="V13">
        <v>0</v>
      </c>
      <c r="W13">
        <v>1</v>
      </c>
      <c r="X13" s="4">
        <f>W13*U13*(L13*(N13+1)-1)/N13</f>
        <v>1.4878626040692235</v>
      </c>
      <c r="Y13" s="4">
        <f>V13*X13*N13</f>
        <v>0</v>
      </c>
      <c r="Z13" s="8">
        <f t="shared" si="4"/>
        <v>-1.4878626040692235</v>
      </c>
    </row>
    <row r="14" spans="1:26" x14ac:dyDescent="0.2">
      <c r="A14" s="1">
        <v>43837</v>
      </c>
      <c r="B14" t="s">
        <v>13</v>
      </c>
      <c r="C14" t="s">
        <v>18</v>
      </c>
      <c r="D14">
        <v>1</v>
      </c>
      <c r="F14" t="s">
        <v>5</v>
      </c>
      <c r="G14" t="s">
        <v>12</v>
      </c>
      <c r="H14">
        <v>15</v>
      </c>
      <c r="I14">
        <v>2114</v>
      </c>
      <c r="J14">
        <v>54</v>
      </c>
      <c r="K14">
        <v>1972</v>
      </c>
      <c r="L14" s="3">
        <v>0.70299999999999996</v>
      </c>
      <c r="M14" s="3">
        <v>0.29699999999999999</v>
      </c>
      <c r="N14" s="4">
        <f>1+1/3</f>
        <v>1.3333333333333333</v>
      </c>
      <c r="O14" s="4">
        <f>1+12/5</f>
        <v>3.4</v>
      </c>
      <c r="P14" s="7">
        <f t="shared" si="1"/>
        <v>0.71830985915492962</v>
      </c>
      <c r="Q14" s="7">
        <f t="shared" si="2"/>
        <v>0.28169014084507049</v>
      </c>
      <c r="R14" t="s">
        <v>13</v>
      </c>
      <c r="S14" s="3">
        <f>L14-P14</f>
        <v>-1.5309859154929661E-2</v>
      </c>
      <c r="T14" s="8">
        <f t="shared" si="3"/>
        <v>104.20087801647546</v>
      </c>
      <c r="U14" s="4">
        <f t="shared" si="0"/>
        <v>10.420087801647547</v>
      </c>
      <c r="V14">
        <v>0</v>
      </c>
      <c r="W14">
        <v>0</v>
      </c>
      <c r="X14" s="4">
        <f>W14*U14*(L14*(N14+1)-1)/N14</f>
        <v>0</v>
      </c>
      <c r="Y14" s="4">
        <f>V14*X14*N14</f>
        <v>0</v>
      </c>
      <c r="Z14" s="8">
        <f t="shared" si="4"/>
        <v>0</v>
      </c>
    </row>
    <row r="15" spans="1:26" x14ac:dyDescent="0.2">
      <c r="A15" s="1">
        <v>43837</v>
      </c>
      <c r="B15" t="s">
        <v>20</v>
      </c>
      <c r="C15" t="s">
        <v>21</v>
      </c>
      <c r="F15" t="s">
        <v>5</v>
      </c>
      <c r="G15" t="s">
        <v>12</v>
      </c>
      <c r="H15">
        <v>58</v>
      </c>
      <c r="I15">
        <v>1933</v>
      </c>
      <c r="J15">
        <v>55</v>
      </c>
      <c r="K15">
        <v>1863</v>
      </c>
      <c r="L15" s="3">
        <v>0.55500000000000005</v>
      </c>
      <c r="M15" s="3">
        <v>0.44500000000000001</v>
      </c>
      <c r="N15" s="4">
        <f>1+5/6</f>
        <v>1.8333333333333335</v>
      </c>
      <c r="O15" s="4">
        <f>1+1</f>
        <v>2</v>
      </c>
      <c r="P15" s="7">
        <f t="shared" si="1"/>
        <v>0.52173913043478259</v>
      </c>
      <c r="Q15" s="7">
        <f t="shared" si="2"/>
        <v>0.47826086956521741</v>
      </c>
      <c r="R15" t="s">
        <v>20</v>
      </c>
      <c r="S15" s="3">
        <f>L15-P15</f>
        <v>3.3260869565217455E-2</v>
      </c>
      <c r="T15" s="8">
        <f t="shared" si="3"/>
        <v>104.20087801647546</v>
      </c>
      <c r="U15" s="4">
        <f t="shared" si="0"/>
        <v>10.420087801647547</v>
      </c>
      <c r="V15">
        <v>0</v>
      </c>
      <c r="W15">
        <v>0</v>
      </c>
      <c r="X15" s="4">
        <f>W15*U15*(L15*(N15+1)-1)/N15</f>
        <v>0</v>
      </c>
      <c r="Y15" s="4">
        <f>V15*X15*N15</f>
        <v>0</v>
      </c>
      <c r="Z15" s="8">
        <f t="shared" si="4"/>
        <v>0</v>
      </c>
    </row>
    <row r="16" spans="1:26" x14ac:dyDescent="0.2">
      <c r="A16" s="1">
        <v>43838</v>
      </c>
      <c r="B16" t="s">
        <v>57</v>
      </c>
      <c r="C16" t="s">
        <v>58</v>
      </c>
      <c r="E16" t="s">
        <v>15</v>
      </c>
      <c r="F16" t="s">
        <v>5</v>
      </c>
      <c r="G16" t="s">
        <v>12</v>
      </c>
      <c r="H16">
        <v>32</v>
      </c>
      <c r="I16">
        <v>2063</v>
      </c>
      <c r="J16">
        <v>81</v>
      </c>
      <c r="K16">
        <v>1783</v>
      </c>
      <c r="L16" s="3">
        <v>0.80799999999999994</v>
      </c>
      <c r="M16" s="3">
        <v>0.192</v>
      </c>
      <c r="N16" s="4">
        <f>1+5/16</f>
        <v>1.3125</v>
      </c>
      <c r="O16" s="4">
        <f>1+12/5</f>
        <v>3.4</v>
      </c>
      <c r="P16" s="6">
        <f t="shared" si="1"/>
        <v>0.72148541114058351</v>
      </c>
      <c r="Q16" s="7">
        <f t="shared" si="2"/>
        <v>0.27851458885941649</v>
      </c>
      <c r="R16" t="s">
        <v>58</v>
      </c>
      <c r="S16" s="3">
        <f>M16-Q16</f>
        <v>-8.6514588859416486E-2</v>
      </c>
      <c r="T16" s="8">
        <f t="shared" si="3"/>
        <v>104.20087801647546</v>
      </c>
      <c r="U16" s="4">
        <f t="shared" si="0"/>
        <v>10.420087801647547</v>
      </c>
      <c r="V16">
        <v>0</v>
      </c>
      <c r="W16">
        <v>1</v>
      </c>
      <c r="X16" s="4">
        <f>W16*U16*(L16*(N16+1)-1)/N16</f>
        <v>6.8951209567473466</v>
      </c>
      <c r="Y16" s="4">
        <f>V16*X16*N16</f>
        <v>0</v>
      </c>
      <c r="Z16" s="8">
        <f t="shared" si="4"/>
        <v>-6.8951209567473466</v>
      </c>
    </row>
    <row r="17" spans="1:26" x14ac:dyDescent="0.2">
      <c r="A17" s="1">
        <v>43838</v>
      </c>
      <c r="B17" t="s">
        <v>26</v>
      </c>
      <c r="C17" t="s">
        <v>29</v>
      </c>
      <c r="E17">
        <v>6</v>
      </c>
      <c r="F17" t="s">
        <v>5</v>
      </c>
      <c r="G17" t="s">
        <v>12</v>
      </c>
      <c r="H17">
        <v>49</v>
      </c>
      <c r="I17">
        <v>1948</v>
      </c>
      <c r="J17">
        <v>40</v>
      </c>
      <c r="K17">
        <v>1995</v>
      </c>
      <c r="L17" s="3">
        <v>0.42799999999999999</v>
      </c>
      <c r="M17" s="3">
        <v>0.57200000000000006</v>
      </c>
      <c r="N17" s="4">
        <f>1+27/20</f>
        <v>2.35</v>
      </c>
      <c r="O17" s="4">
        <f>1+8/13</f>
        <v>1.6153846153846154</v>
      </c>
      <c r="P17" s="7">
        <f t="shared" si="1"/>
        <v>0.40737148399612022</v>
      </c>
      <c r="Q17" s="7">
        <f t="shared" si="2"/>
        <v>0.59262851600387978</v>
      </c>
      <c r="R17" t="s">
        <v>26</v>
      </c>
      <c r="S17" s="3">
        <f>L17-P17</f>
        <v>2.0628516003879771E-2</v>
      </c>
      <c r="T17" s="8">
        <f t="shared" si="3"/>
        <v>97.305757059728109</v>
      </c>
      <c r="U17" s="4">
        <f t="shared" si="0"/>
        <v>9.7305757059728109</v>
      </c>
      <c r="V17">
        <v>0</v>
      </c>
      <c r="W17">
        <v>0</v>
      </c>
      <c r="X17" s="4">
        <f>W17*U17*(L17*(N17+1)-1)/N17</f>
        <v>0</v>
      </c>
      <c r="Y17" s="4">
        <f>V17*X17*N17</f>
        <v>0</v>
      </c>
      <c r="Z17" s="8">
        <f t="shared" si="4"/>
        <v>0</v>
      </c>
    </row>
    <row r="18" spans="1:26" x14ac:dyDescent="0.2">
      <c r="A18" s="1">
        <v>43838</v>
      </c>
      <c r="B18" t="s">
        <v>31</v>
      </c>
      <c r="C18" t="s">
        <v>32</v>
      </c>
      <c r="D18" t="s">
        <v>15</v>
      </c>
      <c r="E18" t="s">
        <v>17</v>
      </c>
      <c r="F18" t="s">
        <v>5</v>
      </c>
      <c r="G18" t="s">
        <v>12</v>
      </c>
      <c r="H18">
        <v>70</v>
      </c>
      <c r="I18">
        <v>1894</v>
      </c>
      <c r="J18">
        <v>279</v>
      </c>
      <c r="K18">
        <v>1659</v>
      </c>
      <c r="L18" s="3">
        <v>0.81299999999999994</v>
      </c>
      <c r="M18" s="3">
        <v>0.187</v>
      </c>
      <c r="N18" s="4">
        <f>1+2/11</f>
        <v>1.1818181818181819</v>
      </c>
      <c r="O18" s="4">
        <f>1+4</f>
        <v>5</v>
      </c>
      <c r="P18" s="7">
        <f t="shared" ref="P18:P20" si="5">1-N18/($N18+$O18)</f>
        <v>0.80882352941176472</v>
      </c>
      <c r="Q18" s="7">
        <f t="shared" ref="Q18:Q22" si="6">1-O18/($N18+$O18)</f>
        <v>0.19117647058823528</v>
      </c>
      <c r="R18" t="s">
        <v>31</v>
      </c>
      <c r="S18" s="3">
        <f>L18-P18</f>
        <v>4.176470588235226E-3</v>
      </c>
      <c r="T18" s="8">
        <f t="shared" si="3"/>
        <v>97.305757059728109</v>
      </c>
      <c r="U18" s="4">
        <f t="shared" si="0"/>
        <v>9.7305757059728109</v>
      </c>
      <c r="V18">
        <v>0</v>
      </c>
      <c r="W18">
        <v>0</v>
      </c>
      <c r="X18" s="4">
        <f>W18*U18*(L18*(N18+1)-1)/N18</f>
        <v>0</v>
      </c>
      <c r="Y18" s="4">
        <f>V18*X18*N18</f>
        <v>0</v>
      </c>
      <c r="Z18" s="8">
        <f t="shared" si="4"/>
        <v>0</v>
      </c>
    </row>
    <row r="19" spans="1:26" x14ac:dyDescent="0.2">
      <c r="A19" s="1">
        <v>43838</v>
      </c>
      <c r="B19" t="s">
        <v>34</v>
      </c>
      <c r="C19" t="s">
        <v>64</v>
      </c>
      <c r="E19">
        <v>3</v>
      </c>
      <c r="F19" t="s">
        <v>5</v>
      </c>
      <c r="G19" t="s">
        <v>12</v>
      </c>
      <c r="H19">
        <v>62</v>
      </c>
      <c r="I19">
        <v>1880</v>
      </c>
      <c r="J19">
        <v>30</v>
      </c>
      <c r="K19">
        <v>2063</v>
      </c>
      <c r="L19" s="3">
        <v>0.27699999999999997</v>
      </c>
      <c r="M19" s="3">
        <v>0.72299999999999998</v>
      </c>
      <c r="N19" s="4">
        <f>1+31/20</f>
        <v>2.5499999999999998</v>
      </c>
      <c r="O19" s="4">
        <f>1+8/15</f>
        <v>1.5333333333333332</v>
      </c>
      <c r="P19" s="7">
        <f t="shared" si="5"/>
        <v>0.3755102040816326</v>
      </c>
      <c r="Q19" s="6">
        <f t="shared" si="6"/>
        <v>0.62448979591836729</v>
      </c>
      <c r="R19" t="s">
        <v>34</v>
      </c>
      <c r="S19" s="3">
        <f>L19-P19</f>
        <v>-9.8510204081632635E-2</v>
      </c>
      <c r="T19" s="8">
        <f t="shared" si="3"/>
        <v>97.305757059728109</v>
      </c>
      <c r="U19" s="4">
        <f t="shared" si="0"/>
        <v>9.7305757059728109</v>
      </c>
      <c r="V19">
        <v>0</v>
      </c>
      <c r="W19">
        <v>1</v>
      </c>
      <c r="X19" s="4">
        <f>W19*U19*(M19*(O19+1)-1)/O19</f>
        <v>5.277356580708906</v>
      </c>
      <c r="Y19" s="4">
        <f>V19*X19*N19</f>
        <v>0</v>
      </c>
      <c r="Z19" s="8">
        <f t="shared" si="4"/>
        <v>-5.277356580708906</v>
      </c>
    </row>
    <row r="20" spans="1:26" x14ac:dyDescent="0.2">
      <c r="A20" s="1">
        <v>43838</v>
      </c>
      <c r="B20" t="s">
        <v>45</v>
      </c>
      <c r="C20" t="s">
        <v>48</v>
      </c>
      <c r="D20">
        <v>5</v>
      </c>
      <c r="F20" t="s">
        <v>5</v>
      </c>
      <c r="G20" t="s">
        <v>12</v>
      </c>
      <c r="H20">
        <v>39</v>
      </c>
      <c r="I20">
        <v>1845</v>
      </c>
      <c r="J20">
        <v>65</v>
      </c>
      <c r="K20">
        <v>1913</v>
      </c>
      <c r="L20" s="3">
        <v>0.38799999999999996</v>
      </c>
      <c r="M20" s="3">
        <v>0.61199999999999999</v>
      </c>
      <c r="N20" s="4">
        <f>1+21/10</f>
        <v>3.1</v>
      </c>
      <c r="O20" s="4">
        <f>1+5/13</f>
        <v>1.3846153846153846</v>
      </c>
      <c r="P20" s="7">
        <f t="shared" si="5"/>
        <v>0.30874785591766718</v>
      </c>
      <c r="Q20" s="7">
        <f t="shared" si="6"/>
        <v>0.69125214408233271</v>
      </c>
      <c r="R20" t="s">
        <v>48</v>
      </c>
      <c r="S20" s="3">
        <f>M20-Q20</f>
        <v>-7.9252144082332721E-2</v>
      </c>
      <c r="T20" s="8">
        <f t="shared" si="3"/>
        <v>92.028400479019197</v>
      </c>
      <c r="U20" s="4">
        <f t="shared" si="0"/>
        <v>9.2028400479019208</v>
      </c>
      <c r="V20">
        <v>0</v>
      </c>
      <c r="W20">
        <v>0</v>
      </c>
      <c r="X20" s="4">
        <f>W20*U20*(M20*(O20+1)-1)/O20</f>
        <v>0</v>
      </c>
      <c r="Y20" s="4">
        <f>V20*X20*N20</f>
        <v>0</v>
      </c>
      <c r="Z20" s="8">
        <f t="shared" si="4"/>
        <v>0</v>
      </c>
    </row>
    <row r="21" spans="1:26" x14ac:dyDescent="0.2">
      <c r="A21" s="1">
        <v>43838</v>
      </c>
      <c r="B21" t="s">
        <v>50</v>
      </c>
      <c r="C21" t="s">
        <v>65</v>
      </c>
      <c r="E21">
        <v>2</v>
      </c>
      <c r="F21" t="s">
        <v>5</v>
      </c>
      <c r="G21" t="s">
        <v>12</v>
      </c>
      <c r="H21">
        <v>66</v>
      </c>
      <c r="I21">
        <v>1905</v>
      </c>
      <c r="J21">
        <v>23</v>
      </c>
      <c r="K21">
        <v>2071</v>
      </c>
      <c r="L21" s="3">
        <v>0.33399999999999996</v>
      </c>
      <c r="M21" s="3">
        <v>0.66599999999999993</v>
      </c>
      <c r="N21" s="4">
        <f>1+11/4</f>
        <v>3.75</v>
      </c>
      <c r="O21" s="4">
        <f>1+5/18</f>
        <v>1.2777777777777777</v>
      </c>
      <c r="P21" s="7">
        <f>1-N21/($N21+$O21)</f>
        <v>0.2541436464088398</v>
      </c>
      <c r="Q21" s="7">
        <f t="shared" si="6"/>
        <v>0.7458563535911602</v>
      </c>
      <c r="R21" t="s">
        <v>65</v>
      </c>
      <c r="S21" s="3">
        <f>M21-Q21</f>
        <v>-7.9856353591160278E-2</v>
      </c>
      <c r="T21" s="8">
        <f t="shared" si="3"/>
        <v>92.028400479019197</v>
      </c>
      <c r="U21" s="4">
        <f t="shared" si="0"/>
        <v>9.2028400479019208</v>
      </c>
      <c r="V21">
        <v>0</v>
      </c>
      <c r="W21">
        <v>0</v>
      </c>
      <c r="X21" s="4">
        <f>W21*U21*(M21*(O21+1)-1)/O21</f>
        <v>0</v>
      </c>
      <c r="Y21" s="4">
        <f>V21*X21*N21</f>
        <v>0</v>
      </c>
      <c r="Z21" s="8">
        <f t="shared" si="4"/>
        <v>0</v>
      </c>
    </row>
    <row r="22" spans="1:26" x14ac:dyDescent="0.2">
      <c r="A22" s="1">
        <v>43839</v>
      </c>
      <c r="B22" t="s">
        <v>13</v>
      </c>
      <c r="C22" t="s">
        <v>20</v>
      </c>
      <c r="D22">
        <v>1</v>
      </c>
      <c r="F22" t="s">
        <v>6</v>
      </c>
      <c r="G22" t="s">
        <v>12</v>
      </c>
      <c r="H22">
        <v>15</v>
      </c>
      <c r="I22">
        <v>2119</v>
      </c>
      <c r="J22">
        <v>58</v>
      </c>
      <c r="K22">
        <v>1940</v>
      </c>
      <c r="L22" s="3">
        <v>0.73</v>
      </c>
      <c r="M22" s="3">
        <v>0.27</v>
      </c>
      <c r="N22" s="4">
        <f>1+4/11</f>
        <v>1.3636363636363638</v>
      </c>
      <c r="O22" s="4">
        <f>1+11/5</f>
        <v>3.2</v>
      </c>
      <c r="P22" s="7">
        <f>1-N22/($N22+$O22)</f>
        <v>0.70119521912350602</v>
      </c>
      <c r="Q22" s="7">
        <f t="shared" si="6"/>
        <v>0.29880478087649409</v>
      </c>
      <c r="R22" t="s">
        <v>13</v>
      </c>
      <c r="T22" s="8">
        <f t="shared" si="3"/>
        <v>92.028400479019197</v>
      </c>
      <c r="U22" s="4">
        <f t="shared" si="0"/>
        <v>9.2028400479019208</v>
      </c>
      <c r="V22">
        <v>0</v>
      </c>
      <c r="W22">
        <v>0</v>
      </c>
      <c r="X22" s="4">
        <f>W22*U22*(M22*(O22+1)-1)/O22</f>
        <v>0</v>
      </c>
      <c r="Y22" s="4">
        <f>V22*X22*N22</f>
        <v>0</v>
      </c>
      <c r="Z22" s="8">
        <f t="shared" si="4"/>
        <v>0</v>
      </c>
    </row>
    <row r="23" spans="1:26" x14ac:dyDescent="0.2">
      <c r="A23" s="1">
        <v>43839</v>
      </c>
      <c r="B23" t="s">
        <v>58</v>
      </c>
      <c r="C23" t="s">
        <v>26</v>
      </c>
      <c r="D23" t="s">
        <v>15</v>
      </c>
      <c r="F23" t="s">
        <v>6</v>
      </c>
      <c r="G23" t="s">
        <v>12</v>
      </c>
      <c r="H23">
        <v>81</v>
      </c>
      <c r="I23">
        <v>1807</v>
      </c>
      <c r="J23">
        <v>49</v>
      </c>
      <c r="K23">
        <v>1958</v>
      </c>
      <c r="L23" s="3">
        <v>0.311</v>
      </c>
      <c r="M23" s="3">
        <v>0.68900000000000006</v>
      </c>
      <c r="N23" s="4">
        <f>1+11/8</f>
        <v>2.375</v>
      </c>
      <c r="O23" s="4">
        <f>1+3/5</f>
        <v>1.6</v>
      </c>
      <c r="P23" s="7">
        <f t="shared" ref="P23:P25" si="7">1-N23/($N23+$O23)</f>
        <v>0.40251572327044027</v>
      </c>
      <c r="Q23" s="6">
        <f t="shared" ref="Q23:Q25" si="8">1-O23/($N23+$O23)</f>
        <v>0.59748427672955973</v>
      </c>
      <c r="R23" t="s">
        <v>58</v>
      </c>
      <c r="T23" s="8">
        <f t="shared" si="3"/>
        <v>92.028400479019197</v>
      </c>
      <c r="U23" s="4">
        <f t="shared" si="0"/>
        <v>9.2028400479019208</v>
      </c>
      <c r="V23">
        <v>0</v>
      </c>
      <c r="W23">
        <v>1</v>
      </c>
      <c r="X23" s="4">
        <f>W23*U23*(M23*(O23+1)-1)/O23</f>
        <v>4.5519547586934879</v>
      </c>
      <c r="Y23" s="4">
        <f>V23*X23*N23</f>
        <v>0</v>
      </c>
      <c r="Z23" s="8">
        <f t="shared" si="4"/>
        <v>-4.5519547586934879</v>
      </c>
    </row>
    <row r="24" spans="1:26" x14ac:dyDescent="0.2">
      <c r="A24" s="1">
        <v>43839</v>
      </c>
      <c r="B24" t="s">
        <v>31</v>
      </c>
      <c r="C24" t="s">
        <v>34</v>
      </c>
      <c r="F24" t="s">
        <v>6</v>
      </c>
      <c r="G24" t="s">
        <v>12</v>
      </c>
      <c r="H24">
        <v>70</v>
      </c>
      <c r="I24">
        <v>1898</v>
      </c>
      <c r="J24">
        <v>62</v>
      </c>
      <c r="K24">
        <v>1895</v>
      </c>
      <c r="L24" s="3">
        <v>0.53200000000000003</v>
      </c>
      <c r="M24" s="3">
        <v>0.46799999999999997</v>
      </c>
      <c r="N24" s="4">
        <f>1+11/8</f>
        <v>2.375</v>
      </c>
      <c r="O24" s="4">
        <f>1+3/5</f>
        <v>1.6</v>
      </c>
      <c r="P24" s="6">
        <f t="shared" si="7"/>
        <v>0.40251572327044027</v>
      </c>
      <c r="Q24" s="7">
        <f t="shared" si="8"/>
        <v>0.59748427672955973</v>
      </c>
      <c r="R24" t="s">
        <v>34</v>
      </c>
      <c r="T24" s="8">
        <f t="shared" si="3"/>
        <v>87.476445720325714</v>
      </c>
      <c r="U24" s="4">
        <f t="shared" si="0"/>
        <v>8.7476445720325717</v>
      </c>
      <c r="V24">
        <v>0</v>
      </c>
      <c r="W24">
        <v>1</v>
      </c>
      <c r="X24" s="4">
        <f>W24*U24*(L24*(N24+1)-1)/N24</f>
        <v>2.9300005292850155</v>
      </c>
      <c r="Y24" s="4">
        <f>V24*X24*N24</f>
        <v>0</v>
      </c>
      <c r="Z24" s="8">
        <f t="shared" si="4"/>
        <v>-2.9300005292850155</v>
      </c>
    </row>
    <row r="25" spans="1:26" x14ac:dyDescent="0.2">
      <c r="A25" s="1">
        <v>43839</v>
      </c>
      <c r="B25" t="s">
        <v>48</v>
      </c>
      <c r="C25" t="s">
        <v>65</v>
      </c>
      <c r="E25">
        <v>2</v>
      </c>
      <c r="F25" t="s">
        <v>6</v>
      </c>
      <c r="G25" t="s">
        <v>12</v>
      </c>
      <c r="H25">
        <v>65</v>
      </c>
      <c r="I25">
        <v>1921</v>
      </c>
      <c r="J25">
        <v>23</v>
      </c>
      <c r="K25">
        <v>2076</v>
      </c>
      <c r="L25" s="3">
        <v>0.28499999999999998</v>
      </c>
      <c r="M25" s="3">
        <v>0.71499999999999997</v>
      </c>
      <c r="N25" s="4">
        <f>1+17/5</f>
        <v>4.4000000000000004</v>
      </c>
      <c r="O25" s="4">
        <f>1+2/9</f>
        <v>1.2222222222222223</v>
      </c>
      <c r="P25" s="7">
        <f t="shared" si="7"/>
        <v>0.21739130434782605</v>
      </c>
      <c r="Q25" s="7">
        <f t="shared" si="8"/>
        <v>0.78260869565217395</v>
      </c>
      <c r="R25" t="s">
        <v>65</v>
      </c>
      <c r="T25" s="8">
        <f t="shared" si="3"/>
        <v>84.546445191040704</v>
      </c>
      <c r="U25" s="4">
        <f t="shared" si="0"/>
        <v>8.45464451910407</v>
      </c>
      <c r="V25">
        <v>0</v>
      </c>
      <c r="W25">
        <v>0</v>
      </c>
      <c r="X25" s="4">
        <f>W25*U25*(M25*(O25+1)-1)/O25</f>
        <v>0</v>
      </c>
      <c r="Y25" s="4">
        <f>V25*X25*N25</f>
        <v>0</v>
      </c>
      <c r="Z25" s="8">
        <f t="shared" si="4"/>
        <v>0</v>
      </c>
    </row>
    <row r="26" spans="1:26" x14ac:dyDescent="0.2">
      <c r="A26" s="1">
        <v>43840</v>
      </c>
      <c r="B26" t="s">
        <v>34</v>
      </c>
      <c r="C26" t="s">
        <v>65</v>
      </c>
      <c r="E26">
        <v>2</v>
      </c>
      <c r="F26" t="s">
        <v>7</v>
      </c>
      <c r="G26" t="s">
        <v>12</v>
      </c>
      <c r="H26">
        <v>62</v>
      </c>
      <c r="I26">
        <v>1906</v>
      </c>
      <c r="J26">
        <v>23</v>
      </c>
      <c r="K26">
        <v>2081</v>
      </c>
      <c r="L26" s="3">
        <v>0.29499999999999998</v>
      </c>
      <c r="M26" s="3">
        <v>0.70499999999999996</v>
      </c>
      <c r="N26" s="4">
        <v>2.5</v>
      </c>
      <c r="O26" s="4">
        <v>1.65</v>
      </c>
      <c r="P26" s="7">
        <f t="shared" ref="P26:P59" si="9">1-N26/($N26+$O26)</f>
        <v>0.39759036144578319</v>
      </c>
      <c r="Q26" s="6">
        <f t="shared" ref="Q26:Q59" si="10">1-O26/($N26+$O26)</f>
        <v>0.60240963855421692</v>
      </c>
      <c r="R26" t="s">
        <v>65</v>
      </c>
      <c r="T26" s="8">
        <f t="shared" si="3"/>
        <v>84.546445191040704</v>
      </c>
      <c r="U26" s="4">
        <f t="shared" si="0"/>
        <v>8.45464451910407</v>
      </c>
      <c r="V26">
        <v>1</v>
      </c>
      <c r="W26">
        <v>1</v>
      </c>
      <c r="X26" s="4">
        <f>W26*U26*(M26*(O26+1)-1)/O26</f>
        <v>4.4489364264921862</v>
      </c>
      <c r="Y26" s="4">
        <f>V26*X26*O26</f>
        <v>7.3407451037121065</v>
      </c>
      <c r="Z26" s="8">
        <f t="shared" ref="Z26" si="11">Y26-X26</f>
        <v>2.8918086772199203</v>
      </c>
    </row>
    <row r="27" spans="1:26" x14ac:dyDescent="0.2">
      <c r="A27" s="1">
        <v>43840</v>
      </c>
      <c r="B27" t="s">
        <v>13</v>
      </c>
      <c r="C27" t="s">
        <v>58</v>
      </c>
      <c r="D27">
        <v>1</v>
      </c>
      <c r="E27" t="s">
        <v>15</v>
      </c>
      <c r="F27" t="s">
        <v>7</v>
      </c>
      <c r="G27" t="s">
        <v>12</v>
      </c>
      <c r="H27">
        <v>15</v>
      </c>
      <c r="I27">
        <v>2124</v>
      </c>
      <c r="J27">
        <v>81</v>
      </c>
      <c r="K27">
        <v>1826</v>
      </c>
      <c r="L27" s="3">
        <v>0.82</v>
      </c>
      <c r="M27" s="3">
        <v>0.18</v>
      </c>
      <c r="N27" s="4">
        <f>1+7/25</f>
        <v>1.28</v>
      </c>
      <c r="O27" s="4">
        <f>1+72/25</f>
        <v>3.88</v>
      </c>
      <c r="P27" s="7">
        <f t="shared" si="9"/>
        <v>0.75193798449612403</v>
      </c>
      <c r="Q27" s="7">
        <f t="shared" si="10"/>
        <v>0.24806201550387597</v>
      </c>
      <c r="R27" t="s">
        <v>58</v>
      </c>
      <c r="T27" s="8">
        <f t="shared" si="3"/>
        <v>87.438253868260631</v>
      </c>
      <c r="U27" s="4">
        <f t="shared" si="0"/>
        <v>8.7438253868260638</v>
      </c>
      <c r="V27">
        <v>0</v>
      </c>
      <c r="W27">
        <v>0</v>
      </c>
      <c r="X27" s="4">
        <f>W27*U27*(M27*(O27+1)-1)/O27</f>
        <v>0</v>
      </c>
      <c r="Y27" s="4">
        <f>V27*X27*O27</f>
        <v>0</v>
      </c>
      <c r="Z27" s="8">
        <f t="shared" ref="Z27:Z28" si="12">Y27-X27</f>
        <v>0</v>
      </c>
    </row>
    <row r="28" spans="1:26" x14ac:dyDescent="0.2">
      <c r="A28" s="1">
        <v>43841</v>
      </c>
      <c r="B28" t="s">
        <v>58</v>
      </c>
      <c r="C28" t="s">
        <v>65</v>
      </c>
      <c r="D28" t="s">
        <v>15</v>
      </c>
      <c r="E28">
        <v>2</v>
      </c>
      <c r="F28" t="s">
        <v>8</v>
      </c>
      <c r="G28" t="s">
        <v>12</v>
      </c>
      <c r="H28">
        <v>23</v>
      </c>
      <c r="I28">
        <v>2086</v>
      </c>
      <c r="J28">
        <v>81</v>
      </c>
      <c r="K28">
        <v>1849</v>
      </c>
      <c r="L28" s="3">
        <v>0.23600000000000002</v>
      </c>
      <c r="M28" s="3">
        <v>0.76400000000000001</v>
      </c>
      <c r="N28" s="4">
        <v>4.8</v>
      </c>
      <c r="O28" s="4">
        <v>1.25</v>
      </c>
      <c r="P28" s="7">
        <f t="shared" si="9"/>
        <v>0.20661157024793386</v>
      </c>
      <c r="Q28" s="7">
        <f t="shared" si="10"/>
        <v>0.79338842975206614</v>
      </c>
      <c r="R28" t="s">
        <v>65</v>
      </c>
      <c r="T28" s="8">
        <f t="shared" si="3"/>
        <v>87.438253868260631</v>
      </c>
      <c r="U28" s="4">
        <f t="shared" si="0"/>
        <v>8.7438253868260638</v>
      </c>
      <c r="V28">
        <v>0</v>
      </c>
      <c r="W28">
        <v>0</v>
      </c>
      <c r="X28" s="4">
        <f>W28*U28*(M28*(O28+1)-1)/O28</f>
        <v>0</v>
      </c>
      <c r="Y28" s="4">
        <f>V28*X28*O28</f>
        <v>0</v>
      </c>
      <c r="Z28" s="8">
        <f t="shared" si="12"/>
        <v>0</v>
      </c>
    </row>
    <row r="29" spans="1:26" x14ac:dyDescent="0.2">
      <c r="A29" s="1">
        <v>43842</v>
      </c>
      <c r="B29" t="s">
        <v>77</v>
      </c>
      <c r="C29" t="s">
        <v>78</v>
      </c>
      <c r="E29">
        <v>8</v>
      </c>
      <c r="F29" t="s">
        <v>56</v>
      </c>
      <c r="G29" t="s">
        <v>75</v>
      </c>
      <c r="H29">
        <v>45</v>
      </c>
      <c r="I29">
        <v>1887</v>
      </c>
      <c r="J29">
        <v>36</v>
      </c>
      <c r="K29">
        <v>1913</v>
      </c>
      <c r="L29" s="3">
        <v>0.38299999999999995</v>
      </c>
      <c r="M29" s="3">
        <v>0.61699999999999999</v>
      </c>
      <c r="N29" s="4">
        <f>1+61/25</f>
        <v>3.44</v>
      </c>
      <c r="O29" s="4">
        <f>1+8/25</f>
        <v>1.32</v>
      </c>
      <c r="P29" s="6">
        <f t="shared" si="9"/>
        <v>0.27731092436974791</v>
      </c>
      <c r="Q29" s="7">
        <f t="shared" si="10"/>
        <v>0.72268907563025209</v>
      </c>
      <c r="R29" t="s">
        <v>77</v>
      </c>
      <c r="T29" s="8">
        <f t="shared" si="3"/>
        <v>87.438253868260631</v>
      </c>
      <c r="U29" s="4">
        <f t="shared" si="0"/>
        <v>8.7438253868260638</v>
      </c>
      <c r="V29">
        <v>1</v>
      </c>
      <c r="W29">
        <v>1</v>
      </c>
      <c r="X29" s="4">
        <f>W29*U29*(L29*(N29+1)-1)/N29</f>
        <v>1.7805885348777297</v>
      </c>
      <c r="Y29" s="4">
        <f>V29*X29*N29</f>
        <v>6.1252245599793902</v>
      </c>
      <c r="Z29" s="8">
        <f t="shared" ref="Z29:Z32" si="13">Y29-X29</f>
        <v>4.3446360251016607</v>
      </c>
    </row>
    <row r="30" spans="1:26" x14ac:dyDescent="0.2">
      <c r="A30" s="1">
        <v>43842</v>
      </c>
      <c r="B30" t="s">
        <v>80</v>
      </c>
      <c r="C30" t="s">
        <v>81</v>
      </c>
      <c r="D30" t="s">
        <v>17</v>
      </c>
      <c r="F30" t="s">
        <v>56</v>
      </c>
      <c r="G30" t="s">
        <v>75</v>
      </c>
      <c r="H30">
        <v>94</v>
      </c>
      <c r="I30">
        <v>1826</v>
      </c>
      <c r="J30">
        <v>39</v>
      </c>
      <c r="K30">
        <v>1833</v>
      </c>
      <c r="L30" s="3">
        <v>0.58499999999999996</v>
      </c>
      <c r="M30" s="3">
        <v>0.41499999999999998</v>
      </c>
      <c r="N30" s="4">
        <f>1+37/100</f>
        <v>1.37</v>
      </c>
      <c r="O30" s="4">
        <f>1+2.11</f>
        <v>3.11</v>
      </c>
      <c r="P30" s="7">
        <f t="shared" si="9"/>
        <v>0.6941964285714286</v>
      </c>
      <c r="Q30" s="6">
        <f t="shared" si="10"/>
        <v>0.30580357142857151</v>
      </c>
      <c r="R30" t="s">
        <v>81</v>
      </c>
      <c r="T30" s="8">
        <f t="shared" si="3"/>
        <v>91.782889893362281</v>
      </c>
      <c r="U30" s="4">
        <f t="shared" si="0"/>
        <v>9.1782889893362292</v>
      </c>
      <c r="V30">
        <v>1</v>
      </c>
      <c r="W30">
        <v>1</v>
      </c>
      <c r="X30" s="4">
        <f>W30*U30*(M30*(O30+1)-1)/O30</f>
        <v>2.0825272107154684</v>
      </c>
      <c r="Y30" s="4">
        <f>V30*X30*O30</f>
        <v>6.476659625325107</v>
      </c>
      <c r="Z30" s="8">
        <f t="shared" si="13"/>
        <v>4.3941324146096381</v>
      </c>
    </row>
    <row r="31" spans="1:26" x14ac:dyDescent="0.2">
      <c r="A31" s="1">
        <v>43842</v>
      </c>
      <c r="B31" t="s">
        <v>84</v>
      </c>
      <c r="C31" t="s">
        <v>21</v>
      </c>
      <c r="D31">
        <v>5</v>
      </c>
      <c r="F31" t="s">
        <v>56</v>
      </c>
      <c r="G31" t="s">
        <v>75</v>
      </c>
      <c r="H31">
        <v>31</v>
      </c>
      <c r="I31">
        <v>1951</v>
      </c>
      <c r="J31">
        <v>55</v>
      </c>
      <c r="K31">
        <v>1849</v>
      </c>
      <c r="L31" s="3">
        <v>0.59</v>
      </c>
      <c r="M31" s="3">
        <v>0.41</v>
      </c>
      <c r="N31" s="4">
        <f>1+59/100</f>
        <v>1.5899999999999999</v>
      </c>
      <c r="O31" s="4">
        <f>1+69/50</f>
        <v>2.38</v>
      </c>
      <c r="P31" s="7">
        <f t="shared" si="9"/>
        <v>0.59949622166246852</v>
      </c>
      <c r="Q31" s="7">
        <f t="shared" si="10"/>
        <v>0.40050377833753148</v>
      </c>
      <c r="R31" t="s">
        <v>21</v>
      </c>
      <c r="T31" s="8">
        <f t="shared" si="3"/>
        <v>96.177022307971924</v>
      </c>
      <c r="U31" s="4">
        <f t="shared" si="0"/>
        <v>9.6177022307971924</v>
      </c>
      <c r="V31">
        <v>0</v>
      </c>
      <c r="W31">
        <v>0</v>
      </c>
      <c r="X31" s="4">
        <f>W31*U31*(M31*(O31+1)-1)/O31</f>
        <v>0</v>
      </c>
      <c r="Y31" s="4">
        <f>V31*X31*O31</f>
        <v>0</v>
      </c>
      <c r="Z31" s="8">
        <f t="shared" si="13"/>
        <v>0</v>
      </c>
    </row>
    <row r="32" spans="1:26" x14ac:dyDescent="0.2">
      <c r="A32" s="1">
        <v>43842</v>
      </c>
      <c r="B32" t="s">
        <v>94</v>
      </c>
      <c r="C32" t="s">
        <v>95</v>
      </c>
      <c r="E32">
        <v>6</v>
      </c>
      <c r="F32" t="s">
        <v>56</v>
      </c>
      <c r="G32" t="s">
        <v>92</v>
      </c>
      <c r="H32">
        <v>51</v>
      </c>
      <c r="I32">
        <v>1850</v>
      </c>
      <c r="J32">
        <v>37</v>
      </c>
      <c r="K32">
        <v>1937</v>
      </c>
      <c r="L32" s="3">
        <v>0.37200000000000005</v>
      </c>
      <c r="M32" s="3">
        <v>0.628</v>
      </c>
      <c r="N32" s="4">
        <v>4.43</v>
      </c>
      <c r="O32" s="4">
        <v>1.2370000000000001</v>
      </c>
      <c r="P32" s="6">
        <f t="shared" si="9"/>
        <v>0.21828127757190752</v>
      </c>
      <c r="Q32" s="7">
        <f t="shared" si="10"/>
        <v>0.78171872242809237</v>
      </c>
      <c r="R32" t="s">
        <v>95</v>
      </c>
      <c r="T32" s="8">
        <f t="shared" si="3"/>
        <v>96.177022307971924</v>
      </c>
      <c r="U32" s="4">
        <f t="shared" si="0"/>
        <v>9.6177022307971924</v>
      </c>
      <c r="V32">
        <v>0</v>
      </c>
      <c r="W32">
        <v>1</v>
      </c>
      <c r="X32" s="4">
        <f>W32*U32*(L32*(N32+1)-1)/N32</f>
        <v>2.214372814294336</v>
      </c>
      <c r="Y32" s="4">
        <f>V32*X32*O32</f>
        <v>0</v>
      </c>
      <c r="Z32" s="8">
        <f t="shared" si="13"/>
        <v>-2.214372814294336</v>
      </c>
    </row>
    <row r="33" spans="1:26" x14ac:dyDescent="0.2">
      <c r="A33" s="1">
        <v>43843</v>
      </c>
      <c r="B33" t="s">
        <v>79</v>
      </c>
      <c r="C33" t="s">
        <v>18</v>
      </c>
      <c r="F33" t="s">
        <v>56</v>
      </c>
      <c r="G33" t="s">
        <v>75</v>
      </c>
      <c r="H33">
        <v>57</v>
      </c>
      <c r="I33">
        <v>1894</v>
      </c>
      <c r="J33">
        <v>54</v>
      </c>
      <c r="K33">
        <v>1967</v>
      </c>
      <c r="L33" s="3">
        <v>0.442</v>
      </c>
      <c r="M33" s="3">
        <v>0.55799999999999994</v>
      </c>
      <c r="N33" s="4">
        <v>2.4</v>
      </c>
      <c r="O33" s="4">
        <v>1.621</v>
      </c>
      <c r="P33" s="7">
        <f t="shared" si="9"/>
        <v>0.40313354886844066</v>
      </c>
      <c r="Q33" s="7">
        <f t="shared" si="10"/>
        <v>0.59686645113155934</v>
      </c>
      <c r="R33" t="s">
        <v>18</v>
      </c>
      <c r="T33" s="8">
        <f t="shared" si="3"/>
        <v>93.962649493677588</v>
      </c>
      <c r="U33" s="4">
        <f t="shared" si="0"/>
        <v>9.3962649493677599</v>
      </c>
      <c r="V33">
        <v>0</v>
      </c>
      <c r="W33">
        <v>0</v>
      </c>
      <c r="X33" s="4">
        <f>W33*U33*(L33*(N33+1)-1)/N33</f>
        <v>0</v>
      </c>
      <c r="Y33" s="4">
        <f>V33*X33*O33</f>
        <v>0</v>
      </c>
      <c r="Z33" s="8">
        <f t="shared" ref="Z33:Z37" si="14">Y33-X33</f>
        <v>0</v>
      </c>
    </row>
    <row r="34" spans="1:26" x14ac:dyDescent="0.2">
      <c r="A34" s="1">
        <v>43843</v>
      </c>
      <c r="B34" t="s">
        <v>82</v>
      </c>
      <c r="C34" t="s">
        <v>83</v>
      </c>
      <c r="D34" t="s">
        <v>15</v>
      </c>
      <c r="E34">
        <v>6</v>
      </c>
      <c r="F34" t="s">
        <v>56</v>
      </c>
      <c r="G34" t="s">
        <v>75</v>
      </c>
      <c r="H34">
        <v>99</v>
      </c>
      <c r="I34">
        <v>1821</v>
      </c>
      <c r="J34">
        <v>33</v>
      </c>
      <c r="K34">
        <v>1918</v>
      </c>
      <c r="L34" s="3">
        <v>0.39799999999999996</v>
      </c>
      <c r="M34" s="3">
        <v>0.60199999999999998</v>
      </c>
      <c r="N34" s="4">
        <v>1.7809999999999999</v>
      </c>
      <c r="O34" s="4">
        <v>2.12</v>
      </c>
      <c r="P34" s="7">
        <f t="shared" si="9"/>
        <v>0.5434503973340169</v>
      </c>
      <c r="Q34" s="6">
        <f t="shared" si="10"/>
        <v>0.45654960266598299</v>
      </c>
      <c r="R34" t="s">
        <v>82</v>
      </c>
      <c r="T34" s="8">
        <f t="shared" si="3"/>
        <v>93.962649493677588</v>
      </c>
      <c r="U34" s="4">
        <f t="shared" si="0"/>
        <v>9.3962649493677599</v>
      </c>
      <c r="V34">
        <v>0</v>
      </c>
      <c r="W34">
        <v>1</v>
      </c>
      <c r="X34" s="4">
        <f>W34*U34*(M34*(O34+1)-1)/O34</f>
        <v>3.8925357212890286</v>
      </c>
      <c r="Y34" s="4">
        <f>V34*X34*O34</f>
        <v>0</v>
      </c>
      <c r="Z34" s="8">
        <f t="shared" si="14"/>
        <v>-3.8925357212890286</v>
      </c>
    </row>
    <row r="35" spans="1:26" x14ac:dyDescent="0.2">
      <c r="A35" s="1">
        <v>43843</v>
      </c>
      <c r="B35" t="s">
        <v>85</v>
      </c>
      <c r="C35" t="s">
        <v>86</v>
      </c>
      <c r="F35" t="s">
        <v>56</v>
      </c>
      <c r="G35" t="s">
        <v>75</v>
      </c>
      <c r="H35">
        <v>50</v>
      </c>
      <c r="I35">
        <v>1857</v>
      </c>
      <c r="J35">
        <v>42</v>
      </c>
      <c r="K35">
        <v>1898</v>
      </c>
      <c r="L35" s="3">
        <v>0.379</v>
      </c>
      <c r="M35" s="3">
        <v>0.621</v>
      </c>
      <c r="N35" s="4">
        <v>4.17</v>
      </c>
      <c r="O35" s="4">
        <v>1.2589999999999999</v>
      </c>
      <c r="P35" s="6">
        <f t="shared" si="9"/>
        <v>0.23190274452016946</v>
      </c>
      <c r="Q35" s="7">
        <f t="shared" si="10"/>
        <v>0.76809725547983054</v>
      </c>
      <c r="R35" t="s">
        <v>86</v>
      </c>
      <c r="T35" s="8">
        <f t="shared" si="3"/>
        <v>90.070113772388567</v>
      </c>
      <c r="U35" s="4">
        <f t="shared" si="0"/>
        <v>9.0070113772388574</v>
      </c>
      <c r="V35">
        <v>0</v>
      </c>
      <c r="W35">
        <v>1</v>
      </c>
      <c r="X35" s="4">
        <f>W35*U35*(L35*(N35+1)-1)/N35</f>
        <v>2.0723254018379564</v>
      </c>
      <c r="Y35" s="4">
        <f>V35*X35*O35</f>
        <v>0</v>
      </c>
      <c r="Z35" s="8">
        <f t="shared" si="14"/>
        <v>-2.0723254018379564</v>
      </c>
    </row>
    <row r="36" spans="1:26" x14ac:dyDescent="0.2">
      <c r="A36" s="1">
        <v>43843</v>
      </c>
      <c r="B36" t="s">
        <v>87</v>
      </c>
      <c r="C36" t="s">
        <v>14</v>
      </c>
      <c r="E36" t="s">
        <v>15</v>
      </c>
      <c r="F36" t="s">
        <v>56</v>
      </c>
      <c r="G36" t="s">
        <v>75</v>
      </c>
      <c r="H36">
        <v>44</v>
      </c>
      <c r="I36">
        <v>1996</v>
      </c>
      <c r="J36">
        <v>83</v>
      </c>
      <c r="K36">
        <v>1787</v>
      </c>
      <c r="L36" s="3">
        <v>0.73099999999999998</v>
      </c>
      <c r="M36" s="3">
        <v>0.26899999999999996</v>
      </c>
      <c r="N36" s="4">
        <v>1.5149999999999999</v>
      </c>
      <c r="O36" s="4">
        <v>2.67</v>
      </c>
      <c r="P36" s="6">
        <f t="shared" si="9"/>
        <v>0.63799283154121866</v>
      </c>
      <c r="Q36" s="7">
        <f t="shared" si="10"/>
        <v>0.36200716845878134</v>
      </c>
      <c r="R36" t="s">
        <v>87</v>
      </c>
      <c r="T36" s="8">
        <f t="shared" si="3"/>
        <v>87.997788370550609</v>
      </c>
      <c r="U36" s="4">
        <f t="shared" si="0"/>
        <v>8.7997788370550616</v>
      </c>
      <c r="V36">
        <v>1</v>
      </c>
      <c r="W36">
        <v>1</v>
      </c>
      <c r="X36" s="4">
        <f>W36*U36*(L36*(N36+1)-1)/N36</f>
        <v>4.8701693482583304</v>
      </c>
      <c r="Y36" s="4">
        <f>V36*X36*N36</f>
        <v>7.3783065626113702</v>
      </c>
      <c r="Z36" s="8">
        <f t="shared" si="14"/>
        <v>2.5081372143530398</v>
      </c>
    </row>
    <row r="37" spans="1:26" x14ac:dyDescent="0.2">
      <c r="A37" s="1">
        <v>43843</v>
      </c>
      <c r="B37" t="s">
        <v>89</v>
      </c>
      <c r="C37" t="s">
        <v>90</v>
      </c>
      <c r="D37" t="s">
        <v>15</v>
      </c>
      <c r="E37" t="s">
        <v>17</v>
      </c>
      <c r="F37" t="s">
        <v>56</v>
      </c>
      <c r="G37" t="s">
        <v>75</v>
      </c>
      <c r="H37">
        <v>74</v>
      </c>
      <c r="I37">
        <v>1811</v>
      </c>
      <c r="J37">
        <v>96</v>
      </c>
      <c r="K37">
        <v>1689</v>
      </c>
      <c r="L37" s="3">
        <v>0.61399999999999999</v>
      </c>
      <c r="M37" s="3">
        <v>0.38600000000000001</v>
      </c>
      <c r="N37" s="4">
        <v>2.0099999999999998</v>
      </c>
      <c r="O37" s="4">
        <v>1.8620000000000001</v>
      </c>
      <c r="P37" s="6">
        <f t="shared" si="9"/>
        <v>0.48088842975206614</v>
      </c>
      <c r="Q37" s="7">
        <f t="shared" si="10"/>
        <v>0.51911157024793386</v>
      </c>
      <c r="R37" t="s">
        <v>90</v>
      </c>
      <c r="T37" s="8">
        <f t="shared" si="3"/>
        <v>90.50592558490365</v>
      </c>
      <c r="U37" s="4">
        <f t="shared" si="0"/>
        <v>9.050592558490365</v>
      </c>
      <c r="V37">
        <v>0</v>
      </c>
      <c r="W37">
        <v>1</v>
      </c>
      <c r="X37" s="4">
        <f>W37*U37*(L37*(N37+1)-1)/N37</f>
        <v>3.8189898370935413</v>
      </c>
      <c r="Y37" s="4">
        <f>V37*X37*N37</f>
        <v>0</v>
      </c>
      <c r="Z37" s="8">
        <f t="shared" si="14"/>
        <v>-3.8189898370935413</v>
      </c>
    </row>
    <row r="38" spans="1:26" x14ac:dyDescent="0.2">
      <c r="A38" s="1">
        <v>43843</v>
      </c>
      <c r="B38" t="s">
        <v>19</v>
      </c>
      <c r="C38" t="s">
        <v>93</v>
      </c>
      <c r="D38" t="s">
        <v>15</v>
      </c>
      <c r="F38" t="s">
        <v>56</v>
      </c>
      <c r="G38" t="s">
        <v>92</v>
      </c>
      <c r="H38">
        <v>76</v>
      </c>
      <c r="I38">
        <v>1778</v>
      </c>
      <c r="J38">
        <v>47</v>
      </c>
      <c r="K38">
        <v>1909</v>
      </c>
      <c r="L38" s="3">
        <v>0.32500000000000001</v>
      </c>
      <c r="M38" s="3">
        <v>0.67500000000000004</v>
      </c>
      <c r="N38" s="4">
        <v>2.61</v>
      </c>
      <c r="O38" s="4">
        <v>1.5369999999999999</v>
      </c>
      <c r="P38" s="7">
        <f>1-N38/($N38+$O38)</f>
        <v>0.37062937062937074</v>
      </c>
      <c r="Q38" s="7">
        <f>1-O38/($N38+$O38)</f>
        <v>0.62937062937062938</v>
      </c>
      <c r="R38" t="s">
        <v>19</v>
      </c>
      <c r="T38" s="8">
        <f t="shared" si="3"/>
        <v>86.686935747810111</v>
      </c>
      <c r="U38" s="4">
        <f t="shared" si="0"/>
        <v>8.6686935747810114</v>
      </c>
      <c r="V38">
        <v>0</v>
      </c>
      <c r="W38">
        <v>0</v>
      </c>
      <c r="X38" s="4">
        <f>W38*U38*(L38*(N38+1)-1)/N38</f>
        <v>0</v>
      </c>
      <c r="Y38" s="4">
        <f>V38*X38*N38</f>
        <v>0</v>
      </c>
      <c r="Z38" s="8">
        <f t="shared" ref="Z38:Z42" si="15">Y38-X38</f>
        <v>0</v>
      </c>
    </row>
    <row r="39" spans="1:26" x14ac:dyDescent="0.2">
      <c r="A39" s="1">
        <v>43843</v>
      </c>
      <c r="B39" t="s">
        <v>98</v>
      </c>
      <c r="C39" t="s">
        <v>99</v>
      </c>
      <c r="E39" t="s">
        <v>15</v>
      </c>
      <c r="F39" t="s">
        <v>56</v>
      </c>
      <c r="G39" t="s">
        <v>92</v>
      </c>
      <c r="H39">
        <v>52</v>
      </c>
      <c r="I39">
        <v>1865</v>
      </c>
      <c r="J39">
        <v>87</v>
      </c>
      <c r="K39">
        <v>1731</v>
      </c>
      <c r="L39" s="3">
        <v>0.71599999999999997</v>
      </c>
      <c r="M39" s="3">
        <v>0.28399999999999997</v>
      </c>
      <c r="N39" s="4">
        <v>1.552</v>
      </c>
      <c r="O39" s="4">
        <v>2.56</v>
      </c>
      <c r="P39" s="6">
        <f>1-N39/($N39+$O39)</f>
        <v>0.62256809338521402</v>
      </c>
      <c r="Q39" s="7">
        <f>1-O39/($N39+$O39)</f>
        <v>0.37743190661478598</v>
      </c>
      <c r="R39" t="s">
        <v>99</v>
      </c>
      <c r="T39" s="8">
        <f t="shared" si="3"/>
        <v>86.686935747810111</v>
      </c>
      <c r="U39" s="4">
        <f t="shared" si="0"/>
        <v>8.6686935747810114</v>
      </c>
      <c r="V39">
        <v>0</v>
      </c>
      <c r="W39">
        <v>1</v>
      </c>
      <c r="X39" s="4">
        <f>W39*U39*(L39*(N39+1)-1)/N39</f>
        <v>4.6205030433332768</v>
      </c>
      <c r="Y39" s="4">
        <f>V39*X39*N39</f>
        <v>0</v>
      </c>
      <c r="Z39" s="8">
        <f t="shared" si="15"/>
        <v>-4.6205030433332768</v>
      </c>
    </row>
    <row r="40" spans="1:26" x14ac:dyDescent="0.2">
      <c r="A40" s="1">
        <v>43843</v>
      </c>
      <c r="B40" t="s">
        <v>100</v>
      </c>
      <c r="C40" t="s">
        <v>101</v>
      </c>
      <c r="D40" t="s">
        <v>17</v>
      </c>
      <c r="E40">
        <v>5</v>
      </c>
      <c r="F40" t="s">
        <v>56</v>
      </c>
      <c r="G40" t="s">
        <v>92</v>
      </c>
      <c r="H40">
        <v>78</v>
      </c>
      <c r="I40">
        <v>1792</v>
      </c>
      <c r="J40">
        <v>24</v>
      </c>
      <c r="K40">
        <v>1938</v>
      </c>
      <c r="L40" s="3">
        <v>0.38200000000000001</v>
      </c>
      <c r="M40" s="3">
        <v>0.61799999999999999</v>
      </c>
      <c r="N40" s="4">
        <v>1.7809999999999999</v>
      </c>
      <c r="O40" s="4">
        <v>2.11</v>
      </c>
      <c r="P40" s="7">
        <f>1-N40/($N40+$O40)</f>
        <v>0.54227704960164491</v>
      </c>
      <c r="Q40" s="6">
        <f>1-O40/($N40+$O40)</f>
        <v>0.4577229503983552</v>
      </c>
      <c r="R40" t="s">
        <v>101</v>
      </c>
      <c r="T40" s="8">
        <f t="shared" si="3"/>
        <v>82.066432704476838</v>
      </c>
      <c r="U40" s="4">
        <f t="shared" si="0"/>
        <v>8.2066432704476835</v>
      </c>
      <c r="V40">
        <v>1</v>
      </c>
      <c r="W40">
        <v>1</v>
      </c>
      <c r="X40" s="4">
        <f>W40*U40*(M40*(O40+1)-1)/O40</f>
        <v>3.5859530627902152</v>
      </c>
      <c r="Y40" s="4">
        <f>V40*X40*O40</f>
        <v>7.5663609624873533</v>
      </c>
      <c r="Z40" s="8">
        <f t="shared" si="15"/>
        <v>3.9804078996971382</v>
      </c>
    </row>
    <row r="41" spans="1:26" x14ac:dyDescent="0.2">
      <c r="A41" s="1">
        <v>43843</v>
      </c>
      <c r="B41" t="s">
        <v>106</v>
      </c>
      <c r="C41" t="s">
        <v>107</v>
      </c>
      <c r="E41" t="s">
        <v>17</v>
      </c>
      <c r="F41" t="s">
        <v>56</v>
      </c>
      <c r="G41" t="s">
        <v>92</v>
      </c>
      <c r="H41">
        <v>68</v>
      </c>
      <c r="I41">
        <v>1873</v>
      </c>
      <c r="K41">
        <v>1500</v>
      </c>
      <c r="L41" s="3">
        <v>0.90599999999999992</v>
      </c>
      <c r="M41" s="3">
        <v>9.4E-2</v>
      </c>
      <c r="N41" s="4">
        <v>1.1120000000000001</v>
      </c>
      <c r="O41" s="4">
        <v>7.4</v>
      </c>
      <c r="P41" s="7">
        <f>1-N41/($N41+$O41)</f>
        <v>0.86936090225563911</v>
      </c>
      <c r="Q41" s="7">
        <f>1-O41/($N41+$O41)</f>
        <v>0.13063909774436089</v>
      </c>
      <c r="R41" t="s">
        <v>106</v>
      </c>
      <c r="T41" s="8">
        <f t="shared" si="3"/>
        <v>86.04684060417398</v>
      </c>
      <c r="U41" s="4">
        <f t="shared" si="0"/>
        <v>8.604684060417398</v>
      </c>
      <c r="V41">
        <v>0</v>
      </c>
      <c r="W41">
        <v>0</v>
      </c>
      <c r="X41" s="4">
        <f>W41*U41*(M41*(O41+1)-1)/O41</f>
        <v>0</v>
      </c>
      <c r="Y41" s="4">
        <f>V41*X41*O41</f>
        <v>0</v>
      </c>
      <c r="Z41" s="8">
        <f t="shared" si="15"/>
        <v>0</v>
      </c>
    </row>
    <row r="42" spans="1:26" x14ac:dyDescent="0.2">
      <c r="A42" s="1">
        <v>43843</v>
      </c>
      <c r="B42" t="s">
        <v>110</v>
      </c>
      <c r="C42" t="s">
        <v>111</v>
      </c>
      <c r="F42" t="s">
        <v>56</v>
      </c>
      <c r="G42" t="s">
        <v>92</v>
      </c>
      <c r="H42">
        <v>56</v>
      </c>
      <c r="I42">
        <v>1859</v>
      </c>
      <c r="J42">
        <v>53</v>
      </c>
      <c r="K42">
        <v>1870</v>
      </c>
      <c r="L42" s="3">
        <v>0.56299999999999994</v>
      </c>
      <c r="M42" s="3">
        <v>0.43700000000000006</v>
      </c>
      <c r="N42" s="4">
        <v>2.04</v>
      </c>
      <c r="O42" s="4">
        <v>1.84</v>
      </c>
      <c r="P42" s="6">
        <f>1-N42/($N42+$O42)</f>
        <v>0.47422680412371132</v>
      </c>
      <c r="Q42" s="7">
        <f>1-O42/($N42+$O42)</f>
        <v>0.52577319587628857</v>
      </c>
      <c r="R42" t="s">
        <v>110</v>
      </c>
      <c r="T42" s="8">
        <f t="shared" si="3"/>
        <v>86.04684060417398</v>
      </c>
      <c r="U42" s="4">
        <f t="shared" si="0"/>
        <v>8.604684060417398</v>
      </c>
      <c r="V42">
        <v>1</v>
      </c>
      <c r="W42">
        <v>1</v>
      </c>
      <c r="X42" s="4">
        <f>W42*U42*(L42*(N42+1)-1)/N42</f>
        <v>3.0011788248373463</v>
      </c>
      <c r="Y42" s="4">
        <f>V42*X42*N42</f>
        <v>6.1224048026681865</v>
      </c>
      <c r="Z42" s="8">
        <f t="shared" si="15"/>
        <v>3.1212259778308402</v>
      </c>
    </row>
    <row r="43" spans="1:26" x14ac:dyDescent="0.2">
      <c r="A43" s="1">
        <v>43843</v>
      </c>
      <c r="B43" t="s">
        <v>91</v>
      </c>
      <c r="C43" t="s">
        <v>27</v>
      </c>
      <c r="F43" t="s">
        <v>56</v>
      </c>
      <c r="G43" t="s">
        <v>92</v>
      </c>
      <c r="H43">
        <v>61</v>
      </c>
      <c r="I43">
        <v>1935</v>
      </c>
      <c r="J43">
        <v>64</v>
      </c>
      <c r="K43">
        <v>1861</v>
      </c>
      <c r="L43" s="3">
        <v>0.61099999999999999</v>
      </c>
      <c r="M43" s="3">
        <v>0.38900000000000001</v>
      </c>
      <c r="N43" s="4">
        <v>1.8</v>
      </c>
      <c r="O43" s="4">
        <v>2.09</v>
      </c>
      <c r="P43" s="7">
        <f t="shared" si="9"/>
        <v>0.53727506426735205</v>
      </c>
      <c r="Q43" s="7">
        <f t="shared" si="10"/>
        <v>0.46272493573264784</v>
      </c>
      <c r="T43" s="8">
        <f t="shared" si="3"/>
        <v>89.168066582004812</v>
      </c>
      <c r="U43" s="4">
        <f t="shared" si="0"/>
        <v>8.9168066582004819</v>
      </c>
    </row>
    <row r="44" spans="1:26" x14ac:dyDescent="0.2">
      <c r="A44" s="1">
        <v>43843</v>
      </c>
      <c r="B44" t="s">
        <v>96</v>
      </c>
      <c r="C44" t="s">
        <v>97</v>
      </c>
      <c r="D44" t="s">
        <v>15</v>
      </c>
      <c r="F44" t="s">
        <v>56</v>
      </c>
      <c r="G44" t="s">
        <v>92</v>
      </c>
      <c r="H44">
        <v>228</v>
      </c>
      <c r="I44">
        <v>1715</v>
      </c>
      <c r="J44">
        <v>48</v>
      </c>
      <c r="K44">
        <v>1898</v>
      </c>
      <c r="L44" s="3">
        <v>0.254</v>
      </c>
      <c r="M44" s="3">
        <v>0.746</v>
      </c>
      <c r="N44" s="4">
        <v>2.4700000000000002</v>
      </c>
      <c r="O44" s="4">
        <v>1.591</v>
      </c>
      <c r="P44" s="7">
        <f t="shared" si="9"/>
        <v>0.39177542477222349</v>
      </c>
      <c r="Q44" s="6">
        <f t="shared" si="10"/>
        <v>0.6082245752277764</v>
      </c>
    </row>
    <row r="45" spans="1:26" x14ac:dyDescent="0.2">
      <c r="A45" s="1">
        <v>43843</v>
      </c>
      <c r="B45" t="s">
        <v>102</v>
      </c>
      <c r="C45" t="s">
        <v>103</v>
      </c>
      <c r="D45">
        <v>7</v>
      </c>
      <c r="F45" t="s">
        <v>56</v>
      </c>
      <c r="G45" t="s">
        <v>92</v>
      </c>
      <c r="H45">
        <v>43</v>
      </c>
      <c r="I45">
        <v>1949</v>
      </c>
      <c r="J45">
        <v>71</v>
      </c>
      <c r="K45">
        <v>1875</v>
      </c>
      <c r="L45" s="3">
        <v>0.56899999999999995</v>
      </c>
      <c r="M45" s="3">
        <v>0.43099999999999999</v>
      </c>
      <c r="N45" s="4">
        <v>1.653</v>
      </c>
      <c r="O45" s="4">
        <v>2.33</v>
      </c>
      <c r="P45" s="7">
        <f t="shared" si="9"/>
        <v>0.58498619131308061</v>
      </c>
      <c r="Q45" s="7">
        <f t="shared" si="10"/>
        <v>0.41501380868691939</v>
      </c>
    </row>
    <row r="46" spans="1:26" x14ac:dyDescent="0.2">
      <c r="A46" s="1">
        <v>43843</v>
      </c>
      <c r="B46" t="s">
        <v>104</v>
      </c>
      <c r="C46" t="s">
        <v>105</v>
      </c>
      <c r="D46" t="s">
        <v>17</v>
      </c>
      <c r="F46" t="s">
        <v>56</v>
      </c>
      <c r="G46" t="s">
        <v>92</v>
      </c>
      <c r="H46">
        <v>85</v>
      </c>
      <c r="I46">
        <v>1751</v>
      </c>
      <c r="J46">
        <v>69</v>
      </c>
      <c r="K46">
        <v>1964</v>
      </c>
      <c r="L46" s="3">
        <v>0.22</v>
      </c>
      <c r="M46" s="3">
        <v>0.78</v>
      </c>
      <c r="N46" s="4">
        <v>2.99</v>
      </c>
      <c r="O46" s="4">
        <v>1.429</v>
      </c>
      <c r="P46" s="7">
        <f t="shared" si="9"/>
        <v>0.32337632948630912</v>
      </c>
      <c r="Q46" s="6">
        <f t="shared" si="10"/>
        <v>0.67662367051369088</v>
      </c>
    </row>
    <row r="47" spans="1:26" x14ac:dyDescent="0.2">
      <c r="A47" s="1">
        <v>43843</v>
      </c>
      <c r="B47" t="s">
        <v>108</v>
      </c>
      <c r="C47" t="s">
        <v>109</v>
      </c>
      <c r="D47">
        <v>8</v>
      </c>
      <c r="F47" t="s">
        <v>56</v>
      </c>
      <c r="G47" t="s">
        <v>92</v>
      </c>
      <c r="H47">
        <v>46</v>
      </c>
      <c r="I47">
        <v>1918</v>
      </c>
      <c r="J47">
        <v>75</v>
      </c>
      <c r="K47">
        <v>1770</v>
      </c>
      <c r="L47" s="3">
        <v>0.72900000000000009</v>
      </c>
      <c r="M47" s="3">
        <v>0.27100000000000002</v>
      </c>
      <c r="N47" s="4">
        <v>1.401</v>
      </c>
      <c r="O47" s="4">
        <v>3.12</v>
      </c>
      <c r="P47" s="7">
        <f t="shared" si="9"/>
        <v>0.69011280690112808</v>
      </c>
      <c r="Q47" s="7">
        <f t="shared" si="10"/>
        <v>0.30988719309887192</v>
      </c>
    </row>
    <row r="48" spans="1:26" x14ac:dyDescent="0.2">
      <c r="A48" s="1">
        <v>43843</v>
      </c>
      <c r="B48" t="s">
        <v>112</v>
      </c>
      <c r="C48" t="s">
        <v>113</v>
      </c>
      <c r="E48" t="s">
        <v>15</v>
      </c>
      <c r="F48" t="s">
        <v>56</v>
      </c>
      <c r="G48" t="s">
        <v>92</v>
      </c>
      <c r="H48">
        <v>59</v>
      </c>
      <c r="I48">
        <v>1979</v>
      </c>
      <c r="J48">
        <v>148</v>
      </c>
      <c r="K48">
        <v>1887</v>
      </c>
      <c r="L48" s="3">
        <v>0.48799999999999999</v>
      </c>
      <c r="M48" s="3">
        <v>0.51200000000000001</v>
      </c>
      <c r="N48" s="4">
        <v>2.61</v>
      </c>
      <c r="O48" s="4">
        <v>1.5369999999999999</v>
      </c>
      <c r="P48" s="6">
        <f t="shared" si="9"/>
        <v>0.37062937062937074</v>
      </c>
      <c r="Q48" s="7">
        <f t="shared" si="10"/>
        <v>0.62937062937062938</v>
      </c>
    </row>
    <row r="49" spans="1:17" x14ac:dyDescent="0.2">
      <c r="A49" s="1">
        <v>43844</v>
      </c>
      <c r="B49" t="s">
        <v>74</v>
      </c>
      <c r="C49" t="s">
        <v>35</v>
      </c>
      <c r="F49" t="s">
        <v>56</v>
      </c>
      <c r="G49" t="s">
        <v>75</v>
      </c>
      <c r="H49">
        <v>41</v>
      </c>
      <c r="I49">
        <v>1949</v>
      </c>
      <c r="J49">
        <v>63</v>
      </c>
      <c r="K49">
        <v>1880</v>
      </c>
      <c r="L49" s="3">
        <v>0.56299999999999994</v>
      </c>
      <c r="M49" s="3">
        <v>0.43700000000000006</v>
      </c>
      <c r="N49" s="4">
        <v>2.44</v>
      </c>
      <c r="O49" s="4">
        <v>1.6020000000000001</v>
      </c>
      <c r="P49" s="6">
        <f t="shared" si="9"/>
        <v>0.39633844631370607</v>
      </c>
      <c r="Q49" s="7">
        <f t="shared" si="10"/>
        <v>0.60366155368629393</v>
      </c>
    </row>
    <row r="50" spans="1:17" x14ac:dyDescent="0.2">
      <c r="A50" s="1">
        <v>43844</v>
      </c>
      <c r="B50" t="s">
        <v>20</v>
      </c>
      <c r="C50" t="s">
        <v>76</v>
      </c>
      <c r="E50" t="s">
        <v>15</v>
      </c>
      <c r="F50" t="s">
        <v>56</v>
      </c>
      <c r="G50" t="s">
        <v>75</v>
      </c>
      <c r="H50">
        <v>58</v>
      </c>
      <c r="I50">
        <v>1927</v>
      </c>
      <c r="J50">
        <v>90</v>
      </c>
      <c r="K50">
        <v>1787</v>
      </c>
      <c r="L50" s="3">
        <v>0.63300000000000001</v>
      </c>
      <c r="M50" s="3">
        <v>0.36700000000000005</v>
      </c>
      <c r="N50" s="4">
        <v>1.925</v>
      </c>
      <c r="O50" s="4">
        <v>1.9430000000000001</v>
      </c>
      <c r="P50" s="6">
        <f t="shared" si="9"/>
        <v>0.50232678386763185</v>
      </c>
      <c r="Q50" s="7">
        <f t="shared" si="10"/>
        <v>0.49767321613236815</v>
      </c>
    </row>
    <row r="51" spans="1:17" x14ac:dyDescent="0.2">
      <c r="A51" s="1">
        <v>43844</v>
      </c>
      <c r="B51" t="s">
        <v>48</v>
      </c>
      <c r="C51" t="s">
        <v>88</v>
      </c>
      <c r="E51" t="s">
        <v>17</v>
      </c>
      <c r="F51" t="s">
        <v>56</v>
      </c>
      <c r="G51" t="s">
        <v>75</v>
      </c>
      <c r="H51">
        <v>65</v>
      </c>
      <c r="I51">
        <v>1907</v>
      </c>
      <c r="J51">
        <v>157</v>
      </c>
      <c r="K51">
        <v>1759</v>
      </c>
      <c r="L51" s="3">
        <v>0.66400000000000003</v>
      </c>
      <c r="M51" s="3">
        <v>0.33600000000000002</v>
      </c>
      <c r="N51" s="4">
        <v>1.5489999999999999</v>
      </c>
      <c r="O51" s="4">
        <v>2.58</v>
      </c>
      <c r="P51" s="7">
        <f t="shared" si="9"/>
        <v>0.62484863162993465</v>
      </c>
      <c r="Q51" s="7">
        <f t="shared" si="10"/>
        <v>0.37515136837006535</v>
      </c>
    </row>
    <row r="52" spans="1:17" x14ac:dyDescent="0.2">
      <c r="B52" t="s">
        <v>19</v>
      </c>
      <c r="C52" t="s">
        <v>95</v>
      </c>
      <c r="D52" t="s">
        <v>15</v>
      </c>
      <c r="E52">
        <v>6</v>
      </c>
      <c r="F52" t="s">
        <v>5</v>
      </c>
      <c r="G52" t="s">
        <v>92</v>
      </c>
      <c r="H52">
        <v>77</v>
      </c>
      <c r="I52">
        <v>1790</v>
      </c>
      <c r="J52">
        <v>34</v>
      </c>
      <c r="K52">
        <v>1981</v>
      </c>
      <c r="L52" s="3">
        <v>0.28399999999999997</v>
      </c>
      <c r="M52" s="3">
        <v>0.71599999999999997</v>
      </c>
      <c r="N52" s="4">
        <v>2.54</v>
      </c>
      <c r="O52" s="4">
        <v>1.5740000000000001</v>
      </c>
      <c r="P52" s="6">
        <f t="shared" si="9"/>
        <v>0.38259601361205642</v>
      </c>
      <c r="Q52" s="7">
        <f t="shared" si="10"/>
        <v>0.61740398638794358</v>
      </c>
    </row>
    <row r="53" spans="1:17" x14ac:dyDescent="0.2">
      <c r="B53" t="s">
        <v>99</v>
      </c>
      <c r="C53" t="s">
        <v>101</v>
      </c>
      <c r="D53" t="s">
        <v>15</v>
      </c>
      <c r="E53">
        <v>5</v>
      </c>
      <c r="F53" t="s">
        <v>5</v>
      </c>
      <c r="G53" t="s">
        <v>92</v>
      </c>
      <c r="H53">
        <v>86</v>
      </c>
      <c r="I53">
        <v>1755</v>
      </c>
      <c r="J53">
        <v>24</v>
      </c>
      <c r="K53">
        <v>1954</v>
      </c>
      <c r="L53" s="3">
        <v>0.26100000000000001</v>
      </c>
      <c r="M53" s="3">
        <v>0.7390000000000001</v>
      </c>
      <c r="N53" s="4">
        <v>2.4300000000000002</v>
      </c>
      <c r="O53" s="4">
        <v>1.621</v>
      </c>
      <c r="P53" s="7">
        <f t="shared" si="9"/>
        <v>0.40014811157738828</v>
      </c>
      <c r="Q53" s="6">
        <f t="shared" si="10"/>
        <v>0.59985188842261172</v>
      </c>
    </row>
    <row r="54" spans="1:17" x14ac:dyDescent="0.2">
      <c r="B54" t="s">
        <v>106</v>
      </c>
      <c r="C54" t="s">
        <v>114</v>
      </c>
      <c r="E54">
        <v>4</v>
      </c>
      <c r="F54" t="s">
        <v>5</v>
      </c>
      <c r="G54" t="s">
        <v>92</v>
      </c>
      <c r="H54">
        <v>101</v>
      </c>
      <c r="I54">
        <v>1861</v>
      </c>
      <c r="J54">
        <v>20</v>
      </c>
      <c r="K54">
        <v>2007</v>
      </c>
      <c r="L54" s="3">
        <v>0.29499999999999998</v>
      </c>
      <c r="M54" s="3">
        <v>0.70499999999999996</v>
      </c>
      <c r="N54" s="4">
        <v>2.1800000000000002</v>
      </c>
      <c r="O54" s="4">
        <v>1.7569999999999999</v>
      </c>
      <c r="P54" s="7">
        <f t="shared" si="9"/>
        <v>0.44627889255778508</v>
      </c>
      <c r="Q54" s="6">
        <f t="shared" si="10"/>
        <v>0.55372110744221492</v>
      </c>
    </row>
    <row r="55" spans="1:17" x14ac:dyDescent="0.2">
      <c r="B55" t="s">
        <v>115</v>
      </c>
      <c r="C55" t="s">
        <v>18</v>
      </c>
      <c r="D55">
        <v>4</v>
      </c>
      <c r="F55" t="s">
        <v>5</v>
      </c>
      <c r="G55" t="s">
        <v>75</v>
      </c>
      <c r="H55">
        <v>30</v>
      </c>
      <c r="I55">
        <v>2008</v>
      </c>
      <c r="J55">
        <v>56</v>
      </c>
      <c r="K55">
        <v>1973</v>
      </c>
      <c r="L55" s="3">
        <v>0.58399999999999996</v>
      </c>
      <c r="M55" s="3">
        <v>0.41600000000000004</v>
      </c>
      <c r="N55" s="4">
        <v>2</v>
      </c>
      <c r="O55" s="4">
        <v>1.8919999999999999</v>
      </c>
      <c r="P55" s="7">
        <f t="shared" si="9"/>
        <v>0.48612538540596095</v>
      </c>
      <c r="Q55" s="6">
        <f t="shared" si="10"/>
        <v>0.51387461459403905</v>
      </c>
    </row>
    <row r="56" spans="1:17" x14ac:dyDescent="0.2">
      <c r="B56" t="s">
        <v>45</v>
      </c>
      <c r="C56" t="s">
        <v>82</v>
      </c>
      <c r="E56" t="s">
        <v>15</v>
      </c>
      <c r="F56" t="s">
        <v>5</v>
      </c>
      <c r="G56" t="s">
        <v>75</v>
      </c>
      <c r="H56">
        <v>40</v>
      </c>
      <c r="I56">
        <v>1847</v>
      </c>
      <c r="J56">
        <v>91</v>
      </c>
      <c r="K56">
        <v>1830</v>
      </c>
      <c r="L56" s="3">
        <v>0.44500000000000001</v>
      </c>
      <c r="M56" s="3">
        <v>0.55500000000000005</v>
      </c>
      <c r="N56" s="4">
        <v>2.2799999999999998</v>
      </c>
      <c r="O56" s="4">
        <v>1.694</v>
      </c>
      <c r="P56" s="7">
        <f t="shared" si="9"/>
        <v>0.4262707599396075</v>
      </c>
      <c r="Q56" s="7">
        <f t="shared" si="10"/>
        <v>0.57372924006039261</v>
      </c>
    </row>
    <row r="57" spans="1:17" x14ac:dyDescent="0.2">
      <c r="B57" t="s">
        <v>21</v>
      </c>
      <c r="C57" t="s">
        <v>86</v>
      </c>
      <c r="F57" t="s">
        <v>5</v>
      </c>
      <c r="G57" t="s">
        <v>75</v>
      </c>
      <c r="H57">
        <v>55</v>
      </c>
      <c r="I57">
        <v>1867</v>
      </c>
      <c r="J57">
        <v>33</v>
      </c>
      <c r="K57">
        <v>1939</v>
      </c>
      <c r="L57" s="3">
        <v>0.39200000000000002</v>
      </c>
      <c r="M57" s="3">
        <v>0.60799999999999998</v>
      </c>
      <c r="N57" s="4">
        <v>2.15</v>
      </c>
      <c r="O57" s="4">
        <v>1.7749999999999999</v>
      </c>
      <c r="P57" s="7">
        <f t="shared" si="9"/>
        <v>0.45222929936305734</v>
      </c>
      <c r="Q57" s="7">
        <f t="shared" si="10"/>
        <v>0.54777070063694266</v>
      </c>
    </row>
    <row r="58" spans="1:17" x14ac:dyDescent="0.2">
      <c r="B58" t="s">
        <v>87</v>
      </c>
      <c r="C58" t="s">
        <v>65</v>
      </c>
      <c r="E58">
        <v>3</v>
      </c>
      <c r="F58" t="s">
        <v>5</v>
      </c>
      <c r="G58" t="s">
        <v>75</v>
      </c>
      <c r="H58">
        <v>45</v>
      </c>
      <c r="I58">
        <v>2000</v>
      </c>
      <c r="J58">
        <v>18</v>
      </c>
      <c r="K58">
        <v>2089</v>
      </c>
      <c r="L58" s="3">
        <v>0.33799999999999997</v>
      </c>
      <c r="M58" s="3">
        <v>0.66200000000000003</v>
      </c>
      <c r="N58" s="4">
        <v>2.34</v>
      </c>
      <c r="O58" s="4">
        <v>1.6619999999999999</v>
      </c>
      <c r="P58" s="7">
        <f t="shared" si="9"/>
        <v>0.41529235382308849</v>
      </c>
      <c r="Q58" s="7">
        <f t="shared" si="10"/>
        <v>0.58470764617691162</v>
      </c>
    </row>
    <row r="59" spans="1:17" x14ac:dyDescent="0.2">
      <c r="B59" t="s">
        <v>90</v>
      </c>
      <c r="C59" t="s">
        <v>116</v>
      </c>
      <c r="D59" t="s">
        <v>17</v>
      </c>
      <c r="E59">
        <v>2</v>
      </c>
      <c r="F59" t="s">
        <v>5</v>
      </c>
      <c r="G59" t="s">
        <v>75</v>
      </c>
      <c r="H59">
        <v>96</v>
      </c>
      <c r="I59">
        <v>1721</v>
      </c>
      <c r="J59">
        <v>22</v>
      </c>
      <c r="K59">
        <v>1921</v>
      </c>
      <c r="L59" s="3">
        <v>0.311</v>
      </c>
      <c r="M59" s="3">
        <v>0.68899999999999995</v>
      </c>
      <c r="N59" s="4">
        <v>2.2999999999999998</v>
      </c>
      <c r="O59" s="4">
        <v>1.68</v>
      </c>
      <c r="P59" s="7">
        <f t="shared" si="9"/>
        <v>0.42211055276381904</v>
      </c>
      <c r="Q59" s="6">
        <f t="shared" si="10"/>
        <v>0.57788944723618085</v>
      </c>
    </row>
  </sheetData>
  <autoFilter ref="A1:AH5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9B7416D8C7754FB05D4D90506C7433" ma:contentTypeVersion="12" ma:contentTypeDescription="Create a new document." ma:contentTypeScope="" ma:versionID="7d0652e4acfb43d23dfd7d813b6289be">
  <xsd:schema xmlns:xsd="http://www.w3.org/2001/XMLSchema" xmlns:xs="http://www.w3.org/2001/XMLSchema" xmlns:p="http://schemas.microsoft.com/office/2006/metadata/properties" xmlns:ns3="037c7472-e586-468d-894c-bc66d7a27379" xmlns:ns4="88afbd3d-f80b-41ff-8c77-8d345550c47d" targetNamespace="http://schemas.microsoft.com/office/2006/metadata/properties" ma:root="true" ma:fieldsID="558f9e57fa018d1278ffb61f57d56dca" ns3:_="" ns4:_="">
    <xsd:import namespace="037c7472-e586-468d-894c-bc66d7a27379"/>
    <xsd:import namespace="88afbd3d-f80b-41ff-8c77-8d345550c4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c7472-e586-468d-894c-bc66d7a273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fbd3d-f80b-41ff-8c77-8d345550c4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DDAD42-1667-48B6-94EC-209BD93F45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7c7472-e586-468d-894c-bc66d7a27379"/>
    <ds:schemaRef ds:uri="88afbd3d-f80b-41ff-8c77-8d345550c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17CAA7-D68F-4DF6-98CA-C7D389E4B74E}">
  <ds:schemaRefs>
    <ds:schemaRef ds:uri="http://purl.org/dc/terms/"/>
    <ds:schemaRef ds:uri="88afbd3d-f80b-41ff-8c77-8d345550c47d"/>
    <ds:schemaRef ds:uri="http://schemas.microsoft.com/office/2006/documentManagement/types"/>
    <ds:schemaRef ds:uri="http://purl.org/dc/elements/1.1/"/>
    <ds:schemaRef ds:uri="http://schemas.microsoft.com/office/2006/metadata/properties"/>
    <ds:schemaRef ds:uri="037c7472-e586-468d-894c-bc66d7a27379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5735643-A131-4AEB-B7D6-D07F31D8A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Tournament Win</vt:lpstr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Liu</dc:creator>
  <cp:lastModifiedBy>twaddle j. (jt1n15)</cp:lastModifiedBy>
  <dcterms:created xsi:type="dcterms:W3CDTF">2020-01-06T08:11:52Z</dcterms:created>
  <dcterms:modified xsi:type="dcterms:W3CDTF">2020-01-13T17:54:20Z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0x0101001F9B7416D8C7754FB05D4D90506C7433</vt:lpwstr>
  </property>
</Properties>
</file>