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2160" windowHeight="13180"/>
  </bookViews>
  <sheets>
    <sheet name="Bilancio" sheetId="2" r:id="rId1"/>
    <sheet name="Investimento NEAR" sheetId="4" r:id="rId2"/>
    <sheet name="Investimento CRO" sheetId="3" r:id="rId3"/>
    <sheet name="Movimenti 2025" sheetId="11" r:id="rId4"/>
    <sheet name="Movimenti 2024" sheetId="10" r:id="rId5"/>
    <sheet name="Movimenti 2023" sheetId="9" r:id="rId6"/>
    <sheet name="Movimenti 2022" sheetId="6" r:id="rId7"/>
    <sheet name="Movimenti 2021" sheetId="5" r:id="rId8"/>
    <sheet name="Variabili" sheetId="7" r:id="rId9"/>
  </sheets>
  <calcPr calcId="162913"/>
</workbook>
</file>

<file path=xl/calcChain.xml><?xml version="1.0" encoding="utf-8"?>
<calcChain xmlns="http://schemas.openxmlformats.org/spreadsheetml/2006/main">
  <c r="B4" i="2" l="1"/>
  <c r="C3" i="2"/>
  <c r="B3" i="2"/>
  <c r="E6" i="2" l="1"/>
  <c r="G7" i="2" l="1"/>
  <c r="G6" i="2"/>
  <c r="G5" i="2"/>
  <c r="G4" i="2"/>
  <c r="F7" i="2" l="1"/>
  <c r="F6" i="2"/>
  <c r="E7" i="2"/>
  <c r="D7" i="2"/>
  <c r="D6" i="2"/>
  <c r="C7" i="2"/>
  <c r="C6" i="2"/>
  <c r="B7" i="2"/>
  <c r="B6" i="2"/>
  <c r="B13" i="4" l="1"/>
  <c r="B2" i="3"/>
  <c r="B3" i="3" s="1"/>
  <c r="H2" i="3"/>
  <c r="H3" i="3" s="1"/>
  <c r="H4" i="3" s="1"/>
  <c r="H2" i="4"/>
  <c r="H3" i="4" s="1"/>
  <c r="H4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2" i="4"/>
  <c r="A3" i="4" s="1"/>
  <c r="I2" i="3"/>
  <c r="I3" i="3" s="1"/>
  <c r="I4" i="3" s="1"/>
  <c r="B2" i="4"/>
  <c r="C5" i="2"/>
  <c r="C4" i="2"/>
  <c r="B5" i="2"/>
  <c r="D5" i="2" s="1"/>
  <c r="Q12" i="2"/>
  <c r="Q8" i="2"/>
  <c r="Q7" i="2"/>
  <c r="Q3" i="2"/>
  <c r="Q2" i="2"/>
  <c r="P12" i="2"/>
  <c r="P8" i="2"/>
  <c r="P7" i="2"/>
  <c r="P3" i="2"/>
  <c r="P2" i="2"/>
  <c r="G12" i="7"/>
  <c r="G11" i="7"/>
  <c r="G5" i="7"/>
  <c r="G6" i="7"/>
  <c r="D12" i="7"/>
  <c r="B12" i="7"/>
  <c r="A12" i="7"/>
  <c r="K12" i="2"/>
  <c r="L12" i="2" s="1"/>
  <c r="K2" i="2"/>
  <c r="M2" i="2" s="1"/>
  <c r="C13" i="4"/>
  <c r="B2" i="7"/>
  <c r="B3" i="7"/>
  <c r="B10" i="7"/>
  <c r="B9" i="7"/>
  <c r="B8" i="7"/>
  <c r="B7" i="7"/>
  <c r="B4" i="7"/>
  <c r="A2" i="7"/>
  <c r="A3" i="7"/>
  <c r="A4" i="7"/>
  <c r="A7" i="7"/>
  <c r="A8" i="7"/>
  <c r="A9" i="7"/>
  <c r="A10" i="7"/>
  <c r="A11" i="7"/>
  <c r="A6" i="7"/>
  <c r="A5" i="7"/>
  <c r="B5" i="7"/>
  <c r="B6" i="7"/>
  <c r="B11" i="7"/>
  <c r="D11" i="7"/>
  <c r="K11" i="2"/>
  <c r="M11" i="2" s="1"/>
  <c r="K10" i="2"/>
  <c r="L10" i="2" s="1"/>
  <c r="D6" i="7"/>
  <c r="D3" i="7"/>
  <c r="D4" i="7"/>
  <c r="D5" i="7"/>
  <c r="D7" i="7"/>
  <c r="D8" i="7"/>
  <c r="D9" i="7"/>
  <c r="D10" i="7"/>
  <c r="D2" i="7"/>
  <c r="K9" i="2"/>
  <c r="M9" i="2" s="1"/>
  <c r="E9" i="7" s="1"/>
  <c r="K8" i="2"/>
  <c r="M8" i="2" s="1"/>
  <c r="E8" i="7" s="1"/>
  <c r="K7" i="2"/>
  <c r="M7" i="2" s="1"/>
  <c r="E7" i="7" s="1"/>
  <c r="K6" i="2"/>
  <c r="M6" i="2" s="1"/>
  <c r="E6" i="7" s="1"/>
  <c r="K5" i="2"/>
  <c r="L5" i="2" s="1"/>
  <c r="K4" i="2"/>
  <c r="M4" i="2" s="1"/>
  <c r="E4" i="7" s="1"/>
  <c r="K3" i="2"/>
  <c r="M3" i="2" s="1"/>
  <c r="E3" i="7" s="1"/>
  <c r="G3" i="2"/>
  <c r="D3" i="2"/>
  <c r="D4" i="2" l="1"/>
  <c r="E11" i="7"/>
  <c r="F4" i="2"/>
  <c r="M10" i="2"/>
  <c r="E10" i="7" s="1"/>
  <c r="I2" i="4"/>
  <c r="I3" i="4" s="1"/>
  <c r="B3" i="4"/>
  <c r="B4" i="4" s="1"/>
  <c r="B5" i="4" s="1"/>
  <c r="B6" i="4" s="1"/>
  <c r="B7" i="4" s="1"/>
  <c r="B8" i="4" s="1"/>
  <c r="B9" i="4" s="1"/>
  <c r="B10" i="4" s="1"/>
  <c r="B11" i="4" s="1"/>
  <c r="B4" i="3"/>
  <c r="B5" i="3" s="1"/>
  <c r="B6" i="3" s="1"/>
  <c r="B7" i="3" s="1"/>
  <c r="B8" i="3" s="1"/>
  <c r="B9" i="3" s="1"/>
  <c r="B10" i="3" s="1"/>
  <c r="B11" i="3" s="1"/>
  <c r="A4" i="4"/>
  <c r="C2" i="2"/>
  <c r="L3" i="2"/>
  <c r="L11" i="2"/>
  <c r="M5" i="2"/>
  <c r="E5" i="7" s="1"/>
  <c r="B2" i="2"/>
  <c r="E2" i="7"/>
  <c r="L2" i="2"/>
  <c r="L4" i="2"/>
  <c r="L8" i="2"/>
  <c r="M12" i="2"/>
  <c r="E12" i="7" s="1"/>
  <c r="L7" i="2"/>
  <c r="L9" i="2"/>
  <c r="N12" i="2"/>
  <c r="H12" i="7" s="1"/>
  <c r="O12" i="2"/>
  <c r="L6" i="2"/>
  <c r="O2" i="2"/>
  <c r="F3" i="2"/>
  <c r="N3" i="2"/>
  <c r="O3" i="2"/>
  <c r="N2" i="2"/>
  <c r="O7" i="2"/>
  <c r="O8" i="2"/>
  <c r="N7" i="2"/>
  <c r="N8" i="2"/>
  <c r="D2" i="2" l="1"/>
  <c r="F5" i="2"/>
  <c r="I4" i="4"/>
  <c r="A5" i="4"/>
  <c r="A6" i="4" s="1"/>
  <c r="A7" i="4" s="1"/>
  <c r="A8" i="4" s="1"/>
  <c r="A9" i="4" s="1"/>
  <c r="A10" i="4" s="1"/>
  <c r="A11" i="4" s="1"/>
  <c r="E2" i="2" l="1"/>
  <c r="F2" i="2" s="1"/>
  <c r="P4" i="2" l="1"/>
  <c r="N4" i="2" s="1"/>
  <c r="Q4" i="2"/>
  <c r="O4" i="2" s="1"/>
  <c r="K4" i="4"/>
  <c r="J4" i="4" s="1"/>
  <c r="P9" i="2"/>
  <c r="N9" i="2" s="1"/>
  <c r="Q11" i="2"/>
  <c r="O11" i="2" s="1"/>
  <c r="Q9" i="2"/>
  <c r="O9" i="2" s="1"/>
  <c r="P11" i="2"/>
  <c r="N11" i="2" s="1"/>
  <c r="H11" i="7" s="1"/>
  <c r="D2" i="4"/>
  <c r="C2" i="4" s="1"/>
  <c r="D2" i="3"/>
  <c r="C2" i="3" s="1"/>
  <c r="K2" i="3"/>
  <c r="J2" i="3" s="1"/>
  <c r="K4" i="3"/>
  <c r="J4" i="3" s="1"/>
  <c r="K3" i="3"/>
  <c r="J3" i="3" s="1"/>
  <c r="K3" i="4"/>
  <c r="J3" i="4" s="1"/>
  <c r="K2" i="4"/>
  <c r="J2" i="4" s="1"/>
  <c r="Q6" i="2"/>
  <c r="O6" i="2" s="1"/>
  <c r="D10" i="3"/>
  <c r="P6" i="2"/>
  <c r="N6" i="2" s="1"/>
  <c r="H6" i="7" s="1"/>
  <c r="Q10" i="2"/>
  <c r="O10" i="2" s="1"/>
  <c r="D11" i="3"/>
  <c r="D3" i="3"/>
  <c r="C3" i="3" s="1"/>
  <c r="D9" i="4"/>
  <c r="Q5" i="2"/>
  <c r="O5" i="2" s="1"/>
  <c r="D11" i="4"/>
  <c r="D5" i="3"/>
  <c r="C5" i="3" s="1"/>
  <c r="D7" i="3"/>
  <c r="C7" i="3" s="1"/>
  <c r="D9" i="3"/>
  <c r="D6" i="4"/>
  <c r="C6" i="4" s="1"/>
  <c r="D10" i="4"/>
  <c r="D4" i="3"/>
  <c r="C4" i="3" s="1"/>
  <c r="D8" i="4"/>
  <c r="D5" i="4"/>
  <c r="C5" i="4" s="1"/>
  <c r="D6" i="3"/>
  <c r="C6" i="3" s="1"/>
  <c r="D7" i="4"/>
  <c r="C7" i="4" s="1"/>
  <c r="D3" i="4"/>
  <c r="C3" i="4" s="1"/>
  <c r="D8" i="3"/>
  <c r="P10" i="2"/>
  <c r="N10" i="2" s="1"/>
  <c r="P5" i="2"/>
  <c r="N5" i="2" s="1"/>
  <c r="H5" i="7" s="1"/>
  <c r="D4" i="4"/>
  <c r="C4" i="4" s="1"/>
  <c r="E1" i="7"/>
  <c r="C8" i="3" l="1"/>
  <c r="C8" i="4"/>
  <c r="C9" i="3" l="1"/>
  <c r="C9" i="4"/>
  <c r="C11" i="3" l="1"/>
  <c r="C10" i="3"/>
  <c r="C10" i="4"/>
  <c r="C11" i="4"/>
</calcChain>
</file>

<file path=xl/sharedStrings.xml><?xml version="1.0" encoding="utf-8"?>
<sst xmlns="http://schemas.openxmlformats.org/spreadsheetml/2006/main" count="73" uniqueCount="45">
  <si>
    <t>Versamenti</t>
  </si>
  <si>
    <t>Prelievi</t>
  </si>
  <si>
    <t>Totale prelievi</t>
  </si>
  <si>
    <t>Totale versamenti</t>
  </si>
  <si>
    <t>Saldo</t>
  </si>
  <si>
    <t>Anno</t>
  </si>
  <si>
    <t>Situazione</t>
  </si>
  <si>
    <t>Tutti</t>
  </si>
  <si>
    <r>
      <rPr>
        <b/>
        <u/>
        <sz val="11"/>
        <color theme="1"/>
        <rFont val="Calibri"/>
        <family val="2"/>
        <scheme val="minor"/>
      </rPr>
      <t>Iniziale</t>
    </r>
    <r>
      <rPr>
        <sz val="11"/>
        <color theme="1"/>
        <rFont val="Calibri"/>
        <family val="2"/>
        <scheme val="minor"/>
      </rPr>
      <t xml:space="preserve">: 144€
</t>
    </r>
    <r>
      <rPr>
        <b/>
        <u/>
        <sz val="11"/>
        <color theme="1"/>
        <rFont val="Calibri"/>
        <family val="2"/>
        <scheme val="minor"/>
      </rPr>
      <t>Finale</t>
    </r>
    <r>
      <rPr>
        <sz val="11"/>
        <color theme="1"/>
        <rFont val="Calibri"/>
        <family val="2"/>
        <scheme val="minor"/>
      </rPr>
      <t>: 10015,40 CRO * 0,55913$ -&gt; €/$: 1,138$</t>
    </r>
  </si>
  <si>
    <t>Token</t>
  </si>
  <si>
    <t>Quantità</t>
  </si>
  <si>
    <t>CRO</t>
  </si>
  <si>
    <t>EUR</t>
  </si>
  <si>
    <t>NEAR</t>
  </si>
  <si>
    <t>USDT</t>
  </si>
  <si>
    <t>LUNA</t>
  </si>
  <si>
    <t>Data</t>
  </si>
  <si>
    <t>LUNC</t>
  </si>
  <si>
    <t>Cambio €/USDT</t>
  </si>
  <si>
    <t>Valore unitario in USDT</t>
  </si>
  <si>
    <t>BTC</t>
  </si>
  <si>
    <t>Valore totale in €</t>
  </si>
  <si>
    <t>BNB</t>
  </si>
  <si>
    <t>Rendimento fisso:</t>
  </si>
  <si>
    <t>Tasso rendimento variabile:</t>
  </si>
  <si>
    <t>Perdita</t>
  </si>
  <si>
    <t>Saldo portafoglio</t>
  </si>
  <si>
    <t>Rendimento fisso composito:</t>
  </si>
  <si>
    <t>SOL</t>
  </si>
  <si>
    <t>Valore cash out in €</t>
  </si>
  <si>
    <t>Ultimo aggiornamento</t>
  </si>
  <si>
    <t>RUPEI in USDT</t>
  </si>
  <si>
    <t>RUPEI in €</t>
  </si>
  <si>
    <t>AUPEI in €</t>
  </si>
  <si>
    <t>AUPEI in USDT</t>
  </si>
  <si>
    <t>AUPAI in $</t>
  </si>
  <si>
    <t>AUPAI in €</t>
  </si>
  <si>
    <t>Tasse</t>
  </si>
  <si>
    <t>Totale capitale investito</t>
  </si>
  <si>
    <t>Quantità di partenza</t>
  </si>
  <si>
    <r>
      <rPr>
        <b/>
        <sz val="11"/>
        <color theme="1"/>
        <rFont val="Calibri"/>
        <family val="2"/>
        <scheme val="minor"/>
      </rPr>
      <t>Finale</t>
    </r>
    <r>
      <rPr>
        <sz val="11"/>
        <color theme="1"/>
        <rFont val="Calibri"/>
        <family val="2"/>
        <scheme val="minor"/>
      </rPr>
      <t xml:space="preserve">: 1402,20888 NEAR * 1,250$ -&gt; €/$: 1,0722 </t>
    </r>
  </si>
  <si>
    <r>
      <rPr>
        <b/>
        <sz val="11"/>
        <color theme="1"/>
        <rFont val="Calibri"/>
        <family val="2"/>
        <scheme val="minor"/>
      </rPr>
      <t>Finale</t>
    </r>
    <r>
      <rPr>
        <sz val="11"/>
        <color theme="1"/>
        <rFont val="Calibri"/>
        <family val="2"/>
        <scheme val="minor"/>
      </rPr>
      <t xml:space="preserve">: 1513,58932831 NEAR * 3,612$ -&gt; €/$: 1,1028 </t>
    </r>
  </si>
  <si>
    <t>EURI</t>
  </si>
  <si>
    <t>USDC</t>
  </si>
  <si>
    <t>In verde le entrate/uscite da N26, in blu quelle da Hype e in rosso quelle da Unicredit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</si>
</sst>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"/>
    <numFmt numFmtId="165" formatCode="yyyy\-mm\-dd;@"/>
    <numFmt numFmtId="166" formatCode="d/m/yy\ h\.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2" xfId="0" applyBorder="1" applyAlignment="1">
      <alignment horizontal="center" vertical="top"/>
    </xf>
    <xf numFmtId="4" fontId="0" fillId="0" borderId="2" xfId="0" applyNumberFormat="1" applyBorder="1"/>
    <xf numFmtId="4" fontId="0" fillId="0" borderId="0" xfId="0" applyNumberFormat="1"/>
    <xf numFmtId="4" fontId="0" fillId="0" borderId="0" xfId="0" applyNumberFormat="1" applyAlignment="1">
      <alignment horizontal="right"/>
    </xf>
    <xf numFmtId="164" fontId="0" fillId="0" borderId="0" xfId="0" applyNumberFormat="1"/>
    <xf numFmtId="4" fontId="1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165" fontId="0" fillId="0" borderId="0" xfId="0" applyNumberFormat="1"/>
    <xf numFmtId="4" fontId="2" fillId="0" borderId="0" xfId="0" applyNumberFormat="1" applyFont="1"/>
    <xf numFmtId="4" fontId="2" fillId="0" borderId="2" xfId="0" applyNumberFormat="1" applyFont="1" applyBorder="1"/>
    <xf numFmtId="166" fontId="0" fillId="0" borderId="1" xfId="0" applyNumberFormat="1" applyBorder="1"/>
    <xf numFmtId="22" fontId="0" fillId="0" borderId="3" xfId="0" applyNumberFormat="1" applyBorder="1"/>
    <xf numFmtId="0" fontId="1" fillId="2" borderId="0" xfId="0" applyFont="1" applyFill="1" applyAlignment="1">
      <alignment horizontal="center" vertical="top"/>
    </xf>
    <xf numFmtId="4" fontId="1" fillId="2" borderId="0" xfId="0" applyNumberFormat="1" applyFont="1" applyFill="1" applyAlignment="1">
      <alignment horizontal="center" vertical="top"/>
    </xf>
    <xf numFmtId="166" fontId="1" fillId="2" borderId="1" xfId="0" applyNumberFormat="1" applyFont="1" applyFill="1" applyBorder="1" applyAlignment="1">
      <alignment horizontal="center" vertical="top"/>
    </xf>
    <xf numFmtId="164" fontId="1" fillId="2" borderId="0" xfId="0" applyNumberFormat="1" applyFont="1" applyFill="1" applyAlignment="1">
      <alignment horizontal="center" vertical="top"/>
    </xf>
    <xf numFmtId="165" fontId="0" fillId="0" borderId="0" xfId="0" applyNumberFormat="1" applyAlignment="1">
      <alignment vertical="top"/>
    </xf>
    <xf numFmtId="165" fontId="0" fillId="0" borderId="0" xfId="0" applyNumberFormat="1" applyAlignment="1">
      <alignment horizontal="left"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5" fontId="1" fillId="0" borderId="0" xfId="0" applyNumberFormat="1" applyFont="1" applyAlignment="1">
      <alignment vertical="top"/>
    </xf>
    <xf numFmtId="22" fontId="0" fillId="0" borderId="1" xfId="0" applyNumberFormat="1" applyBorder="1"/>
    <xf numFmtId="0" fontId="1" fillId="0" borderId="0" xfId="0" applyFont="1"/>
    <xf numFmtId="0" fontId="6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top"/>
    </xf>
    <xf numFmtId="49" fontId="0" fillId="2" borderId="0" xfId="0" applyNumberFormat="1" applyFill="1"/>
    <xf numFmtId="49" fontId="1" fillId="2" borderId="0" xfId="0" applyNumberFormat="1" applyFont="1" applyFill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vertical="top" wrapText="1"/>
    </xf>
    <xf numFmtId="165" fontId="1" fillId="2" borderId="0" xfId="0" applyNumberFormat="1" applyFont="1" applyFill="1" applyAlignment="1">
      <alignment horizontal="center"/>
    </xf>
    <xf numFmtId="4" fontId="1" fillId="2" borderId="0" xfId="0" applyNumberFormat="1" applyFont="1" applyFill="1"/>
    <xf numFmtId="4" fontId="1" fillId="2" borderId="0" xfId="0" applyNumberFormat="1" applyFont="1" applyFill="1" applyAlignment="1">
      <alignment vertical="top"/>
    </xf>
    <xf numFmtId="10" fontId="1" fillId="2" borderId="0" xfId="0" applyNumberFormat="1" applyFont="1" applyFill="1" applyAlignment="1">
      <alignment horizontal="center"/>
    </xf>
    <xf numFmtId="10" fontId="0" fillId="0" borderId="0" xfId="0" applyNumberFormat="1" applyAlignment="1">
      <alignment vertical="top"/>
    </xf>
    <xf numFmtId="10" fontId="0" fillId="0" borderId="0" xfId="0" applyNumberFormat="1"/>
    <xf numFmtId="10" fontId="1" fillId="2" borderId="0" xfId="0" applyNumberFormat="1" applyFont="1" applyFill="1" applyAlignment="1">
      <alignment horizontal="center" vertical="top"/>
    </xf>
    <xf numFmtId="14" fontId="0" fillId="0" borderId="0" xfId="0" applyNumberFormat="1"/>
    <xf numFmtId="164" fontId="0" fillId="0" borderId="0" xfId="0" applyNumberFormat="1" applyAlignment="1">
      <alignment vertical="top"/>
    </xf>
    <xf numFmtId="4" fontId="0" fillId="3" borderId="0" xfId="0" applyNumberFormat="1" applyFill="1"/>
    <xf numFmtId="4" fontId="0" fillId="4" borderId="0" xfId="0" applyNumberFormat="1" applyFill="1"/>
    <xf numFmtId="4" fontId="0" fillId="0" borderId="0" xfId="0" applyNumberFormat="1" applyFill="1"/>
    <xf numFmtId="4" fontId="0" fillId="5" borderId="0" xfId="0" applyNumberFormat="1" applyFill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e" xfId="0" builtinId="0"/>
  </cellStyles>
  <dxfs count="1"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Bilancio!$H$1</c:f>
              <c:strCache>
                <c:ptCount val="1"/>
                <c:pt idx="0">
                  <c:v>Token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3-4CA5-B169-7CE0F4C67D4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E3-4CA5-B169-7CE0F4C67D4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3-4CA5-B169-7CE0F4C67D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(Variabili!$D$1,Variabili!$D$5:$D$6)</c:f>
              <c:strCache>
                <c:ptCount val="3"/>
                <c:pt idx="0">
                  <c:v>Perdita</c:v>
                </c:pt>
                <c:pt idx="1">
                  <c:v>Cro</c:v>
                </c:pt>
                <c:pt idx="2">
                  <c:v>Near</c:v>
                </c:pt>
              </c:strCache>
            </c:strRef>
          </c:cat>
          <c:val>
            <c:numRef>
              <c:f>(Variabili!$E$1,Variabili!$E$5:$E$6)</c:f>
              <c:numCache>
                <c:formatCode>#,##0.00000</c:formatCode>
                <c:ptCount val="3"/>
                <c:pt idx="0">
                  <c:v>11236.557293317479</c:v>
                </c:pt>
                <c:pt idx="1">
                  <c:v>0</c:v>
                </c:pt>
                <c:pt idx="2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0E3-4CA5-B169-7CE0F4C67D4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RUPEI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55-45C7-BAA0-39D3C92C4F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55-45C7-BAA0-39D3C92C4F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(Variabili!$B$6,Variabili!$H$6)</c:f>
              <c:numCache>
                <c:formatCode>#,##0.00000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55-45C7-BAA0-39D3C92C4F5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DC-4C34-B693-021FF3A86F2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E55-45C7-BAA0-39D3C92C4F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(Variabili!$B$5,Variabili!$H$5)</c:f>
              <c:numCache>
                <c:formatCode>#,##0.00000</c:formatCode>
                <c:ptCount val="2"/>
                <c:pt idx="0">
                  <c:v>0.13017999999999999</c:v>
                </c:pt>
                <c:pt idx="1">
                  <c:v>1269.2463407163109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55-45C7-BAA0-39D3C92C4F5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5">
                        <a:lumMod val="7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ABA6-4EB9-9571-ABA1A83064BB}"/>
                    </c:ext>
                  </c:extLst>
                </c:dPt>
                <c:dPt>
                  <c:idx val="1"/>
                  <c:bubble3D val="0"/>
                  <c:spPr>
                    <a:solidFill>
                      <a:srgbClr val="FF0000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BA6-4EB9-9571-ABA1A83064B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(Variabili!$B$11,Variabili!$H$11)</c15:sqref>
                        </c15:formulaRef>
                      </c:ext>
                    </c:extLst>
                    <c:numCache>
                      <c:formatCode>#,##0.00000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BA6-4EB9-9571-ABA1A83064BB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13671</xdr:colOff>
      <xdr:row>13</xdr:row>
      <xdr:rowOff>22860</xdr:rowOff>
    </xdr:from>
    <xdr:to>
      <xdr:col>14</xdr:col>
      <xdr:colOff>0</xdr:colOff>
      <xdr:row>32</xdr:row>
      <xdr:rowOff>15240</xdr:rowOff>
    </xdr:to>
    <xdr:grpSp>
      <xdr:nvGrpSpPr>
        <xdr:cNvPr id="7" name="Gruppo 6">
          <a:extLst>
            <a:ext uri="{FF2B5EF4-FFF2-40B4-BE49-F238E27FC236}">
              <a16:creationId xmlns:a16="http://schemas.microsoft.com/office/drawing/2014/main" id="{EF59DF6F-30A3-D081-01FF-96ECC48D3039}"/>
            </a:ext>
          </a:extLst>
        </xdr:cNvPr>
        <xdr:cNvGrpSpPr/>
      </xdr:nvGrpSpPr>
      <xdr:grpSpPr>
        <a:xfrm>
          <a:off x="7627321" y="2429510"/>
          <a:ext cx="7098329" cy="3491230"/>
          <a:chOff x="6617970" y="2038350"/>
          <a:chExt cx="6435090" cy="3486150"/>
        </a:xfrm>
      </xdr:grpSpPr>
      <xdr:graphicFrame macro="">
        <xdr:nvGraphicFramePr>
          <xdr:cNvPr id="3" name="Grafico 2">
            <a:extLst>
              <a:ext uri="{FF2B5EF4-FFF2-40B4-BE49-F238E27FC236}">
                <a16:creationId xmlns:a16="http://schemas.microsoft.com/office/drawing/2014/main" id="{7617D722-85E8-7B3C-9555-DE600ECA306B}"/>
              </a:ext>
            </a:extLst>
          </xdr:cNvPr>
          <xdr:cNvGraphicFramePr/>
        </xdr:nvGraphicFramePr>
        <xdr:xfrm>
          <a:off x="6617970" y="2038350"/>
          <a:ext cx="3547110" cy="3486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fico 3">
            <a:extLst>
              <a:ext uri="{FF2B5EF4-FFF2-40B4-BE49-F238E27FC236}">
                <a16:creationId xmlns:a16="http://schemas.microsoft.com/office/drawing/2014/main" id="{D94D85B0-DA38-42AA-08C7-98090940E704}"/>
              </a:ext>
            </a:extLst>
          </xdr:cNvPr>
          <xdr:cNvGraphicFramePr/>
        </xdr:nvGraphicFramePr>
        <xdr:xfrm>
          <a:off x="9570720" y="2045969"/>
          <a:ext cx="3482340" cy="34785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/>
  </sheetViews>
  <sheetFormatPr defaultRowHeight="14.5" x14ac:dyDescent="0.35"/>
  <cols>
    <col min="1" max="1" bestFit="true" customWidth="true" style="2" width="7.26953125"/>
    <col min="2" max="2" bestFit="true" customWidth="true" style="6" width="16.08984375"/>
    <col min="3" max="3" bestFit="true" customWidth="true" style="6" width="12.81640625"/>
    <col min="4" max="4" bestFit="true" customWidth="true" style="6" width="21.08984375"/>
    <col min="5" max="5" bestFit="true" customWidth="true" style="5" width="15.54296875"/>
    <col min="6" max="6" bestFit="true" customWidth="true" style="5" width="9.81640625"/>
    <col min="7" max="7" bestFit="true" customWidth="true" style="14" width="20.1796875"/>
    <col min="8" max="8" bestFit="true" customWidth="true" style="9" width="6.1796875"/>
    <col min="9" max="9" bestFit="true" customWidth="true" style="7" width="12.0"/>
    <col min="10" max="10" bestFit="true" customWidth="true" style="7" width="20.6328125"/>
    <col min="11" max="11" bestFit="true" customWidth="true" style="7" width="14.453125"/>
    <col min="12" max="12" bestFit="true" customWidth="true" style="7" width="15.36328125"/>
    <col min="13" max="13" bestFit="true" customWidth="true" style="5" width="17.6328125"/>
    <col min="14" max="14" bestFit="true" customWidth="true" style="7" width="21.7265625"/>
    <col min="15" max="15" bestFit="true" customWidth="true" width="21.7265625"/>
    <col min="16" max="16" bestFit="true" customWidth="true" style="7" width="21.7265625"/>
    <col min="17" max="17" bestFit="true" customWidth="true" style="7" width="18.08984375"/>
  </cols>
  <sheetData>
    <row r="1" spans="1:17" s="29" customFormat="1" x14ac:dyDescent="0.35">
      <c r="A1" s="16" t="s">
        <v>5</v>
      </c>
      <c r="B1" s="17" t="s">
        <v>3</v>
      </c>
      <c r="C1" s="17" t="s">
        <v>2</v>
      </c>
      <c r="D1" s="17" t="s">
        <v>38</v>
      </c>
      <c r="E1" s="17" t="s">
        <v>26</v>
      </c>
      <c r="F1" s="17" t="s">
        <v>4</v>
      </c>
      <c r="G1" s="18" t="s">
        <v>30</v>
      </c>
      <c r="H1" s="16" t="s">
        <v>9</v>
      </c>
      <c r="I1" s="19" t="s">
        <v>10</v>
      </c>
      <c r="J1" s="19" t="s">
        <v>19</v>
      </c>
      <c r="K1" s="19" t="s">
        <v>18</v>
      </c>
      <c r="L1" s="19" t="s">
        <v>21</v>
      </c>
      <c r="M1" s="17" t="s">
        <v>29</v>
      </c>
      <c r="N1" s="16" t="s">
        <v>31</v>
      </c>
      <c r="O1" s="19" t="s">
        <v>34</v>
      </c>
      <c r="P1" s="16" t="s">
        <v>32</v>
      </c>
      <c r="Q1" s="19" t="s">
        <v>33</v>
      </c>
    </row>
    <row r="2" spans="1:17" ht="15" thickBot="1" x14ac:dyDescent="0.4">
      <c r="A2" s="3" t="s">
        <v>7</v>
      </c>
      <c r="B2" s="4" t="n">
        <f>SUM(B3:B999999)</f>
        <v>-24787.620000000003</v>
      </c>
      <c r="C2" s="4" t="n">
        <f>SUM(C3:C999999)</f>
        <v>5288.0</v>
      </c>
      <c r="D2" s="4" t="n">
        <f>ABS(B2+C2)</f>
        <v>19499.620000000003</v>
      </c>
      <c r="E2" s="4" t="n">
        <f>E7</f>
        <v>0.0</v>
      </c>
      <c r="F2" s="13" t="n">
        <f>((B2+C2)+E2)+((((B2+C2)*100)/(100-Variabili!B21))-(B2+C2))</f>
        <v>-19499.62</v>
      </c>
      <c r="G2" s="15" t="n">
        <v>45726.85454328704</v>
      </c>
      <c r="H2" s="10" t="s">
        <v>12</v>
      </c>
      <c r="I2" s="7" t="n">
        <v>0.0</v>
      </c>
      <c r="J2" s="7" t="n">
        <v>1.0832</v>
      </c>
      <c r="K2" s="7" t="n">
        <f>J2</f>
        <v>1.0832</v>
      </c>
      <c r="L2" s="7" t="n">
        <f t="shared" ref="L2:L8" si="0">(I2*J2)/K2</f>
        <v>0.0</v>
      </c>
      <c r="M2" s="5" t="n">
        <f t="shared" ref="M2:M5" si="1">MAX(0,((((((I2*J2)*99.6%)-1)*99.9%)-K2)/K2))</f>
        <v>0.0</v>
      </c>
      <c r="N2" s="7" t="n">
        <f t="shared" ref="N2:N3" si="2">P2*K2</f>
        <v>0.0</v>
      </c>
      <c r="O2" s="7" t="n">
        <f t="shared" ref="O2:O3" si="3">Q2*K2</f>
        <v>0.0</v>
      </c>
      <c r="P2" s="7" t="n">
        <f>MAX(0,IF(I2&gt;0,((((((((ABS(F2)+E2)+1)*(100))/99.9)+(J3/K2))*100)/99.6)-(SUM(L2:L999999)-L2))/I2,0))</f>
        <v>0.0</v>
      </c>
      <c r="Q2" s="7" t="n">
        <f>IF(I2&gt;0,(((((((ABS(F2)+E2)+1)*(100))/99.9)+(J3/K2))*100)/99.6)/I2,0)</f>
        <v>0.0</v>
      </c>
    </row>
    <row r="3" spans="1:17" ht="15" thickTop="1" x14ac:dyDescent="0.35">
      <c r="A3" s="1">
        <v>2021</v>
      </c>
      <c r="B3" s="5" t="n">
        <f>SUM('Movimenti 2021'!A2:A46)</f>
        <v>-14026.12</v>
      </c>
      <c r="C3" s="5" t="n">
        <f>SUM('Movimenti 2021'!B2:B4)</f>
        <v>1534.6000000000001</v>
      </c>
      <c r="D3" s="5" t="n">
        <f>ABS(B3+C3)</f>
        <v>12491.52</v>
      </c>
      <c r="E3" s="5">
        <v>4920</v>
      </c>
      <c r="F3" s="12" t="n">
        <f>((B3+C3)+E3)+((((B3+C3)*100)/(100-Variabili!B21))-(B3+C3))</f>
        <v>-7571.52</v>
      </c>
      <c r="G3" s="25" t="n">
        <f>G2</f>
        <v>45726.85454328704</v>
      </c>
      <c r="H3" s="10" t="s">
        <v>14</v>
      </c>
      <c r="I3" s="7" t="n">
        <v>0.0</v>
      </c>
      <c r="J3" s="7" t="n">
        <v>1.0</v>
      </c>
      <c r="K3" s="7" t="n">
        <f>J2</f>
        <v>1.0832</v>
      </c>
      <c r="L3" s="7" t="n">
        <f t="shared" si="0"/>
        <v>0.0</v>
      </c>
      <c r="M3" s="5" t="n">
        <f t="shared" si="1"/>
        <v>0.0</v>
      </c>
      <c r="N3" s="7" t="n">
        <f t="shared" si="2"/>
        <v>0.0</v>
      </c>
      <c r="O3" s="7" t="n">
        <f t="shared" si="3"/>
        <v>0.0</v>
      </c>
      <c r="P3" s="7" t="n">
        <f>MAX(0,IF(I3&gt;0,((((((((ABS(F2)+E2)+1)*(100))/99.9)+(J3/K3))*100)/99.6)-(SUM(L2:L999999)-L3))/I3,0))</f>
        <v>0.0</v>
      </c>
      <c r="Q3" s="7" t="n">
        <f>IF(I3&gt;0,(((((((ABS(F2)+E2)+1)*(100))/99.9)+(J3/K3))*100)/99.6)/I3,0)</f>
        <v>0.0</v>
      </c>
    </row>
    <row r="4" spans="1:17" x14ac:dyDescent="0.35">
      <c r="A4" s="1">
        <v>2022</v>
      </c>
      <c r="B4" s="5" t="n">
        <f>SUM('Movimenti 2022'!A2:A999999)</f>
        <v>-10761.5</v>
      </c>
      <c r="C4" s="5" t="n">
        <f>SUM('Movimenti 2022'!B2:B999999)</f>
        <v>3753.4</v>
      </c>
      <c r="D4" s="5" t="n">
        <f t="shared" ref="D4:D5" si="4">ABS(B4+C4)</f>
        <v>7008.1</v>
      </c>
      <c r="E4" s="5">
        <v>1634.73335</v>
      </c>
      <c r="F4" s="12" t="n">
        <f>((B4+C4)+(E4-E3))+((((B4+C4)*100)/(100-Variabili!B21))-(B4+C4))</f>
        <v>-10293.36665</v>
      </c>
      <c r="G4" s="25" t="n">
        <f>G2</f>
        <v>45726.85454328704</v>
      </c>
      <c r="H4" s="10" t="s">
        <v>43</v>
      </c>
      <c r="I4" s="7" t="n">
        <v>0.0</v>
      </c>
      <c r="J4" s="7" t="n">
        <v>1.0007</v>
      </c>
      <c r="K4" s="7" t="n">
        <f>J2</f>
        <v>1.0832</v>
      </c>
      <c r="L4" s="7" t="n">
        <f t="shared" si="0"/>
        <v>0.0</v>
      </c>
      <c r="M4" s="5" t="n">
        <f t="shared" si="1"/>
        <v>0.0</v>
      </c>
      <c r="N4" s="7" t="n">
        <f>P4*K4</f>
        <v>0.0</v>
      </c>
      <c r="O4" s="7" t="n">
        <f>Q4*K4</f>
        <v>0.0</v>
      </c>
      <c r="P4" s="7" t="n">
        <f>MAX(0,IF(I4&gt;0,((((((((ABS(F2)+E2)+1)*(100))/99.9)+(J3/K4))*100)/99.6)-(SUM(L2:L999999)-L4))/I4,0))</f>
        <v>0.0</v>
      </c>
      <c r="Q4" s="7" t="n">
        <f>IF(I4&gt;0,(((((((ABS(F2)+E2)+1)*(100))/99.9)+(J3/K4))*100)/99.6)/I4,0)</f>
        <v>0.0</v>
      </c>
    </row>
    <row r="5" spans="1:17" x14ac:dyDescent="0.35">
      <c r="A5" s="1">
        <v>2023</v>
      </c>
      <c r="B5" s="5" t="n">
        <f>SUM('Movimenti 2023'!A2:A999999)</f>
        <v>0.0</v>
      </c>
      <c r="C5" s="6" t="n">
        <f>SUM('Movimenti 2023'!B2:B999999)</f>
        <v>0.0</v>
      </c>
      <c r="D5" s="5" t="n">
        <f t="shared" si="4"/>
        <v>0.0</v>
      </c>
      <c r="E5" s="5">
        <v>4957.45</v>
      </c>
      <c r="F5" s="12" t="n">
        <f>((B5+C5)+(E5-E4))+((((B5+C5)*100)/(100-Variabili!B21))-(B5+C5))</f>
        <v>3322.71665</v>
      </c>
      <c r="G5" s="25" t="n">
        <f>G2</f>
        <v>45726.85454328704</v>
      </c>
      <c r="H5" s="10" t="s">
        <v>11</v>
      </c>
      <c r="I5" s="7" t="n">
        <v>9.227591286259617</v>
      </c>
      <c r="J5" s="7" t="n">
        <v>0.07926</v>
      </c>
      <c r="K5" s="7" t="n">
        <f>J2</f>
        <v>1.0832</v>
      </c>
      <c r="L5" s="7" t="n">
        <f t="shared" si="0"/>
        <v>0.6752020728849123</v>
      </c>
      <c r="M5" s="5" t="n">
        <f t="shared" si="1"/>
        <v>0.0</v>
      </c>
      <c r="N5" s="7" t="n">
        <f>P5*K5</f>
        <v>2300.72352432789</v>
      </c>
      <c r="O5" s="7" t="n">
        <f>Q5*K5</f>
        <v>2300.72352432789</v>
      </c>
      <c r="P5" s="7" t="n">
        <f>MAX(0,IF(I5&gt;0,((((((((ABS(F2)+E2)+1)*(100))/99.9)+(J3/K5))*100)/99.6)-(SUM(L2:L999999)-L5))/I5,0))</f>
        <v>2124.006207835944</v>
      </c>
      <c r="Q5" s="7" t="n">
        <f>IF(I5&gt;0,(((((((ABS(F2)+E2)+1)*(100))/99.9)+(J3/K5))*100)/99.6)/I5,0)</f>
        <v>2124.006207835944</v>
      </c>
    </row>
    <row r="6" spans="1:17" x14ac:dyDescent="0.35">
      <c r="A6" s="1">
        <v>2024</v>
      </c>
      <c r="B6" s="5" t="n">
        <f>SUM('Movimenti 2024'!A2:A999999)</f>
        <v>0.0</v>
      </c>
      <c r="C6" s="6" t="n">
        <f>SUM('Movimenti 2024'!B2:B999999)</f>
        <v>0.0</v>
      </c>
      <c r="D6" s="5" t="n">
        <f>ABS(B6+C6)</f>
        <v>0.0</v>
      </c>
      <c r="E6" s="5" t="n">
        <f>8589.390956/1.0354</f>
        <v>8295.722383619857</v>
      </c>
      <c r="F6" s="12" t="n">
        <f>((B6+C6)+(E6-E5))+((((B6+C6)*100)/(100-Variabili!B21))-(B6+C6))</f>
        <v>3338.2723836198575</v>
      </c>
      <c r="G6" s="25" t="n">
        <f>G2</f>
        <v>45726.85454328704</v>
      </c>
      <c r="H6" s="10" t="s">
        <v>13</v>
      </c>
      <c r="I6" s="7" t="n">
        <v>0.0</v>
      </c>
      <c r="J6" s="7" t="n">
        <v>2.321</v>
      </c>
      <c r="K6" s="7" t="n">
        <f>J2</f>
        <v>1.0832</v>
      </c>
      <c r="L6" s="7" t="n">
        <f t="shared" si="0"/>
        <v>0.0</v>
      </c>
      <c r="M6" s="5" t="n">
        <f>MAX(0,((((((I6*J6)*99.6%)-1)*99.9%)-K6)/K6))</f>
        <v>0.0</v>
      </c>
      <c r="N6" s="7" t="n">
        <f>P6*K6</f>
        <v>0.0</v>
      </c>
      <c r="O6" s="7" t="n">
        <f>Q6*K6</f>
        <v>0.0</v>
      </c>
      <c r="P6" s="7" t="n">
        <f>MAX(0,IF(I6&gt;0,((((((((ABS(F2)+E2)+1)*(100))/99.9)+(J3/K6))*100)/99.6)-(SUM(L2:L999999)-L6))/I6,0))</f>
        <v>0.0</v>
      </c>
      <c r="Q6" s="7" t="n">
        <f>IF(I6&gt;0,(((((((ABS(F2)+E2)+1)*(100))/99.9)+(J3/K6))*100)/99.6)/I6,0)</f>
        <v>0.0</v>
      </c>
    </row>
    <row r="7" spans="1:17" x14ac:dyDescent="0.35">
      <c r="A7" s="1">
        <v>2025</v>
      </c>
      <c r="B7" s="5" t="n">
        <f>SUM('Movimenti 2025'!A2:A999999)</f>
        <v>0.0</v>
      </c>
      <c r="C7" s="6" t="n">
        <f>SUM('Movimenti 2025'!B2:B999999)</f>
        <v>0.0</v>
      </c>
      <c r="D7" s="6" t="n">
        <f>ABS(B7+C7)</f>
        <v>0.0</v>
      </c>
      <c r="E7" s="5" t="n">
        <f>SUM(M2:M999999)</f>
        <v>0.0</v>
      </c>
      <c r="F7" s="12" t="n">
        <f>((B7+C7)+(E7-E6))+((((B7+C7)*100)/(100-Variabili!B22))-(B7+C7))</f>
        <v>-8295.722383619857</v>
      </c>
      <c r="G7" s="25" t="n">
        <f>G2</f>
        <v>45726.85454328704</v>
      </c>
      <c r="H7" s="10" t="s">
        <v>15</v>
      </c>
      <c r="I7" s="7" t="n">
        <v>0.0</v>
      </c>
      <c r="J7" s="7" t="n">
        <v>0.1743</v>
      </c>
      <c r="K7" s="7" t="n">
        <f>J2</f>
        <v>1.0832</v>
      </c>
      <c r="L7" s="7" t="n">
        <f t="shared" si="0"/>
        <v>0.0</v>
      </c>
      <c r="M7" s="5" t="n">
        <f>MAX(0,((((((I7*J7)*99.6%)-1)*99.9%)-K7)/K7))</f>
        <v>0.0</v>
      </c>
      <c r="N7" s="7" t="n">
        <f>P7*K7</f>
        <v>0.0</v>
      </c>
      <c r="O7" s="7" t="n">
        <f>Q7*K7</f>
        <v>0.0</v>
      </c>
      <c r="P7" s="7" t="n">
        <f>MAX(0,IF(I7&gt;0,((((((((ABS(F2)+E2)+1)*(100))/99.9)+(J3/K7))*100)/99.6)-(SUM(L2:L999999)-L7))/I7,0))</f>
        <v>0.0</v>
      </c>
      <c r="Q7" s="7" t="n">
        <f>IF(I7&gt;0,(((((((ABS(F2)+E2)+1)*(100))/99.9)+(J3/K7))*100)/99.6)/I7,0)</f>
        <v>0.0</v>
      </c>
    </row>
    <row r="8" spans="1:17" x14ac:dyDescent="0.35">
      <c r="H8" s="10" t="s">
        <v>17</v>
      </c>
      <c r="I8" s="7" t="n">
        <v>0.0</v>
      </c>
      <c r="J8" s="7" t="n">
        <v>1.710513E-4</v>
      </c>
      <c r="K8" s="7" t="n">
        <f>J2</f>
        <v>1.0832</v>
      </c>
      <c r="L8" s="7" t="n">
        <f t="shared" si="0"/>
        <v>0.0</v>
      </c>
      <c r="M8" s="5" t="n">
        <f>MAX(0,((((((I8*J8)*99.6%)-1)*99.9%)-K8)/K8))</f>
        <v>0.0</v>
      </c>
      <c r="N8" s="7" t="n">
        <f t="shared" ref="N8:N12" si="5">P8*K8</f>
        <v>0.0</v>
      </c>
      <c r="O8" s="7" t="n">
        <f t="shared" ref="O8:O12" si="6">Q8*K8</f>
        <v>0.0</v>
      </c>
      <c r="P8" s="7" t="n">
        <f>MAX(0,IF(I8&gt;0,((((((((ABS(F2)+E2)+1)*(100))/99.9)+(J3/K8))*100)/99.6)-(SUM(L2:L999999)-L8))/I8,0))</f>
        <v>0.0</v>
      </c>
      <c r="Q8" s="7" t="n">
        <f>IF(I8&gt;0,(((((((ABS(F2)+E2)+1)*(100))/99.9)+(J3/K8))*100)/99.6)/I8,0)</f>
        <v>0.0</v>
      </c>
    </row>
    <row r="9" spans="1:17" x14ac:dyDescent="0.35">
      <c r="H9" s="10" t="s">
        <v>20</v>
      </c>
      <c r="I9" s="7" t="n">
        <v>0.0</v>
      </c>
      <c r="J9" s="7" t="n">
        <v>78843.58</v>
      </c>
      <c r="K9" s="7" t="n">
        <f>J2</f>
        <v>1.0832</v>
      </c>
      <c r="L9" s="7" t="n">
        <f t="shared" ref="L9:L12" si="7">(I9*J9)/K9</f>
        <v>0.0</v>
      </c>
      <c r="M9" s="5" t="n">
        <f t="shared" ref="M9:M12" si="8">MAX(0,((((((I9*J9)*99.6%)-1)*99.9%)-K9)/K9))</f>
        <v>0.0</v>
      </c>
      <c r="N9" s="7" t="n">
        <f t="shared" si="5"/>
        <v>0.0</v>
      </c>
      <c r="O9" s="7" t="n">
        <f t="shared" si="6"/>
        <v>0.0</v>
      </c>
      <c r="P9" s="7" t="n">
        <f>MAX(0,IF(I9&gt;0,((((((((ABS(F2)+E2)+1)*(100))/99.9)+(J3/K9))*100)/99.6)-(SUM(L2:L999999)-L9))/I9,0))</f>
        <v>0.0</v>
      </c>
      <c r="Q9" s="7" t="n">
        <f>IF(I9&gt;0,(((((((ABS(F2)+E2)+1)*(100))/99.9)+(J3/K9))*100)/99.6)/I9,0)</f>
        <v>0.0</v>
      </c>
    </row>
    <row r="10" spans="1:17" x14ac:dyDescent="0.35">
      <c r="H10" s="10" t="s">
        <v>22</v>
      </c>
      <c r="I10" s="7" t="n">
        <v>0.0</v>
      </c>
      <c r="J10" s="7" t="n">
        <v>534.9</v>
      </c>
      <c r="K10" s="7" t="n">
        <f>J2</f>
        <v>1.0832</v>
      </c>
      <c r="L10" s="7" t="n">
        <f t="shared" si="7"/>
        <v>0.0</v>
      </c>
      <c r="M10" s="5" t="n">
        <f t="shared" si="8"/>
        <v>0.0</v>
      </c>
      <c r="N10" s="7" t="n">
        <f t="shared" si="5"/>
        <v>0.0</v>
      </c>
      <c r="O10" s="7" t="n">
        <f t="shared" si="6"/>
        <v>0.0</v>
      </c>
      <c r="P10" s="7" t="n">
        <f>MAX(0,IF(I10&gt;0,((((((((ABS(F2)+E2)+1)*(100))/99.9)+(J3/K10))*100)/99.6)-(SUM(L2:L999999)-L10))/I10,0))</f>
        <v>0.0</v>
      </c>
      <c r="Q10" s="7" t="n">
        <f>IF(I10&gt;0,(((((((ABS(F2)+E2)+1)*(100))/99.9)+(J3/K10))*100)/99.6)/I10,0)</f>
        <v>0.0</v>
      </c>
    </row>
    <row r="11" spans="1:17" x14ac:dyDescent="0.35">
      <c r="H11" s="10" t="s">
        <v>42</v>
      </c>
      <c r="I11" s="7" t="n">
        <v>0.0</v>
      </c>
      <c r="J11" s="7" t="n">
        <v>1.0836</v>
      </c>
      <c r="K11" s="7" t="n">
        <f>J2</f>
        <v>1.0832</v>
      </c>
      <c r="L11" s="7" t="n">
        <f t="shared" si="7"/>
        <v>0.0</v>
      </c>
      <c r="M11" s="5" t="n">
        <f t="shared" si="8"/>
        <v>0.0</v>
      </c>
      <c r="N11" s="7" t="n">
        <f t="shared" si="5"/>
        <v>0.0</v>
      </c>
      <c r="O11" s="7" t="n">
        <f t="shared" si="6"/>
        <v>0.0</v>
      </c>
      <c r="P11" s="7" t="n">
        <f>MAX(0,IF(I11&gt;0,((((((((ABS(F2)+E2)+1)*(100))/99.9)+(J3/K11))*100)/99.6)-(SUM(L2:L999999)-L11))/I11,0))</f>
        <v>0.0</v>
      </c>
      <c r="Q11" s="7" t="n">
        <f>IF(I11&gt;0,(((((((ABS(F2)+E2)+1)*(100))/99.9)+(J3/K11))*100)/99.6)/I11,0)</f>
        <v>0.0</v>
      </c>
    </row>
    <row r="12" spans="1:17" x14ac:dyDescent="0.35">
      <c r="H12" s="10" t="s">
        <v>28</v>
      </c>
      <c r="I12" s="7" t="n">
        <v>0.0</v>
      </c>
      <c r="J12" s="7" t="n">
        <v>118.43</v>
      </c>
      <c r="K12" s="7" t="n">
        <f>J2</f>
        <v>1.0832</v>
      </c>
      <c r="L12" s="7" t="n">
        <f t="shared" si="7"/>
        <v>0.0</v>
      </c>
      <c r="M12" s="5" t="n">
        <f t="shared" si="8"/>
        <v>0.0</v>
      </c>
      <c r="N12" s="7" t="n">
        <f t="shared" si="5"/>
        <v>0.0</v>
      </c>
      <c r="O12" s="7" t="n">
        <f t="shared" si="6"/>
        <v>0.0</v>
      </c>
      <c r="P12" s="7" t="n">
        <f>MAX(0,IF(I12&gt;0,((((((((ABS(F2)+E2)+1)*(100))/99.9)+(J3/K12))*100)/99.6)-(SUM(L2:L999999)-L12))/I12,0))</f>
        <v>0.0</v>
      </c>
      <c r="Q12" s="7" t="n">
        <f>IF(I12&gt;0,(((((((ABS(F2)+E2)+1)*(100))/99.9)+(J3/K12))*100)/99.6)/I12,0)</f>
        <v>0.0</v>
      </c>
    </row>
  </sheetData>
  <conditionalFormatting sqref="F2:F7"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4.5" x14ac:dyDescent="0.35"/>
  <cols>
    <col min="1" max="1" bestFit="true" customWidth="true" width="25.90625"/>
    <col min="2" max="2" bestFit="true" customWidth="true" style="39" width="11.0"/>
    <col min="3" max="4" bestFit="true" customWidth="true" style="5" width="9.90625"/>
    <col min="6" max="6" bestFit="true" customWidth="true" width="10.54296875"/>
    <col min="7" max="7" bestFit="true" customWidth="true" style="5" width="17.81640625"/>
    <col min="8" max="8" bestFit="true" customWidth="true" style="11" width="10.54296875"/>
    <col min="9" max="9" bestFit="true" customWidth="true" style="5" width="12.0"/>
    <col min="10" max="11" bestFit="true" customWidth="true" style="5" width="9.90625"/>
    <col min="13" max="13" bestFit="true" customWidth="true" width="10.54296875"/>
  </cols>
  <sheetData>
    <row r="1" spans="1:11" s="30" customFormat="1" x14ac:dyDescent="0.35">
      <c r="A1" s="31" t="s">
        <v>16</v>
      </c>
      <c r="B1" s="37" t="s">
        <v>10</v>
      </c>
      <c r="C1" s="35" t="s">
        <v>35</v>
      </c>
      <c r="D1" s="36" t="s">
        <v>36</v>
      </c>
      <c r="G1" s="35" t="s">
        <v>39</v>
      </c>
      <c r="H1" s="34" t="s">
        <v>16</v>
      </c>
      <c r="I1" s="8" t="s">
        <v>10</v>
      </c>
      <c r="J1" s="35" t="s">
        <v>35</v>
      </c>
      <c r="K1" s="36" t="s">
        <v>36</v>
      </c>
    </row>
    <row r="2" spans="1:11" x14ac:dyDescent="0.35">
      <c r="A2" s="21" t="n">
        <f>DATE(YEAR(Bilancio!G2),MONTH(Bilancio!G2),DAY(Bilancio!G2))</f>
        <v>45726.0</v>
      </c>
      <c r="B2" s="42" t="n">
        <f>Bilancio!I6</f>
        <v>0.0</v>
      </c>
      <c r="C2" s="22" t="e">
        <f>D2*Bilancio!K2</f>
        <v>#DIV/0!</v>
      </c>
      <c r="D2" s="22" t="e">
        <f>(((((((ABS(Bilancio!F2)+Bilancio!E2)+1)*(100))/99.9)+(Bilancio!J3/Bilancio!K3))*100)/99.6)/B2</f>
        <v>#DIV/0!</v>
      </c>
      <c r="G2" s="7">
        <v>1360.2088799999999</v>
      </c>
      <c r="H2" s="11" t="n">
        <f>DATE(YEAR(Bilancio!G2),12,31)</f>
        <v>46022.0</v>
      </c>
      <c r="I2" s="7" t="n">
        <f>G2+(C13*B13)+((G2-C13)*(B14/2))+(((G2-C13)+(G2-C13)*(B14/2)))*(B14/2)</f>
        <v>1510.0088799999999</v>
      </c>
      <c r="J2" s="5" t="n">
        <f>K2*Bilancio!K2</f>
        <v>14.059610262146714</v>
      </c>
      <c r="K2" s="5" t="n">
        <f>(((((((ABS(Bilancio!F2)+Bilancio!E2)+1)*(100))/99.9)+(Bilancio!J3/Bilancio!K3))*100)/99.6)/I2</f>
        <v>12.979699281893163</v>
      </c>
    </row>
    <row r="3" spans="1:11" x14ac:dyDescent="0.35">
      <c r="A3" s="21" t="n">
        <f>DATE(YEAR(A2)+1,MONTH(A2),DAY(A2))</f>
        <v>46091.0</v>
      </c>
      <c r="B3" s="42" t="n">
        <f>B2+(C13*B13)+((B2-C13)*(B14/2))+(((B2-C13)+(B2-C13)*(B14/2)))*(B14/2)</f>
        <v>149.8</v>
      </c>
      <c r="C3" s="22" t="n">
        <f>D3*Bilancio!K2</f>
        <v>141.72320657663911</v>
      </c>
      <c r="D3" s="22" t="n">
        <f>(((((((ABS(Bilancio!F2)+Bilancio!E2)+1)*(100))/99.9)+(Bilancio!J3/Bilancio!K3))*100)/99.6)/B3</f>
        <v>130.8375245353024</v>
      </c>
      <c r="H3" s="11" t="n">
        <f>DATE(YEAR(H2)+1,MONTH(H2),DAY(H2))</f>
        <v>46387.0</v>
      </c>
      <c r="I3" s="7" t="n">
        <f>I2+(C13*B13)+((I2-C13)*(B14/2))+(((I2-C13)+(I2-C13)*(B14/2)))*(B14/2)</f>
        <v>1659.8088799999998</v>
      </c>
      <c r="J3" s="5" t="n">
        <f>K3*Bilancio!K2</f>
        <v>12.790711389121208</v>
      </c>
      <c r="K3" s="5" t="n">
        <f>(((((((ABS(Bilancio!F2)+Bilancio!E2)+1)*(100))/99.9)+(Bilancio!J3/Bilancio!K3))*100)/99.6)/I3</f>
        <v>11.80826383781505</v>
      </c>
    </row>
    <row r="4" spans="1:11" x14ac:dyDescent="0.35">
      <c r="A4" s="21" t="n">
        <f>DATE(YEAR(A3)+1,MONTH(A3),DAY(A3))</f>
        <v>46456.0</v>
      </c>
      <c r="B4" s="42" t="n">
        <f>B3+(C13*B13)+((B3-C13)*(B14/2))+(((B3-C13)+(B3-C13)*(B14/2)))*(B14/2)</f>
        <v>299.6</v>
      </c>
      <c r="C4" s="22" t="n">
        <f>D4*Bilancio!K2</f>
        <v>70.86160328831978</v>
      </c>
      <c r="D4" s="22" t="n">
        <f>(((((((ABS(Bilancio!F2)+Bilancio!E2)+1)*(100))/99.9)+(Bilancio!J3/Bilancio!K3))*100)/99.6)/B4</f>
        <v>65.4187622676512</v>
      </c>
      <c r="H4" s="11" t="n">
        <f>DATE(YEAR(H3)+1,MONTH(H3),DAY(H3))</f>
        <v>46752.0</v>
      </c>
      <c r="I4" s="7" t="n">
        <f>I3+(C13*B13)+((I3-C13)*(B14/2))+(((I3-C13)+(I3-C13)*(B14/2)))*(B14/2)</f>
        <v>1809.6088799999998</v>
      </c>
      <c r="J4" s="5" t="n">
        <f>K4*Bilancio!K2</f>
        <v>11.73189222257832</v>
      </c>
      <c r="K4" s="5" t="n">
        <f>(((((((ABS(Bilancio!F2)+Bilancio!E2)+1)*(100))/99.9)+(Bilancio!J3/Bilancio!K3))*100)/99.6)/I4</f>
        <v>10.83077199277907</v>
      </c>
    </row>
    <row r="5" spans="1:11" x14ac:dyDescent="0.35">
      <c r="A5" s="21" t="n">
        <f>DATE(YEAR(A4)+1,MONTH(A4),DAY(A4))</f>
        <v>46822.0</v>
      </c>
      <c r="B5" s="42" t="n">
        <f>B4+(C13*B13)+((B4-C13)*(B14/2))+(((B4-C13)+(B4-C13)*(B14/2)))*(B14/2)</f>
        <v>449.40000000000003</v>
      </c>
      <c r="C5" s="22" t="n">
        <f>D5*Bilancio!K2</f>
        <v>47.241068858879814</v>
      </c>
      <c r="D5" s="22" t="n">
        <f>(((((((ABS(Bilancio!F2)+Bilancio!E2)+1)*(100))/99.9)+(Bilancio!J3/Bilancio!K3))*100)/99.6)/B5</f>
        <v>43.61250817843413</v>
      </c>
    </row>
    <row r="6" spans="1:11" x14ac:dyDescent="0.35">
      <c r="A6" s="21" t="n">
        <f t="shared" ref="A6:A11" si="0">DATE(YEAR(A5)+1,MONTH(A5),DAY(A5))</f>
        <v>47187.0</v>
      </c>
      <c r="B6" s="42" t="n">
        <f>B5+(C13*B13)+((B5-C13)*(B14/2))+(((B5-C13)+(B5-C13)*(B14/2)))*(B14/2)</f>
        <v>599.2</v>
      </c>
      <c r="C6" s="22" t="n">
        <f>D6*Bilancio!K2</f>
        <v>35.43080164415989</v>
      </c>
      <c r="D6" s="22" t="n">
        <f>(((((((ABS(Bilancio!F2)+Bilancio!E2)+1)*(100))/99.9)+(Bilancio!J3/Bilancio!K3))*100)/99.6)/B6</f>
        <v>32.7093811338256</v>
      </c>
    </row>
    <row r="7" spans="1:11" x14ac:dyDescent="0.35">
      <c r="A7" s="21" t="n">
        <f t="shared" si="0"/>
        <v>47552.0</v>
      </c>
      <c r="B7" s="42" t="n">
        <f>B6+(C13*B13)+((B6-C13)*(B14/2))+(((B6-C13)+(B6-C13)*(B14/2)))*(B14/2)</f>
        <v>749.0</v>
      </c>
      <c r="C7" s="22" t="n">
        <f>D7*Bilancio!K2</f>
        <v>28.344641315327934</v>
      </c>
      <c r="D7" s="22" t="n">
        <f>(((((((ABS(Bilancio!F2)+Bilancio!E2)+1)*(100))/99.9)+(Bilancio!J3/Bilancio!K3))*100)/99.6)/B7</f>
        <v>26.16750490706048</v>
      </c>
    </row>
    <row r="8" spans="1:11" x14ac:dyDescent="0.35">
      <c r="A8" s="21" t="n">
        <f t="shared" si="0"/>
        <v>47917.0</v>
      </c>
      <c r="B8" s="42" t="n">
        <f>B7+(C13*B13)+((B7-C13)*(B14/2))+(((B7-C13)+(B7-C13)*(B14/2)))*(B14/2)</f>
        <v>898.8</v>
      </c>
      <c r="C8" s="22" t="n">
        <f>D8*Bilancio!K2</f>
        <v>23.620534429439964</v>
      </c>
      <c r="D8" s="22" t="n">
        <f>(((((((ABS(Bilancio!F2)+Bilancio!E2)+1)*(100))/99.9)+(Bilancio!J3/Bilancio!K3))*100)/99.6)/B8</f>
        <v>21.806254089217067</v>
      </c>
    </row>
    <row r="9" spans="1:11" x14ac:dyDescent="0.35">
      <c r="A9" s="21" t="n">
        <f t="shared" si="0"/>
        <v>48283.0</v>
      </c>
      <c r="B9" s="42" t="n">
        <f>B8+(C13*B13)+((B8-C13)*(B14/2))+(((B8-C13)+(B8-C13)*(B14/2)))*(B14/2)</f>
        <v>1048.6</v>
      </c>
      <c r="C9" s="22" t="n">
        <f>D9*Bilancio!K2</f>
        <v>20.246172368091333</v>
      </c>
      <c r="D9" s="22" t="n">
        <f>(((((((ABS(Bilancio!F2)+Bilancio!E2)+1)*(100))/99.9)+(Bilancio!J3/Bilancio!K3))*100)/99.6)/B9</f>
        <v>18.69107493361463</v>
      </c>
    </row>
    <row r="10" spans="1:11" x14ac:dyDescent="0.35">
      <c r="A10" s="21" t="n">
        <f t="shared" si="0"/>
        <v>48648.0</v>
      </c>
      <c r="B10" s="42" t="n">
        <f>B9+(C13*B13)+((B9-C13)*(B14/2))+(((B9-C13)+(B9-C13)*(B14/2)))*(B14/2)</f>
        <v>1198.3999999999999</v>
      </c>
      <c r="C10" s="22" t="n">
        <f>D10*Bilancio!K2</f>
        <v>17.715400822079946</v>
      </c>
      <c r="D10" s="22" t="n">
        <f>(((((((ABS(Bilancio!F2)+Bilancio!E2)+1)*(100))/99.9)+(Bilancio!J3/Bilancio!K3))*100)/99.6)/B10</f>
        <v>16.3546905669128</v>
      </c>
    </row>
    <row r="11" spans="1:11" x14ac:dyDescent="0.35">
      <c r="A11" s="21" t="n">
        <f t="shared" si="0"/>
        <v>49013.0</v>
      </c>
      <c r="B11" s="42" t="n">
        <f>B10+(C13*B13)+((B10-C13)*(B14/2))+(((B10-C13)+(B10-C13)*(B14/2)))*(B14/2)</f>
        <v>1348.1999999999998</v>
      </c>
      <c r="C11" s="22" t="n">
        <f>D11*Bilancio!K2</f>
        <v>15.74702295295994</v>
      </c>
      <c r="D11" s="22" t="n">
        <f>(((((((ABS(Bilancio!F2)+Bilancio!E2)+1)*(100))/99.9)+(Bilancio!J3/Bilancio!K3))*100)/99.6)/B11</f>
        <v>14.537502726144712</v>
      </c>
    </row>
    <row r="12" spans="1:11" x14ac:dyDescent="0.35">
      <c r="A12" s="23"/>
      <c r="B12" s="38"/>
      <c r="C12" s="22"/>
      <c r="D12" s="22"/>
    </row>
    <row r="13" spans="1:11" x14ac:dyDescent="0.35">
      <c r="A13" s="24" t="s">
        <v>27</v>
      </c>
      <c r="B13" s="38" t="n">
        <f>SUMPRODUCT(C16:C999999,B16:B999999)/C13</f>
        <v>0.1</v>
      </c>
      <c r="C13" s="22" t="n">
        <f>C16+C17</f>
        <v>1498.0</v>
      </c>
      <c r="D13" s="22"/>
    </row>
    <row r="14" spans="1:11" x14ac:dyDescent="0.35">
      <c r="A14" s="24" t="s">
        <v>24</v>
      </c>
      <c r="B14" s="38">
        <v>0</v>
      </c>
      <c r="C14" s="22"/>
    </row>
    <row r="16" spans="1:11" x14ac:dyDescent="0.35">
      <c r="A16" s="24" t="s">
        <v>23</v>
      </c>
      <c r="B16" s="39">
        <v>0.1</v>
      </c>
      <c r="C16" s="5">
        <v>1498</v>
      </c>
    </row>
    <row r="17" spans="1:13" x14ac:dyDescent="0.35">
      <c r="A17" s="24" t="s">
        <v>23</v>
      </c>
      <c r="B17" s="39">
        <v>0.1</v>
      </c>
      <c r="C17" s="5">
        <v>0</v>
      </c>
    </row>
    <row r="18" spans="1:13" x14ac:dyDescent="0.35">
      <c r="M18" s="41"/>
    </row>
    <row r="19" spans="1:13" x14ac:dyDescent="0.35">
      <c r="M19" s="4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4.5" x14ac:dyDescent="0.35"/>
  <cols>
    <col min="1" max="1" bestFit="true" customWidth="true" style="11" width="24.453125"/>
    <col min="2" max="2" bestFit="true" customWidth="true" style="39" width="8.36328125"/>
    <col min="3" max="4" bestFit="true" customWidth="true" style="5" width="9.90625"/>
    <col min="7" max="7" bestFit="true" customWidth="true" style="5" width="18.36328125"/>
    <col min="8" max="8" bestFit="true" customWidth="true" width="11.0"/>
    <col min="9" max="9" bestFit="true" customWidth="true" style="5" width="8.36328125"/>
    <col min="10" max="11" bestFit="true" customWidth="true" style="5" width="9.90625"/>
  </cols>
  <sheetData>
    <row r="1" spans="1:11" s="30" customFormat="1" x14ac:dyDescent="0.35">
      <c r="A1" s="31" t="s">
        <v>16</v>
      </c>
      <c r="B1" s="40" t="s">
        <v>10</v>
      </c>
      <c r="C1" s="36" t="s">
        <v>35</v>
      </c>
      <c r="D1" s="36" t="s">
        <v>36</v>
      </c>
      <c r="G1" s="35" t="s">
        <v>39</v>
      </c>
      <c r="H1" s="34" t="s">
        <v>16</v>
      </c>
      <c r="I1" s="8" t="s">
        <v>10</v>
      </c>
      <c r="J1" s="35" t="s">
        <v>35</v>
      </c>
      <c r="K1" s="36" t="s">
        <v>36</v>
      </c>
    </row>
    <row r="2" spans="1:11" x14ac:dyDescent="0.35">
      <c r="A2" s="21" t="n">
        <f>DATE(YEAR(Bilancio!G2),MONTH(Bilancio!G2),DAY(Bilancio!G2))</f>
        <v>45726.0</v>
      </c>
      <c r="B2" s="42" t="n">
        <f>Bilancio!I5</f>
        <v>9.227591286259617</v>
      </c>
      <c r="C2" s="22" t="n">
        <f>D2*Bilancio!K2</f>
        <v>2300.72352432789</v>
      </c>
      <c r="D2" s="22" t="n">
        <f>(((((((ABS(Bilancio!F2)+Bilancio!E2)+1)*(100))/99.9)+(Bilancio!J3/Bilancio!K3))*100)/99.6)/B2</f>
        <v>2124.006207835944</v>
      </c>
      <c r="G2" s="7">
        <v>0.71640999999999999</v>
      </c>
      <c r="H2" s="11" t="n">
        <f>DATE(YEAR(Bilancio!G2),12,31)</f>
        <v>46022.0</v>
      </c>
      <c r="I2" s="7" t="n">
        <f>((G2*(B13/2))+G2)+(((G2*(B13/2))+G2)*(B13/2))</f>
        <v>0.71641</v>
      </c>
      <c r="J2" s="5" t="n">
        <f>K2*Bilancio!K2</f>
        <v>29634.05919121815</v>
      </c>
      <c r="K2" s="5" t="n">
        <f>(((((((ABS(Bilancio!F2)+Bilancio!E2)+1)*(100))/99.9)+(Bilancio!J3/Bilancio!K3))*100)/99.6)/I2</f>
        <v>27357.883300607613</v>
      </c>
    </row>
    <row r="3" spans="1:11" x14ac:dyDescent="0.35">
      <c r="A3" s="21" t="n">
        <f t="shared" ref="A3:A11" si="0">DATE(YEAR(A2)+1,MONTH(A2),DAY(A2))</f>
        <v>46091.0</v>
      </c>
      <c r="B3" s="42" t="n">
        <f>((B2*(B13/2))+B2)+(((B2*(B13/2))+B2)*(B13/2))</f>
        <v>9.227591286259617</v>
      </c>
      <c r="C3" s="22" t="n">
        <f>D3*Bilancio!K2</f>
        <v>2300.72352432789</v>
      </c>
      <c r="D3" s="22" t="n">
        <f>(((((((ABS(Bilancio!F2)+Bilancio!E2)+1)*(100))/99.9)+(Bilancio!J3/Bilancio!K3))*100)/99.6)/B3</f>
        <v>2124.006207835944</v>
      </c>
      <c r="H3" s="11" t="n">
        <f>DATE(YEAR(H2)+1,MONTH(H2),DAY(H2))</f>
        <v>46387.0</v>
      </c>
      <c r="I3" s="7" t="n">
        <f>((I2*(B13/2))+I2)+(((I2*(B13/2))+I2)*(B13/2))</f>
        <v>0.71641</v>
      </c>
      <c r="J3" s="5" t="n">
        <f>K3*Bilancio!K2</f>
        <v>29634.05919121815</v>
      </c>
      <c r="K3" s="5" t="n">
        <f>(((((((ABS(Bilancio!F2)+Bilancio!E2)+1)*(100))/99.9)+(Bilancio!J3/Bilancio!K3))*100)/99.6)/I3</f>
        <v>27357.883300607613</v>
      </c>
    </row>
    <row r="4" spans="1:11" x14ac:dyDescent="0.35">
      <c r="A4" s="21" t="n">
        <f t="shared" si="0"/>
        <v>46456.0</v>
      </c>
      <c r="B4" s="42" t="n">
        <f>((B3*(B13/2))+B3)+(((B3*(B13/2))+B3)*(B13/2))</f>
        <v>9.227591286259617</v>
      </c>
      <c r="C4" s="22" t="n">
        <f>D4*Bilancio!K2</f>
        <v>2300.72352432789</v>
      </c>
      <c r="D4" s="22" t="n">
        <f>(((((((ABS(Bilancio!F2)+Bilancio!E2)+1)*(100))/99.9)+(Bilancio!J3/Bilancio!K3))*100)/99.6)/B4</f>
        <v>2124.006207835944</v>
      </c>
      <c r="H4" s="11" t="n">
        <f>DATE(YEAR(H3)+1,MONTH(H3),DAY(H3))</f>
        <v>46752.0</v>
      </c>
      <c r="I4" s="7" t="n">
        <f>((I3*(B13/2))+I3)+(((I3*(B13/2))+I3)*(B13/2))</f>
        <v>0.71641</v>
      </c>
      <c r="J4" s="5" t="n">
        <f>K4*Bilancio!K2</f>
        <v>29634.05919121815</v>
      </c>
      <c r="K4" s="5" t="n">
        <f>(((((((ABS(Bilancio!F2)+Bilancio!E2)+1)*(100))/99.9)+(Bilancio!J3/Bilancio!K3))*100)/99.6)/I4</f>
        <v>27357.883300607613</v>
      </c>
    </row>
    <row r="5" spans="1:11" x14ac:dyDescent="0.35">
      <c r="A5" s="21" t="n">
        <f t="shared" si="0"/>
        <v>46822.0</v>
      </c>
      <c r="B5" s="42" t="n">
        <f>((B4*(B13/2))+B4)+(((B4*(B13/2))+B4)*(B13/2))</f>
        <v>9.227591286259617</v>
      </c>
      <c r="C5" s="22" t="n">
        <f>D5*Bilancio!K2</f>
        <v>2300.72352432789</v>
      </c>
      <c r="D5" s="22" t="n">
        <f>(((((((ABS(Bilancio!F2)+Bilancio!E2)+1)*(100))/99.9)+(Bilancio!J3/Bilancio!K3))*100)/99.6)/B5</f>
        <v>2124.006207835944</v>
      </c>
    </row>
    <row r="6" spans="1:11" x14ac:dyDescent="0.35">
      <c r="A6" s="21" t="n">
        <f t="shared" si="0"/>
        <v>47187.0</v>
      </c>
      <c r="B6" s="42" t="n">
        <f>((B5*(B13/2))+B5)+(((B5*(B13/2))+B5)*(B13/2))</f>
        <v>9.227591286259617</v>
      </c>
      <c r="C6" s="22" t="n">
        <f>D6*Bilancio!K2</f>
        <v>2300.72352432789</v>
      </c>
      <c r="D6" s="22" t="n">
        <f>(((((((ABS(Bilancio!F2)+Bilancio!E2)+1)*(100))/99.9)+(Bilancio!J3/Bilancio!K3))*100)/99.6)/B6</f>
        <v>2124.006207835944</v>
      </c>
    </row>
    <row r="7" spans="1:11" x14ac:dyDescent="0.35">
      <c r="A7" s="21" t="n">
        <f t="shared" si="0"/>
        <v>47552.0</v>
      </c>
      <c r="B7" s="42" t="n">
        <f>((B6*(B13/2))+B6)+(((B6*(B13/2))+B6)*(B13/2))</f>
        <v>9.227591286259617</v>
      </c>
      <c r="C7" s="22" t="n">
        <f>D7*Bilancio!K2</f>
        <v>2300.72352432789</v>
      </c>
      <c r="D7" s="22" t="n">
        <f>(((((((ABS(Bilancio!F2)+Bilancio!E2)+1)*(100))/99.9)+(Bilancio!J3/Bilancio!K3))*100)/99.6)/B7</f>
        <v>2124.006207835944</v>
      </c>
    </row>
    <row r="8" spans="1:11" x14ac:dyDescent="0.35">
      <c r="A8" s="21" t="n">
        <f t="shared" si="0"/>
        <v>47917.0</v>
      </c>
      <c r="B8" s="42" t="n">
        <f>((B7*(B13/2))+B7)+(((B7*(B13/2))+B7)*(B13/2))</f>
        <v>9.227591286259617</v>
      </c>
      <c r="C8" s="22" t="n">
        <f>D8*Bilancio!K2</f>
        <v>2300.72352432789</v>
      </c>
      <c r="D8" s="22" t="n">
        <f>(((((((ABS(Bilancio!F2)+Bilancio!E2)+1)*(100))/99.9)+(Bilancio!J3/Bilancio!K3))*100)/99.6)/B8</f>
        <v>2124.006207835944</v>
      </c>
    </row>
    <row r="9" spans="1:11" x14ac:dyDescent="0.35">
      <c r="A9" s="21" t="n">
        <f t="shared" si="0"/>
        <v>48283.0</v>
      </c>
      <c r="B9" s="42" t="n">
        <f>((B8*(B13/2))+B8)+(((B8*(B13/2))+B8)*(B13/2))</f>
        <v>9.227591286259617</v>
      </c>
      <c r="C9" s="22" t="n">
        <f>D9*Bilancio!K2</f>
        <v>2300.72352432789</v>
      </c>
      <c r="D9" s="22" t="n">
        <f>(((((((ABS(Bilancio!F2)+Bilancio!E2)+1)*(100))/99.9)+(Bilancio!J3/Bilancio!K3))*100)/99.6)/B9</f>
        <v>2124.006207835944</v>
      </c>
    </row>
    <row r="10" spans="1:11" x14ac:dyDescent="0.35">
      <c r="A10" s="21" t="n">
        <f t="shared" si="0"/>
        <v>48648.0</v>
      </c>
      <c r="B10" s="42" t="n">
        <f>((B9*(B13/2))+B9)+(((B9*(B13/2))+B9)*(B13/2))</f>
        <v>9.227591286259617</v>
      </c>
      <c r="C10" s="22" t="n">
        <f>D10*Bilancio!K2</f>
        <v>2300.72352432789</v>
      </c>
      <c r="D10" s="22" t="n">
        <f>(((((((ABS(Bilancio!F2)+Bilancio!E2)+1)*(100))/99.9)+(Bilancio!J3/Bilancio!K3))*100)/99.6)/B10</f>
        <v>2124.006207835944</v>
      </c>
    </row>
    <row r="11" spans="1:11" x14ac:dyDescent="0.35">
      <c r="A11" s="21" t="n">
        <f t="shared" si="0"/>
        <v>49013.0</v>
      </c>
      <c r="B11" s="42" t="n">
        <f>((B10*(B13/2))+B10)+(((B10*(B13/2))+B9)*(B13/2))</f>
        <v>9.227591286259617</v>
      </c>
      <c r="C11" s="22" t="n">
        <f>D11*Bilancio!K2</f>
        <v>2300.72352432789</v>
      </c>
      <c r="D11" s="22" t="n">
        <f>(((((((ABS(Bilancio!F2)+Bilancio!E2)+1)*(100))/99.9)+(Bilancio!J3/Bilancio!K3))*100)/99.6)/B11</f>
        <v>2124.006207835944</v>
      </c>
    </row>
    <row r="12" spans="1:11" x14ac:dyDescent="0.35">
      <c r="A12" s="20"/>
      <c r="B12" s="38"/>
      <c r="C12" s="22"/>
      <c r="D12" s="22"/>
    </row>
    <row r="13" spans="1:11" x14ac:dyDescent="0.35">
      <c r="A13" s="24" t="s">
        <v>24</v>
      </c>
      <c r="B13" s="38">
        <v>0</v>
      </c>
      <c r="C13" s="22"/>
      <c r="D13" s="2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5" x14ac:dyDescent="0.35"/>
  <cols>
    <col min="1" max="1" bestFit="true" customWidth="true" width="10.453125"/>
    <col min="2" max="2" bestFit="true" customWidth="true" width="6.90625"/>
    <col min="3" max="3" bestFit="true" customWidth="true" width="9.453125"/>
  </cols>
  <sheetData>
    <row r="1" spans="1:3" x14ac:dyDescent="0.35">
      <c r="A1" s="8" t="s">
        <v>0</v>
      </c>
      <c r="B1" s="8" t="s">
        <v>1</v>
      </c>
      <c r="C1" s="28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5" x14ac:dyDescent="0.35"/>
  <cols>
    <col min="1" max="1" bestFit="true" customWidth="true" width="10.453125"/>
    <col min="2" max="2" bestFit="true" customWidth="true" width="6.90625"/>
    <col min="3" max="3" customWidth="true" width="35.7265625"/>
  </cols>
  <sheetData>
    <row r="1" spans="1:3" x14ac:dyDescent="0.35">
      <c r="A1" s="8" t="s">
        <v>0</v>
      </c>
      <c r="B1" s="8" t="s">
        <v>1</v>
      </c>
      <c r="C1" s="28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pane ySplit="1" topLeftCell="A2" activePane="bottomLeft" state="frozen"/>
      <selection pane="bottomLeft" activeCell="F25" sqref="F25"/>
    </sheetView>
  </sheetViews>
  <sheetFormatPr defaultRowHeight="14.5" x14ac:dyDescent="0.35"/>
  <cols>
    <col min="1" max="1" bestFit="true" customWidth="true" width="10.54296875"/>
    <col min="2" max="2" bestFit="true" customWidth="true" width="7.08984375"/>
    <col min="3" max="3" customWidth="true" width="43.90625"/>
  </cols>
  <sheetData>
    <row r="1" spans="1:3" x14ac:dyDescent="0.35">
      <c r="A1" s="8" t="s">
        <v>0</v>
      </c>
      <c r="B1" s="8" t="s">
        <v>1</v>
      </c>
      <c r="C1" s="28" t="s">
        <v>6</v>
      </c>
    </row>
    <row r="2" spans="1:3" ht="29" x14ac:dyDescent="0.35">
      <c r="A2" s="5"/>
      <c r="B2" s="5"/>
      <c r="C2" s="33" t="s">
        <v>41</v>
      </c>
    </row>
    <row r="3" spans="1:3" x14ac:dyDescent="0.35">
      <c r="A3" s="5"/>
      <c r="B3" s="5"/>
      <c r="C3" s="23"/>
    </row>
    <row r="4" spans="1:3" x14ac:dyDescent="0.35">
      <c r="A4" s="5"/>
      <c r="B4" s="5"/>
      <c r="C4" s="23"/>
    </row>
    <row r="5" spans="1:3" x14ac:dyDescent="0.35">
      <c r="A5" s="5"/>
      <c r="B5" s="5"/>
      <c r="C5" s="23"/>
    </row>
    <row r="6" spans="1:3" x14ac:dyDescent="0.35">
      <c r="A6" s="5"/>
      <c r="B6" s="5"/>
      <c r="C6" s="23"/>
    </row>
    <row r="7" spans="1:3" x14ac:dyDescent="0.35">
      <c r="A7" s="5"/>
      <c r="B7" s="5"/>
      <c r="C7" s="23"/>
    </row>
    <row r="8" spans="1:3" x14ac:dyDescent="0.35">
      <c r="A8" s="5"/>
      <c r="B8" s="5"/>
      <c r="C8" s="23"/>
    </row>
    <row r="9" spans="1:3" x14ac:dyDescent="0.35">
      <c r="A9" s="5"/>
      <c r="B9" s="5"/>
      <c r="C9" s="23"/>
    </row>
    <row r="10" spans="1:3" x14ac:dyDescent="0.35">
      <c r="A10" s="5"/>
      <c r="B10" s="5"/>
      <c r="C10" s="23"/>
    </row>
    <row r="11" spans="1:3" x14ac:dyDescent="0.35">
      <c r="A11" s="5"/>
      <c r="B11" s="5"/>
      <c r="C11" s="23"/>
    </row>
    <row r="12" spans="1:3" x14ac:dyDescent="0.35">
      <c r="A12" s="5"/>
      <c r="B12" s="5"/>
      <c r="C12" s="23"/>
    </row>
    <row r="13" spans="1:3" x14ac:dyDescent="0.35">
      <c r="A13" s="5"/>
      <c r="B13" s="5"/>
      <c r="C13" s="23"/>
    </row>
    <row r="14" spans="1:3" x14ac:dyDescent="0.35">
      <c r="A14" s="5"/>
      <c r="B14" s="5"/>
      <c r="C14" s="23"/>
    </row>
    <row r="15" spans="1:3" x14ac:dyDescent="0.35">
      <c r="A15" s="5"/>
      <c r="B15" s="5"/>
      <c r="C15" s="23"/>
    </row>
    <row r="16" spans="1:3" x14ac:dyDescent="0.35">
      <c r="A16" s="5"/>
      <c r="B16" s="5"/>
      <c r="C16" s="23"/>
    </row>
    <row r="17" spans="1:3" x14ac:dyDescent="0.35">
      <c r="A17" s="5"/>
      <c r="B17" s="5"/>
      <c r="C17" s="23"/>
    </row>
    <row r="18" spans="1:3" x14ac:dyDescent="0.35">
      <c r="A18" s="5"/>
      <c r="B18" s="5"/>
      <c r="C18" s="23"/>
    </row>
    <row r="19" spans="1:3" x14ac:dyDescent="0.35">
      <c r="A19" s="5"/>
      <c r="B19" s="5"/>
      <c r="C19" s="23"/>
    </row>
    <row r="20" spans="1:3" x14ac:dyDescent="0.35">
      <c r="A20" s="5"/>
      <c r="B20" s="5"/>
      <c r="C20" s="23"/>
    </row>
    <row r="21" spans="1:3" x14ac:dyDescent="0.35">
      <c r="A21" s="5"/>
      <c r="B21" s="5"/>
      <c r="C21" s="23"/>
    </row>
    <row r="22" spans="1:3" x14ac:dyDescent="0.35">
      <c r="A22" s="5"/>
      <c r="B22" s="5"/>
      <c r="C22" s="23"/>
    </row>
    <row r="23" spans="1:3" x14ac:dyDescent="0.35">
      <c r="A23" s="5"/>
      <c r="B23" s="5"/>
      <c r="C23" s="23"/>
    </row>
    <row r="24" spans="1:3" x14ac:dyDescent="0.35">
      <c r="A24" s="5"/>
      <c r="B24" s="5"/>
      <c r="C24" s="23"/>
    </row>
    <row r="25" spans="1:3" x14ac:dyDescent="0.35">
      <c r="A25" s="5"/>
      <c r="B25" s="5"/>
      <c r="C25" s="23"/>
    </row>
    <row r="26" spans="1:3" x14ac:dyDescent="0.35">
      <c r="A26" s="5"/>
      <c r="B26" s="5"/>
      <c r="C26" s="23"/>
    </row>
    <row r="27" spans="1:3" x14ac:dyDescent="0.35">
      <c r="A27" s="5"/>
      <c r="B27" s="5"/>
      <c r="C27" s="23"/>
    </row>
    <row r="28" spans="1:3" x14ac:dyDescent="0.35">
      <c r="A28" s="5"/>
      <c r="B28" s="5"/>
      <c r="C28" s="23"/>
    </row>
    <row r="29" spans="1:3" x14ac:dyDescent="0.35">
      <c r="A29" s="5"/>
      <c r="B29" s="5"/>
      <c r="C29" s="23"/>
    </row>
    <row r="30" spans="1:3" x14ac:dyDescent="0.35">
      <c r="A30" s="5"/>
      <c r="B30" s="5"/>
      <c r="C30" s="23"/>
    </row>
    <row r="31" spans="1:3" x14ac:dyDescent="0.35">
      <c r="A31" s="5"/>
      <c r="B31" s="5"/>
      <c r="C31" s="23"/>
    </row>
    <row r="32" spans="1:3" x14ac:dyDescent="0.35">
      <c r="A32" s="5"/>
      <c r="B32" s="5"/>
      <c r="C32" s="23"/>
    </row>
    <row r="33" spans="1:3" x14ac:dyDescent="0.35">
      <c r="A33" s="5"/>
      <c r="B33" s="5"/>
      <c r="C33" s="23"/>
    </row>
    <row r="34" spans="1:3" x14ac:dyDescent="0.35">
      <c r="A34" s="5"/>
      <c r="B34" s="5"/>
      <c r="C34" s="23"/>
    </row>
    <row r="35" spans="1:3" x14ac:dyDescent="0.35">
      <c r="A35" s="5"/>
      <c r="B35" s="5"/>
      <c r="C35" s="23"/>
    </row>
    <row r="36" spans="1:3" x14ac:dyDescent="0.35">
      <c r="A36" s="5"/>
      <c r="B36" s="5"/>
      <c r="C36" s="23"/>
    </row>
    <row r="37" spans="1:3" x14ac:dyDescent="0.35">
      <c r="A37" s="5"/>
      <c r="B37" s="5"/>
      <c r="C37" s="23"/>
    </row>
    <row r="38" spans="1:3" x14ac:dyDescent="0.35">
      <c r="A38" s="5"/>
      <c r="B38" s="5"/>
      <c r="C38" s="23"/>
    </row>
    <row r="39" spans="1:3" x14ac:dyDescent="0.35">
      <c r="A39" s="5"/>
      <c r="B39" s="5"/>
      <c r="C39" s="23"/>
    </row>
    <row r="40" spans="1:3" x14ac:dyDescent="0.35">
      <c r="A40" s="5"/>
      <c r="B40" s="5"/>
      <c r="C40" s="23"/>
    </row>
    <row r="41" spans="1:3" x14ac:dyDescent="0.35">
      <c r="A41" s="5"/>
      <c r="B41" s="5"/>
      <c r="C41" s="23"/>
    </row>
    <row r="42" spans="1:3" x14ac:dyDescent="0.35">
      <c r="A42" s="5"/>
      <c r="B42" s="5"/>
      <c r="C42" s="23"/>
    </row>
    <row r="43" spans="1:3" x14ac:dyDescent="0.35">
      <c r="A43" s="5"/>
      <c r="B43" s="5"/>
      <c r="C43" s="23"/>
    </row>
    <row r="44" spans="1:3" x14ac:dyDescent="0.35">
      <c r="A44" s="5"/>
      <c r="B44" s="5"/>
      <c r="C44" s="23"/>
    </row>
    <row r="45" spans="1:3" x14ac:dyDescent="0.35">
      <c r="A45" s="5"/>
      <c r="B45" s="5"/>
      <c r="C45" s="23"/>
    </row>
    <row r="46" spans="1:3" x14ac:dyDescent="0.35">
      <c r="A46" s="5"/>
      <c r="B46" s="5"/>
      <c r="C46" s="23"/>
    </row>
    <row r="47" spans="1:3" x14ac:dyDescent="0.35">
      <c r="A47" s="5"/>
      <c r="B47" s="5"/>
      <c r="C47" s="23"/>
    </row>
    <row r="48" spans="1:3" x14ac:dyDescent="0.35">
      <c r="A48" s="5"/>
      <c r="B48" s="5"/>
      <c r="C48" s="23"/>
    </row>
    <row r="49" spans="1:3" x14ac:dyDescent="0.35">
      <c r="A49" s="5"/>
      <c r="B49" s="5"/>
      <c r="C49" s="23"/>
    </row>
    <row r="50" spans="1:3" x14ac:dyDescent="0.35">
      <c r="A50" s="5"/>
      <c r="B50" s="5"/>
      <c r="C50" s="23"/>
    </row>
    <row r="51" spans="1:3" x14ac:dyDescent="0.35">
      <c r="A51" s="5"/>
      <c r="B51" s="5"/>
      <c r="C51" s="23"/>
    </row>
    <row r="52" spans="1:3" x14ac:dyDescent="0.35">
      <c r="A52" s="5"/>
      <c r="B52" s="5"/>
      <c r="C52" s="23"/>
    </row>
    <row r="53" spans="1:3" x14ac:dyDescent="0.35">
      <c r="A53" s="5"/>
      <c r="B53" s="5"/>
      <c r="C53" s="23"/>
    </row>
    <row r="54" spans="1:3" x14ac:dyDescent="0.35">
      <c r="A54" s="5"/>
      <c r="B54" s="5"/>
      <c r="C54" s="23"/>
    </row>
    <row r="55" spans="1:3" x14ac:dyDescent="0.35">
      <c r="A55" s="5"/>
      <c r="B55" s="5"/>
      <c r="C55" s="23"/>
    </row>
    <row r="56" spans="1:3" x14ac:dyDescent="0.35">
      <c r="A56" s="5"/>
      <c r="B56" s="5"/>
      <c r="C56" s="2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4.5" x14ac:dyDescent="0.35"/>
  <cols>
    <col min="1" max="1" bestFit="true" customWidth="true" style="5" width="10.453125"/>
    <col min="2" max="2" bestFit="true" customWidth="true" style="5" width="7.81640625"/>
    <col min="3" max="3" bestFit="true" customWidth="true" width="41.0"/>
  </cols>
  <sheetData>
    <row r="1" spans="1:7" x14ac:dyDescent="0.35">
      <c r="A1" s="8" t="s">
        <v>0</v>
      </c>
      <c r="B1" s="8" t="s">
        <v>1</v>
      </c>
      <c r="C1" s="28" t="s">
        <v>6</v>
      </c>
    </row>
    <row r="2" spans="1:7" x14ac:dyDescent="0.35">
      <c r="A2" s="46">
        <v>-550</v>
      </c>
      <c r="B2" s="46">
        <v>995.4</v>
      </c>
      <c r="C2" s="48" t="s">
        <v>40</v>
      </c>
    </row>
    <row r="3" spans="1:7" x14ac:dyDescent="0.35">
      <c r="A3" s="46">
        <v>-550</v>
      </c>
      <c r="B3" s="46">
        <v>1345</v>
      </c>
      <c r="C3" s="48"/>
    </row>
    <row r="4" spans="1:7" x14ac:dyDescent="0.35">
      <c r="A4" s="46">
        <v>-400</v>
      </c>
      <c r="B4" s="46">
        <v>438</v>
      </c>
      <c r="C4" s="48"/>
    </row>
    <row r="5" spans="1:7" x14ac:dyDescent="0.35">
      <c r="A5" s="46">
        <v>-1079</v>
      </c>
      <c r="B5" s="46">
        <v>975</v>
      </c>
      <c r="C5" s="48"/>
      <c r="E5" s="45"/>
      <c r="F5" s="47"/>
      <c r="G5" s="47"/>
    </row>
    <row r="6" spans="1:7" x14ac:dyDescent="0.35">
      <c r="A6" s="46">
        <v>-1100</v>
      </c>
      <c r="C6" s="48"/>
      <c r="F6" s="47"/>
      <c r="G6" s="47"/>
    </row>
    <row r="7" spans="1:7" x14ac:dyDescent="0.35">
      <c r="A7" s="46">
        <v>-50</v>
      </c>
      <c r="C7" s="48"/>
      <c r="F7" s="47"/>
      <c r="G7" s="47"/>
    </row>
    <row r="8" spans="1:7" x14ac:dyDescent="0.35">
      <c r="A8" s="46">
        <v>-100</v>
      </c>
      <c r="C8" s="48"/>
      <c r="E8" s="47"/>
      <c r="F8" s="47"/>
      <c r="G8" s="47"/>
    </row>
    <row r="9" spans="1:7" x14ac:dyDescent="0.35">
      <c r="A9" s="46">
        <v>-165</v>
      </c>
      <c r="C9" s="48"/>
      <c r="E9" s="47"/>
      <c r="F9" s="47"/>
      <c r="G9" s="47"/>
    </row>
    <row r="10" spans="1:7" x14ac:dyDescent="0.35">
      <c r="A10" s="46">
        <v>-177.5</v>
      </c>
      <c r="C10" s="48"/>
      <c r="E10" s="47"/>
      <c r="F10" s="47"/>
      <c r="G10" s="47"/>
    </row>
    <row r="11" spans="1:7" x14ac:dyDescent="0.35">
      <c r="A11" s="46">
        <v>-100</v>
      </c>
      <c r="C11" s="48"/>
      <c r="E11" s="47"/>
    </row>
    <row r="12" spans="1:7" x14ac:dyDescent="0.35">
      <c r="A12" s="46">
        <v>-300</v>
      </c>
      <c r="C12" s="48"/>
      <c r="E12" s="47"/>
      <c r="G12" s="47"/>
    </row>
    <row r="13" spans="1:7" x14ac:dyDescent="0.35">
      <c r="A13" s="46">
        <v>-25</v>
      </c>
      <c r="C13" s="48"/>
      <c r="E13" s="47"/>
      <c r="G13" s="47"/>
    </row>
    <row r="14" spans="1:7" x14ac:dyDescent="0.35">
      <c r="A14" s="46">
        <v>-40</v>
      </c>
      <c r="C14" s="48"/>
      <c r="E14" s="47"/>
    </row>
    <row r="15" spans="1:7" x14ac:dyDescent="0.35">
      <c r="A15" s="46">
        <v>-25</v>
      </c>
      <c r="C15" s="48"/>
    </row>
    <row r="16" spans="1:7" x14ac:dyDescent="0.35">
      <c r="A16" s="46">
        <v>-751</v>
      </c>
      <c r="C16" s="48"/>
    </row>
    <row r="17" spans="1:3" x14ac:dyDescent="0.35">
      <c r="A17" s="46">
        <v>-592</v>
      </c>
      <c r="C17" s="48"/>
    </row>
    <row r="18" spans="1:3" x14ac:dyDescent="0.35">
      <c r="A18" s="46">
        <v>-1001</v>
      </c>
      <c r="C18" s="48"/>
    </row>
    <row r="19" spans="1:3" x14ac:dyDescent="0.35">
      <c r="A19" s="46">
        <v>-1401</v>
      </c>
      <c r="C19" s="48"/>
    </row>
    <row r="20" spans="1:3" x14ac:dyDescent="0.35">
      <c r="A20" s="46">
        <v>-501</v>
      </c>
      <c r="C20" s="48"/>
    </row>
    <row r="21" spans="1:3" x14ac:dyDescent="0.35">
      <c r="A21" s="46">
        <v>-351</v>
      </c>
      <c r="C21" s="48"/>
    </row>
    <row r="22" spans="1:3" x14ac:dyDescent="0.35">
      <c r="A22" s="46">
        <v>-361</v>
      </c>
      <c r="C22" s="48"/>
    </row>
    <row r="23" spans="1:3" x14ac:dyDescent="0.35">
      <c r="A23" s="46">
        <v>-350</v>
      </c>
      <c r="C23" s="48"/>
    </row>
    <row r="24" spans="1:3" x14ac:dyDescent="0.35">
      <c r="C24" s="48"/>
    </row>
    <row r="36" spans="1:1" x14ac:dyDescent="0.35">
      <c r="A36" s="46">
        <v>-351</v>
      </c>
    </row>
    <row r="38" spans="1:1" x14ac:dyDescent="0.35">
      <c r="A38" s="46">
        <v>-25</v>
      </c>
    </row>
    <row r="39" spans="1:1" x14ac:dyDescent="0.35">
      <c r="A39" s="46">
        <v>-40</v>
      </c>
    </row>
    <row r="40" spans="1:1" x14ac:dyDescent="0.35">
      <c r="A40" s="46">
        <v>-25</v>
      </c>
    </row>
    <row r="41" spans="1:1" x14ac:dyDescent="0.35">
      <c r="A41" s="46">
        <v>-351</v>
      </c>
    </row>
  </sheetData>
  <mergeCells count="1">
    <mergeCell ref="C2:C24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bestFit="true" customWidth="true" width="10.453125"/>
    <col min="2" max="2" customWidth="true" width="12.36328125"/>
    <col min="3" max="3" customWidth="true" width="39.26953125"/>
  </cols>
  <sheetData>
    <row r="1" spans="1:4" x14ac:dyDescent="0.35">
      <c r="A1" s="8" t="s">
        <v>0</v>
      </c>
      <c r="B1" s="8" t="s">
        <v>1</v>
      </c>
      <c r="C1" s="28" t="s">
        <v>6</v>
      </c>
    </row>
    <row r="2" spans="1:4" x14ac:dyDescent="0.35">
      <c r="A2" s="43">
        <v>-500</v>
      </c>
      <c r="B2" s="43">
        <v>709.2</v>
      </c>
      <c r="C2" s="49" t="s">
        <v>8</v>
      </c>
      <c r="D2" t="s">
        <v>44</v>
      </c>
    </row>
    <row r="3" spans="1:4" x14ac:dyDescent="0.35">
      <c r="A3" s="43">
        <v>-75</v>
      </c>
      <c r="B3" s="43">
        <v>699.2</v>
      </c>
      <c r="C3" s="50"/>
      <c r="D3">
        <v>12</v>
      </c>
    </row>
    <row r="4" spans="1:4" x14ac:dyDescent="0.35">
      <c r="A4" s="43">
        <v>-200</v>
      </c>
      <c r="B4" s="43">
        <v>126.2</v>
      </c>
      <c r="C4" s="50"/>
    </row>
    <row r="5" spans="1:4" x14ac:dyDescent="0.35">
      <c r="A5" s="43">
        <v>-50</v>
      </c>
      <c r="B5" s="5">
        <v>231</v>
      </c>
      <c r="C5" s="50"/>
    </row>
    <row r="6" spans="1:4" x14ac:dyDescent="0.35">
      <c r="A6" s="43">
        <v>-975</v>
      </c>
      <c r="B6" s="5">
        <v>10</v>
      </c>
      <c r="C6" s="50"/>
    </row>
    <row r="7" spans="1:4" x14ac:dyDescent="0.35">
      <c r="A7" s="43">
        <v>-747</v>
      </c>
      <c r="B7" s="5">
        <v>20.3</v>
      </c>
      <c r="C7" s="50"/>
    </row>
    <row r="8" spans="1:4" x14ac:dyDescent="0.35">
      <c r="A8" s="43">
        <v>-100</v>
      </c>
      <c r="B8" s="5">
        <v>3.38</v>
      </c>
      <c r="C8" s="50"/>
    </row>
    <row r="9" spans="1:4" x14ac:dyDescent="0.35">
      <c r="A9" s="43">
        <v>-150</v>
      </c>
      <c r="B9" s="5">
        <v>35</v>
      </c>
      <c r="C9" s="50"/>
    </row>
    <row r="10" spans="1:4" x14ac:dyDescent="0.35">
      <c r="A10" s="43">
        <v>-400</v>
      </c>
      <c r="B10" s="5">
        <v>20</v>
      </c>
      <c r="C10" s="50"/>
    </row>
    <row r="11" spans="1:4" x14ac:dyDescent="0.35">
      <c r="A11" s="43">
        <v>-40</v>
      </c>
      <c r="B11" s="5">
        <v>14.9</v>
      </c>
      <c r="C11" s="50"/>
    </row>
    <row r="12" spans="1:4" x14ac:dyDescent="0.35">
      <c r="A12" s="43">
        <v>-400</v>
      </c>
      <c r="B12" s="5">
        <v>31</v>
      </c>
      <c r="C12" s="50"/>
    </row>
    <row r="13" spans="1:4" x14ac:dyDescent="0.35">
      <c r="A13" s="43">
        <v>-400</v>
      </c>
      <c r="B13" s="5">
        <v>44.03</v>
      </c>
      <c r="C13" s="50"/>
    </row>
    <row r="14" spans="1:4" x14ac:dyDescent="0.35">
      <c r="A14" s="43">
        <v>-10</v>
      </c>
      <c r="B14" s="5">
        <v>15.66</v>
      </c>
      <c r="C14" s="50"/>
    </row>
    <row r="15" spans="1:4" x14ac:dyDescent="0.35">
      <c r="A15" s="43">
        <v>-10</v>
      </c>
      <c r="B15" s="5">
        <v>16.809999999999999</v>
      </c>
      <c r="C15" s="50"/>
    </row>
    <row r="16" spans="1:4" x14ac:dyDescent="0.35">
      <c r="A16" s="43">
        <v>-128</v>
      </c>
      <c r="B16" s="5">
        <v>16.989999999999998</v>
      </c>
      <c r="C16" s="50"/>
    </row>
    <row r="17" spans="1:3" x14ac:dyDescent="0.35">
      <c r="A17" s="43">
        <v>-247</v>
      </c>
      <c r="B17" s="5">
        <v>18.8</v>
      </c>
      <c r="C17" s="50"/>
    </row>
    <row r="18" spans="1:3" x14ac:dyDescent="0.35">
      <c r="A18" s="43">
        <v>-553</v>
      </c>
      <c r="B18" s="5">
        <v>4.32</v>
      </c>
      <c r="C18" s="50"/>
    </row>
    <row r="19" spans="1:3" x14ac:dyDescent="0.35">
      <c r="A19" s="43">
        <v>-46</v>
      </c>
      <c r="B19" s="5">
        <v>20.32</v>
      </c>
      <c r="C19" s="50"/>
    </row>
    <row r="20" spans="1:3" x14ac:dyDescent="0.35">
      <c r="A20" s="43">
        <v>-125</v>
      </c>
      <c r="B20" s="5">
        <v>27.47</v>
      </c>
      <c r="C20" s="50"/>
    </row>
    <row r="21" spans="1:3" x14ac:dyDescent="0.35">
      <c r="A21" s="43">
        <v>-80</v>
      </c>
      <c r="B21" s="5">
        <v>3.08</v>
      </c>
      <c r="C21" s="50"/>
    </row>
    <row r="22" spans="1:3" x14ac:dyDescent="0.35">
      <c r="A22" s="43">
        <v>-269</v>
      </c>
      <c r="B22" s="5">
        <v>9.4499999999999993</v>
      </c>
      <c r="C22" s="50"/>
    </row>
    <row r="23" spans="1:3" x14ac:dyDescent="0.35">
      <c r="A23" s="43">
        <v>-250</v>
      </c>
      <c r="B23" s="5">
        <v>53</v>
      </c>
      <c r="C23" s="50"/>
    </row>
    <row r="24" spans="1:3" x14ac:dyDescent="0.35">
      <c r="A24" s="43">
        <v>-178</v>
      </c>
      <c r="B24" s="5">
        <v>81.99</v>
      </c>
      <c r="C24" s="50"/>
    </row>
    <row r="25" spans="1:3" x14ac:dyDescent="0.35">
      <c r="A25" s="43">
        <v>-175</v>
      </c>
      <c r="B25" s="5">
        <v>6.32</v>
      </c>
      <c r="C25" s="50"/>
    </row>
    <row r="26" spans="1:3" x14ac:dyDescent="0.35">
      <c r="A26" s="43">
        <v>-200</v>
      </c>
      <c r="B26" s="5">
        <v>34.07</v>
      </c>
      <c r="C26" s="50"/>
    </row>
    <row r="27" spans="1:3" x14ac:dyDescent="0.35">
      <c r="A27" s="43">
        <v>-273</v>
      </c>
      <c r="B27" s="5">
        <v>6.59</v>
      </c>
      <c r="C27" s="50"/>
    </row>
    <row r="28" spans="1:3" x14ac:dyDescent="0.35">
      <c r="A28" s="43">
        <v>-450</v>
      </c>
      <c r="B28" s="5">
        <v>17</v>
      </c>
      <c r="C28" s="50"/>
    </row>
    <row r="29" spans="1:3" x14ac:dyDescent="0.35">
      <c r="A29" s="43">
        <v>-500</v>
      </c>
      <c r="B29" s="5">
        <v>10.15</v>
      </c>
      <c r="C29" s="50"/>
    </row>
    <row r="30" spans="1:3" x14ac:dyDescent="0.35">
      <c r="A30" s="43">
        <v>-45</v>
      </c>
      <c r="B30" s="5">
        <v>19.399999999999999</v>
      </c>
      <c r="C30" s="50"/>
    </row>
    <row r="31" spans="1:3" x14ac:dyDescent="0.35">
      <c r="A31" s="43">
        <v>-700</v>
      </c>
      <c r="B31" s="5">
        <v>16.25</v>
      </c>
      <c r="C31" s="50"/>
    </row>
    <row r="32" spans="1:3" x14ac:dyDescent="0.35">
      <c r="A32" s="43">
        <v>-125</v>
      </c>
      <c r="B32" s="5">
        <v>11.9</v>
      </c>
      <c r="C32" s="50"/>
    </row>
    <row r="33" spans="1:3" x14ac:dyDescent="0.35">
      <c r="A33" s="44">
        <v>-500</v>
      </c>
      <c r="B33" s="5">
        <v>20</v>
      </c>
      <c r="C33" s="50"/>
    </row>
    <row r="34" spans="1:3" x14ac:dyDescent="0.35">
      <c r="A34" s="44">
        <v>-36.119999999999997</v>
      </c>
      <c r="B34" s="5">
        <v>5.53</v>
      </c>
      <c r="C34" s="50"/>
    </row>
    <row r="35" spans="1:3" x14ac:dyDescent="0.35">
      <c r="A35" s="44">
        <v>-325</v>
      </c>
      <c r="B35" s="5">
        <v>29.7</v>
      </c>
      <c r="C35" s="50"/>
    </row>
    <row r="36" spans="1:3" x14ac:dyDescent="0.35">
      <c r="A36" s="44">
        <v>-48</v>
      </c>
      <c r="B36" s="5">
        <v>52.29</v>
      </c>
      <c r="C36" s="50"/>
    </row>
    <row r="37" spans="1:3" x14ac:dyDescent="0.35">
      <c r="A37" s="44">
        <v>-48</v>
      </c>
      <c r="B37" s="5">
        <v>36.94</v>
      </c>
      <c r="C37" s="50"/>
    </row>
    <row r="38" spans="1:3" x14ac:dyDescent="0.35">
      <c r="A38" s="44">
        <v>-48</v>
      </c>
      <c r="B38" s="5">
        <v>13.56</v>
      </c>
      <c r="C38" s="50"/>
    </row>
    <row r="39" spans="1:3" x14ac:dyDescent="0.35">
      <c r="A39" s="46">
        <v>-500</v>
      </c>
      <c r="B39" s="5">
        <v>9.98</v>
      </c>
      <c r="C39" s="50"/>
    </row>
    <row r="40" spans="1:3" x14ac:dyDescent="0.35">
      <c r="A40" s="46">
        <v>-366</v>
      </c>
      <c r="B40" s="5">
        <v>33.979999999999997</v>
      </c>
      <c r="C40" s="50"/>
    </row>
    <row r="41" spans="1:3" x14ac:dyDescent="0.35">
      <c r="A41" s="46">
        <v>-494</v>
      </c>
      <c r="B41" s="5">
        <v>1.05</v>
      </c>
      <c r="C41" s="50"/>
    </row>
    <row r="42" spans="1:3" x14ac:dyDescent="0.35">
      <c r="A42" s="46">
        <v>-1100</v>
      </c>
      <c r="B42" s="5">
        <v>10.8</v>
      </c>
      <c r="C42" s="50"/>
    </row>
    <row r="43" spans="1:3" x14ac:dyDescent="0.35">
      <c r="A43" s="46">
        <v>-850</v>
      </c>
      <c r="B43" s="5">
        <v>67.930000000000007</v>
      </c>
      <c r="C43" s="50"/>
    </row>
    <row r="44" spans="1:3" x14ac:dyDescent="0.35">
      <c r="A44" s="46">
        <v>-850</v>
      </c>
      <c r="B44" s="5">
        <v>2.6</v>
      </c>
      <c r="C44" s="50"/>
    </row>
    <row r="45" spans="1:3" x14ac:dyDescent="0.35">
      <c r="A45" s="46">
        <v>-300</v>
      </c>
      <c r="B45" s="5">
        <v>23.43</v>
      </c>
      <c r="C45" s="50"/>
    </row>
    <row r="46" spans="1:3" x14ac:dyDescent="0.35">
      <c r="A46" s="46">
        <v>-160</v>
      </c>
      <c r="B46" s="5">
        <v>29.89</v>
      </c>
      <c r="C46" s="50"/>
    </row>
    <row r="47" spans="1:3" x14ac:dyDescent="0.35">
      <c r="A47" s="5">
        <v>-428</v>
      </c>
      <c r="B47" s="5">
        <v>14.98</v>
      </c>
      <c r="C47" s="50"/>
    </row>
    <row r="48" spans="1:3" x14ac:dyDescent="0.35">
      <c r="A48" s="5">
        <v>-297</v>
      </c>
      <c r="B48" s="5">
        <v>0.5</v>
      </c>
      <c r="C48" s="50"/>
    </row>
    <row r="49" spans="1:3" x14ac:dyDescent="0.35">
      <c r="A49" s="5">
        <v>-239.24</v>
      </c>
      <c r="B49" s="5">
        <v>8.24</v>
      </c>
      <c r="C49" s="50"/>
    </row>
    <row r="50" spans="1:3" x14ac:dyDescent="0.35">
      <c r="A50" s="5">
        <v>-5</v>
      </c>
      <c r="B50" s="5">
        <v>14.12</v>
      </c>
      <c r="C50" s="50"/>
    </row>
    <row r="51" spans="1:3" x14ac:dyDescent="0.35">
      <c r="B51" s="5">
        <v>46</v>
      </c>
      <c r="C51" s="50"/>
    </row>
    <row r="52" spans="1:3" x14ac:dyDescent="0.35">
      <c r="B52" s="5">
        <v>3.62</v>
      </c>
      <c r="C52" s="50"/>
    </row>
    <row r="53" spans="1:3" x14ac:dyDescent="0.35">
      <c r="B53" s="5">
        <v>37.67</v>
      </c>
      <c r="C53" s="50"/>
    </row>
    <row r="54" spans="1:3" x14ac:dyDescent="0.35">
      <c r="B54" s="5">
        <v>76.09</v>
      </c>
      <c r="C54" s="50"/>
    </row>
    <row r="55" spans="1:3" x14ac:dyDescent="0.35">
      <c r="A55" s="5"/>
      <c r="B55" s="5">
        <v>47.65</v>
      </c>
      <c r="C55" s="50"/>
    </row>
    <row r="56" spans="1:3" x14ac:dyDescent="0.35">
      <c r="A56" s="5"/>
      <c r="B56" s="5">
        <v>62</v>
      </c>
      <c r="C56" s="50"/>
    </row>
  </sheetData>
  <mergeCells count="1">
    <mergeCell ref="C2:C56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4.5" x14ac:dyDescent="0.35"/>
  <cols>
    <col min="1" max="1" bestFit="true" customWidth="true" width="22.81640625"/>
    <col min="2" max="2" bestFit="true" customWidth="true" width="12.0"/>
    <col min="4" max="4" bestFit="true" customWidth="true" width="17.54296875"/>
    <col min="5" max="5" bestFit="true" customWidth="true" width="12.0"/>
    <col min="7" max="7" bestFit="true" customWidth="true" width="21.08984375"/>
    <col min="8" max="8" bestFit="true" customWidth="true" width="9.453125"/>
  </cols>
  <sheetData>
    <row r="1" spans="1:8" x14ac:dyDescent="0.35">
      <c r="D1" s="27" t="s">
        <v>25</v>
      </c>
      <c r="E1" s="7" t="n">
        <f>IF(Bilancio!F2&lt;0,ABS(Bilancio!F2),0)</f>
        <v>19499.62</v>
      </c>
    </row>
    <row r="2" spans="1:8" x14ac:dyDescent="0.35">
      <c r="A2" s="26" t="str">
        <f>"Prezzo " &amp; PROPER(Bilancio!H2) &amp; " se posseduto"</f>
        <v>Prezzo Eur se posseduto</v>
      </c>
      <c r="B2" s="7" t="n">
        <f>IF(Bilancio!$I$2&gt;0,Bilancio!$J$2,0)</f>
        <v>0.0</v>
      </c>
      <c r="D2" s="26" t="str">
        <f>PROPER(Bilancio!H2)</f>
        <v>Eur</v>
      </c>
      <c r="E2" s="7" t="n">
        <f>Bilancio!M2</f>
        <v>0.0</v>
      </c>
      <c r="H2" s="7"/>
    </row>
    <row r="3" spans="1:8" x14ac:dyDescent="0.35">
      <c r="A3" s="26" t="str">
        <f>"Prezzo " &amp; PROPER(Bilancio!H3) &amp; " se posseduto"</f>
        <v>Prezzo Usdt se posseduto</v>
      </c>
      <c r="B3" s="7" t="n">
        <f>IF(Bilancio!$I$3&gt;0,Bilancio!$J$3,0)</f>
        <v>0.0</v>
      </c>
      <c r="D3" s="26" t="str">
        <f>PROPER(Bilancio!H3)</f>
        <v>Usdt</v>
      </c>
      <c r="E3" s="7" t="n">
        <f>Bilancio!M3</f>
        <v>0.0</v>
      </c>
      <c r="H3" s="7"/>
    </row>
    <row r="4" spans="1:8" x14ac:dyDescent="0.35">
      <c r="A4" s="26" t="str">
        <f>"Prezzo " &amp; PROPER(Bilancio!H4) &amp; " se posseduto"</f>
        <v>Prezzo Usdc se posseduto</v>
      </c>
      <c r="B4" s="7" t="n">
        <f>IF(Bilancio!$I$4&gt;0,Bilancio!$J$4,0)</f>
        <v>0.0</v>
      </c>
      <c r="D4" s="26" t="str">
        <f>PROPER(Bilancio!H4)</f>
        <v>Usdc</v>
      </c>
      <c r="E4" s="7" t="n">
        <f>Bilancio!M4</f>
        <v>0.0</v>
      </c>
      <c r="H4" s="7"/>
    </row>
    <row r="5" spans="1:8" x14ac:dyDescent="0.35">
      <c r="A5" s="26" t="str">
        <f>"Prezzo " &amp; PROPER(Bilancio!H5) &amp; " se posseduto"</f>
        <v>Prezzo Cro se posseduto</v>
      </c>
      <c r="B5" s="7" t="n">
        <f>IF(Bilancio!$I$5&gt;0,Bilancio!$J$5,0)</f>
        <v>0.07926</v>
      </c>
      <c r="D5" s="26" t="str">
        <f>PROPER(Bilancio!H5)</f>
        <v>Cro</v>
      </c>
      <c r="E5" s="7" t="n">
        <f>Bilancio!M5</f>
        <v>0.0</v>
      </c>
      <c r="G5" s="26" t="str">
        <f>"RUPEI " &amp; PROPER(Bilancio!H5) &amp; " non realizzato"</f>
        <v>RUPEI Cro non realizzato</v>
      </c>
      <c r="H5" s="7" t="n">
        <f>MAX(0,Bilancio!$N$5-Bilancio!$J$5)</f>
        <v>2300.64426432789</v>
      </c>
    </row>
    <row r="6" spans="1:8" x14ac:dyDescent="0.35">
      <c r="A6" s="26" t="str">
        <f>"Prezzo " &amp; PROPER(Bilancio!H6) &amp; " se posseduto"</f>
        <v>Prezzo Near se posseduto</v>
      </c>
      <c r="B6" s="7" t="n">
        <f>IF(Bilancio!$I$6&gt;0,Bilancio!$J$6,0)</f>
        <v>0.0</v>
      </c>
      <c r="D6" s="26" t="str">
        <f>PROPER(Bilancio!H6)</f>
        <v>Near</v>
      </c>
      <c r="E6" s="7" t="n">
        <f>Bilancio!M6</f>
        <v>0.0</v>
      </c>
      <c r="G6" s="26" t="str">
        <f>"RUPEI " &amp; PROPER(Bilancio!H6) &amp; " non realizzato"</f>
        <v>RUPEI Near non realizzato</v>
      </c>
      <c r="H6" s="7" t="n">
        <f>MAX(0,Bilancio!$N$6-Bilancio!$J$6)</f>
        <v>0.0</v>
      </c>
    </row>
    <row r="7" spans="1:8" x14ac:dyDescent="0.35">
      <c r="A7" s="26" t="str">
        <f>"Prezzo " &amp; PROPER(Bilancio!H7) &amp; " se posseduto"</f>
        <v>Prezzo Luna se posseduto</v>
      </c>
      <c r="B7" s="7" t="n">
        <f>IF(Bilancio!$I$7&gt;0,Bilancio!$J$7,0)</f>
        <v>0.0</v>
      </c>
      <c r="D7" s="26" t="str">
        <f>PROPER(Bilancio!H7)</f>
        <v>Luna</v>
      </c>
      <c r="E7" s="7" t="n">
        <f>Bilancio!M7</f>
        <v>0.0</v>
      </c>
      <c r="G7" s="26"/>
      <c r="H7" s="7"/>
    </row>
    <row r="8" spans="1:8" x14ac:dyDescent="0.35">
      <c r="A8" s="26" t="str">
        <f>"Prezzo " &amp; PROPER(Bilancio!H8) &amp; " se posseduto"</f>
        <v>Prezzo Lunc se posseduto</v>
      </c>
      <c r="B8" s="7" t="n">
        <f>IF(Bilancio!$I$8&gt;0,Bilancio!$J$8,0)</f>
        <v>0.0</v>
      </c>
      <c r="D8" s="26" t="str">
        <f>PROPER(Bilancio!H8)</f>
        <v>Lunc</v>
      </c>
      <c r="E8" s="7" t="n">
        <f>Bilancio!M8</f>
        <v>0.0</v>
      </c>
      <c r="G8" s="26"/>
      <c r="H8" s="7"/>
    </row>
    <row r="9" spans="1:8" x14ac:dyDescent="0.35">
      <c r="A9" s="26" t="str">
        <f>"Prezzo " &amp; PROPER(Bilancio!H9) &amp; " se posseduto"</f>
        <v>Prezzo Btc se posseduto</v>
      </c>
      <c r="B9" s="7" t="n">
        <f>IF(Bilancio!$I$9&gt;0,Bilancio!$J$9,0)</f>
        <v>0.0</v>
      </c>
      <c r="D9" s="26" t="str">
        <f>PROPER(Bilancio!H9)</f>
        <v>Btc</v>
      </c>
      <c r="E9" s="7" t="n">
        <f>Bilancio!M9</f>
        <v>0.0</v>
      </c>
      <c r="G9" s="26"/>
      <c r="H9" s="7"/>
    </row>
    <row r="10" spans="1:8" x14ac:dyDescent="0.35">
      <c r="A10" s="26" t="str">
        <f>"Prezzo " &amp; PROPER(Bilancio!H10) &amp; " se posseduto"</f>
        <v>Prezzo Bnb se posseduto</v>
      </c>
      <c r="B10" s="7" t="n">
        <f>IF(Bilancio!$I$10&gt;0,Bilancio!$J$10,0)</f>
        <v>0.0</v>
      </c>
      <c r="D10" s="26" t="str">
        <f>PROPER(Bilancio!H10)</f>
        <v>Bnb</v>
      </c>
      <c r="E10" s="7" t="n">
        <f>Bilancio!M10</f>
        <v>0.0</v>
      </c>
      <c r="G10" s="26"/>
      <c r="H10" s="7"/>
    </row>
    <row r="11" spans="1:8" x14ac:dyDescent="0.35">
      <c r="A11" s="26" t="str">
        <f>"Prezzo " &amp; PROPER(Bilancio!H11) &amp; " se posseduto"</f>
        <v>Prezzo Euri se posseduto</v>
      </c>
      <c r="B11" s="7" t="n">
        <f>IF(Bilancio!$I$11&gt;0,Bilancio!$J$11,0)</f>
        <v>0.0</v>
      </c>
      <c r="D11" s="26" t="str">
        <f>PROPER(Bilancio!H11)</f>
        <v>Euri</v>
      </c>
      <c r="E11" s="7" t="n">
        <f>Bilancio!M11</f>
        <v>0.0</v>
      </c>
      <c r="G11" s="26" t="str">
        <f>"RUPEI " &amp; PROPER(Bilancio!H11) &amp; " non realizzato"</f>
        <v>RUPEI Euri non realizzato</v>
      </c>
      <c r="H11" s="7" t="n">
        <f>MAX(0,Bilancio!$N$11-Bilancio!$J$11)</f>
        <v>0.0</v>
      </c>
    </row>
    <row r="12" spans="1:8" x14ac:dyDescent="0.35">
      <c r="A12" s="26" t="str">
        <f>"Prezzo " &amp; PROPER(Bilancio!H12) &amp; " se posseduto"</f>
        <v>Prezzo Sol se posseduto</v>
      </c>
      <c r="B12" s="7" t="n">
        <f>IF(Bilancio!$I$12&gt;0,Bilancio!$J$12,0)</f>
        <v>0.0</v>
      </c>
      <c r="D12" s="26" t="str">
        <f>PROPER(Bilancio!H12)</f>
        <v>Sol</v>
      </c>
      <c r="E12" s="7" t="n">
        <f>Bilancio!M12</f>
        <v>0.0</v>
      </c>
      <c r="G12" s="26" t="str">
        <f>"RUPEI " &amp; PROPER(Bilancio!H12) &amp; " non realizzato"</f>
        <v>RUPEI Sol non realizzato</v>
      </c>
      <c r="H12" s="7" t="n">
        <f>MAX(0,Bilancio!$N$12-Bilancio!$J$12)</f>
        <v>0.0</v>
      </c>
    </row>
    <row r="21" spans="1:2" x14ac:dyDescent="0.35">
      <c r="A21" s="26" t="s">
        <v>37</v>
      </c>
      <c r="B21" s="3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Bilancio</vt:lpstr>
      <vt:lpstr>Investimento NEAR</vt:lpstr>
      <vt:lpstr>Investimento CRO</vt:lpstr>
      <vt:lpstr>Movimenti 2025</vt:lpstr>
      <vt:lpstr>Movimenti 2024</vt:lpstr>
      <vt:lpstr>Movimenti 2023</vt:lpstr>
      <vt:lpstr>Movimenti 2022</vt:lpstr>
      <vt:lpstr>Movimenti 2021</vt:lpstr>
      <vt:lpstr>Variabili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2006-09-25T09:17:32Z</dcterms:created>
  <dcterms:modified xsi:type="dcterms:W3CDTF">2025-01-31T19:54:24Z</dcterms:modified>
</cp:coreProperties>
</file>