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e9b421fdb81f1/Escritorio/"/>
    </mc:Choice>
  </mc:AlternateContent>
  <xr:revisionPtr revIDLastSave="20" documentId="8_{A016C348-6FC6-40CE-9895-7910ED5F0F6C}" xr6:coauthVersionLast="47" xr6:coauthVersionMax="47" xr10:uidLastSave="{8C90B222-4D2A-4A3A-BA26-08A9C2339B03}"/>
  <bookViews>
    <workbookView xWindow="-108" yWindow="-108" windowWidth="23256" windowHeight="12576" xr2:uid="{819D541C-A687-B249-B56D-DEF73CAB8FC5}"/>
  </bookViews>
  <sheets>
    <sheet name="Caratula" sheetId="5" r:id="rId1"/>
    <sheet name="CASO 1" sheetId="4" r:id="rId2"/>
    <sheet name="Caso 1 procedimiento" sheetId="11" r:id="rId3"/>
    <sheet name="Caso 2" sheetId="10" r:id="rId4"/>
    <sheet name="Caso 2 Procedimiento" sheetId="12" r:id="rId5"/>
    <sheet name="Caso 3" sheetId="8" r:id="rId6"/>
    <sheet name="DATOS" sheetId="7" state="veryHidden" r:id="rId7"/>
  </sheets>
  <externalReferences>
    <externalReference r:id="rId8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8" l="1"/>
  <c r="J4" i="11"/>
  <c r="I4" i="11"/>
  <c r="H4" i="11"/>
  <c r="K4" i="11" l="1"/>
  <c r="L4" i="11" l="1"/>
  <c r="P27" i="4" l="1"/>
  <c r="P26" i="4"/>
  <c r="O10" i="8"/>
  <c r="O8" i="8"/>
  <c r="P23" i="10"/>
  <c r="J17" i="12"/>
  <c r="P19" i="10"/>
  <c r="J13" i="12"/>
  <c r="H22" i="12"/>
  <c r="H23" i="12"/>
  <c r="H21" i="12"/>
  <c r="H18" i="12"/>
  <c r="P15" i="10" s="1"/>
  <c r="H19" i="12"/>
  <c r="H17" i="12"/>
  <c r="H15" i="12"/>
  <c r="H13" i="12"/>
  <c r="H14" i="12"/>
  <c r="H10" i="12"/>
  <c r="H11" i="12"/>
  <c r="H9" i="12"/>
  <c r="C6" i="12"/>
  <c r="D6" i="12" s="1"/>
  <c r="E6" i="12" s="1"/>
  <c r="B6" i="12"/>
  <c r="C5" i="12"/>
  <c r="B5" i="12"/>
  <c r="C4" i="12"/>
  <c r="B4" i="12"/>
  <c r="C3" i="12"/>
  <c r="D3" i="12" s="1"/>
  <c r="E3" i="12" s="1"/>
  <c r="B3" i="12"/>
  <c r="I9" i="12" l="1"/>
  <c r="D5" i="12"/>
  <c r="E5" i="12" s="1"/>
  <c r="D4" i="12"/>
  <c r="E4" i="12" s="1"/>
  <c r="P25" i="4"/>
  <c r="P24" i="4"/>
  <c r="P23" i="4"/>
  <c r="E3" i="11"/>
  <c r="E4" i="11"/>
  <c r="E5" i="11"/>
  <c r="E6" i="11"/>
  <c r="E7" i="11"/>
  <c r="E8" i="11"/>
  <c r="E9" i="11"/>
  <c r="E10" i="11"/>
  <c r="E11" i="11"/>
  <c r="E2" i="11"/>
  <c r="C12" i="11"/>
  <c r="D12" i="11"/>
  <c r="B12" i="11"/>
  <c r="E12" i="11" l="1"/>
  <c r="P20" i="4" s="1"/>
  <c r="G1" i="5"/>
  <c r="G1" i="10" s="1"/>
  <c r="F12" i="5"/>
  <c r="L24" i="5"/>
  <c r="F39" i="5"/>
  <c r="F38" i="5"/>
  <c r="Y8" i="7"/>
  <c r="V8" i="7"/>
  <c r="W8" i="7"/>
  <c r="X8" i="7"/>
  <c r="U8" i="7"/>
  <c r="R8" i="7"/>
  <c r="S8" i="7"/>
  <c r="T8" i="7"/>
  <c r="Q8" i="7"/>
  <c r="V7" i="7"/>
  <c r="W7" i="7"/>
  <c r="X7" i="7"/>
  <c r="Y7" i="7"/>
  <c r="U7" i="7"/>
  <c r="R7" i="7"/>
  <c r="S7" i="7" s="1"/>
  <c r="T7" i="7" s="1"/>
  <c r="Q7" i="7"/>
  <c r="U6" i="7"/>
  <c r="V6" i="7"/>
  <c r="W6" i="7"/>
  <c r="X6" i="7"/>
  <c r="Y6" i="7"/>
  <c r="R6" i="7"/>
  <c r="S6" i="7"/>
  <c r="T6" i="7"/>
  <c r="Q6" i="7"/>
  <c r="V5" i="7"/>
  <c r="W5" i="7"/>
  <c r="X5" i="7"/>
  <c r="Y5" i="7"/>
  <c r="U5" i="7"/>
  <c r="R5" i="7"/>
  <c r="S5" i="7" s="1"/>
  <c r="T5" i="7" s="1"/>
  <c r="Q5" i="7"/>
  <c r="M9" i="7"/>
  <c r="L9" i="7"/>
  <c r="K9" i="7"/>
  <c r="J9" i="7"/>
  <c r="I9" i="7"/>
  <c r="H9" i="7"/>
  <c r="G9" i="7"/>
  <c r="F9" i="7"/>
  <c r="E9" i="7"/>
  <c r="D9" i="7"/>
  <c r="H24" i="10"/>
  <c r="H23" i="10"/>
  <c r="H15" i="10"/>
  <c r="F36" i="5" s="1"/>
  <c r="Q13" i="10"/>
  <c r="J2" i="11" l="1"/>
  <c r="H2" i="11"/>
  <c r="I2" i="11"/>
  <c r="P22" i="4" s="1"/>
  <c r="H19" i="10"/>
  <c r="F37" i="5" s="1"/>
  <c r="N15" i="10"/>
  <c r="I36" i="5" s="1"/>
  <c r="I48" i="7"/>
  <c r="I40" i="7"/>
  <c r="I41" i="7"/>
  <c r="I42" i="7"/>
  <c r="I43" i="7"/>
  <c r="I44" i="7"/>
  <c r="I45" i="7"/>
  <c r="I46" i="7"/>
  <c r="I47" i="7"/>
  <c r="I39" i="7"/>
  <c r="F24" i="7"/>
  <c r="I24" i="7" s="1"/>
  <c r="I27" i="7" s="1"/>
  <c r="P21" i="4" l="1"/>
  <c r="K2" i="11"/>
  <c r="I31" i="7"/>
  <c r="J31" i="7" s="1"/>
  <c r="C13" i="4" s="1"/>
  <c r="I30" i="7"/>
  <c r="J30" i="7" s="1"/>
  <c r="I32" i="7"/>
  <c r="B14" i="4" s="1"/>
  <c r="D24" i="7"/>
  <c r="I28" i="7"/>
  <c r="B10" i="4" s="1"/>
  <c r="I33" i="7"/>
  <c r="B15" i="4" s="1"/>
  <c r="I29" i="7"/>
  <c r="B11" i="4" s="1"/>
  <c r="I34" i="7"/>
  <c r="B16" i="4" s="1"/>
  <c r="B9" i="4"/>
  <c r="I36" i="7"/>
  <c r="B18" i="4" s="1"/>
  <c r="K24" i="7"/>
  <c r="I35" i="7"/>
  <c r="B17" i="4" s="1"/>
  <c r="G1" i="4"/>
  <c r="L31" i="7" l="1"/>
  <c r="E13" i="4" s="1"/>
  <c r="K31" i="7"/>
  <c r="D13" i="4" s="1"/>
  <c r="B12" i="4"/>
  <c r="B13" i="4"/>
  <c r="L36" i="7"/>
  <c r="E18" i="4" s="1"/>
  <c r="K36" i="7"/>
  <c r="D18" i="4" s="1"/>
  <c r="J36" i="7"/>
  <c r="C18" i="4" s="1"/>
  <c r="K23" i="4"/>
  <c r="G29" i="5" s="1"/>
  <c r="K29" i="7"/>
  <c r="D11" i="4" s="1"/>
  <c r="J29" i="7"/>
  <c r="C11" i="4" s="1"/>
  <c r="K34" i="7"/>
  <c r="D16" i="4" s="1"/>
  <c r="J34" i="7"/>
  <c r="C16" i="4" s="1"/>
  <c r="J35" i="7"/>
  <c r="C17" i="4" s="1"/>
  <c r="J28" i="7"/>
  <c r="C10" i="4" s="1"/>
  <c r="D12" i="10"/>
  <c r="E12" i="10" s="1"/>
  <c r="D13" i="10"/>
  <c r="D10" i="10"/>
  <c r="D11" i="10"/>
  <c r="K28" i="7"/>
  <c r="D10" i="4" s="1"/>
  <c r="K32" i="7"/>
  <c r="D14" i="4" s="1"/>
  <c r="K30" i="7"/>
  <c r="D12" i="4" s="1"/>
  <c r="L33" i="7"/>
  <c r="E15" i="4" s="1"/>
  <c r="J32" i="7"/>
  <c r="C14" i="4" s="1"/>
  <c r="L32" i="7"/>
  <c r="E14" i="4" s="1"/>
  <c r="L30" i="7"/>
  <c r="E12" i="4" s="1"/>
  <c r="K33" i="7"/>
  <c r="D15" i="4" s="1"/>
  <c r="C12" i="4"/>
  <c r="J33" i="7"/>
  <c r="C15" i="4" s="1"/>
  <c r="C11" i="10"/>
  <c r="C12" i="10"/>
  <c r="C10" i="10"/>
  <c r="C13" i="10"/>
  <c r="L29" i="7"/>
  <c r="E11" i="4" s="1"/>
  <c r="L28" i="7"/>
  <c r="E10" i="4" s="1"/>
  <c r="K35" i="7"/>
  <c r="D17" i="4" s="1"/>
  <c r="J27" i="7"/>
  <c r="C9" i="4" s="1"/>
  <c r="K27" i="7"/>
  <c r="D9" i="4" s="1"/>
  <c r="L34" i="7"/>
  <c r="E16" i="4" s="1"/>
  <c r="L35" i="7"/>
  <c r="E17" i="4" s="1"/>
  <c r="L27" i="7"/>
  <c r="E9" i="4" s="1"/>
  <c r="E13" i="10" l="1"/>
  <c r="F13" i="10" s="1"/>
  <c r="F12" i="10"/>
  <c r="E10" i="10"/>
  <c r="E11" i="10"/>
  <c r="F11" i="10" l="1"/>
  <c r="F10" i="10"/>
  <c r="M36" i="5" l="1"/>
  <c r="K36" i="5"/>
  <c r="K37" i="5" l="1"/>
  <c r="M37" i="5"/>
  <c r="M38" i="5" l="1"/>
  <c r="K38" i="5"/>
  <c r="P6" i="8" l="1"/>
  <c r="R17" i="4" l="1"/>
  <c r="G1" i="8"/>
  <c r="C3" i="8" s="1"/>
  <c r="G30" i="5" l="1"/>
  <c r="G31" i="5" s="1"/>
  <c r="G32" i="5" s="1"/>
  <c r="G33" i="5" s="1"/>
  <c r="K27" i="4"/>
  <c r="K26" i="4"/>
  <c r="K24" i="4"/>
  <c r="K25" i="4"/>
  <c r="M33" i="5" l="1"/>
  <c r="K27" i="5"/>
  <c r="M27" i="5"/>
  <c r="M28" i="5"/>
  <c r="K28" i="5"/>
  <c r="M26" i="5"/>
  <c r="K26" i="5"/>
  <c r="N26" i="5" s="1"/>
  <c r="M44" i="5"/>
  <c r="K44" i="5"/>
  <c r="M31" i="5"/>
  <c r="K31" i="5"/>
  <c r="M43" i="5"/>
  <c r="K43" i="5"/>
  <c r="M42" i="5"/>
  <c r="K42" i="5"/>
  <c r="K33" i="5" l="1"/>
  <c r="N33" i="5" s="1"/>
  <c r="N27" i="5"/>
  <c r="N28" i="5"/>
  <c r="N31" i="5"/>
  <c r="N42" i="5"/>
  <c r="N43" i="5"/>
  <c r="N44" i="5"/>
  <c r="M29" i="5"/>
  <c r="K29" i="5"/>
  <c r="M32" i="5"/>
  <c r="K32" i="5"/>
  <c r="M30" i="5"/>
  <c r="K30" i="5"/>
  <c r="N30" i="5" l="1"/>
  <c r="N32" i="5"/>
  <c r="N29" i="5"/>
  <c r="N36" i="5" l="1"/>
  <c r="N37" i="5" l="1"/>
  <c r="N38" i="5" l="1"/>
  <c r="L7" i="5" s="1"/>
</calcChain>
</file>

<file path=xl/sharedStrings.xml><?xml version="1.0" encoding="utf-8"?>
<sst xmlns="http://schemas.openxmlformats.org/spreadsheetml/2006/main" count="297" uniqueCount="166">
  <si>
    <t>Valencia</t>
  </si>
  <si>
    <t>Real Madrid</t>
  </si>
  <si>
    <t>Equipo</t>
  </si>
  <si>
    <t>PG</t>
  </si>
  <si>
    <t>PE</t>
  </si>
  <si>
    <t>PP</t>
  </si>
  <si>
    <t>F. C. Barcelona</t>
  </si>
  <si>
    <t>Athletic Club</t>
  </si>
  <si>
    <t>Real Zaragoza</t>
  </si>
  <si>
    <t>Atlético de Madrid</t>
  </si>
  <si>
    <t>Sevilla</t>
  </si>
  <si>
    <t>Espanyol</t>
  </si>
  <si>
    <t>Real Sociedad</t>
  </si>
  <si>
    <t>a.</t>
  </si>
  <si>
    <t>Defina el tamaño de la muestra:</t>
  </si>
  <si>
    <t>b.</t>
  </si>
  <si>
    <t>c.</t>
  </si>
  <si>
    <t>d.</t>
  </si>
  <si>
    <t>CASO No.1</t>
  </si>
  <si>
    <t>e.</t>
  </si>
  <si>
    <t>¿Cuál es la probabilidad que se gane un partido</t>
  </si>
  <si>
    <t>o</t>
  </si>
  <si>
    <t>C</t>
  </si>
  <si>
    <t>I</t>
  </si>
  <si>
    <t>COORDINADOR</t>
  </si>
  <si>
    <t>N</t>
  </si>
  <si>
    <t>G</t>
  </si>
  <si>
    <t>INTEGRANTE</t>
  </si>
  <si>
    <t>FACULTAD DE INGENIERÍA</t>
  </si>
  <si>
    <t>SECCIÓN</t>
  </si>
  <si>
    <t>CLAVE PARA EL NOMBRE DEL ARCHIVO</t>
  </si>
  <si>
    <t>NÚMERO</t>
  </si>
  <si>
    <t>ACTIVIDAD</t>
  </si>
  <si>
    <t>CARNÉ o GRUPO</t>
  </si>
  <si>
    <t>T</t>
  </si>
  <si>
    <t>1ER</t>
  </si>
  <si>
    <t>INSTRUCCIÓN</t>
  </si>
  <si>
    <t>Grave este archivo en su computadora con el nombre:</t>
  </si>
  <si>
    <t>TAREA</t>
  </si>
  <si>
    <t>EP</t>
  </si>
  <si>
    <t>EXAMEN PARCIAL</t>
  </si>
  <si>
    <t>HT</t>
  </si>
  <si>
    <t>HOJA DE TRABAJO</t>
  </si>
  <si>
    <t>EF</t>
  </si>
  <si>
    <t>EXAMEN FINAL</t>
  </si>
  <si>
    <t>2DA</t>
  </si>
  <si>
    <t xml:space="preserve">por favor no altere el formato de esta hoja, use o instarte las hojas necesarias para realizar </t>
  </si>
  <si>
    <t>las tareas indicadas</t>
  </si>
  <si>
    <t>CASO 1</t>
  </si>
  <si>
    <t>f.</t>
  </si>
  <si>
    <t>g.</t>
  </si>
  <si>
    <t>h.</t>
  </si>
  <si>
    <t>CASO 2</t>
  </si>
  <si>
    <t>C.</t>
  </si>
  <si>
    <t>Balompié</t>
  </si>
  <si>
    <t>¿Cuál es la probabilidad que se empate un partido o</t>
  </si>
  <si>
    <t>lo gane el</t>
  </si>
  <si>
    <t>lo empate el</t>
  </si>
  <si>
    <t>lo pierda el</t>
  </si>
  <si>
    <t>¿Cuál es la probabilidad que se pierda un partido y</t>
  </si>
  <si>
    <t>¿Cuál es la probabilidad que se gane un partido dado que lo gane el</t>
  </si>
  <si>
    <t xml:space="preserve">CASO No. 2                          </t>
  </si>
  <si>
    <t>cual es la probabilidad</t>
  </si>
  <si>
    <t>¿Cuál es la probabilidad que al menos se gane un partido del</t>
  </si>
  <si>
    <t xml:space="preserve">Un grupo de </t>
  </si>
  <si>
    <t xml:space="preserve"> ¿Cuántas maneras diferentes hay de que los compañeros tomen los primero dos lugares?</t>
  </si>
  <si>
    <t>¿Se sabe que los 3 estudiantes que terminan primero suelen ganar el examen,</t>
  </si>
  <si>
    <t>PUNTEO</t>
  </si>
  <si>
    <t>CASO 3</t>
  </si>
  <si>
    <t>COMPAÑEROS</t>
  </si>
  <si>
    <t xml:space="preserve"> ¿Cuántas maneras diferentes hay de que los  compañeros terminen el 2do parcial del curso?</t>
  </si>
  <si>
    <t>de cantas formas se pueden arreglar las formas que los compañeros ganen el examen?</t>
  </si>
  <si>
    <t>VALORACIÓN</t>
  </si>
  <si>
    <t xml:space="preserve">¿Cuál es la probabilidad de que un equipo gane un partido? </t>
  </si>
  <si>
    <t xml:space="preserve">¿Cuál es la probabilidad de que un equipo empate un partido? </t>
  </si>
  <si>
    <t>CASO No.3</t>
  </si>
  <si>
    <t>Coloque sus respuestas en las celdas amarillas, se copiaran automáticamente en la caratula</t>
  </si>
  <si>
    <t>con estos datos determine presentando los datos de forma porcentual con dos decimales:</t>
  </si>
  <si>
    <r>
      <t xml:space="preserve">¿Cuál es la probabilidad que se gane un partido </t>
    </r>
    <r>
      <rPr>
        <b/>
        <sz val="14"/>
        <color rgb="FF434342"/>
        <rFont val="Century Gothic"/>
        <family val="1"/>
      </rPr>
      <t>dado</t>
    </r>
    <r>
      <rPr>
        <sz val="14"/>
        <color rgb="FF434342"/>
        <rFont val="Century Gothic"/>
        <family val="1"/>
      </rPr>
      <t xml:space="preserve"> que lo gane el</t>
    </r>
  </si>
  <si>
    <t>Paris</t>
  </si>
  <si>
    <t>Tottenham</t>
  </si>
  <si>
    <t>Atalanta</t>
  </si>
  <si>
    <t>Liverpool</t>
  </si>
  <si>
    <t>Leipzig</t>
  </si>
  <si>
    <t>Atlético</t>
  </si>
  <si>
    <t>Dortmund</t>
  </si>
  <si>
    <t>Bayern</t>
  </si>
  <si>
    <t>Man. City</t>
  </si>
  <si>
    <t>UNIVERSIDAD RAFAEL LANDIVAR</t>
  </si>
  <si>
    <t>No. Carnet</t>
  </si>
  <si>
    <t>Nombre completo</t>
  </si>
  <si>
    <t>AGUSTIN GABRIEL JULIO ANDRÉS</t>
  </si>
  <si>
    <t>ARCHILA GÓMEZ ADRIANA ISABEL</t>
  </si>
  <si>
    <t>BECH FURLÁN KARL MARTIN</t>
  </si>
  <si>
    <t>BENDAÑA ENRIQUEZ GUILLERMO JOSE</t>
  </si>
  <si>
    <t>CACERES TAYUN FRANCIS ANDREA</t>
  </si>
  <si>
    <t>CALEL IXCOTOY DIEGO MARTÍN</t>
  </si>
  <si>
    <t>CISNEROS GARCIA LUIS EDUARDO</t>
  </si>
  <si>
    <t>CONTRERAS PINEDA ERICK</t>
  </si>
  <si>
    <t>ELÍAS COBAR DANIEL ALEJANDRO</t>
  </si>
  <si>
    <t>GIL COTO ALEJANDRO RENÉ</t>
  </si>
  <si>
    <t>GONZÁLEZ SERRANO SANTIAGO DAVID</t>
  </si>
  <si>
    <t>HERNÁNDEZ SAGASTUME STEFANIE JOHANNA</t>
  </si>
  <si>
    <t>HERRERA FLORES FERNANDO JOSUE</t>
  </si>
  <si>
    <t>IZQUIERDO ECHEVERRIA JOB BENJAMIN</t>
  </si>
  <si>
    <t>MANCILLA ALCÁZAR JORGE JAVIER</t>
  </si>
  <si>
    <t>MARTÍNEZ TOBAR KRISTHA ALEXANDRA</t>
  </si>
  <si>
    <t>MÉRIDA LOY ANA PAOLA</t>
  </si>
  <si>
    <t>MORATAYA JUAREZ ANDREA XIMENA</t>
  </si>
  <si>
    <t>MUÑOZ LEMUS JOSE ADRIAN</t>
  </si>
  <si>
    <t>NATARENO GIRÓN DIEGO ENRIQUE</t>
  </si>
  <si>
    <t>ORTIGOZA MAYÉN HELLEN MAYELY</t>
  </si>
  <si>
    <t>PACHECO MÉNDEZ JUAN DIEGO</t>
  </si>
  <si>
    <t>PADILLA GIRÓN JOSUE DANIEL</t>
  </si>
  <si>
    <t>PARADA ESTRADA ANDRÉS FERNANDO</t>
  </si>
  <si>
    <t>PAZ ESTRADA MADELYN JIMENA</t>
  </si>
  <si>
    <t>PÉREZ LÓPEZ MIGUEL ANGEL</t>
  </si>
  <si>
    <t>PÉREZ PÉREZ LUIS ALEJANDRO</t>
  </si>
  <si>
    <t>PINTO MORENO JOSÉ RODRIGO</t>
  </si>
  <si>
    <t>PRIEGO RIVERA DENIER NOEMI</t>
  </si>
  <si>
    <t>RAMIREZ ALEGRIA DIEGO ANDRES</t>
  </si>
  <si>
    <t>ROMERO RAMIREZ YOSUA BRANDON JOSE</t>
  </si>
  <si>
    <t>ROSADO CORDERO MARÍA DEL MAR</t>
  </si>
  <si>
    <t>SALAZAR ZEA DIEGO ALEJANDRO</t>
  </si>
  <si>
    <t>SALGUERO WOC MIGUEL EMILIO</t>
  </si>
  <si>
    <t>SANTIZO GARCÍA LUIS ANDRÉS</t>
  </si>
  <si>
    <t>SOLÍS RIVAS MARÍA JOSÉ</t>
  </si>
  <si>
    <t>SOLÓRZANO SALAZAR MARÍA FERNANDA</t>
  </si>
  <si>
    <t>VELÁSQUEZ HERNÁNDEZ DANIEL ALFONSO</t>
  </si>
  <si>
    <t>VIDAL PAIZ ESTUARDO JOSÉ</t>
  </si>
  <si>
    <t>No.</t>
  </si>
  <si>
    <t>Tabla No.1</t>
  </si>
  <si>
    <t>TIPO DE TRAFICO</t>
  </si>
  <si>
    <t>ORIGEN</t>
  </si>
  <si>
    <t>FRECUENCIA</t>
  </si>
  <si>
    <t>EQUIPAJE</t>
  </si>
  <si>
    <t>CARGA</t>
  </si>
  <si>
    <t>PASAJEROS</t>
  </si>
  <si>
    <t>¿Cómo estima en su aeropuerto el trafico de</t>
  </si>
  <si>
    <t xml:space="preserve">y que procede desde </t>
  </si>
  <si>
    <t>considerando todos los países de origen</t>
  </si>
  <si>
    <t>¿Si aduna selecciona al azar una muestra de</t>
  </si>
  <si>
    <t>que el país de origen sea</t>
  </si>
  <si>
    <t>MIAMI</t>
  </si>
  <si>
    <t>ATLANTA</t>
  </si>
  <si>
    <t>BRASIL</t>
  </si>
  <si>
    <t>COLOMBIA</t>
  </si>
  <si>
    <t>Valencia FC</t>
  </si>
  <si>
    <t xml:space="preserve">NOTA </t>
  </si>
  <si>
    <t>NOMBRE</t>
  </si>
  <si>
    <t>NO ALTERE LOS DATOS EN LAS CELDAS VERDES</t>
  </si>
  <si>
    <t>posiciones que tendran al terminar el curso, la nota mas alta tendrá el primer lugar</t>
  </si>
  <si>
    <t xml:space="preserve">compañeros forma un grupo de estudio para el curso de Estadística y quieren analizar las </t>
  </si>
  <si>
    <t>Al aeropuerto de Panamá llegar vuelos procedentes de cuatro países  del mundo, se ha convertido en un hub para hacer trasbordos de pasajeros, equipajes y carga comercial que debe continuar su viaje hasta su destino final.
Usted es el encargado de trafico y tiene información para calcular el comportamiento histórico de su aeropuerto, el cual se resume en la tabla No. 1, con esta información determine: (use %s con dos decimales)</t>
  </si>
  <si>
    <t>En la presente hoja encontrara los datos históricos de resultados de equipos de fútbol</t>
  </si>
  <si>
    <r>
      <rPr>
        <b/>
        <sz val="14"/>
        <color rgb="FF434342"/>
        <rFont val="Century Gothic"/>
        <family val="1"/>
      </rPr>
      <t>PG</t>
    </r>
    <r>
      <rPr>
        <sz val="14"/>
        <color rgb="FF434342"/>
        <rFont val="Century Gothic"/>
        <family val="1"/>
      </rPr>
      <t xml:space="preserve">= Partidos Ganados, </t>
    </r>
    <r>
      <rPr>
        <b/>
        <sz val="14"/>
        <color rgb="FF434342"/>
        <rFont val="Century Gothic"/>
        <family val="1"/>
      </rPr>
      <t>PE</t>
    </r>
    <r>
      <rPr>
        <sz val="14"/>
        <color rgb="FF434342"/>
        <rFont val="Century Gothic"/>
        <family val="1"/>
      </rPr>
      <t xml:space="preserve">=Partidos Empatados, </t>
    </r>
    <r>
      <rPr>
        <b/>
        <sz val="14"/>
        <color rgb="FF434342"/>
        <rFont val="Century Gothic"/>
        <family val="1"/>
      </rPr>
      <t>PP</t>
    </r>
    <r>
      <rPr>
        <sz val="14"/>
        <color rgb="FF434342"/>
        <rFont val="Century Gothic"/>
        <family val="1"/>
      </rPr>
      <t>= Partidos Perdidos</t>
    </r>
  </si>
  <si>
    <t>ESTADÍSTICA 1</t>
  </si>
  <si>
    <t>Roberto Carlos Gómez Donis</t>
  </si>
  <si>
    <t>PG %</t>
  </si>
  <si>
    <t>PE %</t>
  </si>
  <si>
    <t>PP %</t>
  </si>
  <si>
    <t>Probabilidad de que gane</t>
  </si>
  <si>
    <t>Probabilidad Empate</t>
  </si>
  <si>
    <t>Probabilidad y pierda</t>
  </si>
  <si>
    <t>Dado</t>
  </si>
  <si>
    <t>AL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</si>
</sst>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%"/>
    <numFmt numFmtId="166" formatCode="0.000%"/>
    <numFmt numFmtId="167" formatCode="_-* #,##0_-;\-* #,##0_-;_-* &quot;-&quot;??_-;_-@_-"/>
    <numFmt numFmtId="168" formatCode="0.00000%"/>
    <numFmt numFmtId="169" formatCode="0.0000%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.8"/>
      <color theme="1"/>
      <name val="Calibri"/>
      <family val="2"/>
      <scheme val="minor"/>
    </font>
    <font>
      <sz val="10.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434342"/>
      <name val="Century Gothic"/>
      <family val="1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entury Gothic"/>
      <family val="1"/>
    </font>
    <font>
      <sz val="14"/>
      <color theme="1"/>
      <name val="Century Gothic"/>
      <family val="1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entury Gothic"/>
      <family val="1"/>
    </font>
    <font>
      <sz val="18"/>
      <color theme="1"/>
      <name val="Century Gothic"/>
      <family val="1"/>
    </font>
    <font>
      <sz val="16"/>
      <name val="Century Gothic"/>
      <family val="1"/>
    </font>
    <font>
      <b/>
      <sz val="1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entury Gothic"/>
      <family val="1"/>
    </font>
    <font>
      <sz val="24"/>
      <color theme="0"/>
      <name val="Calibri"/>
      <family val="2"/>
      <scheme val="minor"/>
    </font>
    <font>
      <b/>
      <sz val="14"/>
      <color rgb="FF434342"/>
      <name val="Century Gothic"/>
      <family val="1"/>
    </font>
    <font>
      <b/>
      <sz val="18"/>
      <color rgb="FF434342"/>
      <name val="Century Gothic"/>
      <family val="1"/>
    </font>
    <font>
      <sz val="11"/>
      <color rgb="FF555555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157">
    <xf numFmtId="0" fontId="0" fillId="0" borderId="0" xfId="0"/>
    <xf numFmtId="0" fontId="12" fillId="0" borderId="0" xfId="0" applyFont="1"/>
    <xf numFmtId="0" fontId="0" fillId="0" borderId="0" xfId="0" applyAlignment="1">
      <alignment horizontal="right"/>
    </xf>
    <xf numFmtId="10" fontId="0" fillId="0" borderId="0" xfId="2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13" fillId="0" borderId="0" xfId="0" applyFont="1"/>
    <xf numFmtId="0" fontId="14" fillId="0" borderId="0" xfId="0" applyFont="1"/>
    <xf numFmtId="0" fontId="13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5" borderId="2" xfId="0" applyFill="1" applyBorder="1"/>
    <xf numFmtId="0" fontId="10" fillId="3" borderId="2" xfId="0" applyFont="1" applyFill="1" applyBorder="1" applyAlignment="1">
      <alignment horizontal="center"/>
    </xf>
    <xf numFmtId="0" fontId="15" fillId="3" borderId="2" xfId="0" applyFont="1" applyFill="1" applyBorder="1"/>
    <xf numFmtId="0" fontId="0" fillId="3" borderId="2" xfId="0" applyFill="1" applyBorder="1" applyAlignment="1">
      <alignment horizontal="right"/>
    </xf>
    <xf numFmtId="0" fontId="0" fillId="3" borderId="2" xfId="0" applyFill="1" applyBorder="1"/>
    <xf numFmtId="0" fontId="16" fillId="4" borderId="2" xfId="0" applyFont="1" applyFill="1" applyBorder="1" applyAlignment="1">
      <alignment horizontal="center" vertical="center"/>
    </xf>
    <xf numFmtId="0" fontId="17" fillId="0" borderId="0" xfId="5" applyFont="1" applyAlignment="1">
      <alignment horizontal="right"/>
    </xf>
    <xf numFmtId="0" fontId="11" fillId="0" borderId="0" xfId="5"/>
    <xf numFmtId="0" fontId="18" fillId="0" borderId="0" xfId="5" applyFont="1" applyAlignment="1">
      <alignment horizontal="center" wrapText="1"/>
    </xf>
    <xf numFmtId="0" fontId="12" fillId="0" borderId="0" xfId="0" applyFont="1" applyAlignment="1">
      <alignment horizontal="center"/>
    </xf>
    <xf numFmtId="10" fontId="0" fillId="0" borderId="0" xfId="0" applyNumberFormat="1"/>
    <xf numFmtId="10" fontId="0" fillId="0" borderId="0" xfId="2" applyNumberFormat="1" applyFont="1" applyAlignment="1">
      <alignment horizontal="center" vertical="center"/>
    </xf>
    <xf numFmtId="0" fontId="19" fillId="0" borderId="0" xfId="5" applyFont="1" applyAlignment="1">
      <alignment vertical="center" wrapText="1"/>
    </xf>
    <xf numFmtId="0" fontId="11" fillId="0" borderId="0" xfId="5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2" borderId="2" xfId="4" applyFont="1" applyFill="1" applyBorder="1" applyAlignment="1">
      <alignment horizontal="left" wrapText="1"/>
    </xf>
    <xf numFmtId="0" fontId="8" fillId="0" borderId="2" xfId="0" applyFont="1" applyBorder="1" applyAlignment="1">
      <alignment horizontal="center" vertical="center"/>
    </xf>
    <xf numFmtId="0" fontId="4" fillId="2" borderId="2" xfId="4" applyFont="1" applyFill="1" applyBorder="1" applyAlignment="1">
      <alignment horizontal="left"/>
    </xf>
    <xf numFmtId="0" fontId="9" fillId="0" borderId="0" xfId="0" applyFont="1"/>
    <xf numFmtId="0" fontId="21" fillId="0" borderId="0" xfId="0" applyFont="1"/>
    <xf numFmtId="0" fontId="2" fillId="0" borderId="0" xfId="3" applyBorder="1" applyAlignment="1">
      <alignment vertical="center"/>
    </xf>
    <xf numFmtId="0" fontId="22" fillId="0" borderId="0" xfId="3" applyFont="1" applyBorder="1" applyAlignment="1">
      <alignment vertical="center"/>
    </xf>
    <xf numFmtId="9" fontId="11" fillId="0" borderId="0" xfId="2" applyFont="1"/>
    <xf numFmtId="0" fontId="11" fillId="0" borderId="0" xfId="5" applyFill="1"/>
    <xf numFmtId="0" fontId="18" fillId="0" borderId="0" xfId="5" applyFont="1" applyAlignment="1">
      <alignment wrapText="1"/>
    </xf>
    <xf numFmtId="0" fontId="25" fillId="0" borderId="0" xfId="0" applyFont="1" applyAlignment="1">
      <alignment horizontal="left" vertical="center" readingOrder="1"/>
    </xf>
    <xf numFmtId="0" fontId="12" fillId="0" borderId="5" xfId="0" applyFont="1" applyBorder="1"/>
    <xf numFmtId="0" fontId="12" fillId="0" borderId="6" xfId="0" applyFont="1" applyBorder="1"/>
    <xf numFmtId="0" fontId="0" fillId="0" borderId="6" xfId="0" applyBorder="1"/>
    <xf numFmtId="0" fontId="0" fillId="0" borderId="7" xfId="0" applyBorder="1"/>
    <xf numFmtId="0" fontId="12" fillId="0" borderId="8" xfId="0" applyFont="1" applyBorder="1"/>
    <xf numFmtId="0" fontId="12" fillId="0" borderId="0" xfId="0" applyFont="1" applyBorder="1"/>
    <xf numFmtId="0" fontId="0" fillId="0" borderId="0" xfId="0" applyBorder="1"/>
    <xf numFmtId="0" fontId="0" fillId="0" borderId="9" xfId="0" applyBorder="1"/>
    <xf numFmtId="0" fontId="6" fillId="0" borderId="10" xfId="4" applyBorder="1"/>
    <xf numFmtId="0" fontId="0" fillId="0" borderId="11" xfId="0" applyBorder="1"/>
    <xf numFmtId="0" fontId="0" fillId="0" borderId="12" xfId="0" applyBorder="1"/>
    <xf numFmtId="166" fontId="11" fillId="0" borderId="0" xfId="5" applyNumberFormat="1"/>
    <xf numFmtId="9" fontId="11" fillId="0" borderId="0" xfId="2" applyFont="1" applyBorder="1" applyAlignment="1">
      <alignment horizontal="center" vertical="center"/>
    </xf>
    <xf numFmtId="167" fontId="10" fillId="9" borderId="0" xfId="1" applyNumberFormat="1" applyFont="1" applyFill="1"/>
    <xf numFmtId="10" fontId="10" fillId="9" borderId="0" xfId="2" applyNumberFormat="1" applyFont="1" applyFill="1"/>
    <xf numFmtId="0" fontId="27" fillId="0" borderId="0" xfId="0" applyFont="1"/>
    <xf numFmtId="0" fontId="24" fillId="0" borderId="0" xfId="0" applyFont="1"/>
    <xf numFmtId="0" fontId="28" fillId="0" borderId="0" xfId="0" applyFont="1"/>
    <xf numFmtId="0" fontId="0" fillId="9" borderId="0" xfId="0" applyFill="1"/>
    <xf numFmtId="0" fontId="29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9" fillId="0" borderId="0" xfId="5" applyFont="1"/>
    <xf numFmtId="0" fontId="12" fillId="0" borderId="0" xfId="0" applyFont="1" applyAlignment="1"/>
    <xf numFmtId="0" fontId="21" fillId="9" borderId="0" xfId="0" applyFont="1" applyFill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right"/>
    </xf>
    <xf numFmtId="0" fontId="10" fillId="9" borderId="0" xfId="0" applyFont="1" applyFill="1"/>
    <xf numFmtId="0" fontId="10" fillId="8" borderId="0" xfId="0" applyFont="1" applyFill="1"/>
    <xf numFmtId="10" fontId="13" fillId="8" borderId="0" xfId="0" applyNumberFormat="1" applyFont="1" applyFill="1"/>
    <xf numFmtId="0" fontId="13" fillId="8" borderId="0" xfId="0" applyFont="1" applyFill="1"/>
    <xf numFmtId="0" fontId="10" fillId="9" borderId="0" xfId="0" applyFont="1" applyFill="1" applyBorder="1" applyAlignment="1">
      <alignment horizontal="left" vertical="center"/>
    </xf>
    <xf numFmtId="0" fontId="11" fillId="9" borderId="0" xfId="5" applyFill="1"/>
    <xf numFmtId="0" fontId="31" fillId="0" borderId="0" xfId="0" applyFont="1"/>
    <xf numFmtId="0" fontId="20" fillId="0" borderId="0" xfId="5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5" fillId="6" borderId="0" xfId="0" applyFont="1" applyFill="1"/>
    <xf numFmtId="0" fontId="32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4" fillId="7" borderId="2" xfId="4" applyFont="1" applyFill="1" applyBorder="1" applyAlignment="1">
      <alignment horizontal="left" wrapText="1"/>
    </xf>
    <xf numFmtId="0" fontId="8" fillId="7" borderId="2" xfId="0" applyFont="1" applyFill="1" applyBorder="1" applyAlignment="1">
      <alignment horizontal="center" vertical="center"/>
    </xf>
    <xf numFmtId="0" fontId="23" fillId="0" borderId="0" xfId="5" applyFont="1" applyAlignment="1">
      <alignment horizontal="center" vertical="center" wrapText="1"/>
    </xf>
    <xf numFmtId="0" fontId="34" fillId="0" borderId="0" xfId="5" applyFont="1"/>
    <xf numFmtId="0" fontId="11" fillId="11" borderId="25" xfId="5" applyFill="1" applyBorder="1" applyAlignment="1">
      <alignment horizontal="center" vertical="center"/>
    </xf>
    <xf numFmtId="0" fontId="10" fillId="9" borderId="0" xfId="0" applyFont="1" applyFill="1" applyAlignment="1">
      <alignment horizontal="left" vertical="center"/>
    </xf>
    <xf numFmtId="0" fontId="17" fillId="11" borderId="27" xfId="5" applyFont="1" applyFill="1" applyBorder="1"/>
    <xf numFmtId="9" fontId="11" fillId="0" borderId="25" xfId="2" applyFont="1" applyBorder="1" applyAlignment="1">
      <alignment horizontal="center" vertical="center"/>
    </xf>
    <xf numFmtId="9" fontId="11" fillId="0" borderId="29" xfId="2" applyFont="1" applyBorder="1" applyAlignment="1">
      <alignment horizontal="center" vertical="center"/>
    </xf>
    <xf numFmtId="168" fontId="11" fillId="0" borderId="0" xfId="5" applyNumberFormat="1"/>
    <xf numFmtId="0" fontId="11" fillId="0" borderId="4" xfId="5" applyBorder="1" applyAlignment="1">
      <alignment horizontal="center" vertical="center"/>
    </xf>
    <xf numFmtId="0" fontId="17" fillId="11" borderId="2" xfId="5" applyFont="1" applyFill="1" applyBorder="1"/>
    <xf numFmtId="165" fontId="0" fillId="0" borderId="0" xfId="2" applyNumberFormat="1" applyFont="1"/>
    <xf numFmtId="165" fontId="11" fillId="0" borderId="2" xfId="2" applyNumberFormat="1" applyFont="1" applyBorder="1" applyAlignment="1">
      <alignment horizontal="center" vertical="center"/>
    </xf>
    <xf numFmtId="0" fontId="11" fillId="11" borderId="2" xfId="5" applyFill="1" applyBorder="1"/>
    <xf numFmtId="165" fontId="4" fillId="0" borderId="0" xfId="2" applyNumberFormat="1" applyFont="1" applyAlignment="1">
      <alignment horizontal="center" vertical="center"/>
    </xf>
    <xf numFmtId="9" fontId="0" fillId="0" borderId="0" xfId="0" applyNumberFormat="1"/>
    <xf numFmtId="165" fontId="0" fillId="0" borderId="0" xfId="0" applyNumberFormat="1"/>
    <xf numFmtId="0" fontId="13" fillId="3" borderId="3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0" fontId="11" fillId="3" borderId="25" xfId="2" applyNumberFormat="1" applyFont="1" applyFill="1" applyBorder="1" applyAlignment="1">
      <alignment horizontal="center" vertical="center"/>
    </xf>
    <xf numFmtId="10" fontId="11" fillId="3" borderId="2" xfId="2" applyNumberFormat="1" applyFont="1" applyFill="1" applyBorder="1" applyAlignment="1">
      <alignment horizontal="center" vertical="center"/>
    </xf>
    <xf numFmtId="10" fontId="11" fillId="3" borderId="26" xfId="2" applyNumberFormat="1" applyFont="1" applyFill="1" applyBorder="1" applyAlignment="1">
      <alignment horizontal="center" vertical="center"/>
    </xf>
    <xf numFmtId="0" fontId="17" fillId="11" borderId="25" xfId="5" applyFont="1" applyFill="1" applyBorder="1"/>
    <xf numFmtId="0" fontId="17" fillId="11" borderId="29" xfId="5" applyFont="1" applyFill="1" applyBorder="1"/>
    <xf numFmtId="0" fontId="11" fillId="10" borderId="35" xfId="5" applyFill="1" applyBorder="1"/>
    <xf numFmtId="0" fontId="11" fillId="10" borderId="36" xfId="5" applyFill="1" applyBorder="1" applyAlignment="1">
      <alignment horizontal="center" vertical="center"/>
    </xf>
    <xf numFmtId="10" fontId="11" fillId="3" borderId="34" xfId="2" applyNumberFormat="1" applyFont="1" applyFill="1" applyBorder="1" applyAlignment="1">
      <alignment horizontal="center" vertical="center"/>
    </xf>
    <xf numFmtId="0" fontId="11" fillId="11" borderId="29" xfId="5" applyFill="1" applyBorder="1" applyAlignment="1">
      <alignment horizontal="center" vertical="center"/>
    </xf>
    <xf numFmtId="0" fontId="11" fillId="11" borderId="30" xfId="5" applyFill="1" applyBorder="1" applyAlignment="1">
      <alignment horizontal="center" vertical="center"/>
    </xf>
    <xf numFmtId="0" fontId="11" fillId="11" borderId="28" xfId="5" applyFill="1" applyBorder="1" applyAlignment="1">
      <alignment horizontal="center" vertical="center"/>
    </xf>
    <xf numFmtId="10" fontId="11" fillId="3" borderId="32" xfId="2" applyNumberFormat="1" applyFont="1" applyFill="1" applyBorder="1" applyAlignment="1">
      <alignment horizontal="center" vertical="center"/>
    </xf>
    <xf numFmtId="10" fontId="11" fillId="3" borderId="37" xfId="2" applyNumberFormat="1" applyFont="1" applyFill="1" applyBorder="1" applyAlignment="1">
      <alignment horizontal="center" vertical="center"/>
    </xf>
    <xf numFmtId="10" fontId="11" fillId="3" borderId="33" xfId="2" applyNumberFormat="1" applyFont="1" applyFill="1" applyBorder="1" applyAlignment="1">
      <alignment horizontal="center" vertical="center"/>
    </xf>
    <xf numFmtId="10" fontId="11" fillId="3" borderId="29" xfId="2" applyNumberFormat="1" applyFont="1" applyFill="1" applyBorder="1" applyAlignment="1">
      <alignment horizontal="center" vertical="center"/>
    </xf>
    <xf numFmtId="10" fontId="11" fillId="3" borderId="30" xfId="2" applyNumberFormat="1" applyFont="1" applyFill="1" applyBorder="1" applyAlignment="1">
      <alignment horizontal="center" vertical="center"/>
    </xf>
    <xf numFmtId="10" fontId="11" fillId="3" borderId="28" xfId="2" applyNumberFormat="1" applyFont="1" applyFill="1" applyBorder="1" applyAlignment="1">
      <alignment horizontal="center" vertical="center"/>
    </xf>
    <xf numFmtId="0" fontId="0" fillId="3" borderId="0" xfId="0" applyFill="1"/>
    <xf numFmtId="0" fontId="11" fillId="3" borderId="0" xfId="5" applyFill="1"/>
    <xf numFmtId="0" fontId="24" fillId="0" borderId="5" xfId="0" applyFont="1" applyBorder="1"/>
    <xf numFmtId="0" fontId="23" fillId="0" borderId="6" xfId="0" applyFont="1" applyFill="1" applyBorder="1"/>
    <xf numFmtId="0" fontId="24" fillId="0" borderId="6" xfId="0" applyFont="1" applyBorder="1"/>
    <xf numFmtId="0" fontId="0" fillId="0" borderId="6" xfId="0" applyBorder="1" applyAlignment="1">
      <alignment horizontal="center"/>
    </xf>
    <xf numFmtId="0" fontId="24" fillId="0" borderId="10" xfId="0" applyFont="1" applyBorder="1"/>
    <xf numFmtId="0" fontId="23" fillId="0" borderId="11" xfId="0" applyFont="1" applyFill="1" applyBorder="1"/>
    <xf numFmtId="0" fontId="24" fillId="0" borderId="11" xfId="0" applyFont="1" applyBorder="1"/>
    <xf numFmtId="0" fontId="0" fillId="0" borderId="11" xfId="0" applyBorder="1" applyAlignment="1">
      <alignment horizontal="center"/>
    </xf>
    <xf numFmtId="0" fontId="3" fillId="12" borderId="0" xfId="0" applyFont="1" applyFill="1"/>
    <xf numFmtId="0" fontId="26" fillId="12" borderId="0" xfId="3" applyFont="1" applyFill="1" applyBorder="1" applyAlignment="1">
      <alignment vertical="center"/>
    </xf>
    <xf numFmtId="0" fontId="11" fillId="0" borderId="0" xfId="5" applyNumberFormat="1"/>
    <xf numFmtId="0" fontId="18" fillId="12" borderId="0" xfId="5" applyFont="1" applyFill="1" applyAlignment="1">
      <alignment wrapText="1"/>
    </xf>
    <xf numFmtId="0" fontId="0" fillId="0" borderId="0" xfId="0" applyAlignment="1">
      <alignment wrapText="1"/>
    </xf>
    <xf numFmtId="2" fontId="10" fillId="9" borderId="0" xfId="0" applyNumberFormat="1" applyFont="1" applyFill="1"/>
    <xf numFmtId="2" fontId="10" fillId="9" borderId="0" xfId="2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0" borderId="0" xfId="0" applyNumberFormat="1"/>
    <xf numFmtId="2" fontId="21" fillId="9" borderId="0" xfId="5" applyNumberFormat="1" applyFont="1" applyFill="1"/>
    <xf numFmtId="0" fontId="35" fillId="3" borderId="3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 wrapText="1"/>
    </xf>
    <xf numFmtId="0" fontId="18" fillId="0" borderId="0" xfId="5" applyFont="1" applyAlignment="1">
      <alignment horizontal="left" wrapText="1"/>
    </xf>
    <xf numFmtId="0" fontId="12" fillId="0" borderId="0" xfId="0" applyFont="1" applyAlignment="1">
      <alignment horizontal="left"/>
    </xf>
    <xf numFmtId="0" fontId="20" fillId="0" borderId="0" xfId="5" applyFont="1" applyAlignment="1">
      <alignment horizontal="center" vertical="center"/>
    </xf>
    <xf numFmtId="0" fontId="23" fillId="0" borderId="13" xfId="5" applyFont="1" applyBorder="1" applyAlignment="1">
      <alignment horizontal="center" vertical="center" wrapText="1"/>
    </xf>
    <xf numFmtId="0" fontId="23" fillId="0" borderId="14" xfId="5" applyFont="1" applyBorder="1" applyAlignment="1">
      <alignment horizontal="center" vertical="center" wrapText="1"/>
    </xf>
    <xf numFmtId="0" fontId="23" fillId="0" borderId="15" xfId="5" applyFont="1" applyBorder="1" applyAlignment="1">
      <alignment horizontal="center" vertical="center" wrapText="1"/>
    </xf>
    <xf numFmtId="0" fontId="23" fillId="0" borderId="16" xfId="5" applyFont="1" applyBorder="1" applyAlignment="1">
      <alignment horizontal="center" vertical="center" wrapText="1"/>
    </xf>
    <xf numFmtId="0" fontId="23" fillId="0" borderId="0" xfId="5" applyFont="1" applyAlignment="1">
      <alignment horizontal="center" vertical="center" wrapText="1"/>
    </xf>
    <xf numFmtId="0" fontId="23" fillId="0" borderId="17" xfId="5" applyFont="1" applyBorder="1" applyAlignment="1">
      <alignment horizontal="center" vertical="center" wrapText="1"/>
    </xf>
    <xf numFmtId="0" fontId="23" fillId="0" borderId="18" xfId="5" applyFont="1" applyBorder="1" applyAlignment="1">
      <alignment horizontal="center" vertical="center" wrapText="1"/>
    </xf>
    <xf numFmtId="0" fontId="23" fillId="0" borderId="19" xfId="5" applyFont="1" applyBorder="1" applyAlignment="1">
      <alignment horizontal="center" vertical="center" wrapText="1"/>
    </xf>
    <xf numFmtId="0" fontId="23" fillId="0" borderId="20" xfId="5" applyFont="1" applyBorder="1" applyAlignment="1">
      <alignment horizontal="center" vertical="center" wrapText="1"/>
    </xf>
    <xf numFmtId="0" fontId="11" fillId="10" borderId="22" xfId="5" applyFill="1" applyBorder="1" applyAlignment="1">
      <alignment horizontal="center"/>
    </xf>
    <xf numFmtId="0" fontId="11" fillId="10" borderId="23" xfId="5" applyFill="1" applyBorder="1" applyAlignment="1">
      <alignment horizontal="center"/>
    </xf>
    <xf numFmtId="0" fontId="11" fillId="10" borderId="24" xfId="5" applyFill="1" applyBorder="1" applyAlignment="1">
      <alignment horizontal="center"/>
    </xf>
    <xf numFmtId="0" fontId="18" fillId="0" borderId="0" xfId="5" applyFont="1" applyAlignment="1">
      <alignment horizontal="center" wrapText="1"/>
    </xf>
    <xf numFmtId="0" fontId="18" fillId="12" borderId="0" xfId="5" applyFont="1" applyFill="1" applyAlignment="1">
      <alignment horizontal="center" wrapText="1"/>
    </xf>
  </cellXfs>
  <cellStyles count="7">
    <cellStyle name="Encabezado 1" xfId="3" builtinId="16"/>
    <cellStyle name="Hipervínculo" xfId="4" builtinId="8"/>
    <cellStyle name="Millares" xfId="1" builtinId="3"/>
    <cellStyle name="Normal" xfId="0" builtinId="0"/>
    <cellStyle name="Normal 2" xfId="5" xr:uid="{072A6B9B-EC0A-AD49-B6A4-4087447AE338}"/>
    <cellStyle name="Porcentaje" xfId="2" builtinId="5"/>
    <cellStyle name="Porcentaje 2" xfId="6" xr:uid="{B4A81CA9-7F9F-654B-9938-B71F04FDA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0</xdr:rowOff>
    </xdr:from>
    <xdr:to>
      <xdr:col>12</xdr:col>
      <xdr:colOff>33867</xdr:colOff>
      <xdr:row>40</xdr:row>
      <xdr:rowOff>45460</xdr:rowOff>
    </xdr:to>
    <xdr:pic>
      <xdr:nvPicPr>
        <xdr:cNvPr id="2" name="Imagen 1" descr="21 Versículos de la Biblia sobre el Sacrificio - DailyVerses.net">
          <a:extLst>
            <a:ext uri="{FF2B5EF4-FFF2-40B4-BE49-F238E27FC236}">
              <a16:creationId xmlns:a16="http://schemas.microsoft.com/office/drawing/2014/main" id="{D36665DF-6CE3-F44E-9F53-FA5259E85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44800" y="5113867"/>
          <a:ext cx="7501467" cy="390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ardorivera\Library\Mobile%20Documents\com~apple~CloudDocs\Estadistica%20USAC\Examenes\DIC%202020\2do%20PARCIAL\Claves\2EPICcarne&#769;%20CLA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AFF1-DDF3-F54C-A037-698A8877807F}">
  <sheetPr codeName="Hoja1"/>
  <dimension ref="A1:X45"/>
  <sheetViews>
    <sheetView showGridLines="0" tabSelected="1" topLeftCell="A28" zoomScale="85" zoomScaleNormal="85" workbookViewId="0">
      <selection activeCell="K45" sqref="K45"/>
    </sheetView>
  </sheetViews>
  <sheetFormatPr baseColWidth="10" defaultRowHeight="15.6" x14ac:dyDescent="0.3"/>
  <cols>
    <col min="2" max="2" width="12.796875" customWidth="1"/>
    <col min="3" max="4" width="19.5" bestFit="1" customWidth="1"/>
    <col min="5" max="5" width="20.5" customWidth="1"/>
    <col min="6" max="6" width="22.796875" customWidth="1"/>
    <col min="7" max="7" width="25.796875" bestFit="1" customWidth="1"/>
    <col min="8" max="8" width="16.5" bestFit="1" customWidth="1"/>
    <col min="14" max="14" width="12.19921875" bestFit="1" customWidth="1"/>
  </cols>
  <sheetData>
    <row r="1" spans="1:24" x14ac:dyDescent="0.3">
      <c r="G1" s="126">
        <f>MID(F10,7,1)*1</f>
        <v>5</v>
      </c>
      <c r="T1" s="5" t="s">
        <v>22</v>
      </c>
      <c r="U1" s="5" t="s">
        <v>23</v>
      </c>
      <c r="V1" s="5">
        <v>1</v>
      </c>
      <c r="W1" s="5" t="s">
        <v>24</v>
      </c>
      <c r="X1" s="5"/>
    </row>
    <row r="2" spans="1:24" s="6" customFormat="1" ht="21" x14ac:dyDescent="0.4">
      <c r="B2" s="6" t="s">
        <v>88</v>
      </c>
      <c r="T2" s="7" t="s">
        <v>25</v>
      </c>
      <c r="U2" s="7" t="s">
        <v>26</v>
      </c>
      <c r="V2" s="7">
        <v>2</v>
      </c>
      <c r="W2" s="7" t="s">
        <v>27</v>
      </c>
      <c r="X2" s="7"/>
    </row>
    <row r="3" spans="1:24" s="6" customFormat="1" ht="21" x14ac:dyDescent="0.4">
      <c r="B3" s="6" t="s">
        <v>28</v>
      </c>
      <c r="T3" s="7"/>
      <c r="U3" s="7"/>
      <c r="V3" s="7">
        <v>3</v>
      </c>
      <c r="W3" s="7"/>
      <c r="X3" s="7"/>
    </row>
    <row r="4" spans="1:24" s="6" customFormat="1" ht="21" x14ac:dyDescent="0.4">
      <c r="B4" s="6" t="s">
        <v>156</v>
      </c>
      <c r="T4" s="7"/>
      <c r="U4" s="7"/>
      <c r="V4" s="7">
        <v>4</v>
      </c>
      <c r="W4" s="7" t="s">
        <v>25</v>
      </c>
      <c r="X4" s="7"/>
    </row>
    <row r="5" spans="1:24" s="6" customFormat="1" ht="21" x14ac:dyDescent="0.4">
      <c r="T5" s="7"/>
      <c r="U5" s="7"/>
      <c r="V5" s="7">
        <v>5</v>
      </c>
      <c r="W5" s="7" t="s">
        <v>22</v>
      </c>
      <c r="X5" s="7"/>
    </row>
    <row r="6" spans="1:24" ht="21" x14ac:dyDescent="0.4">
      <c r="B6" s="30" t="s">
        <v>29</v>
      </c>
      <c r="C6" s="97" t="s">
        <v>22</v>
      </c>
      <c r="L6" t="s">
        <v>148</v>
      </c>
      <c r="W6" s="7"/>
    </row>
    <row r="7" spans="1:24" ht="49.05" customHeight="1" x14ac:dyDescent="0.3">
      <c r="B7" s="9" t="s">
        <v>149</v>
      </c>
      <c r="C7" s="137" t="s">
        <v>157</v>
      </c>
      <c r="D7" s="138"/>
      <c r="E7" s="138"/>
      <c r="F7" s="139"/>
      <c r="L7" s="56">
        <f>SUM(N26:N44)</f>
        <v>100</v>
      </c>
    </row>
    <row r="8" spans="1:24" x14ac:dyDescent="0.3">
      <c r="B8" t="s">
        <v>30</v>
      </c>
    </row>
    <row r="9" spans="1:24" x14ac:dyDescent="0.3">
      <c r="B9" s="10" t="s">
        <v>31</v>
      </c>
      <c r="C9" s="10" t="s">
        <v>32</v>
      </c>
      <c r="D9" s="10"/>
      <c r="E9" s="10"/>
      <c r="F9" s="10" t="s">
        <v>33</v>
      </c>
    </row>
    <row r="10" spans="1:24" ht="21" x14ac:dyDescent="0.35">
      <c r="B10" s="11">
        <v>2</v>
      </c>
      <c r="C10" s="11" t="s">
        <v>39</v>
      </c>
      <c r="D10" s="11"/>
      <c r="E10" s="8"/>
      <c r="F10" s="11">
        <v>202000544</v>
      </c>
    </row>
    <row r="11" spans="1:24" x14ac:dyDescent="0.3">
      <c r="A11" t="s">
        <v>35</v>
      </c>
      <c r="B11" t="s">
        <v>36</v>
      </c>
    </row>
    <row r="12" spans="1:24" ht="23.4" x14ac:dyDescent="0.45">
      <c r="B12" t="s">
        <v>37</v>
      </c>
      <c r="F12" s="12" t="str">
        <f>B10&amp;C10&amp;F10</f>
        <v>2EP202000544</v>
      </c>
    </row>
    <row r="14" spans="1:24" x14ac:dyDescent="0.3">
      <c r="B14" s="13" t="s">
        <v>34</v>
      </c>
      <c r="C14" s="14" t="s">
        <v>38</v>
      </c>
    </row>
    <row r="15" spans="1:24" x14ac:dyDescent="0.3">
      <c r="B15" s="13" t="s">
        <v>39</v>
      </c>
      <c r="C15" s="14" t="s">
        <v>40</v>
      </c>
    </row>
    <row r="16" spans="1:24" x14ac:dyDescent="0.3">
      <c r="B16" s="13" t="s">
        <v>41</v>
      </c>
      <c r="C16" s="14" t="s">
        <v>42</v>
      </c>
    </row>
    <row r="17" spans="1:14" x14ac:dyDescent="0.3">
      <c r="B17" s="13" t="s">
        <v>43</v>
      </c>
      <c r="C17" s="14" t="s">
        <v>44</v>
      </c>
    </row>
    <row r="21" spans="1:14" x14ac:dyDescent="0.3">
      <c r="A21" t="s">
        <v>45</v>
      </c>
      <c r="B21" t="s">
        <v>36</v>
      </c>
    </row>
    <row r="22" spans="1:14" ht="23.4" x14ac:dyDescent="0.45">
      <c r="B22" s="52" t="s">
        <v>46</v>
      </c>
    </row>
    <row r="23" spans="1:14" ht="23.4" x14ac:dyDescent="0.45">
      <c r="B23" s="52" t="s">
        <v>47</v>
      </c>
      <c r="L23" t="s">
        <v>72</v>
      </c>
    </row>
    <row r="24" spans="1:14" x14ac:dyDescent="0.3">
      <c r="L24">
        <f>SUM(L26:L44)</f>
        <v>100</v>
      </c>
    </row>
    <row r="25" spans="1:14" ht="21" x14ac:dyDescent="0.4">
      <c r="A25" s="30" t="s">
        <v>48</v>
      </c>
    </row>
    <row r="26" spans="1:14" ht="18" x14ac:dyDescent="0.35">
      <c r="A26" s="2" t="s">
        <v>13</v>
      </c>
      <c r="B26" s="1" t="s">
        <v>14</v>
      </c>
      <c r="K26" s="50">
        <f>'CASO 1'!P20</f>
        <v>25380</v>
      </c>
      <c r="L26">
        <v>5</v>
      </c>
      <c r="M26" s="64">
        <f>'CASO 1'!P20</f>
        <v>25380</v>
      </c>
      <c r="N26">
        <f>IF(K26=M26,L26,0)</f>
        <v>5</v>
      </c>
    </row>
    <row r="27" spans="1:14" ht="21" x14ac:dyDescent="0.4">
      <c r="A27" s="2" t="s">
        <v>15</v>
      </c>
      <c r="B27" s="1" t="s">
        <v>73</v>
      </c>
      <c r="K27" s="51">
        <f>'CASO 1'!P21</f>
        <v>0.44669030732860521</v>
      </c>
      <c r="L27">
        <v>5</v>
      </c>
      <c r="M27" s="65">
        <f>'CASO 1'!P21</f>
        <v>0.44669030732860521</v>
      </c>
      <c r="N27">
        <f t="shared" ref="N27:N33" si="0">IF(K27=M27,L27,0)</f>
        <v>5</v>
      </c>
    </row>
    <row r="28" spans="1:14" ht="21" x14ac:dyDescent="0.4">
      <c r="A28" s="2" t="s">
        <v>16</v>
      </c>
      <c r="B28" s="1" t="s">
        <v>74</v>
      </c>
      <c r="K28" s="51">
        <f>'CASO 1'!P22</f>
        <v>0.22994483845547675</v>
      </c>
      <c r="L28">
        <v>5</v>
      </c>
      <c r="M28" s="65">
        <f>'CASO 1'!P22</f>
        <v>0.22994483845547675</v>
      </c>
      <c r="N28">
        <f t="shared" si="0"/>
        <v>5</v>
      </c>
    </row>
    <row r="29" spans="1:14" ht="21" x14ac:dyDescent="0.4">
      <c r="A29" s="2" t="s">
        <v>17</v>
      </c>
      <c r="B29" s="1" t="s">
        <v>20</v>
      </c>
      <c r="C29" s="1"/>
      <c r="D29" s="1"/>
      <c r="E29" s="1"/>
      <c r="F29" s="1"/>
      <c r="G29" s="59" t="str">
        <f>'CASO 1'!K23</f>
        <v>Sevilla</v>
      </c>
      <c r="H29" s="59"/>
      <c r="I29" s="1" t="s">
        <v>56</v>
      </c>
      <c r="J29" s="1"/>
      <c r="K29" s="51">
        <f>'CASO 1'!P23</f>
        <v>0.50421591804570531</v>
      </c>
      <c r="L29">
        <v>5</v>
      </c>
      <c r="M29" s="65">
        <f>'CASO 1'!P23</f>
        <v>0.50421591804570531</v>
      </c>
      <c r="N29">
        <f t="shared" si="0"/>
        <v>5</v>
      </c>
    </row>
    <row r="30" spans="1:14" ht="21" x14ac:dyDescent="0.4">
      <c r="A30" s="2" t="s">
        <v>19</v>
      </c>
      <c r="B30" s="1" t="s">
        <v>55</v>
      </c>
      <c r="C30" s="1"/>
      <c r="D30" s="1"/>
      <c r="E30" s="1"/>
      <c r="F30" s="1"/>
      <c r="G30" s="1" t="str">
        <f>G29</f>
        <v>Sevilla</v>
      </c>
      <c r="H30" s="1"/>
      <c r="I30" s="1" t="s">
        <v>57</v>
      </c>
      <c r="J30" s="1"/>
      <c r="K30" s="51">
        <f>'CASO 1'!P24</f>
        <v>0.30630417651694247</v>
      </c>
      <c r="L30">
        <v>5</v>
      </c>
      <c r="M30" s="65">
        <f>'CASO 1'!P24</f>
        <v>0.30630417651694247</v>
      </c>
      <c r="N30">
        <f t="shared" si="0"/>
        <v>5</v>
      </c>
    </row>
    <row r="31" spans="1:14" ht="21" x14ac:dyDescent="0.4">
      <c r="A31" s="2" t="s">
        <v>49</v>
      </c>
      <c r="B31" s="1" t="s">
        <v>59</v>
      </c>
      <c r="C31" s="1"/>
      <c r="D31" s="1"/>
      <c r="E31" s="1"/>
      <c r="F31" s="1"/>
      <c r="G31" s="1" t="str">
        <f t="shared" ref="G31:G33" si="1">G30</f>
        <v>Sevilla</v>
      </c>
      <c r="H31" s="1"/>
      <c r="I31" s="1" t="s">
        <v>58</v>
      </c>
      <c r="J31" s="1"/>
      <c r="K31" s="51">
        <f>'CASO 1'!P25</f>
        <v>3.6012608353033888E-2</v>
      </c>
      <c r="L31">
        <v>5</v>
      </c>
      <c r="M31" s="65">
        <f>'CASO 1'!P25</f>
        <v>3.6012608353033888E-2</v>
      </c>
      <c r="N31">
        <f t="shared" si="0"/>
        <v>5</v>
      </c>
    </row>
    <row r="32" spans="1:14" ht="21" x14ac:dyDescent="0.4">
      <c r="A32" s="2" t="s">
        <v>50</v>
      </c>
      <c r="B32" s="1" t="s">
        <v>60</v>
      </c>
      <c r="C32" s="1"/>
      <c r="D32" s="1"/>
      <c r="E32" s="1"/>
      <c r="F32" s="1"/>
      <c r="G32" s="1" t="str">
        <f t="shared" si="1"/>
        <v>Sevilla</v>
      </c>
      <c r="H32" s="1"/>
      <c r="I32" s="1"/>
      <c r="J32" s="1"/>
      <c r="K32" s="51">
        <f>'CASO 1'!P26</f>
        <v>9.7872340425531917E-2</v>
      </c>
      <c r="L32">
        <v>5</v>
      </c>
      <c r="M32" s="65">
        <f>'CASO 1'!P26</f>
        <v>9.7872340425531917E-2</v>
      </c>
      <c r="N32">
        <f t="shared" si="0"/>
        <v>5</v>
      </c>
    </row>
    <row r="33" spans="1:14" ht="21" x14ac:dyDescent="0.4">
      <c r="A33" s="2" t="s">
        <v>51</v>
      </c>
      <c r="B33" s="1" t="s">
        <v>63</v>
      </c>
      <c r="C33" s="1"/>
      <c r="D33" s="1"/>
      <c r="E33" s="1"/>
      <c r="F33" s="1"/>
      <c r="G33" s="1" t="str">
        <f t="shared" si="1"/>
        <v>Sevilla</v>
      </c>
      <c r="H33" s="1"/>
      <c r="I33" s="1"/>
      <c r="J33" s="1"/>
      <c r="K33" s="51">
        <f>'CASO 1'!P27</f>
        <v>0.41223832528180349</v>
      </c>
      <c r="L33">
        <v>5</v>
      </c>
      <c r="M33" s="65">
        <f>'CASO 1'!P27</f>
        <v>0.41223832528180349</v>
      </c>
      <c r="N33">
        <f t="shared" si="0"/>
        <v>5</v>
      </c>
    </row>
    <row r="35" spans="1:14" ht="21" x14ac:dyDescent="0.4">
      <c r="A35" s="30" t="s">
        <v>52</v>
      </c>
    </row>
    <row r="36" spans="1:14" ht="19.05" customHeight="1" x14ac:dyDescent="0.4">
      <c r="A36" s="16" t="s">
        <v>13</v>
      </c>
      <c r="B36" s="140" t="s">
        <v>138</v>
      </c>
      <c r="C36" s="140"/>
      <c r="D36" s="140"/>
      <c r="E36" s="140"/>
      <c r="F36" s="35" t="str">
        <f>'Caso 2'!H15</f>
        <v>CARGA</v>
      </c>
      <c r="G36" s="140" t="s">
        <v>139</v>
      </c>
      <c r="H36" s="140"/>
      <c r="I36" s="18" t="str">
        <f>'Caso 2'!N15</f>
        <v>BRASIL</v>
      </c>
      <c r="J36" s="18"/>
      <c r="K36" s="51">
        <f>'Caso 2'!P15</f>
        <v>6.4199999999999993E-2</v>
      </c>
      <c r="L36">
        <v>15</v>
      </c>
      <c r="M36" s="66">
        <f>'Caso 2'!P15</f>
        <v>6.4199999999999993E-2</v>
      </c>
      <c r="N36">
        <f t="shared" ref="N36:N38" si="2">IF(K36=M36,L36,0)</f>
        <v>15</v>
      </c>
    </row>
    <row r="37" spans="1:14" ht="18" customHeight="1" x14ac:dyDescent="0.4">
      <c r="A37" s="16" t="s">
        <v>15</v>
      </c>
      <c r="B37" s="140" t="s">
        <v>138</v>
      </c>
      <c r="C37" s="140"/>
      <c r="D37" s="140"/>
      <c r="E37" s="35"/>
      <c r="F37" s="35" t="str">
        <f>'Caso 2'!H19</f>
        <v>CARGA</v>
      </c>
      <c r="G37" s="140" t="s">
        <v>140</v>
      </c>
      <c r="H37" s="140"/>
      <c r="K37" s="51">
        <f>'Caso 2'!P19</f>
        <v>0.24435000000000001</v>
      </c>
      <c r="L37">
        <v>15</v>
      </c>
      <c r="M37" s="66">
        <f>'Caso 2'!P19</f>
        <v>0.24435000000000001</v>
      </c>
      <c r="N37">
        <f t="shared" si="2"/>
        <v>15</v>
      </c>
    </row>
    <row r="38" spans="1:14" ht="18" customHeight="1" x14ac:dyDescent="0.4">
      <c r="A38" s="16" t="s">
        <v>53</v>
      </c>
      <c r="B38" s="140" t="s">
        <v>141</v>
      </c>
      <c r="C38" s="140"/>
      <c r="D38" s="140"/>
      <c r="E38" s="35"/>
      <c r="F38" s="35" t="str">
        <f>'Caso 2'!H23</f>
        <v>EQUIPAJE</v>
      </c>
      <c r="G38" s="140" t="s">
        <v>62</v>
      </c>
      <c r="H38" s="140"/>
      <c r="K38" s="51">
        <f>'Caso 2'!P23</f>
        <v>0.17137355584082156</v>
      </c>
      <c r="L38">
        <v>15</v>
      </c>
      <c r="M38" s="66">
        <f>'Caso 2'!P23</f>
        <v>0.17137355584082156</v>
      </c>
      <c r="N38">
        <f t="shared" si="2"/>
        <v>15</v>
      </c>
    </row>
    <row r="39" spans="1:14" ht="18" customHeight="1" x14ac:dyDescent="0.3">
      <c r="B39" s="140" t="s">
        <v>142</v>
      </c>
      <c r="C39" s="140"/>
      <c r="D39" s="140"/>
      <c r="E39" s="35"/>
      <c r="F39" s="35" t="str">
        <f>'Caso 2'!H24</f>
        <v>ATLANTA</v>
      </c>
    </row>
    <row r="41" spans="1:14" ht="21" x14ac:dyDescent="0.4">
      <c r="A41" s="30" t="s">
        <v>68</v>
      </c>
    </row>
    <row r="42" spans="1:14" ht="21" x14ac:dyDescent="0.4">
      <c r="A42" s="62" t="s">
        <v>13</v>
      </c>
      <c r="B42" s="61" t="s">
        <v>70</v>
      </c>
      <c r="K42" s="63">
        <f>'Caso 3'!O8</f>
        <v>362880</v>
      </c>
      <c r="L42">
        <v>5</v>
      </c>
      <c r="M42" s="66">
        <f>'Caso 3'!O8</f>
        <v>362880</v>
      </c>
      <c r="N42">
        <f t="shared" ref="N42:N44" si="3">IF(K42=M42,L42,0)</f>
        <v>5</v>
      </c>
    </row>
    <row r="43" spans="1:14" ht="21" x14ac:dyDescent="0.4">
      <c r="A43" s="62" t="s">
        <v>15</v>
      </c>
      <c r="B43" s="61" t="s">
        <v>65</v>
      </c>
      <c r="K43" s="63">
        <f>'Caso 3'!O10</f>
        <v>81</v>
      </c>
      <c r="L43">
        <v>5</v>
      </c>
      <c r="M43" s="66">
        <f>'Caso 3'!O10</f>
        <v>81</v>
      </c>
      <c r="N43">
        <f t="shared" si="3"/>
        <v>5</v>
      </c>
    </row>
    <row r="44" spans="1:14" ht="21" x14ac:dyDescent="0.4">
      <c r="A44" s="62" t="s">
        <v>16</v>
      </c>
      <c r="B44" s="61" t="s">
        <v>66</v>
      </c>
      <c r="K44" s="63">
        <f>'Caso 3'!O13</f>
        <v>83.999999999999986</v>
      </c>
      <c r="L44">
        <v>5</v>
      </c>
      <c r="M44" s="66">
        <f>'Caso 3'!O13</f>
        <v>83.999999999999986</v>
      </c>
      <c r="N44">
        <f t="shared" si="3"/>
        <v>5</v>
      </c>
    </row>
    <row r="45" spans="1:14" ht="17.399999999999999" x14ac:dyDescent="0.3">
      <c r="A45" s="61"/>
      <c r="B45" s="61" t="s">
        <v>71</v>
      </c>
    </row>
  </sheetData>
  <mergeCells count="8">
    <mergeCell ref="C7:F7"/>
    <mergeCell ref="G37:H37"/>
    <mergeCell ref="B38:D38"/>
    <mergeCell ref="G38:H38"/>
    <mergeCell ref="B39:D39"/>
    <mergeCell ref="G36:H36"/>
    <mergeCell ref="B36:E36"/>
    <mergeCell ref="B37:D37"/>
  </mergeCells>
  <dataValidations count="3">
    <dataValidation type="list" allowBlank="1" showInputMessage="1" showErrorMessage="1" sqref="D10" xr:uid="{687DF21C-7BB2-DE4B-B5D1-0274F58801B7}">
      <formula1>$U$1:$U$2</formula1>
    </dataValidation>
    <dataValidation type="list" allowBlank="1" showInputMessage="1" showErrorMessage="1" sqref="B10" xr:uid="{565C3F0C-31F8-E04E-9D4C-E8398494CA7B}">
      <formula1>$V$1:$V$5</formula1>
    </dataValidation>
    <dataValidation type="list" allowBlank="1" showInputMessage="1" showErrorMessage="1" sqref="C10" xr:uid="{6A356ABC-920F-BB49-AF4F-2147BA3641C0}">
      <formula1>$B$14:$B$17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949A-4ECB-FD4A-B05A-F437CD262426}">
  <sheetPr codeName="Hoja2"/>
  <dimension ref="A1:R28"/>
  <sheetViews>
    <sheetView showGridLines="0" topLeftCell="A13" zoomScale="117" workbookViewId="0">
      <selection activeCell="P27" sqref="P27"/>
    </sheetView>
  </sheetViews>
  <sheetFormatPr baseColWidth="10" defaultRowHeight="15.6" x14ac:dyDescent="0.3"/>
  <cols>
    <col min="1" max="1" width="2.69921875" style="2" bestFit="1" customWidth="1"/>
    <col min="2" max="2" width="15.5" customWidth="1"/>
    <col min="3" max="3" width="6.5" bestFit="1" customWidth="1"/>
    <col min="4" max="4" width="9.296875" customWidth="1"/>
    <col min="5" max="6" width="10" customWidth="1"/>
    <col min="7" max="7" width="8.19921875" bestFit="1" customWidth="1"/>
    <col min="8" max="8" width="7.296875" customWidth="1"/>
    <col min="9" max="9" width="8" customWidth="1"/>
    <col min="10" max="10" width="10.296875" customWidth="1"/>
    <col min="11" max="11" width="9.296875" customWidth="1"/>
    <col min="12" max="12" width="12.796875" customWidth="1"/>
    <col min="14" max="14" width="10.19921875" customWidth="1"/>
    <col min="15" max="15" width="11.5" bestFit="1" customWidth="1"/>
    <col min="16" max="16" width="14" bestFit="1" customWidth="1"/>
  </cols>
  <sheetData>
    <row r="1" spans="2:15" ht="21" x14ac:dyDescent="0.4">
      <c r="B1" s="30" t="s">
        <v>18</v>
      </c>
      <c r="G1" s="126">
        <f>Caratula!G1</f>
        <v>5</v>
      </c>
    </row>
    <row r="2" spans="2:15" ht="17.399999999999999" x14ac:dyDescent="0.3">
      <c r="B2" s="37" t="s">
        <v>154</v>
      </c>
      <c r="C2" s="38"/>
      <c r="D2" s="38"/>
      <c r="E2" s="38"/>
      <c r="F2" s="38"/>
      <c r="G2" s="38"/>
      <c r="H2" s="38"/>
      <c r="I2" s="38"/>
      <c r="J2" s="38"/>
      <c r="K2" s="39"/>
      <c r="L2" s="39"/>
      <c r="M2" s="39"/>
      <c r="N2" s="39"/>
      <c r="O2" s="40"/>
    </row>
    <row r="3" spans="2:15" ht="17.399999999999999" x14ac:dyDescent="0.3">
      <c r="B3" s="41" t="s">
        <v>155</v>
      </c>
      <c r="C3" s="42"/>
      <c r="D3" s="42"/>
      <c r="E3" s="42"/>
      <c r="F3" s="42"/>
      <c r="G3" s="42"/>
      <c r="H3" s="42"/>
      <c r="I3" s="42"/>
      <c r="J3" s="42"/>
      <c r="K3" s="43"/>
      <c r="L3" s="43"/>
      <c r="M3" s="43"/>
      <c r="N3" s="43"/>
      <c r="O3" s="44"/>
    </row>
    <row r="4" spans="2:15" ht="17.399999999999999" x14ac:dyDescent="0.3">
      <c r="B4" s="41" t="s">
        <v>77</v>
      </c>
      <c r="C4" s="42"/>
      <c r="D4" s="42"/>
      <c r="E4" s="42"/>
      <c r="F4" s="42"/>
      <c r="G4" s="42"/>
      <c r="H4" s="42"/>
      <c r="I4" s="42"/>
      <c r="J4" s="42"/>
      <c r="K4" s="43"/>
      <c r="L4" s="43"/>
      <c r="M4" s="43"/>
      <c r="N4" s="43"/>
      <c r="O4" s="44"/>
    </row>
    <row r="5" spans="2:15" ht="17.399999999999999" x14ac:dyDescent="0.3">
      <c r="B5" s="41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</row>
    <row r="6" spans="2:15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7"/>
    </row>
    <row r="7" spans="2:15" ht="17.399999999999999" x14ac:dyDescent="0.3">
      <c r="B7" s="1"/>
    </row>
    <row r="8" spans="2:15" ht="18" x14ac:dyDescent="0.3">
      <c r="B8" s="24" t="s">
        <v>2</v>
      </c>
      <c r="C8" s="25" t="s">
        <v>3</v>
      </c>
      <c r="D8" s="25" t="s">
        <v>4</v>
      </c>
      <c r="E8" s="25" t="s">
        <v>5</v>
      </c>
      <c r="G8" s="67" t="s">
        <v>76</v>
      </c>
      <c r="H8" s="55"/>
      <c r="I8" s="55"/>
      <c r="J8" s="55"/>
      <c r="K8" s="55"/>
      <c r="L8" s="55"/>
      <c r="M8" s="55"/>
      <c r="N8" s="55"/>
      <c r="O8" s="55"/>
    </row>
    <row r="9" spans="2:15" x14ac:dyDescent="0.3">
      <c r="B9" s="26" t="str">
        <f>DATOS!I27</f>
        <v>Real Madrid</v>
      </c>
      <c r="C9" s="98">
        <f>DATOS!J27</f>
        <v>1706</v>
      </c>
      <c r="D9" s="98">
        <f>DATOS!K27</f>
        <v>575</v>
      </c>
      <c r="E9" s="98">
        <f>DATOS!L27</f>
        <v>584</v>
      </c>
      <c r="G9" s="116" t="s">
        <v>150</v>
      </c>
      <c r="H9" s="116"/>
      <c r="I9" s="116"/>
      <c r="J9" s="116"/>
      <c r="K9" s="116"/>
    </row>
    <row r="10" spans="2:15" x14ac:dyDescent="0.3">
      <c r="B10" s="26" t="str">
        <f>DATOS!I28</f>
        <v>F. C. Barcelona</v>
      </c>
      <c r="C10" s="98">
        <f>DATOS!J28</f>
        <v>1653</v>
      </c>
      <c r="D10" s="98">
        <f>DATOS!K28</f>
        <v>583</v>
      </c>
      <c r="E10" s="98">
        <f>DATOS!L28</f>
        <v>630</v>
      </c>
    </row>
    <row r="11" spans="2:15" ht="31.2" x14ac:dyDescent="0.3">
      <c r="B11" s="26" t="str">
        <f>DATOS!I29</f>
        <v>Atlético de Madrid</v>
      </c>
      <c r="C11" s="98">
        <f>DATOS!J29</f>
        <v>1297</v>
      </c>
      <c r="D11" s="98">
        <f>DATOS!K29</f>
        <v>630</v>
      </c>
      <c r="E11" s="98">
        <f>DATOS!L29</f>
        <v>790</v>
      </c>
    </row>
    <row r="12" spans="2:15" x14ac:dyDescent="0.3">
      <c r="B12" s="26" t="str">
        <f>DATOS!I30</f>
        <v>Valencia FC</v>
      </c>
      <c r="C12" s="98">
        <f>DATOS!J30</f>
        <v>1224</v>
      </c>
      <c r="D12" s="98">
        <f>DATOS!K30</f>
        <v>639</v>
      </c>
      <c r="E12" s="98">
        <f>DATOS!L30</f>
        <v>877</v>
      </c>
    </row>
    <row r="13" spans="2:15" x14ac:dyDescent="0.3">
      <c r="B13" s="26" t="str">
        <f>DATOS!I31</f>
        <v>Athletic Club</v>
      </c>
      <c r="C13" s="98">
        <f>DATOS!J31</f>
        <v>1232</v>
      </c>
      <c r="D13" s="98">
        <f>DATOS!K31</f>
        <v>660</v>
      </c>
      <c r="E13" s="98">
        <f>DATOS!L31</f>
        <v>946</v>
      </c>
    </row>
    <row r="14" spans="2:15" x14ac:dyDescent="0.3">
      <c r="B14" s="26" t="str">
        <f>DATOS!I32</f>
        <v>Sevilla</v>
      </c>
      <c r="C14" s="98">
        <f>DATOS!J32</f>
        <v>1024</v>
      </c>
      <c r="D14" s="98">
        <f>DATOS!K32</f>
        <v>546</v>
      </c>
      <c r="E14" s="98">
        <f>DATOS!L32</f>
        <v>914</v>
      </c>
    </row>
    <row r="15" spans="2:15" x14ac:dyDescent="0.3">
      <c r="B15" s="26" t="str">
        <f>DATOS!I33</f>
        <v>Espanyol</v>
      </c>
      <c r="C15" s="98">
        <f>DATOS!J33</f>
        <v>974</v>
      </c>
      <c r="D15" s="98">
        <f>DATOS!K33</f>
        <v>632</v>
      </c>
      <c r="E15" s="98">
        <f>DATOS!L33</f>
        <v>1096</v>
      </c>
    </row>
    <row r="16" spans="2:15" x14ac:dyDescent="0.3">
      <c r="B16" s="26" t="str">
        <f>DATOS!I34</f>
        <v>Real Sociedad</v>
      </c>
      <c r="C16" s="98">
        <f>DATOS!J34</f>
        <v>891</v>
      </c>
      <c r="D16" s="98">
        <f>DATOS!K34</f>
        <v>595</v>
      </c>
      <c r="E16" s="98">
        <f>DATOS!L34</f>
        <v>892</v>
      </c>
    </row>
    <row r="17" spans="1:18" ht="18" x14ac:dyDescent="0.3">
      <c r="B17" s="26" t="str">
        <f>DATOS!I35</f>
        <v>Real Zaragoza</v>
      </c>
      <c r="C17" s="98">
        <f>DATOS!J35</f>
        <v>698</v>
      </c>
      <c r="D17" s="98">
        <f>DATOS!K35</f>
        <v>522</v>
      </c>
      <c r="E17" s="98">
        <f>DATOS!L35</f>
        <v>766</v>
      </c>
      <c r="R17" s="15">
        <f>SUM(R20:R28)</f>
        <v>40</v>
      </c>
    </row>
    <row r="18" spans="1:18" ht="18" x14ac:dyDescent="0.35">
      <c r="B18" s="26" t="str">
        <f>DATOS!I36</f>
        <v>Balompié</v>
      </c>
      <c r="C18" s="98">
        <f>DATOS!J36</f>
        <v>638</v>
      </c>
      <c r="D18" s="98">
        <f>DATOS!K36</f>
        <v>454</v>
      </c>
      <c r="E18" s="98">
        <f>DATOS!L36</f>
        <v>712</v>
      </c>
      <c r="R18" s="29"/>
    </row>
    <row r="19" spans="1:18" ht="18" x14ac:dyDescent="0.35">
      <c r="R19" s="29"/>
    </row>
    <row r="20" spans="1:18" ht="18" x14ac:dyDescent="0.35">
      <c r="A20" s="2" t="s">
        <v>13</v>
      </c>
      <c r="B20" s="1" t="s">
        <v>14</v>
      </c>
      <c r="P20" s="63">
        <f>'Caso 1 procedimiento'!E12</f>
        <v>25380</v>
      </c>
      <c r="R20" s="15">
        <v>5</v>
      </c>
    </row>
    <row r="21" spans="1:18" ht="18" x14ac:dyDescent="0.35">
      <c r="A21" s="2" t="s">
        <v>15</v>
      </c>
      <c r="B21" s="1" t="s">
        <v>73</v>
      </c>
      <c r="P21" s="132">
        <f>'Caso 1 procedimiento'!H2</f>
        <v>0.44669030732860521</v>
      </c>
      <c r="R21" s="15">
        <v>5</v>
      </c>
    </row>
    <row r="22" spans="1:18" ht="18" x14ac:dyDescent="0.35">
      <c r="A22" s="2" t="s">
        <v>16</v>
      </c>
      <c r="B22" s="1" t="s">
        <v>74</v>
      </c>
      <c r="P22" s="132">
        <f>'Caso 1 procedimiento'!I2</f>
        <v>0.22994483845547675</v>
      </c>
      <c r="R22" s="15">
        <v>5</v>
      </c>
    </row>
    <row r="23" spans="1:18" ht="23.4" x14ac:dyDescent="0.4">
      <c r="A23" s="2" t="s">
        <v>17</v>
      </c>
      <c r="B23" s="1" t="s">
        <v>20</v>
      </c>
      <c r="C23" s="1"/>
      <c r="D23" s="1"/>
      <c r="E23" s="1"/>
      <c r="F23" s="1"/>
      <c r="G23" s="1"/>
      <c r="H23" s="69" t="s">
        <v>21</v>
      </c>
      <c r="I23" s="1" t="s">
        <v>56</v>
      </c>
      <c r="J23" s="1"/>
      <c r="K23" s="141" t="str">
        <f>HLOOKUP($B$8,$B$8:$B$18,($G$1+2),0)</f>
        <v>Sevilla</v>
      </c>
      <c r="L23" s="141"/>
      <c r="M23" s="3"/>
      <c r="N23" s="3"/>
      <c r="O23" s="3"/>
      <c r="P23" s="131">
        <f>'Caso 1 procedimiento'!H4</f>
        <v>0.50421591804570531</v>
      </c>
      <c r="Q23" s="3"/>
      <c r="R23" s="15">
        <v>5</v>
      </c>
    </row>
    <row r="24" spans="1:18" ht="18" x14ac:dyDescent="0.35">
      <c r="A24" s="2" t="s">
        <v>19</v>
      </c>
      <c r="B24" s="1" t="s">
        <v>55</v>
      </c>
      <c r="C24" s="1"/>
      <c r="D24" s="1"/>
      <c r="E24" s="1"/>
      <c r="F24" s="1"/>
      <c r="G24" s="1"/>
      <c r="H24" s="1"/>
      <c r="I24" s="1" t="s">
        <v>57</v>
      </c>
      <c r="J24" s="1"/>
      <c r="K24" s="141" t="str">
        <f>K23</f>
        <v>Sevilla</v>
      </c>
      <c r="L24" s="141"/>
      <c r="M24" s="3"/>
      <c r="N24" s="3"/>
      <c r="O24" s="3"/>
      <c r="P24" s="131">
        <f>'Caso 1 procedimiento'!I4</f>
        <v>0.30630417651694247</v>
      </c>
      <c r="Q24" s="3"/>
      <c r="R24" s="15">
        <v>5</v>
      </c>
    </row>
    <row r="25" spans="1:18" ht="18" x14ac:dyDescent="0.35">
      <c r="A25" s="2" t="s">
        <v>49</v>
      </c>
      <c r="B25" s="1" t="s">
        <v>59</v>
      </c>
      <c r="C25" s="1"/>
      <c r="D25" s="1"/>
      <c r="E25" s="1"/>
      <c r="F25" s="1"/>
      <c r="G25" s="1"/>
      <c r="H25" s="1"/>
      <c r="I25" s="1" t="s">
        <v>58</v>
      </c>
      <c r="J25" s="1"/>
      <c r="K25" s="141" t="str">
        <f>K23</f>
        <v>Sevilla</v>
      </c>
      <c r="L25" s="141"/>
      <c r="M25" s="3"/>
      <c r="N25" s="3"/>
      <c r="O25" s="3"/>
      <c r="P25" s="131">
        <f>'Caso 1 procedimiento'!J4</f>
        <v>3.6012608353033888E-2</v>
      </c>
      <c r="Q25" s="3"/>
      <c r="R25" s="15">
        <v>5</v>
      </c>
    </row>
    <row r="26" spans="1:18" ht="18" x14ac:dyDescent="0.35">
      <c r="A26" s="2" t="s">
        <v>50</v>
      </c>
      <c r="B26" s="1" t="s">
        <v>78</v>
      </c>
      <c r="C26" s="1"/>
      <c r="D26" s="1"/>
      <c r="E26" s="1"/>
      <c r="F26" s="1"/>
      <c r="G26" s="1"/>
      <c r="H26" s="1"/>
      <c r="I26" s="1"/>
      <c r="J26" s="1"/>
      <c r="K26" s="141" t="str">
        <f>K23</f>
        <v>Sevilla</v>
      </c>
      <c r="L26" s="141"/>
      <c r="M26" s="3"/>
      <c r="N26" s="3"/>
      <c r="O26" s="3"/>
      <c r="P26" s="131">
        <f>'Caso 1 procedimiento'!K4</f>
        <v>9.7872340425531917E-2</v>
      </c>
      <c r="Q26" s="3"/>
      <c r="R26" s="15">
        <v>5</v>
      </c>
    </row>
    <row r="27" spans="1:18" ht="18" x14ac:dyDescent="0.35">
      <c r="A27" s="2" t="s">
        <v>51</v>
      </c>
      <c r="B27" s="1" t="s">
        <v>63</v>
      </c>
      <c r="C27" s="1"/>
      <c r="D27" s="1"/>
      <c r="E27" s="1"/>
      <c r="F27" s="1"/>
      <c r="G27" s="1"/>
      <c r="H27" s="1"/>
      <c r="I27" s="1"/>
      <c r="J27" s="1"/>
      <c r="K27" s="141" t="str">
        <f>K23</f>
        <v>Sevilla</v>
      </c>
      <c r="L27" s="141"/>
      <c r="M27" s="3"/>
      <c r="N27" s="3"/>
      <c r="O27" s="3"/>
      <c r="P27" s="131">
        <f>'Caso 1 procedimiento'!L4</f>
        <v>0.41223832528180349</v>
      </c>
      <c r="Q27" s="3"/>
      <c r="R27" s="15">
        <v>5</v>
      </c>
    </row>
    <row r="28" spans="1:18" ht="17.399999999999999" x14ac:dyDescent="0.3">
      <c r="B28" s="1"/>
      <c r="C28" s="1"/>
      <c r="D28" s="1"/>
      <c r="E28" s="1"/>
      <c r="F28" s="1"/>
      <c r="G28" s="1"/>
      <c r="H28" s="1"/>
      <c r="I28" s="1"/>
      <c r="J28" s="1"/>
      <c r="K28" s="19"/>
      <c r="L28" s="19"/>
      <c r="M28" s="21"/>
      <c r="N28" s="21"/>
      <c r="O28" s="21"/>
      <c r="P28" s="20"/>
      <c r="Q28" s="3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K23:L23"/>
    <mergeCell ref="K24:L24"/>
    <mergeCell ref="K25:L25"/>
    <mergeCell ref="K26:L26"/>
    <mergeCell ref="K27:L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5B9C-FA91-4B72-8776-5270FE2991D4}">
  <dimension ref="A1:L12"/>
  <sheetViews>
    <sheetView workbookViewId="0">
      <selection activeCell="H10" sqref="H10"/>
    </sheetView>
  </sheetViews>
  <sheetFormatPr baseColWidth="10" defaultRowHeight="15.6" x14ac:dyDescent="0.3"/>
  <cols>
    <col min="8" max="8" width="11.8984375" bestFit="1" customWidth="1"/>
    <col min="9" max="9" width="11.3984375" customWidth="1"/>
    <col min="10" max="10" width="11.59765625" customWidth="1"/>
  </cols>
  <sheetData>
    <row r="1" spans="1:12" x14ac:dyDescent="0.3">
      <c r="A1" s="24" t="s">
        <v>2</v>
      </c>
      <c r="B1" s="25" t="s">
        <v>3</v>
      </c>
      <c r="C1" s="25" t="s">
        <v>4</v>
      </c>
      <c r="D1" s="25" t="s">
        <v>5</v>
      </c>
      <c r="H1" t="s">
        <v>158</v>
      </c>
      <c r="I1" t="s">
        <v>159</v>
      </c>
      <c r="J1" t="s">
        <v>160</v>
      </c>
    </row>
    <row r="2" spans="1:12" x14ac:dyDescent="0.3">
      <c r="A2" s="26" t="s">
        <v>1</v>
      </c>
      <c r="B2" s="98">
        <v>1706</v>
      </c>
      <c r="C2" s="98">
        <v>575</v>
      </c>
      <c r="D2" s="98">
        <v>584</v>
      </c>
      <c r="E2">
        <f>SUM(B2:D2)</f>
        <v>2865</v>
      </c>
      <c r="H2" s="3">
        <f>B12/$E$12</f>
        <v>0.44669030732860521</v>
      </c>
      <c r="I2" s="3">
        <f t="shared" ref="I2:J2" si="0">C12/$E$12</f>
        <v>0.22994483845547675</v>
      </c>
      <c r="J2" s="3">
        <f t="shared" si="0"/>
        <v>0.32336485421591804</v>
      </c>
      <c r="K2" s="95">
        <f>SUM(H2:J2)</f>
        <v>1</v>
      </c>
    </row>
    <row r="3" spans="1:12" ht="31.2" x14ac:dyDescent="0.3">
      <c r="A3" s="26" t="s">
        <v>6</v>
      </c>
      <c r="B3" s="98">
        <v>1653</v>
      </c>
      <c r="C3" s="98">
        <v>583</v>
      </c>
      <c r="D3" s="98">
        <v>630</v>
      </c>
      <c r="E3">
        <f t="shared" ref="E3:E11" si="1">SUM(B3:D3)</f>
        <v>2866</v>
      </c>
      <c r="H3" s="133" t="s">
        <v>161</v>
      </c>
      <c r="I3" s="133" t="s">
        <v>162</v>
      </c>
      <c r="J3" s="130" t="s">
        <v>163</v>
      </c>
      <c r="K3" s="134" t="s">
        <v>164</v>
      </c>
      <c r="L3" s="134" t="s">
        <v>165</v>
      </c>
    </row>
    <row r="4" spans="1:12" ht="31.2" x14ac:dyDescent="0.3">
      <c r="A4" s="26" t="s">
        <v>9</v>
      </c>
      <c r="B4" s="98">
        <v>1297</v>
      </c>
      <c r="C4" s="98">
        <v>630</v>
      </c>
      <c r="D4" s="98">
        <v>790</v>
      </c>
      <c r="E4">
        <f t="shared" si="1"/>
        <v>2717</v>
      </c>
      <c r="H4">
        <f>(B12+E7-B7)/E12</f>
        <v>0.50421591804570531</v>
      </c>
      <c r="I4">
        <f>(C12+E7-C7)/E12</f>
        <v>0.30630417651694247</v>
      </c>
      <c r="J4">
        <f>(D7/E12)</f>
        <v>3.6012608353033888E-2</v>
      </c>
      <c r="K4">
        <f>(B7/E12)/(B7/E7)</f>
        <v>9.7872340425531917E-2</v>
      </c>
      <c r="L4">
        <f>1-((C7/E7)+(D7/E7))</f>
        <v>0.41223832528180349</v>
      </c>
    </row>
    <row r="5" spans="1:12" x14ac:dyDescent="0.3">
      <c r="A5" s="26" t="s">
        <v>147</v>
      </c>
      <c r="B5" s="98">
        <v>1224</v>
      </c>
      <c r="C5" s="98">
        <v>639</v>
      </c>
      <c r="D5" s="98">
        <v>877</v>
      </c>
      <c r="E5">
        <f t="shared" si="1"/>
        <v>2740</v>
      </c>
    </row>
    <row r="6" spans="1:12" ht="31.2" x14ac:dyDescent="0.3">
      <c r="A6" s="26" t="s">
        <v>7</v>
      </c>
      <c r="B6" s="98">
        <v>1232</v>
      </c>
      <c r="C6" s="98">
        <v>660</v>
      </c>
      <c r="D6" s="98">
        <v>946</v>
      </c>
      <c r="E6">
        <f t="shared" si="1"/>
        <v>2838</v>
      </c>
    </row>
    <row r="7" spans="1:12" x14ac:dyDescent="0.3">
      <c r="A7" s="26" t="s">
        <v>10</v>
      </c>
      <c r="B7" s="98">
        <v>1024</v>
      </c>
      <c r="C7" s="98">
        <v>546</v>
      </c>
      <c r="D7" s="98">
        <v>914</v>
      </c>
      <c r="E7">
        <f t="shared" si="1"/>
        <v>2484</v>
      </c>
    </row>
    <row r="8" spans="1:12" x14ac:dyDescent="0.3">
      <c r="A8" s="26" t="s">
        <v>11</v>
      </c>
      <c r="B8" s="98">
        <v>974</v>
      </c>
      <c r="C8" s="98">
        <v>632</v>
      </c>
      <c r="D8" s="98">
        <v>1096</v>
      </c>
      <c r="E8">
        <f t="shared" si="1"/>
        <v>2702</v>
      </c>
    </row>
    <row r="9" spans="1:12" ht="31.2" x14ac:dyDescent="0.3">
      <c r="A9" s="26" t="s">
        <v>12</v>
      </c>
      <c r="B9" s="98">
        <v>891</v>
      </c>
      <c r="C9" s="98">
        <v>595</v>
      </c>
      <c r="D9" s="98">
        <v>892</v>
      </c>
      <c r="E9">
        <f t="shared" si="1"/>
        <v>2378</v>
      </c>
    </row>
    <row r="10" spans="1:12" ht="31.2" x14ac:dyDescent="0.3">
      <c r="A10" s="26" t="s">
        <v>8</v>
      </c>
      <c r="B10" s="98">
        <v>698</v>
      </c>
      <c r="C10" s="98">
        <v>522</v>
      </c>
      <c r="D10" s="98">
        <v>766</v>
      </c>
      <c r="E10">
        <f t="shared" si="1"/>
        <v>1986</v>
      </c>
    </row>
    <row r="11" spans="1:12" x14ac:dyDescent="0.3">
      <c r="A11" s="26" t="s">
        <v>54</v>
      </c>
      <c r="B11" s="98">
        <v>638</v>
      </c>
      <c r="C11" s="98">
        <v>454</v>
      </c>
      <c r="D11" s="98">
        <v>712</v>
      </c>
      <c r="E11">
        <f t="shared" si="1"/>
        <v>1804</v>
      </c>
    </row>
    <row r="12" spans="1:12" x14ac:dyDescent="0.3">
      <c r="B12">
        <f>SUM(B2:B11)</f>
        <v>11337</v>
      </c>
      <c r="C12">
        <f t="shared" ref="C12:D12" si="2">SUM(C2:C11)</f>
        <v>5836</v>
      </c>
      <c r="D12">
        <f t="shared" si="2"/>
        <v>8207</v>
      </c>
      <c r="E12">
        <f>SUM(B12:D12)</f>
        <v>25380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C828-C769-0E48-901D-161D8782A022}">
  <sheetPr codeName="Hoja3"/>
  <dimension ref="A1:S26"/>
  <sheetViews>
    <sheetView showGridLines="0" zoomScale="70" zoomScaleNormal="70" workbookViewId="0">
      <selection activeCell="H30" sqref="H30"/>
    </sheetView>
  </sheetViews>
  <sheetFormatPr baseColWidth="10" defaultColWidth="10.796875" defaultRowHeight="14.4" x14ac:dyDescent="0.3"/>
  <cols>
    <col min="1" max="1" width="4.69921875" style="17" customWidth="1"/>
    <col min="2" max="2" width="10.796875" style="17"/>
    <col min="3" max="3" width="11.5" style="17" customWidth="1"/>
    <col min="4" max="4" width="10.796875" style="17"/>
    <col min="5" max="5" width="12.69921875" style="17" customWidth="1"/>
    <col min="6" max="6" width="9" style="17" customWidth="1"/>
    <col min="7" max="7" width="9.5" style="17" customWidth="1"/>
    <col min="8" max="8" width="18" style="17" customWidth="1"/>
    <col min="9" max="9" width="7.296875" style="17" customWidth="1"/>
    <col min="10" max="10" width="9.69921875" style="17" customWidth="1"/>
    <col min="11" max="11" width="14.19921875" style="17" customWidth="1"/>
    <col min="12" max="12" width="1.796875" style="17" customWidth="1"/>
    <col min="13" max="13" width="10.796875" style="17"/>
    <col min="14" max="14" width="18.69921875" style="17" customWidth="1"/>
    <col min="15" max="15" width="1.69921875" style="17" customWidth="1"/>
    <col min="16" max="16" width="14.796875" style="17" customWidth="1"/>
    <col min="17" max="17" width="10.796875" style="17"/>
    <col min="18" max="18" width="1.796875" style="17" customWidth="1"/>
    <col min="19" max="19" width="10.796875" style="17"/>
    <col min="20" max="20" width="19.5" style="17" customWidth="1"/>
    <col min="21" max="16384" width="10.796875" style="17"/>
  </cols>
  <sheetData>
    <row r="1" spans="1:19" ht="19.8" x14ac:dyDescent="0.3">
      <c r="B1" s="32" t="s">
        <v>61</v>
      </c>
      <c r="C1" s="31"/>
      <c r="D1" s="31"/>
      <c r="E1" s="31"/>
      <c r="F1" s="31"/>
      <c r="G1" s="127">
        <f>Caratula!G1</f>
        <v>5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" thickBot="1" x14ac:dyDescent="0.35"/>
    <row r="3" spans="1:19" ht="15" customHeight="1" x14ac:dyDescent="0.3">
      <c r="B3" s="143" t="s">
        <v>153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x14ac:dyDescent="0.3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8"/>
    </row>
    <row r="5" spans="1:19" ht="33" customHeight="1" x14ac:dyDescent="0.3">
      <c r="B5" s="146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8"/>
    </row>
    <row r="6" spans="1:19" ht="48" customHeight="1" thickBot="1" x14ac:dyDescent="0.35">
      <c r="B6" s="149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1:19" ht="22.05" customHeight="1" thickBot="1" x14ac:dyDescent="0.35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5" thickBot="1" x14ac:dyDescent="0.35">
      <c r="B8" s="82" t="s">
        <v>131</v>
      </c>
      <c r="D8" s="152" t="s">
        <v>132</v>
      </c>
      <c r="E8" s="153"/>
      <c r="F8" s="154"/>
    </row>
    <row r="9" spans="1:19" ht="18.600000000000001" thickBot="1" x14ac:dyDescent="0.35">
      <c r="B9" s="104" t="s">
        <v>133</v>
      </c>
      <c r="C9" s="105" t="s">
        <v>134</v>
      </c>
      <c r="D9" s="107" t="s">
        <v>135</v>
      </c>
      <c r="E9" s="108" t="s">
        <v>136</v>
      </c>
      <c r="F9" s="109" t="s">
        <v>137</v>
      </c>
      <c r="H9" s="84" t="s">
        <v>76</v>
      </c>
      <c r="I9" s="55"/>
      <c r="J9" s="55"/>
      <c r="K9" s="55"/>
      <c r="L9" s="55"/>
      <c r="M9" s="55"/>
      <c r="N9" s="55"/>
      <c r="O9" s="55"/>
      <c r="P9" s="55"/>
      <c r="Q9" s="68"/>
    </row>
    <row r="10" spans="1:19" ht="15.6" x14ac:dyDescent="0.3">
      <c r="B10" s="85" t="s">
        <v>143</v>
      </c>
      <c r="C10" s="106">
        <f>VLOOKUP(B10,DATOS!$C$5:$M$8,'Caso 2'!$G$1+2,0)</f>
        <v>0.38600000000000001</v>
      </c>
      <c r="D10" s="110">
        <f>VLOOKUP(B10,DATOS!$O$5:$Y$8,'Caso 2'!$G$1+2,0)</f>
        <v>0.25</v>
      </c>
      <c r="E10" s="111">
        <f>D10-0.1</f>
        <v>0.15</v>
      </c>
      <c r="F10" s="112">
        <f>1-(D10+E10)</f>
        <v>0.6</v>
      </c>
      <c r="H10" s="116" t="s">
        <v>150</v>
      </c>
      <c r="I10" s="117"/>
      <c r="J10" s="117"/>
      <c r="K10" s="117"/>
    </row>
    <row r="11" spans="1:19" x14ac:dyDescent="0.3">
      <c r="B11" s="102" t="s">
        <v>144</v>
      </c>
      <c r="C11" s="101">
        <f>VLOOKUP(B11,DATOS!$C$5:$M$8,'Caso 2'!$G$1+2,0)</f>
        <v>0.17799999999999999</v>
      </c>
      <c r="D11" s="99">
        <f>VLOOKUP(B11,DATOS!$O$5:$Y$8,'Caso 2'!$G$1+2,0)</f>
        <v>0.3</v>
      </c>
      <c r="E11" s="100">
        <f>D11*1.25</f>
        <v>0.375</v>
      </c>
      <c r="F11" s="101">
        <f t="shared" ref="F11:F13" si="0">1-(D11+E11)</f>
        <v>0.32499999999999996</v>
      </c>
    </row>
    <row r="12" spans="1:19" x14ac:dyDescent="0.3">
      <c r="B12" s="102" t="s">
        <v>145</v>
      </c>
      <c r="C12" s="101">
        <f>VLOOKUP(B12,DATOS!$C$5:$M$8,'Caso 2'!$G$1+2,0)</f>
        <v>0.214</v>
      </c>
      <c r="D12" s="99">
        <f>VLOOKUP(B12,DATOS!$O$5:$Y$8,'Caso 2'!$G$1+2,0)</f>
        <v>0.6</v>
      </c>
      <c r="E12" s="100">
        <f>D12/2</f>
        <v>0.3</v>
      </c>
      <c r="F12" s="101">
        <f t="shared" si="0"/>
        <v>0.10000000000000009</v>
      </c>
      <c r="Q12" s="17" t="s">
        <v>72</v>
      </c>
    </row>
    <row r="13" spans="1:19" ht="18.600000000000001" thickBot="1" x14ac:dyDescent="0.35">
      <c r="B13" s="103" t="s">
        <v>146</v>
      </c>
      <c r="C13" s="115">
        <f>VLOOKUP(B13,DATOS!$C$5:$M$8,'Caso 2'!$G$1+2,0)</f>
        <v>0.222</v>
      </c>
      <c r="D13" s="113">
        <f>VLOOKUP(B13,DATOS!$O$5:$Y$8,'Caso 2'!$G$1+2,0)</f>
        <v>0.15</v>
      </c>
      <c r="E13" s="114">
        <f>D13+0.1</f>
        <v>0.25</v>
      </c>
      <c r="F13" s="115">
        <f t="shared" si="0"/>
        <v>0.6</v>
      </c>
      <c r="Q13" s="15">
        <f>SUM(Q15:Q23)</f>
        <v>45</v>
      </c>
    </row>
    <row r="14" spans="1:19" ht="18" x14ac:dyDescent="0.35">
      <c r="C14" s="49"/>
      <c r="D14" s="49"/>
      <c r="E14" s="49"/>
      <c r="F14" s="49"/>
      <c r="Q14" s="58"/>
    </row>
    <row r="15" spans="1:19" ht="22.05" customHeight="1" x14ac:dyDescent="0.4">
      <c r="A15" s="16" t="s">
        <v>13</v>
      </c>
      <c r="B15" s="155" t="s">
        <v>138</v>
      </c>
      <c r="C15" s="155"/>
      <c r="D15" s="155"/>
      <c r="E15" s="155"/>
      <c r="F15" s="155"/>
      <c r="G15" s="155"/>
      <c r="H15" s="156" t="str">
        <f>E9</f>
        <v>CARGA</v>
      </c>
      <c r="I15" s="156"/>
      <c r="J15" s="155" t="s">
        <v>139</v>
      </c>
      <c r="K15" s="155"/>
      <c r="L15" s="155"/>
      <c r="M15" s="155"/>
      <c r="N15" s="129" t="str">
        <f>B12</f>
        <v>BRASIL</v>
      </c>
      <c r="P15" s="136">
        <f>'Caso 2 Procedimiento'!H18</f>
        <v>6.4199999999999993E-2</v>
      </c>
      <c r="Q15" s="15">
        <v>15</v>
      </c>
    </row>
    <row r="16" spans="1:19" ht="18" x14ac:dyDescent="0.35">
      <c r="C16" s="22"/>
      <c r="D16" s="22"/>
      <c r="E16" s="22"/>
      <c r="F16" s="22"/>
      <c r="G16" s="142"/>
      <c r="H16" s="142"/>
      <c r="I16" s="142"/>
      <c r="J16" s="142"/>
      <c r="M16" s="23"/>
      <c r="P16" s="128"/>
      <c r="Q16" s="58"/>
    </row>
    <row r="17" spans="1:19" ht="21" x14ac:dyDescent="0.35">
      <c r="G17" s="36"/>
      <c r="H17" s="70"/>
      <c r="I17" s="70"/>
      <c r="J17" s="70"/>
      <c r="M17" s="23"/>
      <c r="P17" s="128"/>
      <c r="Q17" s="58"/>
    </row>
    <row r="18" spans="1:19" ht="18" x14ac:dyDescent="0.35">
      <c r="C18" s="49"/>
      <c r="D18" s="49"/>
      <c r="E18" s="49"/>
      <c r="F18" s="49"/>
      <c r="G18" s="33"/>
      <c r="P18" s="128"/>
      <c r="Q18" s="58"/>
    </row>
    <row r="19" spans="1:19" ht="25.05" customHeight="1" x14ac:dyDescent="0.4">
      <c r="A19" s="16" t="s">
        <v>15</v>
      </c>
      <c r="B19" s="155" t="s">
        <v>138</v>
      </c>
      <c r="C19" s="155"/>
      <c r="D19" s="155"/>
      <c r="E19" s="155"/>
      <c r="F19" s="155"/>
      <c r="G19" s="155"/>
      <c r="H19" s="155" t="str">
        <f>H15</f>
        <v>CARGA</v>
      </c>
      <c r="I19" s="155"/>
      <c r="J19" s="155" t="s">
        <v>140</v>
      </c>
      <c r="K19" s="155"/>
      <c r="L19" s="155"/>
      <c r="M19" s="155"/>
      <c r="N19" s="155"/>
      <c r="P19" s="136">
        <f>'Caso 2 Procedimiento'!J13</f>
        <v>0.24435000000000001</v>
      </c>
      <c r="Q19" s="15">
        <v>15</v>
      </c>
    </row>
    <row r="20" spans="1:19" ht="18" customHeight="1" x14ac:dyDescent="0.35">
      <c r="C20" s="35"/>
      <c r="D20" s="35"/>
      <c r="E20" s="35"/>
      <c r="F20" s="35"/>
      <c r="G20" s="35"/>
      <c r="H20" s="35"/>
      <c r="I20" s="35"/>
      <c r="J20" s="35"/>
      <c r="M20" s="23"/>
      <c r="P20" s="128"/>
      <c r="Q20" s="58"/>
    </row>
    <row r="21" spans="1:19" ht="21" x14ac:dyDescent="0.35">
      <c r="C21" s="140"/>
      <c r="D21" s="140"/>
      <c r="E21" s="140"/>
      <c r="F21" s="140"/>
      <c r="G21" s="36"/>
      <c r="P21" s="128"/>
      <c r="Q21" s="58"/>
    </row>
    <row r="22" spans="1:19" ht="18" x14ac:dyDescent="0.35">
      <c r="C22" s="49"/>
      <c r="D22" s="49"/>
      <c r="E22" s="49"/>
      <c r="F22" s="49"/>
      <c r="G22" s="33"/>
      <c r="P22" s="128"/>
      <c r="Q22" s="58"/>
    </row>
    <row r="23" spans="1:19" ht="21" customHeight="1" x14ac:dyDescent="0.4">
      <c r="A23" s="16" t="s">
        <v>53</v>
      </c>
      <c r="B23" s="155" t="s">
        <v>141</v>
      </c>
      <c r="C23" s="155"/>
      <c r="D23" s="155"/>
      <c r="E23" s="155"/>
      <c r="F23" s="155"/>
      <c r="G23" s="155"/>
      <c r="H23" s="155" t="str">
        <f>[1]DATOS!P3</f>
        <v>EQUIPAJE</v>
      </c>
      <c r="I23" s="155"/>
      <c r="J23" s="140" t="s">
        <v>62</v>
      </c>
      <c r="K23" s="140"/>
      <c r="L23" s="140"/>
      <c r="M23" s="140"/>
      <c r="N23" s="140"/>
      <c r="P23" s="136">
        <f>'Caso 2 Procedimiento'!J17</f>
        <v>0.17137355584082156</v>
      </c>
      <c r="Q23" s="15">
        <v>15</v>
      </c>
      <c r="S23" s="48"/>
    </row>
    <row r="24" spans="1:19" ht="18" customHeight="1" x14ac:dyDescent="0.3">
      <c r="C24" s="140" t="s">
        <v>142</v>
      </c>
      <c r="D24" s="140"/>
      <c r="E24" s="140"/>
      <c r="F24" s="140"/>
      <c r="G24" s="140"/>
      <c r="H24" s="35" t="str">
        <f>[1]DATOS!S3</f>
        <v>ATLANTA</v>
      </c>
      <c r="I24" s="35"/>
      <c r="S24" s="48"/>
    </row>
    <row r="25" spans="1:19" ht="18" customHeight="1" x14ac:dyDescent="0.3">
      <c r="N25" s="48"/>
      <c r="P25" s="88"/>
    </row>
    <row r="26" spans="1:19" x14ac:dyDescent="0.3">
      <c r="N26" s="48"/>
    </row>
  </sheetData>
  <mergeCells count="14">
    <mergeCell ref="C24:G24"/>
    <mergeCell ref="B19:G19"/>
    <mergeCell ref="H19:I19"/>
    <mergeCell ref="J19:N19"/>
    <mergeCell ref="C21:F21"/>
    <mergeCell ref="B23:G23"/>
    <mergeCell ref="H23:I23"/>
    <mergeCell ref="J23:N23"/>
    <mergeCell ref="G16:J16"/>
    <mergeCell ref="B3:S6"/>
    <mergeCell ref="D8:F8"/>
    <mergeCell ref="B15:G15"/>
    <mergeCell ref="H15:I15"/>
    <mergeCell ref="J15:M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B0F3-DD72-403A-A445-C473FD52E55B}">
  <dimension ref="A1:J23"/>
  <sheetViews>
    <sheetView workbookViewId="0">
      <selection activeCell="J18" sqref="J18"/>
    </sheetView>
  </sheetViews>
  <sheetFormatPr baseColWidth="10" defaultRowHeight="15.6" x14ac:dyDescent="0.3"/>
  <sheetData>
    <row r="1" spans="1:10" ht="16.2" thickBot="1" x14ac:dyDescent="0.35">
      <c r="A1" s="82" t="s">
        <v>131</v>
      </c>
      <c r="B1" s="17"/>
      <c r="C1" s="152" t="s">
        <v>132</v>
      </c>
      <c r="D1" s="153"/>
      <c r="E1" s="154"/>
    </row>
    <row r="2" spans="1:10" ht="16.2" thickBot="1" x14ac:dyDescent="0.35">
      <c r="A2" s="104" t="s">
        <v>133</v>
      </c>
      <c r="B2" s="105" t="s">
        <v>134</v>
      </c>
      <c r="C2" s="107" t="s">
        <v>135</v>
      </c>
      <c r="D2" s="108" t="s">
        <v>136</v>
      </c>
      <c r="E2" s="109" t="s">
        <v>137</v>
      </c>
    </row>
    <row r="3" spans="1:10" x14ac:dyDescent="0.3">
      <c r="A3" s="85" t="s">
        <v>143</v>
      </c>
      <c r="B3" s="106">
        <f>VLOOKUP(A3,DATOS!$C$5:$M$8,'Caso 2'!$G$1+2,0)</f>
        <v>0.38600000000000001</v>
      </c>
      <c r="C3" s="110">
        <f>VLOOKUP(A3,DATOS!$O$5:$Y$8,'Caso 2'!$G$1+2,0)</f>
        <v>0.25</v>
      </c>
      <c r="D3" s="111">
        <f>C3-0.1</f>
        <v>0.15</v>
      </c>
      <c r="E3" s="112">
        <f>1-(C3+D3)</f>
        <v>0.6</v>
      </c>
    </row>
    <row r="4" spans="1:10" x14ac:dyDescent="0.3">
      <c r="A4" s="102" t="s">
        <v>144</v>
      </c>
      <c r="B4" s="101">
        <f>VLOOKUP(A4,DATOS!$C$5:$M$8,'Caso 2'!$G$1+2,0)</f>
        <v>0.17799999999999999</v>
      </c>
      <c r="C4" s="99">
        <f>VLOOKUP(A4,DATOS!$O$5:$Y$8,'Caso 2'!$G$1+2,0)</f>
        <v>0.3</v>
      </c>
      <c r="D4" s="100">
        <f>C4*1.25</f>
        <v>0.375</v>
      </c>
      <c r="E4" s="101">
        <f t="shared" ref="E4:E6" si="0">1-(C4+D4)</f>
        <v>0.32499999999999996</v>
      </c>
    </row>
    <row r="5" spans="1:10" x14ac:dyDescent="0.3">
      <c r="A5" s="102" t="s">
        <v>145</v>
      </c>
      <c r="B5" s="101">
        <f>VLOOKUP(A5,DATOS!$C$5:$M$8,'Caso 2'!$G$1+2,0)</f>
        <v>0.214</v>
      </c>
      <c r="C5" s="99">
        <f>VLOOKUP(A5,DATOS!$O$5:$Y$8,'Caso 2'!$G$1+2,0)</f>
        <v>0.6</v>
      </c>
      <c r="D5" s="100">
        <f>C5/2</f>
        <v>0.3</v>
      </c>
      <c r="E5" s="101">
        <f t="shared" si="0"/>
        <v>0.10000000000000009</v>
      </c>
    </row>
    <row r="6" spans="1:10" ht="16.2" thickBot="1" x14ac:dyDescent="0.35">
      <c r="A6" s="103" t="s">
        <v>146</v>
      </c>
      <c r="B6" s="115">
        <f>VLOOKUP(A6,DATOS!$C$5:$M$8,'Caso 2'!$G$1+2,0)</f>
        <v>0.222</v>
      </c>
      <c r="C6" s="113">
        <f>VLOOKUP(A6,DATOS!$O$5:$Y$8,'Caso 2'!$G$1+2,0)</f>
        <v>0.15</v>
      </c>
      <c r="D6" s="114">
        <f>C6+0.1</f>
        <v>0.25</v>
      </c>
      <c r="E6" s="115">
        <f t="shared" si="0"/>
        <v>0.6</v>
      </c>
    </row>
    <row r="7" spans="1:10" x14ac:dyDescent="0.3">
      <c r="B7" s="20"/>
    </row>
    <row r="9" spans="1:10" x14ac:dyDescent="0.3">
      <c r="E9" t="s">
        <v>135</v>
      </c>
      <c r="F9" s="3">
        <v>0.25</v>
      </c>
      <c r="H9" s="135">
        <f>$C$10*F9</f>
        <v>9.6500000000000002E-2</v>
      </c>
      <c r="I9" s="135">
        <f>SUM(H9:H23)</f>
        <v>0.99999999999999989</v>
      </c>
    </row>
    <row r="10" spans="1:10" x14ac:dyDescent="0.3">
      <c r="B10" t="s">
        <v>143</v>
      </c>
      <c r="C10" s="3">
        <v>0.38600000000000001</v>
      </c>
      <c r="E10" t="s">
        <v>136</v>
      </c>
      <c r="F10" s="3">
        <v>0.15</v>
      </c>
      <c r="H10" s="135">
        <f t="shared" ref="H10:H11" si="1">$C$10*F10</f>
        <v>5.79E-2</v>
      </c>
    </row>
    <row r="11" spans="1:10" x14ac:dyDescent="0.3">
      <c r="E11" t="s">
        <v>137</v>
      </c>
      <c r="F11" s="3">
        <v>0.6</v>
      </c>
      <c r="H11" s="135">
        <f t="shared" si="1"/>
        <v>0.2316</v>
      </c>
    </row>
    <row r="12" spans="1:10" x14ac:dyDescent="0.3">
      <c r="H12" s="135"/>
    </row>
    <row r="13" spans="1:10" x14ac:dyDescent="0.3">
      <c r="E13" t="s">
        <v>135</v>
      </c>
      <c r="F13" s="3">
        <v>0.3</v>
      </c>
      <c r="H13" s="135">
        <f>$C$14*F13</f>
        <v>5.3399999999999996E-2</v>
      </c>
      <c r="J13" s="135">
        <f>SUM(H10,H14,H18,H22)</f>
        <v>0.24435000000000001</v>
      </c>
    </row>
    <row r="14" spans="1:10" x14ac:dyDescent="0.3">
      <c r="B14" t="s">
        <v>144</v>
      </c>
      <c r="C14" s="3">
        <v>0.17799999999999999</v>
      </c>
      <c r="E14" t="s">
        <v>136</v>
      </c>
      <c r="F14" s="3">
        <v>0.375</v>
      </c>
      <c r="H14" s="135">
        <f>$C$14*F14</f>
        <v>6.6750000000000004E-2</v>
      </c>
    </row>
    <row r="15" spans="1:10" x14ac:dyDescent="0.3">
      <c r="E15" t="s">
        <v>137</v>
      </c>
      <c r="F15" s="3">
        <v>0.32500000000000001</v>
      </c>
      <c r="H15" s="135">
        <f>$C$14*F15</f>
        <v>5.7849999999999999E-2</v>
      </c>
    </row>
    <row r="16" spans="1:10" x14ac:dyDescent="0.3">
      <c r="F16" s="3"/>
      <c r="H16" s="135"/>
    </row>
    <row r="17" spans="2:10" x14ac:dyDescent="0.3">
      <c r="E17" t="s">
        <v>135</v>
      </c>
      <c r="F17" s="3">
        <v>0.6</v>
      </c>
      <c r="H17" s="135">
        <f>$C$18*F17</f>
        <v>0.12839999999999999</v>
      </c>
      <c r="J17" s="135">
        <f>H13/SUM(H9,H13,H17,H21)</f>
        <v>0.17137355584082156</v>
      </c>
    </row>
    <row r="18" spans="2:10" x14ac:dyDescent="0.3">
      <c r="B18" t="s">
        <v>145</v>
      </c>
      <c r="C18" s="3">
        <v>0.214</v>
      </c>
      <c r="E18" t="s">
        <v>136</v>
      </c>
      <c r="F18" s="3">
        <v>0.3</v>
      </c>
      <c r="H18" s="135">
        <f t="shared" ref="H18:H19" si="2">$C$18*F18</f>
        <v>6.4199999999999993E-2</v>
      </c>
    </row>
    <row r="19" spans="2:10" x14ac:dyDescent="0.3">
      <c r="E19" t="s">
        <v>137</v>
      </c>
      <c r="F19" s="3">
        <v>0.1</v>
      </c>
      <c r="H19" s="135">
        <f t="shared" si="2"/>
        <v>2.1400000000000002E-2</v>
      </c>
    </row>
    <row r="20" spans="2:10" x14ac:dyDescent="0.3">
      <c r="F20" s="3"/>
      <c r="H20" s="135"/>
    </row>
    <row r="21" spans="2:10" x14ac:dyDescent="0.3">
      <c r="E21" t="s">
        <v>135</v>
      </c>
      <c r="F21" s="3">
        <v>0.15</v>
      </c>
      <c r="H21" s="135">
        <f>$C$22*F21</f>
        <v>3.3299999999999996E-2</v>
      </c>
    </row>
    <row r="22" spans="2:10" x14ac:dyDescent="0.3">
      <c r="B22" t="s">
        <v>146</v>
      </c>
      <c r="C22" s="3">
        <v>0.222</v>
      </c>
      <c r="E22" t="s">
        <v>136</v>
      </c>
      <c r="F22" s="3">
        <v>0.25</v>
      </c>
      <c r="H22" s="135">
        <f t="shared" ref="H22:H23" si="3">$C$22*F22</f>
        <v>5.5500000000000001E-2</v>
      </c>
    </row>
    <row r="23" spans="2:10" x14ac:dyDescent="0.3">
      <c r="E23" t="s">
        <v>137</v>
      </c>
      <c r="F23" s="3">
        <v>0.6</v>
      </c>
      <c r="H23" s="135">
        <f t="shared" si="3"/>
        <v>0.13319999999999999</v>
      </c>
    </row>
  </sheetData>
  <mergeCells count="1"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CEDF-709B-AB41-83AE-0AF85138FE70}">
  <sheetPr codeName="Hoja4"/>
  <dimension ref="A1:P13"/>
  <sheetViews>
    <sheetView showGridLines="0" zoomScale="75" workbookViewId="0">
      <selection activeCell="O14" sqref="O14"/>
    </sheetView>
  </sheetViews>
  <sheetFormatPr baseColWidth="10" defaultRowHeight="15.6" x14ac:dyDescent="0.3"/>
  <cols>
    <col min="2" max="2" width="19.5" customWidth="1"/>
    <col min="3" max="3" width="6.796875" customWidth="1"/>
    <col min="15" max="15" width="16.19921875" style="4" customWidth="1"/>
  </cols>
  <sheetData>
    <row r="1" spans="1:16" ht="21" x14ac:dyDescent="0.4">
      <c r="B1" s="30" t="s">
        <v>75</v>
      </c>
      <c r="G1" s="127">
        <f>Caratula!G1</f>
        <v>5</v>
      </c>
    </row>
    <row r="3" spans="1:16" ht="23.4" x14ac:dyDescent="0.4">
      <c r="B3" s="118" t="s">
        <v>64</v>
      </c>
      <c r="C3" s="119">
        <f>VLOOKUP($G$1,DATOS!$C$13:$D$22,2,0)</f>
        <v>9</v>
      </c>
      <c r="D3" s="120" t="s">
        <v>152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121"/>
      <c r="P3" s="40"/>
    </row>
    <row r="4" spans="1:16" ht="23.4" x14ac:dyDescent="0.4">
      <c r="B4" s="122" t="s">
        <v>151</v>
      </c>
      <c r="C4" s="123"/>
      <c r="D4" s="124"/>
      <c r="E4" s="46"/>
      <c r="F4" s="46"/>
      <c r="G4" s="46"/>
      <c r="H4" s="46"/>
      <c r="I4" s="46"/>
      <c r="J4" s="46"/>
      <c r="K4" s="46"/>
      <c r="L4" s="46"/>
      <c r="M4" s="46"/>
      <c r="N4" s="46"/>
      <c r="O4" s="125"/>
      <c r="P4" s="47"/>
    </row>
    <row r="5" spans="1:16" x14ac:dyDescent="0.3">
      <c r="P5" t="s">
        <v>67</v>
      </c>
    </row>
    <row r="6" spans="1:16" ht="21" x14ac:dyDescent="0.3">
      <c r="B6" s="67" t="s">
        <v>76</v>
      </c>
      <c r="C6" s="55"/>
      <c r="D6" s="55"/>
      <c r="E6" s="55"/>
      <c r="F6" s="55"/>
      <c r="G6" s="55"/>
      <c r="H6" s="55"/>
      <c r="I6" s="55"/>
      <c r="P6" s="57">
        <f>SUM(P8:P13)</f>
        <v>15</v>
      </c>
    </row>
    <row r="7" spans="1:16" ht="21" x14ac:dyDescent="0.4">
      <c r="P7" s="6"/>
    </row>
    <row r="8" spans="1:16" ht="23.4" x14ac:dyDescent="0.4">
      <c r="A8" t="s">
        <v>13</v>
      </c>
      <c r="B8" s="53" t="s">
        <v>70</v>
      </c>
      <c r="O8" s="60">
        <f>FACT(9)</f>
        <v>362880</v>
      </c>
      <c r="P8" s="57">
        <v>5</v>
      </c>
    </row>
    <row r="9" spans="1:16" ht="21" x14ac:dyDescent="0.4">
      <c r="B9" s="54"/>
      <c r="P9" s="6"/>
    </row>
    <row r="10" spans="1:16" ht="23.4" x14ac:dyDescent="0.4">
      <c r="A10" t="s">
        <v>15</v>
      </c>
      <c r="B10" s="53" t="s">
        <v>65</v>
      </c>
      <c r="O10" s="60">
        <f>_xlfn.PERMUTATIONA(9,2)</f>
        <v>81</v>
      </c>
      <c r="P10" s="57">
        <v>5</v>
      </c>
    </row>
    <row r="11" spans="1:16" ht="21" x14ac:dyDescent="0.4">
      <c r="B11" s="54"/>
      <c r="P11" s="6"/>
    </row>
    <row r="12" spans="1:16" ht="23.4" x14ac:dyDescent="0.4">
      <c r="A12" t="s">
        <v>16</v>
      </c>
      <c r="B12" s="53" t="s">
        <v>66</v>
      </c>
      <c r="P12" s="6"/>
    </row>
    <row r="13" spans="1:16" ht="23.4" x14ac:dyDescent="0.4">
      <c r="B13" s="53" t="s">
        <v>71</v>
      </c>
      <c r="O13" s="60">
        <f>COMBIN(9,3)</f>
        <v>83.999999999999986</v>
      </c>
      <c r="P13" s="57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8681-E4C5-FD4D-98D0-1CAAEE7B4BFC}">
  <sheetPr codeName="Hoja5"/>
  <dimension ref="C1:AE48"/>
  <sheetViews>
    <sheetView zoomScale="181" workbookViewId="0">
      <selection activeCell="H12" sqref="H12"/>
    </sheetView>
  </sheetViews>
  <sheetFormatPr baseColWidth="10" defaultRowHeight="15.6" x14ac:dyDescent="0.3"/>
  <cols>
    <col min="1" max="1" width="1.796875" customWidth="1"/>
    <col min="2" max="2" width="2" customWidth="1"/>
    <col min="4" max="5" width="7" bestFit="1" customWidth="1"/>
    <col min="6" max="6" width="10.5" bestFit="1" customWidth="1"/>
    <col min="7" max="8" width="7" bestFit="1" customWidth="1"/>
    <col min="9" max="9" width="11.5" bestFit="1" customWidth="1"/>
    <col min="10" max="10" width="7" bestFit="1" customWidth="1"/>
    <col min="11" max="11" width="11.5" bestFit="1" customWidth="1"/>
    <col min="12" max="13" width="7" bestFit="1" customWidth="1"/>
    <col min="18" max="18" width="11.69921875" customWidth="1"/>
  </cols>
  <sheetData>
    <row r="1" spans="3:31" x14ac:dyDescent="0.3">
      <c r="AD1" t="s">
        <v>89</v>
      </c>
      <c r="AE1" t="s">
        <v>90</v>
      </c>
    </row>
    <row r="2" spans="3:31" x14ac:dyDescent="0.3">
      <c r="AD2">
        <v>1299720</v>
      </c>
      <c r="AE2" t="s">
        <v>91</v>
      </c>
    </row>
    <row r="3" spans="3:31" x14ac:dyDescent="0.3">
      <c r="C3" t="s">
        <v>52</v>
      </c>
      <c r="AD3">
        <v>1255919</v>
      </c>
      <c r="AE3" t="s">
        <v>92</v>
      </c>
    </row>
    <row r="4" spans="3:31" x14ac:dyDescent="0.3">
      <c r="C4" s="17"/>
      <c r="D4" s="89" t="s">
        <v>134</v>
      </c>
      <c r="E4" s="89" t="s">
        <v>134</v>
      </c>
      <c r="F4" s="89" t="s">
        <v>134</v>
      </c>
      <c r="G4" s="89" t="s">
        <v>134</v>
      </c>
      <c r="H4" s="89" t="s">
        <v>134</v>
      </c>
      <c r="I4" s="89" t="s">
        <v>134</v>
      </c>
      <c r="J4" s="89" t="s">
        <v>134</v>
      </c>
      <c r="K4" s="89" t="s">
        <v>134</v>
      </c>
      <c r="L4" s="89" t="s">
        <v>134</v>
      </c>
      <c r="M4" s="89" t="s">
        <v>134</v>
      </c>
      <c r="O4" s="83" t="s">
        <v>135</v>
      </c>
      <c r="P4">
        <v>0</v>
      </c>
      <c r="Q4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X4">
        <v>8</v>
      </c>
      <c r="Y4">
        <v>9</v>
      </c>
      <c r="AD4">
        <v>1015920</v>
      </c>
      <c r="AE4" t="s">
        <v>93</v>
      </c>
    </row>
    <row r="5" spans="3:31" x14ac:dyDescent="0.3">
      <c r="C5" s="90" t="s">
        <v>143</v>
      </c>
      <c r="D5" s="91">
        <v>0.154</v>
      </c>
      <c r="E5" s="92">
        <v>0.22600000000000001</v>
      </c>
      <c r="F5" s="91">
        <v>0.373</v>
      </c>
      <c r="G5" s="91">
        <v>0.22500000000000001</v>
      </c>
      <c r="H5" s="91">
        <v>0.14599999999999999</v>
      </c>
      <c r="I5" s="91">
        <v>0.38600000000000001</v>
      </c>
      <c r="J5" s="91">
        <v>0.17499999999999999</v>
      </c>
      <c r="K5" s="91">
        <v>0.19700000000000001</v>
      </c>
      <c r="L5" s="91">
        <v>0.312</v>
      </c>
      <c r="M5" s="91">
        <v>0.20799999999999999</v>
      </c>
      <c r="O5" s="90" t="s">
        <v>143</v>
      </c>
      <c r="P5" s="86">
        <v>0.25</v>
      </c>
      <c r="Q5" s="95">
        <f>P5+0.05</f>
        <v>0.3</v>
      </c>
      <c r="R5" s="95">
        <f t="shared" ref="R5:T5" si="0">Q5+0.05</f>
        <v>0.35</v>
      </c>
      <c r="S5" s="95">
        <f t="shared" si="0"/>
        <v>0.39999999999999997</v>
      </c>
      <c r="T5" s="95">
        <f t="shared" si="0"/>
        <v>0.44999999999999996</v>
      </c>
      <c r="U5" s="95">
        <f>P5</f>
        <v>0.25</v>
      </c>
      <c r="V5" s="95">
        <f t="shared" ref="V5:Y5" si="1">Q5</f>
        <v>0.3</v>
      </c>
      <c r="W5" s="95">
        <f t="shared" si="1"/>
        <v>0.35</v>
      </c>
      <c r="X5" s="95">
        <f t="shared" si="1"/>
        <v>0.39999999999999997</v>
      </c>
      <c r="Y5" s="95">
        <f t="shared" si="1"/>
        <v>0.44999999999999996</v>
      </c>
      <c r="AD5">
        <v>1227217</v>
      </c>
      <c r="AE5" t="s">
        <v>94</v>
      </c>
    </row>
    <row r="6" spans="3:31" x14ac:dyDescent="0.3">
      <c r="C6" s="93" t="s">
        <v>144</v>
      </c>
      <c r="D6" s="91">
        <v>0.35599999999999998</v>
      </c>
      <c r="E6" s="92">
        <v>0.22500000000000001</v>
      </c>
      <c r="F6" s="91">
        <v>0.248</v>
      </c>
      <c r="G6" s="91">
        <v>0.35</v>
      </c>
      <c r="H6" s="91">
        <v>0.23699999999999999</v>
      </c>
      <c r="I6" s="91">
        <v>0.17799999999999999</v>
      </c>
      <c r="J6" s="91">
        <v>0.32500000000000001</v>
      </c>
      <c r="K6" s="91">
        <v>0.30199999999999999</v>
      </c>
      <c r="L6" s="91">
        <v>0.17299999999999999</v>
      </c>
      <c r="M6" s="91">
        <v>0.29199999999999998</v>
      </c>
      <c r="O6" s="93" t="s">
        <v>144</v>
      </c>
      <c r="P6" s="86">
        <v>0.3</v>
      </c>
      <c r="Q6" s="95">
        <f>P6+0.02</f>
        <v>0.32</v>
      </c>
      <c r="R6" s="95">
        <f t="shared" ref="R6:T6" si="2">Q6+0.02</f>
        <v>0.34</v>
      </c>
      <c r="S6" s="95">
        <f t="shared" si="2"/>
        <v>0.36000000000000004</v>
      </c>
      <c r="T6" s="95">
        <f t="shared" si="2"/>
        <v>0.38000000000000006</v>
      </c>
      <c r="U6" s="95">
        <f>P6</f>
        <v>0.3</v>
      </c>
      <c r="V6" s="95">
        <f t="shared" ref="V6:V8" si="3">Q6</f>
        <v>0.32</v>
      </c>
      <c r="W6" s="95">
        <f t="shared" ref="W6:W8" si="4">R6</f>
        <v>0.34</v>
      </c>
      <c r="X6" s="95">
        <f t="shared" ref="X6:X8" si="5">S6</f>
        <v>0.36000000000000004</v>
      </c>
      <c r="Y6" s="95">
        <f t="shared" ref="Y6:Y7" si="6">T6</f>
        <v>0.38000000000000006</v>
      </c>
      <c r="AD6">
        <v>1164620</v>
      </c>
      <c r="AE6" t="s">
        <v>95</v>
      </c>
    </row>
    <row r="7" spans="3:31" x14ac:dyDescent="0.3">
      <c r="C7" s="93" t="s">
        <v>145</v>
      </c>
      <c r="D7" s="91">
        <v>0.33700000000000002</v>
      </c>
      <c r="E7" s="92">
        <v>0.28399999999999997</v>
      </c>
      <c r="F7" s="91">
        <v>0.21099999999999999</v>
      </c>
      <c r="G7" s="91">
        <v>0.215</v>
      </c>
      <c r="H7" s="91">
        <v>0.36799999999999999</v>
      </c>
      <c r="I7" s="91">
        <v>0.214</v>
      </c>
      <c r="J7" s="91">
        <v>0.125</v>
      </c>
      <c r="K7" s="91">
        <v>9.5000000000000001E-2</v>
      </c>
      <c r="L7" s="91">
        <v>0.161</v>
      </c>
      <c r="M7" s="91">
        <v>0.30299999999999999</v>
      </c>
      <c r="O7" s="93" t="s">
        <v>145</v>
      </c>
      <c r="P7" s="86">
        <v>0.6</v>
      </c>
      <c r="Q7" s="20">
        <f>P7-0.05</f>
        <v>0.54999999999999993</v>
      </c>
      <c r="R7" s="20">
        <f t="shared" ref="R7:T7" si="7">Q7-0.05</f>
        <v>0.49999999999999994</v>
      </c>
      <c r="S7" s="20">
        <f t="shared" si="7"/>
        <v>0.44999999999999996</v>
      </c>
      <c r="T7" s="20">
        <f t="shared" si="7"/>
        <v>0.39999999999999997</v>
      </c>
      <c r="U7" s="95">
        <f>P7</f>
        <v>0.6</v>
      </c>
      <c r="V7" s="95">
        <f t="shared" si="3"/>
        <v>0.54999999999999993</v>
      </c>
      <c r="W7" s="95">
        <f t="shared" si="4"/>
        <v>0.49999999999999994</v>
      </c>
      <c r="X7" s="95">
        <f t="shared" si="5"/>
        <v>0.44999999999999996</v>
      </c>
      <c r="Y7" s="95">
        <f t="shared" si="6"/>
        <v>0.39999999999999997</v>
      </c>
      <c r="AD7">
        <v>1168120</v>
      </c>
      <c r="AE7" t="s">
        <v>96</v>
      </c>
    </row>
    <row r="8" spans="3:31" ht="16.2" thickBot="1" x14ac:dyDescent="0.35">
      <c r="C8" s="93" t="s">
        <v>146</v>
      </c>
      <c r="D8" s="91">
        <v>0.153</v>
      </c>
      <c r="E8" s="92">
        <v>0.26500000000000001</v>
      </c>
      <c r="F8" s="91">
        <v>0.16800000000000001</v>
      </c>
      <c r="G8" s="91">
        <v>0.21</v>
      </c>
      <c r="H8" s="91">
        <v>0.249</v>
      </c>
      <c r="I8" s="91">
        <v>0.222</v>
      </c>
      <c r="J8" s="91">
        <v>0.375</v>
      </c>
      <c r="K8" s="91">
        <v>0.40600000000000003</v>
      </c>
      <c r="L8" s="91">
        <v>0.35399999999999998</v>
      </c>
      <c r="M8" s="91">
        <v>0.19700000000000001</v>
      </c>
      <c r="O8" s="93" t="s">
        <v>146</v>
      </c>
      <c r="P8" s="87">
        <v>0.15</v>
      </c>
      <c r="Q8" s="96">
        <f>P8+0.05</f>
        <v>0.2</v>
      </c>
      <c r="R8" s="96">
        <f t="shared" ref="R8:T8" si="8">Q8+0.05</f>
        <v>0.25</v>
      </c>
      <c r="S8" s="96">
        <f t="shared" si="8"/>
        <v>0.3</v>
      </c>
      <c r="T8" s="96">
        <f t="shared" si="8"/>
        <v>0.35</v>
      </c>
      <c r="U8" s="95">
        <f>P8</f>
        <v>0.15</v>
      </c>
      <c r="V8" s="95">
        <f t="shared" si="3"/>
        <v>0.2</v>
      </c>
      <c r="W8" s="95">
        <f t="shared" si="4"/>
        <v>0.25</v>
      </c>
      <c r="X8" s="95">
        <f t="shared" si="5"/>
        <v>0.3</v>
      </c>
      <c r="Y8" s="95">
        <f>T8</f>
        <v>0.35</v>
      </c>
      <c r="AD8">
        <v>1049319</v>
      </c>
      <c r="AE8" t="s">
        <v>97</v>
      </c>
    </row>
    <row r="9" spans="3:31" x14ac:dyDescent="0.3">
      <c r="D9" s="94">
        <f t="shared" ref="D9:F9" si="9">SUM(D5:D8)</f>
        <v>1</v>
      </c>
      <c r="E9" s="94">
        <f t="shared" si="9"/>
        <v>1</v>
      </c>
      <c r="F9" s="94">
        <f t="shared" si="9"/>
        <v>1</v>
      </c>
      <c r="G9" s="94">
        <f>SUM(G5:G8)</f>
        <v>0.99999999999999989</v>
      </c>
      <c r="H9" s="94">
        <f>SUM(H5:H8)</f>
        <v>1</v>
      </c>
      <c r="I9" s="94">
        <f>SUM(I5:I8)</f>
        <v>1</v>
      </c>
      <c r="J9" s="94">
        <f t="shared" ref="J9:M9" si="10">SUM(J5:J8)</f>
        <v>1</v>
      </c>
      <c r="K9" s="94">
        <f t="shared" si="10"/>
        <v>1</v>
      </c>
      <c r="L9" s="94">
        <f t="shared" si="10"/>
        <v>1</v>
      </c>
      <c r="M9" s="94">
        <f t="shared" si="10"/>
        <v>1</v>
      </c>
      <c r="AD9">
        <v>1073620</v>
      </c>
      <c r="AE9" t="s">
        <v>98</v>
      </c>
    </row>
    <row r="10" spans="3:31" x14ac:dyDescent="0.3">
      <c r="AD10">
        <v>1247020</v>
      </c>
      <c r="AE10" t="s">
        <v>99</v>
      </c>
    </row>
    <row r="11" spans="3:31" x14ac:dyDescent="0.3">
      <c r="C11" s="34" t="s">
        <v>68</v>
      </c>
      <c r="AD11">
        <v>1187420</v>
      </c>
      <c r="AE11" t="s">
        <v>100</v>
      </c>
    </row>
    <row r="12" spans="3:31" x14ac:dyDescent="0.3">
      <c r="D12" t="s">
        <v>69</v>
      </c>
      <c r="AD12">
        <v>1083320</v>
      </c>
      <c r="AE12" t="s">
        <v>101</v>
      </c>
    </row>
    <row r="13" spans="3:31" x14ac:dyDescent="0.3">
      <c r="C13">
        <v>0</v>
      </c>
      <c r="D13">
        <v>10</v>
      </c>
      <c r="AD13">
        <v>1113620</v>
      </c>
      <c r="AE13" t="s">
        <v>102</v>
      </c>
    </row>
    <row r="14" spans="3:31" x14ac:dyDescent="0.3">
      <c r="C14">
        <v>1</v>
      </c>
      <c r="D14">
        <v>12</v>
      </c>
      <c r="AD14">
        <v>1232720</v>
      </c>
      <c r="AE14" t="s">
        <v>103</v>
      </c>
    </row>
    <row r="15" spans="3:31" x14ac:dyDescent="0.3">
      <c r="C15">
        <v>2</v>
      </c>
      <c r="D15">
        <v>14</v>
      </c>
      <c r="AD15">
        <v>1321220</v>
      </c>
      <c r="AE15" t="s">
        <v>104</v>
      </c>
    </row>
    <row r="16" spans="3:31" x14ac:dyDescent="0.3">
      <c r="C16">
        <v>3</v>
      </c>
      <c r="D16">
        <v>15</v>
      </c>
      <c r="AD16">
        <v>1283019</v>
      </c>
      <c r="AE16" t="s">
        <v>105</v>
      </c>
    </row>
    <row r="17" spans="3:31" x14ac:dyDescent="0.3">
      <c r="C17">
        <v>4</v>
      </c>
      <c r="D17">
        <v>11</v>
      </c>
      <c r="AD17">
        <v>1024519</v>
      </c>
      <c r="AE17" t="s">
        <v>106</v>
      </c>
    </row>
    <row r="18" spans="3:31" x14ac:dyDescent="0.3">
      <c r="C18">
        <v>5</v>
      </c>
      <c r="D18">
        <v>9</v>
      </c>
      <c r="AD18">
        <v>1084120</v>
      </c>
      <c r="AE18" t="s">
        <v>107</v>
      </c>
    </row>
    <row r="19" spans="3:31" x14ac:dyDescent="0.3">
      <c r="C19">
        <v>6</v>
      </c>
      <c r="D19">
        <v>13</v>
      </c>
      <c r="AD19">
        <v>1079620</v>
      </c>
      <c r="AE19" t="s">
        <v>108</v>
      </c>
    </row>
    <row r="20" spans="3:31" x14ac:dyDescent="0.3">
      <c r="C20">
        <v>7</v>
      </c>
      <c r="D20">
        <v>7</v>
      </c>
      <c r="AD20">
        <v>1113420</v>
      </c>
      <c r="AE20" t="s">
        <v>109</v>
      </c>
    </row>
    <row r="21" spans="3:31" x14ac:dyDescent="0.3">
      <c r="C21">
        <v>8</v>
      </c>
      <c r="D21">
        <v>6</v>
      </c>
      <c r="AD21">
        <v>1266219</v>
      </c>
      <c r="AE21" t="s">
        <v>110</v>
      </c>
    </row>
    <row r="22" spans="3:31" x14ac:dyDescent="0.3">
      <c r="C22">
        <v>9</v>
      </c>
      <c r="D22">
        <v>4</v>
      </c>
      <c r="AD22">
        <v>1251420</v>
      </c>
      <c r="AE22" t="s">
        <v>111</v>
      </c>
    </row>
    <row r="23" spans="3:31" x14ac:dyDescent="0.3">
      <c r="AD23">
        <v>1060520</v>
      </c>
      <c r="AE23" t="s">
        <v>112</v>
      </c>
    </row>
    <row r="24" spans="3:31" x14ac:dyDescent="0.3">
      <c r="C24" t="s">
        <v>48</v>
      </c>
      <c r="D24">
        <f>Caratula!G1</f>
        <v>5</v>
      </c>
      <c r="F24">
        <f>Caratula!F10</f>
        <v>202000544</v>
      </c>
      <c r="I24" s="74">
        <f>MID(F24,4,1)*1</f>
        <v>0</v>
      </c>
      <c r="K24" t="str">
        <f>IF(ISODD(I24),"IMPAR","PAR")</f>
        <v>PAR</v>
      </c>
      <c r="AD24">
        <v>1054020</v>
      </c>
      <c r="AE24" t="s">
        <v>113</v>
      </c>
    </row>
    <row r="25" spans="3:31" x14ac:dyDescent="0.3">
      <c r="AD25">
        <v>1152620</v>
      </c>
      <c r="AE25" t="s">
        <v>114</v>
      </c>
    </row>
    <row r="26" spans="3:31" x14ac:dyDescent="0.3">
      <c r="C26" s="24" t="s">
        <v>2</v>
      </c>
      <c r="D26" s="25" t="s">
        <v>3</v>
      </c>
      <c r="E26" s="25" t="s">
        <v>4</v>
      </c>
      <c r="F26" s="25" t="s">
        <v>5</v>
      </c>
      <c r="I26" s="24" t="s">
        <v>2</v>
      </c>
      <c r="J26" s="25" t="s">
        <v>3</v>
      </c>
      <c r="K26" s="25" t="s">
        <v>4</v>
      </c>
      <c r="L26" s="25" t="s">
        <v>5</v>
      </c>
      <c r="AD26">
        <v>1146620</v>
      </c>
      <c r="AE26" t="s">
        <v>115</v>
      </c>
    </row>
    <row r="27" spans="3:31" x14ac:dyDescent="0.3">
      <c r="C27" s="71" t="s">
        <v>79</v>
      </c>
      <c r="D27" s="72">
        <v>7</v>
      </c>
      <c r="E27" s="72">
        <v>1</v>
      </c>
      <c r="F27" s="72">
        <v>1</v>
      </c>
      <c r="H27" s="75">
        <v>1</v>
      </c>
      <c r="I27" t="str">
        <f>VLOOKUP(H27,$H$38:$J$48,(IF(ISODD($I$24),1,2)+1),0)</f>
        <v>Real Madrid</v>
      </c>
      <c r="J27">
        <f>VLOOKUP(I27,$C$26:$F$46,2,0)</f>
        <v>1706</v>
      </c>
      <c r="K27">
        <f>VLOOKUP(I27,$C$26:$F$46,3,0)</f>
        <v>575</v>
      </c>
      <c r="L27">
        <f>VLOOKUP(I27,$C$26:$F$46,4,0)</f>
        <v>584</v>
      </c>
      <c r="AD27">
        <v>1107420</v>
      </c>
      <c r="AE27" t="s">
        <v>116</v>
      </c>
    </row>
    <row r="28" spans="3:31" x14ac:dyDescent="0.3">
      <c r="C28" s="71" t="s">
        <v>80</v>
      </c>
      <c r="D28" s="73">
        <v>3</v>
      </c>
      <c r="E28" s="73">
        <v>1</v>
      </c>
      <c r="F28" s="73">
        <v>4</v>
      </c>
      <c r="H28" s="77">
        <v>2</v>
      </c>
      <c r="I28" t="str">
        <f t="shared" ref="I28:I36" si="11">VLOOKUP(H28,$H$38:$J$48,(IF(ISODD($I$24),1,2)+1),0)</f>
        <v>F. C. Barcelona</v>
      </c>
      <c r="J28">
        <f t="shared" ref="J28:J36" si="12">VLOOKUP(I28,$C$26:$F$46,2,0)</f>
        <v>1653</v>
      </c>
      <c r="K28">
        <f t="shared" ref="K28:K36" si="13">VLOOKUP(I28,$C$26:$F$46,3,0)</f>
        <v>583</v>
      </c>
      <c r="L28">
        <f t="shared" ref="L28:L36" si="14">VLOOKUP(I28,$C$26:$F$46,4,0)</f>
        <v>630</v>
      </c>
      <c r="AD28">
        <v>1156020</v>
      </c>
      <c r="AE28" t="s">
        <v>117</v>
      </c>
    </row>
    <row r="29" spans="3:31" x14ac:dyDescent="0.3">
      <c r="C29" s="71" t="s">
        <v>81</v>
      </c>
      <c r="D29" s="73">
        <v>4</v>
      </c>
      <c r="E29" s="73">
        <v>2</v>
      </c>
      <c r="F29" s="73">
        <v>2</v>
      </c>
      <c r="H29" s="75">
        <v>3</v>
      </c>
      <c r="I29" t="str">
        <f t="shared" si="11"/>
        <v>Atlético de Madrid</v>
      </c>
      <c r="J29">
        <f t="shared" si="12"/>
        <v>1297</v>
      </c>
      <c r="K29">
        <f t="shared" si="13"/>
        <v>630</v>
      </c>
      <c r="L29">
        <f t="shared" si="14"/>
        <v>790</v>
      </c>
      <c r="AD29">
        <v>1212020</v>
      </c>
      <c r="AE29" t="s">
        <v>118</v>
      </c>
    </row>
    <row r="30" spans="3:31" x14ac:dyDescent="0.3">
      <c r="C30" s="71" t="s">
        <v>82</v>
      </c>
      <c r="D30" s="73">
        <v>4</v>
      </c>
      <c r="E30" s="73">
        <v>3</v>
      </c>
      <c r="F30" s="73">
        <v>2</v>
      </c>
      <c r="H30" s="77">
        <v>4</v>
      </c>
      <c r="I30" t="str">
        <f>VLOOKUP(H30,$H$38:$J$48,(IF(ISODD($I$24),1,2)+1),0)</f>
        <v>Valencia FC</v>
      </c>
      <c r="J30">
        <f>VLOOKUP(I30,$C$26:$F$46,2,0)</f>
        <v>1224</v>
      </c>
      <c r="K30">
        <f t="shared" si="13"/>
        <v>639</v>
      </c>
      <c r="L30">
        <f t="shared" si="14"/>
        <v>877</v>
      </c>
      <c r="AD30">
        <v>1059520</v>
      </c>
      <c r="AE30" t="s">
        <v>119</v>
      </c>
    </row>
    <row r="31" spans="3:31" x14ac:dyDescent="0.3">
      <c r="C31" s="71" t="s">
        <v>83</v>
      </c>
      <c r="D31" s="73">
        <v>5</v>
      </c>
      <c r="E31" s="73">
        <v>1</v>
      </c>
      <c r="F31" s="73">
        <v>2</v>
      </c>
      <c r="H31" s="75">
        <v>5</v>
      </c>
      <c r="I31" t="str">
        <f t="shared" si="11"/>
        <v>Athletic Club</v>
      </c>
      <c r="J31">
        <f t="shared" si="12"/>
        <v>1232</v>
      </c>
      <c r="K31">
        <f t="shared" si="13"/>
        <v>660</v>
      </c>
      <c r="L31">
        <f t="shared" si="14"/>
        <v>946</v>
      </c>
      <c r="AD31">
        <v>1139620</v>
      </c>
      <c r="AE31" t="s">
        <v>120</v>
      </c>
    </row>
    <row r="32" spans="3:31" x14ac:dyDescent="0.3">
      <c r="C32" s="71" t="s">
        <v>0</v>
      </c>
      <c r="D32" s="73">
        <v>3</v>
      </c>
      <c r="E32" s="73">
        <v>2</v>
      </c>
      <c r="F32" s="73">
        <v>4</v>
      </c>
      <c r="H32" s="77">
        <v>6</v>
      </c>
      <c r="I32" t="str">
        <f>VLOOKUP(H32,$H$38:$J$48,(IF(ISODD($I$24),1,2)+1),0)</f>
        <v>Sevilla</v>
      </c>
      <c r="J32">
        <f t="shared" si="12"/>
        <v>1024</v>
      </c>
      <c r="K32">
        <f t="shared" si="13"/>
        <v>546</v>
      </c>
      <c r="L32">
        <f t="shared" si="14"/>
        <v>914</v>
      </c>
      <c r="AD32">
        <v>1235618</v>
      </c>
      <c r="AE32" t="s">
        <v>121</v>
      </c>
    </row>
    <row r="33" spans="3:31" x14ac:dyDescent="0.3">
      <c r="C33" s="71" t="s">
        <v>84</v>
      </c>
      <c r="D33" s="73">
        <v>6</v>
      </c>
      <c r="E33" s="73">
        <v>0</v>
      </c>
      <c r="F33" s="73">
        <v>3</v>
      </c>
      <c r="H33" s="75">
        <v>7</v>
      </c>
      <c r="I33" t="str">
        <f t="shared" si="11"/>
        <v>Espanyol</v>
      </c>
      <c r="J33">
        <f t="shared" si="12"/>
        <v>974</v>
      </c>
      <c r="K33">
        <f t="shared" si="13"/>
        <v>632</v>
      </c>
      <c r="L33">
        <f t="shared" si="14"/>
        <v>1096</v>
      </c>
      <c r="AD33">
        <v>1070720</v>
      </c>
      <c r="AE33" t="s">
        <v>122</v>
      </c>
    </row>
    <row r="34" spans="3:31" x14ac:dyDescent="0.3">
      <c r="C34" s="71" t="s">
        <v>85</v>
      </c>
      <c r="D34" s="73">
        <v>3</v>
      </c>
      <c r="E34" s="73">
        <v>2</v>
      </c>
      <c r="F34" s="73">
        <v>3</v>
      </c>
      <c r="H34" s="77">
        <v>8</v>
      </c>
      <c r="I34" t="str">
        <f t="shared" si="11"/>
        <v>Real Sociedad</v>
      </c>
      <c r="J34">
        <f>VLOOKUP(I34,$C$26:$F$46,2,0)</f>
        <v>891</v>
      </c>
      <c r="K34">
        <f t="shared" si="13"/>
        <v>595</v>
      </c>
      <c r="L34">
        <f t="shared" si="14"/>
        <v>892</v>
      </c>
      <c r="AD34">
        <v>1099817</v>
      </c>
      <c r="AE34" t="s">
        <v>123</v>
      </c>
    </row>
    <row r="35" spans="3:31" x14ac:dyDescent="0.3">
      <c r="C35" s="71" t="s">
        <v>86</v>
      </c>
      <c r="D35" s="73">
        <v>6</v>
      </c>
      <c r="E35" s="73">
        <v>2</v>
      </c>
      <c r="F35" s="73">
        <v>1</v>
      </c>
      <c r="H35" s="75">
        <v>9</v>
      </c>
      <c r="I35" t="str">
        <f t="shared" si="11"/>
        <v>Real Zaragoza</v>
      </c>
      <c r="J35">
        <f t="shared" si="12"/>
        <v>698</v>
      </c>
      <c r="K35">
        <f t="shared" si="13"/>
        <v>522</v>
      </c>
      <c r="L35">
        <f t="shared" si="14"/>
        <v>766</v>
      </c>
      <c r="AD35">
        <v>1229120</v>
      </c>
      <c r="AE35" t="s">
        <v>124</v>
      </c>
    </row>
    <row r="36" spans="3:31" x14ac:dyDescent="0.3">
      <c r="C36" s="71" t="s">
        <v>87</v>
      </c>
      <c r="D36" s="73">
        <v>6</v>
      </c>
      <c r="E36" s="73">
        <v>2</v>
      </c>
      <c r="F36" s="73">
        <v>1</v>
      </c>
      <c r="H36" s="77">
        <v>10</v>
      </c>
      <c r="I36" t="str">
        <f t="shared" si="11"/>
        <v>Balompié</v>
      </c>
      <c r="J36">
        <f t="shared" si="12"/>
        <v>638</v>
      </c>
      <c r="K36">
        <f t="shared" si="13"/>
        <v>454</v>
      </c>
      <c r="L36">
        <f t="shared" si="14"/>
        <v>712</v>
      </c>
      <c r="AD36">
        <v>2113220</v>
      </c>
      <c r="AE36" t="s">
        <v>125</v>
      </c>
    </row>
    <row r="37" spans="3:31" x14ac:dyDescent="0.3">
      <c r="C37" s="79" t="s">
        <v>1</v>
      </c>
      <c r="D37" s="80">
        <v>1706</v>
      </c>
      <c r="E37" s="80">
        <v>575</v>
      </c>
      <c r="F37" s="80">
        <v>584</v>
      </c>
      <c r="AD37">
        <v>1041320</v>
      </c>
      <c r="AE37" t="s">
        <v>126</v>
      </c>
    </row>
    <row r="38" spans="3:31" ht="31.2" x14ac:dyDescent="0.3">
      <c r="C38" s="26" t="s">
        <v>6</v>
      </c>
      <c r="D38" s="27">
        <v>1653</v>
      </c>
      <c r="E38" s="27">
        <v>583</v>
      </c>
      <c r="F38" s="27">
        <v>630</v>
      </c>
      <c r="H38" s="78" t="s">
        <v>130</v>
      </c>
      <c r="I38" s="24">
        <v>1</v>
      </c>
      <c r="J38" s="24">
        <v>2</v>
      </c>
      <c r="AD38">
        <v>1162219</v>
      </c>
      <c r="AE38" t="s">
        <v>127</v>
      </c>
    </row>
    <row r="39" spans="3:31" ht="31.2" x14ac:dyDescent="0.3">
      <c r="C39" s="26" t="s">
        <v>9</v>
      </c>
      <c r="D39" s="27">
        <v>1297</v>
      </c>
      <c r="E39" s="27">
        <v>630</v>
      </c>
      <c r="F39" s="27">
        <v>790</v>
      </c>
      <c r="H39" s="76">
        <v>1</v>
      </c>
      <c r="I39" t="str">
        <f t="shared" ref="I39:I48" si="15">C27</f>
        <v>Paris</v>
      </c>
      <c r="J39" t="s">
        <v>1</v>
      </c>
      <c r="AD39">
        <v>1061520</v>
      </c>
      <c r="AE39" t="s">
        <v>128</v>
      </c>
    </row>
    <row r="40" spans="3:31" x14ac:dyDescent="0.3">
      <c r="C40" s="28" t="s">
        <v>147</v>
      </c>
      <c r="D40" s="27">
        <v>1224</v>
      </c>
      <c r="E40" s="27">
        <v>639</v>
      </c>
      <c r="F40" s="27">
        <v>877</v>
      </c>
      <c r="H40" s="76">
        <v>2</v>
      </c>
      <c r="I40" t="str">
        <f t="shared" si="15"/>
        <v>Tottenham</v>
      </c>
      <c r="J40" t="s">
        <v>6</v>
      </c>
      <c r="AD40">
        <v>1170120</v>
      </c>
      <c r="AE40" t="s">
        <v>129</v>
      </c>
    </row>
    <row r="41" spans="3:31" ht="31.2" x14ac:dyDescent="0.3">
      <c r="C41" s="26" t="s">
        <v>7</v>
      </c>
      <c r="D41" s="27">
        <v>1232</v>
      </c>
      <c r="E41" s="27">
        <v>660</v>
      </c>
      <c r="F41" s="27">
        <v>946</v>
      </c>
      <c r="H41" s="76">
        <v>3</v>
      </c>
      <c r="I41" t="str">
        <f t="shared" si="15"/>
        <v>Atalanta</v>
      </c>
      <c r="J41" t="s">
        <v>9</v>
      </c>
    </row>
    <row r="42" spans="3:31" x14ac:dyDescent="0.3">
      <c r="C42" s="28" t="s">
        <v>10</v>
      </c>
      <c r="D42" s="27">
        <v>1024</v>
      </c>
      <c r="E42" s="27">
        <v>546</v>
      </c>
      <c r="F42" s="27">
        <v>914</v>
      </c>
      <c r="H42" s="76">
        <v>4</v>
      </c>
      <c r="I42" t="str">
        <f t="shared" si="15"/>
        <v>Liverpool</v>
      </c>
      <c r="J42" t="s">
        <v>147</v>
      </c>
    </row>
    <row r="43" spans="3:31" x14ac:dyDescent="0.3">
      <c r="C43" s="28" t="s">
        <v>11</v>
      </c>
      <c r="D43" s="27">
        <v>974</v>
      </c>
      <c r="E43" s="27">
        <v>632</v>
      </c>
      <c r="F43" s="27">
        <v>1096</v>
      </c>
      <c r="H43" s="76">
        <v>5</v>
      </c>
      <c r="I43" t="str">
        <f t="shared" si="15"/>
        <v>Leipzig</v>
      </c>
      <c r="J43" t="s">
        <v>7</v>
      </c>
    </row>
    <row r="44" spans="3:31" ht="31.2" x14ac:dyDescent="0.3">
      <c r="C44" s="26" t="s">
        <v>12</v>
      </c>
      <c r="D44" s="27">
        <v>891</v>
      </c>
      <c r="E44" s="27">
        <v>595</v>
      </c>
      <c r="F44" s="27">
        <v>892</v>
      </c>
      <c r="H44" s="76">
        <v>6</v>
      </c>
      <c r="I44" t="str">
        <f t="shared" si="15"/>
        <v>Valencia</v>
      </c>
      <c r="J44" t="s">
        <v>10</v>
      </c>
    </row>
    <row r="45" spans="3:31" ht="31.2" x14ac:dyDescent="0.3">
      <c r="C45" s="26" t="s">
        <v>8</v>
      </c>
      <c r="D45" s="27">
        <v>698</v>
      </c>
      <c r="E45" s="27">
        <v>522</v>
      </c>
      <c r="F45" s="27">
        <v>766</v>
      </c>
      <c r="H45" s="76">
        <v>7</v>
      </c>
      <c r="I45" t="str">
        <f t="shared" si="15"/>
        <v>Atlético</v>
      </c>
      <c r="J45" t="s">
        <v>11</v>
      </c>
    </row>
    <row r="46" spans="3:31" x14ac:dyDescent="0.3">
      <c r="C46" s="26" t="s">
        <v>54</v>
      </c>
      <c r="D46" s="27">
        <v>638</v>
      </c>
      <c r="E46" s="27">
        <v>454</v>
      </c>
      <c r="F46" s="27">
        <v>712</v>
      </c>
      <c r="H46" s="76">
        <v>8</v>
      </c>
      <c r="I46" t="str">
        <f t="shared" si="15"/>
        <v>Dortmund</v>
      </c>
      <c r="J46" t="s">
        <v>12</v>
      </c>
    </row>
    <row r="47" spans="3:31" x14ac:dyDescent="0.3">
      <c r="H47" s="76">
        <v>9</v>
      </c>
      <c r="I47" t="str">
        <f t="shared" si="15"/>
        <v>Bayern</v>
      </c>
      <c r="J47" t="s">
        <v>8</v>
      </c>
    </row>
    <row r="48" spans="3:31" x14ac:dyDescent="0.3">
      <c r="H48" s="76">
        <v>10</v>
      </c>
      <c r="I48" t="str">
        <f t="shared" si="15"/>
        <v>Man. City</v>
      </c>
      <c r="J48" t="s">
        <v>54</v>
      </c>
    </row>
  </sheetData>
  <sheetProtection algorithmName="SHA-512" hashValue="SCU6dubBQfrxk3EtgLfGyU0YYATw6JpqylhhNvRMmOMrAhqPgKL3H1wuZhG0ERr/MAfFW+mJ0bmYWe593fsLYQ==" saltValue="ep9H6rSCKuln3aJEndGib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Caratula</vt:lpstr>
      <vt:lpstr>CASO 1</vt:lpstr>
      <vt:lpstr>Caso 1 procedimiento</vt:lpstr>
      <vt:lpstr>Caso 2</vt:lpstr>
      <vt:lpstr>Caso 2 Procedimiento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MARTIN RIVERA PEREZ</dc:creator>
  <cp:lastModifiedBy>Roberto Gómez</cp:lastModifiedBy>
  <dcterms:created xsi:type="dcterms:W3CDTF">2020-06-13T12:49:36Z</dcterms:created>
  <dcterms:modified xsi:type="dcterms:W3CDTF">2021-06-14T18:53:40Z</dcterms:modified>
</cp:coreProperties>
</file>