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R:\Sales\Customer Files\000004 - Kirintec Limited\MB-eHB NTM RF Board\Rev A.1\Design\"/>
    </mc:Choice>
  </mc:AlternateContent>
  <xr:revisionPtr revIDLastSave="0" documentId="13_ncr:1_{04E1D06B-DB9F-4BDA-8F95-FDBA8F43B1AC}" xr6:coauthVersionLast="47" xr6:coauthVersionMax="47" xr10:uidLastSave="{00000000-0000-0000-0000-000000000000}"/>
  <bookViews>
    <workbookView xWindow="-120" yWindow="-120" windowWidth="29040" windowHeight="15840" activeTab="1" xr2:uid="{DBC4E3C2-70E7-40F4-B99C-7B6D9B1DC826}"/>
  </bookViews>
  <sheets>
    <sheet name="Spur Analysis" sheetId="1" r:id="rId1"/>
    <sheet name="ADF5356 Synth Tuning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0" i="3" l="1"/>
  <c r="B101" i="3"/>
  <c r="B84" i="3"/>
  <c r="B79" i="3"/>
  <c r="B62" i="3"/>
  <c r="B49" i="3"/>
  <c r="D43" i="3" l="1"/>
  <c r="D34" i="3"/>
  <c r="B36" i="3" s="1"/>
  <c r="B28" i="3"/>
  <c r="B21" i="3"/>
  <c r="F3" i="3"/>
  <c r="F7" i="3" s="1"/>
  <c r="J7" i="3"/>
  <c r="E7" i="3"/>
  <c r="D7" i="3"/>
  <c r="L3" i="3"/>
  <c r="I7" i="1"/>
  <c r="M7" i="1" s="1"/>
  <c r="H7" i="1"/>
  <c r="L7" i="1" s="1"/>
  <c r="G7" i="1"/>
  <c r="K7" i="1" s="1"/>
  <c r="F7" i="1"/>
  <c r="J7" i="1" s="1"/>
  <c r="D7" i="1"/>
  <c r="I6" i="1"/>
  <c r="M6" i="1" s="1"/>
  <c r="H6" i="1"/>
  <c r="L6" i="1" s="1"/>
  <c r="G6" i="1"/>
  <c r="K6" i="1" s="1"/>
  <c r="F6" i="1"/>
  <c r="J6" i="1" s="1"/>
  <c r="D6" i="1"/>
  <c r="I3" i="1"/>
  <c r="M3" i="1" s="1"/>
  <c r="H3" i="1"/>
  <c r="L3" i="1" s="1"/>
  <c r="G3" i="1"/>
  <c r="K3" i="1" s="1"/>
  <c r="F3" i="1"/>
  <c r="J3" i="1" s="1"/>
  <c r="D3" i="1"/>
  <c r="I2" i="1"/>
  <c r="M2" i="1" s="1"/>
  <c r="H2" i="1"/>
  <c r="L2" i="1" s="1"/>
  <c r="G2" i="1"/>
  <c r="K2" i="1" s="1"/>
  <c r="F2" i="1"/>
  <c r="J2" i="1" s="1"/>
  <c r="L7" i="3" l="1"/>
  <c r="D13" i="3"/>
  <c r="D114" i="3"/>
  <c r="G3" i="3"/>
  <c r="H3" i="3" s="1"/>
  <c r="D2" i="1"/>
  <c r="D126" i="3" l="1"/>
  <c r="B130" i="3" s="1"/>
  <c r="D127" i="3"/>
  <c r="I3" i="3"/>
  <c r="K3" i="3" s="1"/>
  <c r="D120" i="3" s="1"/>
  <c r="B122" i="3" s="1"/>
  <c r="H7" i="3"/>
  <c r="M3" i="3" l="1"/>
  <c r="K7" i="3"/>
  <c r="D14" i="3" l="1"/>
  <c r="B15" i="3" s="1"/>
  <c r="D115" i="3"/>
  <c r="B116" i="3" s="1"/>
  <c r="M7" i="3"/>
  <c r="C7" i="3" s="1"/>
  <c r="D41" i="3"/>
  <c r="D42" i="3" s="1"/>
  <c r="B44" i="3" s="1"/>
</calcChain>
</file>

<file path=xl/sharedStrings.xml><?xml version="1.0" encoding="utf-8"?>
<sst xmlns="http://schemas.openxmlformats.org/spreadsheetml/2006/main" count="211" uniqueCount="107">
  <si>
    <t>SUM(L)</t>
  </si>
  <si>
    <t>SUM(H)</t>
  </si>
  <si>
    <t>DIFF(L)</t>
  </si>
  <si>
    <t>DIFF(H)</t>
  </si>
  <si>
    <t>IMG_SUM(L)</t>
  </si>
  <si>
    <t>IMG_SUM(H)</t>
  </si>
  <si>
    <t>IMG_DIFF(L)</t>
  </si>
  <si>
    <t>IMG_DIFF(H)</t>
  </si>
  <si>
    <t>BW</t>
  </si>
  <si>
    <t>IF(L)</t>
  </si>
  <si>
    <t>IF(H)</t>
  </si>
  <si>
    <t>LO</t>
  </si>
  <si>
    <t>Band</t>
  </si>
  <si>
    <t>RF(L)</t>
  </si>
  <si>
    <t>RF(H)</t>
  </si>
  <si>
    <t>1LOx4RF, 2LOx6RF, 3LOx6RF</t>
  </si>
  <si>
    <t>2LOx4RF, 3LOx6RF, 4LOx6RF</t>
  </si>
  <si>
    <t>Rx w.c.:</t>
  </si>
  <si>
    <t>Tx w.c.:</t>
  </si>
  <si>
    <t>In-band Spur Mechanisms (w.c.)</t>
  </si>
  <si>
    <t>Rx Min.</t>
  </si>
  <si>
    <t>Rx Max.</t>
  </si>
  <si>
    <t>Tx Min.</t>
  </si>
  <si>
    <t>Tx Max.</t>
  </si>
  <si>
    <t>W.c. spur analysis below uses the LTC5548 "X2 = Low" spur table. Assumption is LO power = 0 dBm nom., RF power = -10 dBm max.</t>
  </si>
  <si>
    <t>INT</t>
  </si>
  <si>
    <t>FRAC1</t>
  </si>
  <si>
    <t>FRAC2</t>
  </si>
  <si>
    <t>MOD1</t>
  </si>
  <si>
    <t>MOD2</t>
  </si>
  <si>
    <t>fPFD (MHz)</t>
  </si>
  <si>
    <t>fVCO (MHz)</t>
  </si>
  <si>
    <t>RFOUTB (MHz)</t>
  </si>
  <si>
    <t>N</t>
  </si>
  <si>
    <t>FRAC</t>
  </si>
  <si>
    <t>fCH (MHz)</t>
  </si>
  <si>
    <t>Sanity Check: Calculate RFOUTB from known settings:</t>
  </si>
  <si>
    <t>Calculate settings from desired RFOUTB, fPFD and fCH:</t>
  </si>
  <si>
    <t>FRAC2_MSB</t>
  </si>
  <si>
    <t>MOD2_MSB</t>
  </si>
  <si>
    <t>CONTROL</t>
  </si>
  <si>
    <t>Bit Field</t>
  </si>
  <si>
    <t>Value</t>
  </si>
  <si>
    <t>Bit Position</t>
  </si>
  <si>
    <t>RESERVED</t>
  </si>
  <si>
    <t>PHASE RESYNC</t>
  </si>
  <si>
    <t>REGISTER 13:</t>
  </si>
  <si>
    <t>REGISTER 12:</t>
  </si>
  <si>
    <t xml:space="preserve">Edit this cell only -&gt; </t>
  </si>
  <si>
    <t>REGISTER 11:</t>
  </si>
  <si>
    <t>VCO BAND HOLD</t>
  </si>
  <si>
    <t>Value (0x):</t>
  </si>
  <si>
    <t>REGISTER 10:</t>
  </si>
  <si>
    <t>ADC ENABLE</t>
  </si>
  <si>
    <t>ADC CONV.</t>
  </si>
  <si>
    <t>ADC CLK DIV</t>
  </si>
  <si>
    <t>REGISTER 9:</t>
  </si>
  <si>
    <t>LOCK TIMEOUT</t>
  </si>
  <si>
    <t>ALC TIMEOUT</t>
  </si>
  <si>
    <t>TIMEOUT</t>
  </si>
  <si>
    <t>VCO BAND DIV</t>
  </si>
  <si>
    <t>REGISTER 8:</t>
  </si>
  <si>
    <t>REGISTER 7:</t>
  </si>
  <si>
    <t>LD MODE</t>
  </si>
  <si>
    <t>FRAC-N LD PREC.</t>
  </si>
  <si>
    <t>LOL MODE</t>
  </si>
  <si>
    <t>LD CYCLE COUNT</t>
  </si>
  <si>
    <t>LE SYNC</t>
  </si>
  <si>
    <t>LE SEL SYNC EDGE</t>
  </si>
  <si>
    <t>REGISTER 6:</t>
  </si>
  <si>
    <t>RFOUTA PWR</t>
  </si>
  <si>
    <t>RFOUTA EN</t>
  </si>
  <si>
    <t>RFOUTB EN</t>
  </si>
  <si>
    <t>MTLD</t>
  </si>
  <si>
    <t>BLEED CURRENT</t>
  </si>
  <si>
    <t>RF. DIV. SELECT</t>
  </si>
  <si>
    <t>FEEDBACK SEL.</t>
  </si>
  <si>
    <t>NEGATIVE BLEED</t>
  </si>
  <si>
    <t>BLEED POLARITY</t>
  </si>
  <si>
    <t>GATED BLEED</t>
  </si>
  <si>
    <t>REGISTER 5:</t>
  </si>
  <si>
    <t>REGISTER 4:</t>
  </si>
  <si>
    <t>COUNTER RESET</t>
  </si>
  <si>
    <t>CP TRI-STATE</t>
  </si>
  <si>
    <t>POWER-DOWN</t>
  </si>
  <si>
    <t>PD POLARITY</t>
  </si>
  <si>
    <t>MUX LOGIC</t>
  </si>
  <si>
    <t>REF MODE</t>
  </si>
  <si>
    <t>DOUBLE BUFF</t>
  </si>
  <si>
    <t>R COUNTER</t>
  </si>
  <si>
    <t>REF DOUBLER</t>
  </si>
  <si>
    <t>REF DIV-BY-2</t>
  </si>
  <si>
    <t>MUXOUT</t>
  </si>
  <si>
    <t>CP CURRENT</t>
  </si>
  <si>
    <t>REGISTER 3:</t>
  </si>
  <si>
    <t>PHASE VALUE</t>
  </si>
  <si>
    <t>PHASE ADJUST</t>
  </si>
  <si>
    <t>SD LOAD RESET</t>
  </si>
  <si>
    <t>REGISTER 2:</t>
  </si>
  <si>
    <t>MOD2_LSB</t>
  </si>
  <si>
    <t>FRAC2_LSB</t>
  </si>
  <si>
    <t>REGISTER 1:</t>
  </si>
  <si>
    <t>REGISTER 0:</t>
  </si>
  <si>
    <t>PRESCALER</t>
  </si>
  <si>
    <t>AUTOCAL</t>
  </si>
  <si>
    <t>Register Values (Auto-Calculated based on cell C3):</t>
  </si>
  <si>
    <t xml:space="preserve">Should match cell C3 value -&gt;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</si>
</sst>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5" fillId="4" borderId="1" applyNumberFormat="0" applyAlignment="0" applyProtection="0"/>
    <xf numFmtId="0" fontId="6" fillId="0" borderId="2" applyNumberFormat="0" applyFill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2" borderId="0" xfId="1" applyAlignment="1">
      <alignment horizontal="left"/>
    </xf>
    <xf numFmtId="0" fontId="2" fillId="3" borderId="0" xfId="2" applyBorder="1" applyAlignment="1">
      <alignment horizontal="left"/>
    </xf>
    <xf numFmtId="0" fontId="4" fillId="0" borderId="0" xfId="0" applyFont="1" applyAlignment="1">
      <alignment horizontal="left"/>
    </xf>
    <xf numFmtId="0" fontId="2" fillId="3" borderId="4" xfId="2" applyNumberFormat="1" applyBorder="1" applyAlignment="1">
      <alignment horizontal="left"/>
    </xf>
    <xf numFmtId="0" fontId="5" fillId="4" borderId="4" xfId="3" applyNumberForma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3" borderId="4" xfId="2" applyBorder="1" applyAlignment="1">
      <alignment horizontal="left"/>
    </xf>
    <xf numFmtId="0" fontId="3" fillId="0" borderId="3" xfId="0" applyFont="1" applyBorder="1"/>
    <xf numFmtId="0" fontId="7" fillId="0" borderId="0" xfId="0" applyFont="1" applyAlignment="1">
      <alignment horizontal="right"/>
    </xf>
    <xf numFmtId="164" fontId="5" fillId="4" borderId="1" xfId="3" applyNumberFormat="1" applyAlignment="1">
      <alignment horizontal="left"/>
    </xf>
    <xf numFmtId="0" fontId="5" fillId="0" borderId="2" xfId="4" applyFont="1" applyAlignment="1">
      <alignment horizontal="left"/>
    </xf>
    <xf numFmtId="0" fontId="7" fillId="0" borderId="0" xfId="0" applyFont="1" applyAlignment="1">
      <alignment horizontal="right"/>
    </xf>
    <xf numFmtId="0" fontId="7" fillId="0" borderId="5" xfId="0" applyFont="1" applyBorder="1" applyAlignment="1">
      <alignment horizontal="right"/>
    </xf>
  </cellXfs>
  <cellStyles count="5">
    <cellStyle name="Calculation" xfId="3" builtinId="22"/>
    <cellStyle name="Good" xfId="1" builtinId="26"/>
    <cellStyle name="Input" xfId="2" builtinId="20"/>
    <cellStyle name="Linked Cell" xfId="4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57149</xdr:colOff>
      <xdr:row>11</xdr:row>
      <xdr:rowOff>9525</xdr:rowOff>
    </xdr:from>
    <xdr:to>
      <xdr:col>11</xdr:col>
      <xdr:colOff>727931</xdr:colOff>
      <xdr:row>39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A2EC04-5BBD-BA99-D2A4-DF08DECDD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49" y="2105025"/>
          <a:ext cx="7805007" cy="5448300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</xdr:colOff>
      <xdr:row>11</xdr:row>
      <xdr:rowOff>0</xdr:rowOff>
    </xdr:from>
    <xdr:to>
      <xdr:col>22</xdr:col>
      <xdr:colOff>142875</xdr:colOff>
      <xdr:row>39</xdr:row>
      <xdr:rowOff>135041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7C0460-4B05-22D8-781F-E4BBAE634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34325" y="2095500"/>
          <a:ext cx="7810500" cy="54690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03818-6CA9-40E5-AF47-31E359EFD744}">
  <sheetPr codeName="Sheet1"/>
  <dimension ref="A1:O11"/>
  <sheetViews>
    <sheetView workbookViewId="0">
      <selection activeCell="E2" sqref="E2"/>
    </sheetView>
  </sheetViews>
  <sheetFormatPr defaultRowHeight="15" x14ac:dyDescent="0.25"/>
  <cols>
    <col min="2" max="9" width="9.140625" style="1"/>
    <col min="10" max="10" width="12.42578125" style="1" bestFit="1" customWidth="1"/>
    <col min="11" max="11" width="12.28515625" style="1" bestFit="1" customWidth="1"/>
    <col min="12" max="12" width="11.7109375" bestFit="1" customWidth="1"/>
    <col min="13" max="13" width="12.140625" bestFit="1" customWidth="1"/>
    <col min="15" max="15" width="30" bestFit="1" customWidth="1"/>
    <col min="17" max="17" width="9.140625" customWidth="1"/>
  </cols>
  <sheetData>
    <row r="1" spans="1:15" x14ac:dyDescent="0.25">
      <c r="A1" s="3" t="s">
        <v>12</v>
      </c>
      <c r="B1" s="2" t="s">
        <v>13</v>
      </c>
      <c r="C1" s="2" t="s">
        <v>14</v>
      </c>
      <c r="D1" s="2" t="s">
        <v>8</v>
      </c>
      <c r="E1" s="2" t="s">
        <v>11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O1" s="2" t="s">
        <v>19</v>
      </c>
    </row>
    <row r="2" spans="1:15" x14ac:dyDescent="0.25">
      <c r="A2" t="s">
        <v>20</v>
      </c>
      <c r="B2" s="5">
        <v>5700</v>
      </c>
      <c r="C2" s="5">
        <v>5900</v>
      </c>
      <c r="D2" s="1">
        <f t="shared" ref="D2" si="0">C2-B2</f>
        <v>200</v>
      </c>
      <c r="E2" s="5">
        <v>10800</v>
      </c>
      <c r="F2" s="1">
        <f>E2+B2</f>
        <v>16500</v>
      </c>
      <c r="G2" s="1">
        <f>E2+C2</f>
        <v>16700</v>
      </c>
      <c r="H2" s="4">
        <f>E2-C2</f>
        <v>4900</v>
      </c>
      <c r="I2" s="4">
        <f>E2-B2</f>
        <v>5100</v>
      </c>
      <c r="J2" s="6">
        <f t="shared" ref="J2" si="1">E2-F2</f>
        <v>-5700</v>
      </c>
      <c r="K2" s="6">
        <f t="shared" ref="K2" si="2">E2-G2</f>
        <v>-5900</v>
      </c>
      <c r="L2">
        <f t="shared" ref="L2" si="3">E2+H2</f>
        <v>15700</v>
      </c>
      <c r="M2">
        <f t="shared" ref="M2" si="4">E2+I2</f>
        <v>15900</v>
      </c>
      <c r="O2" t="s">
        <v>16</v>
      </c>
    </row>
    <row r="3" spans="1:15" x14ac:dyDescent="0.25">
      <c r="A3" t="s">
        <v>21</v>
      </c>
      <c r="B3" s="5">
        <v>7800</v>
      </c>
      <c r="C3" s="5">
        <v>8000</v>
      </c>
      <c r="D3" s="1">
        <f t="shared" ref="D3" si="5">C3-B3</f>
        <v>200</v>
      </c>
      <c r="E3" s="5">
        <v>12900</v>
      </c>
      <c r="F3" s="1">
        <f>E3+B3</f>
        <v>20700</v>
      </c>
      <c r="G3" s="1">
        <f>E3+C3</f>
        <v>20900</v>
      </c>
      <c r="H3" s="4">
        <f>E3-C3</f>
        <v>4900</v>
      </c>
      <c r="I3" s="4">
        <f>E3-B3</f>
        <v>5100</v>
      </c>
      <c r="J3" s="6">
        <f t="shared" ref="J3" si="6">E3-F3</f>
        <v>-7800</v>
      </c>
      <c r="K3" s="6">
        <f t="shared" ref="K3" si="7">E3-G3</f>
        <v>-8000</v>
      </c>
      <c r="L3">
        <f t="shared" ref="L3" si="8">E3+H3</f>
        <v>17800</v>
      </c>
      <c r="M3">
        <f t="shared" ref="M3" si="9">E3+I3</f>
        <v>18000</v>
      </c>
    </row>
    <row r="5" spans="1:15" x14ac:dyDescent="0.25">
      <c r="A5" s="3" t="s">
        <v>12</v>
      </c>
      <c r="B5" s="2" t="s">
        <v>9</v>
      </c>
      <c r="C5" s="2" t="s">
        <v>10</v>
      </c>
      <c r="D5" s="2" t="s">
        <v>8</v>
      </c>
      <c r="E5" s="2" t="s">
        <v>11</v>
      </c>
      <c r="F5" s="2" t="s">
        <v>0</v>
      </c>
      <c r="G5" s="2" t="s">
        <v>1</v>
      </c>
      <c r="H5" s="2" t="s">
        <v>2</v>
      </c>
      <c r="I5" s="2" t="s">
        <v>3</v>
      </c>
      <c r="J5" s="2" t="s">
        <v>4</v>
      </c>
      <c r="K5" s="2" t="s">
        <v>5</v>
      </c>
      <c r="L5" s="2" t="s">
        <v>6</v>
      </c>
      <c r="M5" s="2" t="s">
        <v>7</v>
      </c>
      <c r="O5" s="2" t="s">
        <v>19</v>
      </c>
    </row>
    <row r="6" spans="1:15" x14ac:dyDescent="0.25">
      <c r="A6" t="s">
        <v>22</v>
      </c>
      <c r="B6" s="5">
        <v>4900</v>
      </c>
      <c r="C6" s="5">
        <v>5100</v>
      </c>
      <c r="D6" s="1">
        <f t="shared" ref="D6:D7" si="10">C6-B6</f>
        <v>200</v>
      </c>
      <c r="E6" s="5">
        <v>10800</v>
      </c>
      <c r="F6" s="1">
        <f>E6+B6</f>
        <v>15700</v>
      </c>
      <c r="G6" s="1">
        <f>E6+C6</f>
        <v>15900</v>
      </c>
      <c r="H6" s="4">
        <f>E6-C6</f>
        <v>5700</v>
      </c>
      <c r="I6" s="4">
        <f>E6-B6</f>
        <v>5900</v>
      </c>
      <c r="J6" s="6">
        <f t="shared" ref="J6:J7" si="11">E6-F6</f>
        <v>-4900</v>
      </c>
      <c r="K6" s="6">
        <f t="shared" ref="K6:K7" si="12">E6-G6</f>
        <v>-5100</v>
      </c>
      <c r="L6">
        <f t="shared" ref="L6:L7" si="13">E6+H6</f>
        <v>16500</v>
      </c>
      <c r="M6">
        <f t="shared" ref="M6:M7" si="14">E6+I6</f>
        <v>16700</v>
      </c>
      <c r="O6" t="s">
        <v>15</v>
      </c>
    </row>
    <row r="7" spans="1:15" x14ac:dyDescent="0.25">
      <c r="A7" t="s">
        <v>23</v>
      </c>
      <c r="B7" s="5">
        <v>4900</v>
      </c>
      <c r="C7" s="5">
        <v>5100</v>
      </c>
      <c r="D7" s="1">
        <f t="shared" si="10"/>
        <v>200</v>
      </c>
      <c r="E7" s="5">
        <v>12900</v>
      </c>
      <c r="F7" s="1">
        <f>E7+B7</f>
        <v>17800</v>
      </c>
      <c r="G7" s="1">
        <f>E7+C7</f>
        <v>18000</v>
      </c>
      <c r="H7" s="4">
        <f>E7-C7</f>
        <v>7800</v>
      </c>
      <c r="I7" s="4">
        <f>E7-B7</f>
        <v>8000</v>
      </c>
      <c r="J7" s="6">
        <f t="shared" si="11"/>
        <v>-4900</v>
      </c>
      <c r="K7" s="6">
        <f t="shared" si="12"/>
        <v>-5100</v>
      </c>
      <c r="L7">
        <f t="shared" si="13"/>
        <v>20700</v>
      </c>
      <c r="M7">
        <f t="shared" si="14"/>
        <v>20900</v>
      </c>
    </row>
    <row r="9" spans="1:15" x14ac:dyDescent="0.25">
      <c r="A9" t="s">
        <v>24</v>
      </c>
      <c r="B9"/>
      <c r="C9"/>
      <c r="D9"/>
      <c r="E9"/>
      <c r="F9"/>
      <c r="G9"/>
      <c r="H9"/>
      <c r="I9"/>
      <c r="J9"/>
      <c r="K9"/>
    </row>
    <row r="11" spans="1:15" x14ac:dyDescent="0.25">
      <c r="A11" s="3" t="s">
        <v>17</v>
      </c>
      <c r="M11" s="3" t="s">
        <v>18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D6AA5-A7FE-4D8F-8980-F9FF4091C29B}">
  <dimension ref="A1:M130"/>
  <sheetViews>
    <sheetView tabSelected="1" workbookViewId="0">
      <selection activeCell="C3" sqref="C3"/>
    </sheetView>
  </sheetViews>
  <sheetFormatPr defaultRowHeight="15" x14ac:dyDescent="0.25"/>
  <cols>
    <col min="1" max="1" width="15.7109375" customWidth="1"/>
    <col min="2" max="2" width="16.28515625" bestFit="1" customWidth="1"/>
    <col min="3" max="3" width="15.7109375" customWidth="1"/>
    <col min="4" max="13" width="15.7109375" style="1" customWidth="1"/>
    <col min="14" max="14" width="15.7109375" customWidth="1"/>
  </cols>
  <sheetData>
    <row r="1" spans="1:13" ht="15.75" thickBot="1" x14ac:dyDescent="0.3">
      <c r="C1" s="14" t="s">
        <v>37</v>
      </c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.75" thickTop="1" x14ac:dyDescent="0.25">
      <c r="C2" s="9" t="s">
        <v>32</v>
      </c>
      <c r="D2" s="9" t="s">
        <v>30</v>
      </c>
      <c r="E2" s="9" t="s">
        <v>35</v>
      </c>
      <c r="F2" s="9" t="s">
        <v>31</v>
      </c>
      <c r="G2" s="9" t="s">
        <v>33</v>
      </c>
      <c r="H2" s="9" t="s">
        <v>25</v>
      </c>
      <c r="I2" s="9" t="s">
        <v>34</v>
      </c>
      <c r="J2" s="9" t="s">
        <v>28</v>
      </c>
      <c r="K2" s="9" t="s">
        <v>26</v>
      </c>
      <c r="L2" s="9" t="s">
        <v>29</v>
      </c>
      <c r="M2" s="9" t="s">
        <v>27</v>
      </c>
    </row>
    <row r="3" spans="1:13" x14ac:dyDescent="0.25">
      <c r="A3" s="15" t="s">
        <v>48</v>
      </c>
      <c r="B3" s="16"/>
      <c r="C3" s="7">
        <v>10800</v>
      </c>
      <c r="D3" s="7">
        <v>61.44</v>
      </c>
      <c r="E3" s="7">
        <v>1</v>
      </c>
      <c r="F3" s="8">
        <f>C3/2</f>
        <v>5400</v>
      </c>
      <c r="G3" s="8">
        <f>F3/D3</f>
        <v>87.890625</v>
      </c>
      <c r="H3" s="8">
        <f>INT(G3)</f>
        <v>87</v>
      </c>
      <c r="I3" s="8">
        <f>G3-H3</f>
        <v>0.890625</v>
      </c>
      <c r="J3" s="8">
        <v>16777216</v>
      </c>
      <c r="K3" s="8">
        <f>INT(J3*I3)</f>
        <v>14942208</v>
      </c>
      <c r="L3" s="8">
        <f>(D3*1000000)/GCD((D3*1000000), (E3*1000000))</f>
        <v>1536</v>
      </c>
      <c r="M3" s="8">
        <f>INT(((J3*I3)-K3)*L3)</f>
        <v>0</v>
      </c>
    </row>
    <row r="4" spans="1:13" x14ac:dyDescent="0.25">
      <c r="C4" s="1"/>
      <c r="M4"/>
    </row>
    <row r="5" spans="1:13" ht="15.75" thickBot="1" x14ac:dyDescent="0.3">
      <c r="C5" s="14" t="s">
        <v>36</v>
      </c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3" ht="15.75" thickTop="1" x14ac:dyDescent="0.25">
      <c r="C6" s="11" t="s">
        <v>32</v>
      </c>
      <c r="D6" s="11" t="s">
        <v>30</v>
      </c>
      <c r="E6" s="11" t="s">
        <v>35</v>
      </c>
      <c r="F6" s="11" t="s">
        <v>31</v>
      </c>
      <c r="G6" s="11"/>
      <c r="H6" s="11" t="s">
        <v>25</v>
      </c>
      <c r="I6" s="11"/>
      <c r="J6" s="11" t="s">
        <v>28</v>
      </c>
      <c r="K6" s="11" t="s">
        <v>26</v>
      </c>
      <c r="L6" s="11" t="s">
        <v>29</v>
      </c>
      <c r="M6" s="11" t="s">
        <v>27</v>
      </c>
    </row>
    <row r="7" spans="1:13" x14ac:dyDescent="0.25">
      <c r="A7" s="15" t="s">
        <v>106</v>
      </c>
      <c r="B7" s="16"/>
      <c r="C7" s="8">
        <f>(H7+((K7+(M7/L7))/J7))*(D7*2)</f>
        <v>10800</v>
      </c>
      <c r="D7" s="7">
        <f>D3</f>
        <v>61.44</v>
      </c>
      <c r="E7" s="7">
        <f>E3</f>
        <v>1</v>
      </c>
      <c r="F7" s="10">
        <f>F3</f>
        <v>5400</v>
      </c>
      <c r="G7" s="10"/>
      <c r="H7" s="7">
        <f>H3</f>
        <v>87</v>
      </c>
      <c r="I7" s="10"/>
      <c r="J7" s="7">
        <f>J3</f>
        <v>16777216</v>
      </c>
      <c r="K7" s="7">
        <f>K3</f>
        <v>14942208</v>
      </c>
      <c r="L7" s="7">
        <f>L3</f>
        <v>1536</v>
      </c>
      <c r="M7" s="7">
        <f>M3</f>
        <v>0</v>
      </c>
    </row>
    <row r="8" spans="1:13" x14ac:dyDescent="0.25">
      <c r="C8" s="1"/>
      <c r="M8"/>
    </row>
    <row r="9" spans="1:13" x14ac:dyDescent="0.25">
      <c r="C9" s="1"/>
      <c r="M9"/>
    </row>
    <row r="10" spans="1:13" ht="15.75" thickBot="1" x14ac:dyDescent="0.3">
      <c r="A10" s="14" t="s">
        <v>105</v>
      </c>
      <c r="B10" s="14"/>
      <c r="C10" s="14"/>
      <c r="D10" s="14"/>
    </row>
    <row r="11" spans="1:13" ht="15.75" thickTop="1" x14ac:dyDescent="0.25">
      <c r="A11" s="3" t="s">
        <v>46</v>
      </c>
      <c r="B11" s="2" t="s">
        <v>41</v>
      </c>
      <c r="C11" s="2" t="s">
        <v>43</v>
      </c>
      <c r="D11" s="2" t="s">
        <v>42</v>
      </c>
    </row>
    <row r="12" spans="1:13" x14ac:dyDescent="0.25">
      <c r="B12" s="1" t="s">
        <v>40</v>
      </c>
      <c r="C12" s="1">
        <v>0</v>
      </c>
      <c r="D12" s="1">
        <v>13</v>
      </c>
    </row>
    <row r="13" spans="1:13" x14ac:dyDescent="0.25">
      <c r="B13" s="1" t="s">
        <v>39</v>
      </c>
      <c r="C13" s="1">
        <v>4</v>
      </c>
      <c r="D13" s="1">
        <f>_xlfn.BITAND(_xlfn.BITLSHIFT(L3, 14),16383)</f>
        <v>0</v>
      </c>
    </row>
    <row r="14" spans="1:13" x14ac:dyDescent="0.25">
      <c r="B14" s="1" t="s">
        <v>38</v>
      </c>
      <c r="C14" s="1">
        <v>18</v>
      </c>
      <c r="D14" s="1">
        <f>_xlfn.BITAND(_xlfn.BITLSHIFT(M3, 14),16383)</f>
        <v>0</v>
      </c>
    </row>
    <row r="15" spans="1:13" x14ac:dyDescent="0.25">
      <c r="A15" s="12" t="s">
        <v>51</v>
      </c>
      <c r="B15" s="13" t="str">
        <f>DEC2HEX(_xlfn.BITLSHIFT(D12,C12)+_xlfn.BITLSHIFT(D13,C13)+_xlfn.BITLSHIFT(D14,C14),8)</f>
        <v>0000000D</v>
      </c>
      <c r="C15" s="13"/>
      <c r="D15" s="13"/>
    </row>
    <row r="17" spans="1:4" x14ac:dyDescent="0.25">
      <c r="A17" s="3" t="s">
        <v>47</v>
      </c>
      <c r="B17" s="2" t="s">
        <v>41</v>
      </c>
      <c r="C17" s="2" t="s">
        <v>43</v>
      </c>
      <c r="D17" s="2" t="s">
        <v>42</v>
      </c>
    </row>
    <row r="18" spans="1:4" x14ac:dyDescent="0.25">
      <c r="B18" s="1" t="s">
        <v>40</v>
      </c>
      <c r="C18" s="1">
        <v>0</v>
      </c>
      <c r="D18" s="1">
        <v>12</v>
      </c>
    </row>
    <row r="19" spans="1:4" x14ac:dyDescent="0.25">
      <c r="B19" s="1" t="s">
        <v>44</v>
      </c>
      <c r="C19" s="1">
        <v>4</v>
      </c>
      <c r="D19" s="1">
        <v>95</v>
      </c>
    </row>
    <row r="20" spans="1:4" x14ac:dyDescent="0.25">
      <c r="B20" s="1" t="s">
        <v>45</v>
      </c>
      <c r="C20" s="1">
        <v>12</v>
      </c>
      <c r="D20" s="1">
        <v>1048575</v>
      </c>
    </row>
    <row r="21" spans="1:4" x14ac:dyDescent="0.25">
      <c r="A21" s="12" t="s">
        <v>51</v>
      </c>
      <c r="B21" s="13" t="str">
        <f>DEC2HEX(_xlfn.BITLSHIFT(D18,C18)+_xlfn.BITLSHIFT(D19,C19)+_xlfn.BITLSHIFT(D20,C20),8)</f>
        <v>FFFFF5FC</v>
      </c>
      <c r="C21" s="13"/>
      <c r="D21" s="13"/>
    </row>
    <row r="23" spans="1:4" x14ac:dyDescent="0.25">
      <c r="A23" s="3" t="s">
        <v>49</v>
      </c>
      <c r="B23" s="2" t="s">
        <v>41</v>
      </c>
      <c r="C23" s="2" t="s">
        <v>43</v>
      </c>
      <c r="D23" s="2" t="s">
        <v>42</v>
      </c>
    </row>
    <row r="24" spans="1:4" x14ac:dyDescent="0.25">
      <c r="B24" s="1" t="s">
        <v>40</v>
      </c>
      <c r="C24" s="1">
        <v>0</v>
      </c>
      <c r="D24" s="1">
        <v>11</v>
      </c>
    </row>
    <row r="25" spans="1:4" x14ac:dyDescent="0.25">
      <c r="B25" s="1" t="s">
        <v>44</v>
      </c>
      <c r="C25" s="1">
        <v>4</v>
      </c>
      <c r="D25" s="1">
        <v>397824</v>
      </c>
    </row>
    <row r="26" spans="1:4" x14ac:dyDescent="0.25">
      <c r="B26" s="1" t="s">
        <v>50</v>
      </c>
      <c r="C26" s="1">
        <v>24</v>
      </c>
      <c r="D26" s="1">
        <v>0</v>
      </c>
    </row>
    <row r="27" spans="1:4" x14ac:dyDescent="0.25">
      <c r="B27" s="1" t="s">
        <v>44</v>
      </c>
      <c r="C27" s="1">
        <v>25</v>
      </c>
      <c r="D27" s="1">
        <v>0</v>
      </c>
    </row>
    <row r="28" spans="1:4" x14ac:dyDescent="0.25">
      <c r="A28" s="12" t="s">
        <v>51</v>
      </c>
      <c r="B28" s="13" t="str">
        <f>DEC2HEX(_xlfn.BITLSHIFT(D24,C24)+_xlfn.BITLSHIFT(D25,C25)+_xlfn.BITLSHIFT(D26,C26)+_xlfn.BITLSHIFT(D27,C27),8)</f>
        <v>0061200B</v>
      </c>
      <c r="C28" s="13"/>
      <c r="D28" s="13"/>
    </row>
    <row r="30" spans="1:4" x14ac:dyDescent="0.25">
      <c r="A30" s="3" t="s">
        <v>52</v>
      </c>
      <c r="B30" s="2" t="s">
        <v>41</v>
      </c>
      <c r="C30" s="2" t="s">
        <v>43</v>
      </c>
      <c r="D30" s="2" t="s">
        <v>42</v>
      </c>
    </row>
    <row r="31" spans="1:4" x14ac:dyDescent="0.25">
      <c r="B31" s="1" t="s">
        <v>40</v>
      </c>
      <c r="C31" s="1">
        <v>0</v>
      </c>
      <c r="D31" s="1">
        <v>10</v>
      </c>
    </row>
    <row r="32" spans="1:4" x14ac:dyDescent="0.25">
      <c r="B32" s="1" t="s">
        <v>53</v>
      </c>
      <c r="C32" s="1">
        <v>4</v>
      </c>
      <c r="D32" s="1">
        <v>1</v>
      </c>
    </row>
    <row r="33" spans="1:4" x14ac:dyDescent="0.25">
      <c r="B33" s="1" t="s">
        <v>54</v>
      </c>
      <c r="C33" s="1">
        <v>5</v>
      </c>
      <c r="D33" s="1">
        <v>1</v>
      </c>
    </row>
    <row r="34" spans="1:4" x14ac:dyDescent="0.25">
      <c r="B34" s="1" t="s">
        <v>55</v>
      </c>
      <c r="C34" s="1">
        <v>6</v>
      </c>
      <c r="D34" s="1">
        <f>CEILING((((D3*1000000)/100000)-2)/4,1)</f>
        <v>154</v>
      </c>
    </row>
    <row r="35" spans="1:4" x14ac:dyDescent="0.25">
      <c r="B35" s="1" t="s">
        <v>44</v>
      </c>
      <c r="C35" s="1">
        <v>14</v>
      </c>
      <c r="D35" s="1">
        <v>768</v>
      </c>
    </row>
    <row r="36" spans="1:4" x14ac:dyDescent="0.25">
      <c r="A36" s="12" t="s">
        <v>51</v>
      </c>
      <c r="B36" s="13" t="str">
        <f>DEC2HEX(_xlfn.BITLSHIFT(D31,C31)+_xlfn.BITLSHIFT(D32,C32)+_xlfn.BITLSHIFT(D33,C33)+_xlfn.BITLSHIFT(D34,C34)+_xlfn.BITLSHIFT(D35,C35),8)</f>
        <v>00C026BA</v>
      </c>
      <c r="C36" s="13"/>
      <c r="D36" s="13"/>
    </row>
    <row r="38" spans="1:4" x14ac:dyDescent="0.25">
      <c r="A38" s="3" t="s">
        <v>56</v>
      </c>
      <c r="B38" s="2" t="s">
        <v>41</v>
      </c>
      <c r="C38" s="2" t="s">
        <v>43</v>
      </c>
      <c r="D38" s="2" t="s">
        <v>42</v>
      </c>
    </row>
    <row r="39" spans="1:4" x14ac:dyDescent="0.25">
      <c r="B39" s="1" t="s">
        <v>40</v>
      </c>
      <c r="C39" s="1">
        <v>0</v>
      </c>
      <c r="D39" s="1">
        <v>9</v>
      </c>
    </row>
    <row r="40" spans="1:4" x14ac:dyDescent="0.25">
      <c r="B40" s="1" t="s">
        <v>57</v>
      </c>
      <c r="C40" s="1">
        <v>4</v>
      </c>
      <c r="D40" s="1">
        <v>12</v>
      </c>
    </row>
    <row r="41" spans="1:4" x14ac:dyDescent="0.25">
      <c r="B41" s="1" t="s">
        <v>58</v>
      </c>
      <c r="C41" s="1">
        <v>9</v>
      </c>
      <c r="D41" s="1">
        <f>2.5*D40</f>
        <v>30</v>
      </c>
    </row>
    <row r="42" spans="1:4" x14ac:dyDescent="0.25">
      <c r="B42" s="1" t="s">
        <v>59</v>
      </c>
      <c r="C42" s="1">
        <v>14</v>
      </c>
      <c r="D42" s="1">
        <f>CEILING(((D3*1000000)*0.00005)/D41,1)</f>
        <v>103</v>
      </c>
    </row>
    <row r="43" spans="1:4" x14ac:dyDescent="0.25">
      <c r="B43" s="1" t="s">
        <v>60</v>
      </c>
      <c r="C43" s="1">
        <v>24</v>
      </c>
      <c r="D43" s="1">
        <f>CEILING((D3*1000000)/1600000,1)</f>
        <v>39</v>
      </c>
    </row>
    <row r="44" spans="1:4" x14ac:dyDescent="0.25">
      <c r="A44" s="12" t="s">
        <v>51</v>
      </c>
      <c r="B44" s="13" t="str">
        <f>DEC2HEX(_xlfn.BITLSHIFT(D39,C39)+_xlfn.BITLSHIFT(D40,C40)+_xlfn.BITLSHIFT(D41,C41)+_xlfn.BITLSHIFT(D42,C42)+_xlfn.BITLSHIFT(D43,C43),8)</f>
        <v>2719FCC9</v>
      </c>
      <c r="C44" s="13"/>
      <c r="D44" s="13"/>
    </row>
    <row r="46" spans="1:4" x14ac:dyDescent="0.25">
      <c r="A46" s="3" t="s">
        <v>61</v>
      </c>
      <c r="B46" s="2" t="s">
        <v>41</v>
      </c>
      <c r="C46" s="2" t="s">
        <v>43</v>
      </c>
      <c r="D46" s="2" t="s">
        <v>42</v>
      </c>
    </row>
    <row r="47" spans="1:4" x14ac:dyDescent="0.25">
      <c r="B47" s="1" t="s">
        <v>40</v>
      </c>
      <c r="C47" s="1">
        <v>0</v>
      </c>
      <c r="D47" s="1">
        <v>8</v>
      </c>
    </row>
    <row r="48" spans="1:4" x14ac:dyDescent="0.25">
      <c r="B48" s="1" t="s">
        <v>44</v>
      </c>
      <c r="C48" s="1">
        <v>4</v>
      </c>
      <c r="D48" s="1">
        <v>22386262</v>
      </c>
    </row>
    <row r="49" spans="1:4" x14ac:dyDescent="0.25">
      <c r="A49" s="12" t="s">
        <v>51</v>
      </c>
      <c r="B49" s="13" t="str">
        <f>DEC2HEX(_xlfn.BITLSHIFT(D47,C47)+_xlfn.BITLSHIFT(D48,C48),8)</f>
        <v>15596568</v>
      </c>
      <c r="C49" s="13"/>
      <c r="D49" s="13"/>
    </row>
    <row r="51" spans="1:4" x14ac:dyDescent="0.25">
      <c r="A51" s="3" t="s">
        <v>62</v>
      </c>
      <c r="B51" s="2" t="s">
        <v>41</v>
      </c>
      <c r="C51" s="2" t="s">
        <v>43</v>
      </c>
      <c r="D51" s="2" t="s">
        <v>42</v>
      </c>
    </row>
    <row r="52" spans="1:4" x14ac:dyDescent="0.25">
      <c r="B52" s="1" t="s">
        <v>40</v>
      </c>
      <c r="C52" s="1">
        <v>0</v>
      </c>
      <c r="D52" s="1">
        <v>7</v>
      </c>
    </row>
    <row r="53" spans="1:4" x14ac:dyDescent="0.25">
      <c r="B53" s="1" t="s">
        <v>63</v>
      </c>
      <c r="C53" s="1">
        <v>4</v>
      </c>
      <c r="D53" s="1">
        <v>0</v>
      </c>
    </row>
    <row r="54" spans="1:4" x14ac:dyDescent="0.25">
      <c r="B54" s="1" t="s">
        <v>64</v>
      </c>
      <c r="C54" s="1">
        <v>5</v>
      </c>
      <c r="D54" s="1">
        <v>0</v>
      </c>
    </row>
    <row r="55" spans="1:4" x14ac:dyDescent="0.25">
      <c r="B55" s="1" t="s">
        <v>65</v>
      </c>
      <c r="C55" s="1">
        <v>7</v>
      </c>
      <c r="D55" s="1">
        <v>0</v>
      </c>
    </row>
    <row r="56" spans="1:4" x14ac:dyDescent="0.25">
      <c r="B56" s="1" t="s">
        <v>66</v>
      </c>
      <c r="C56" s="1">
        <v>8</v>
      </c>
      <c r="D56" s="1">
        <v>0</v>
      </c>
    </row>
    <row r="57" spans="1:4" x14ac:dyDescent="0.25">
      <c r="B57" s="1" t="s">
        <v>44</v>
      </c>
      <c r="C57" s="1">
        <v>10</v>
      </c>
      <c r="D57" s="1">
        <v>0</v>
      </c>
    </row>
    <row r="58" spans="1:4" x14ac:dyDescent="0.25">
      <c r="B58" s="1" t="s">
        <v>67</v>
      </c>
      <c r="C58" s="1">
        <v>25</v>
      </c>
      <c r="D58" s="1">
        <v>1</v>
      </c>
    </row>
    <row r="59" spans="1:4" x14ac:dyDescent="0.25">
      <c r="B59" s="1" t="s">
        <v>44</v>
      </c>
      <c r="C59" s="1">
        <v>26</v>
      </c>
      <c r="D59" s="1">
        <v>1</v>
      </c>
    </row>
    <row r="60" spans="1:4" x14ac:dyDescent="0.25">
      <c r="B60" s="1" t="s">
        <v>68</v>
      </c>
      <c r="C60" s="1">
        <v>27</v>
      </c>
      <c r="D60" s="1">
        <v>0</v>
      </c>
    </row>
    <row r="61" spans="1:4" x14ac:dyDescent="0.25">
      <c r="B61" s="1" t="s">
        <v>44</v>
      </c>
      <c r="C61" s="1">
        <v>28</v>
      </c>
      <c r="D61" s="1">
        <v>0</v>
      </c>
    </row>
    <row r="62" spans="1:4" x14ac:dyDescent="0.25">
      <c r="A62" s="12" t="s">
        <v>51</v>
      </c>
      <c r="B62" s="13" t="str">
        <f>DEC2HEX(_xlfn.BITLSHIFT(D52,C52)+_xlfn.BITLSHIFT(D53,C53)+_xlfn.BITLSHIFT(D54,C54)+_xlfn.BITLSHIFT(D55,C55)+_xlfn.BITLSHIFT(D56,C56)+_xlfn.BITLSHIFT(D57,C57)+_xlfn.BITLSHIFT(D58,C58)+_xlfn.BITLSHIFT(D59,C59)+_xlfn.BITLSHIFT(D60,C60)+_xlfn.BITLSHIFT(D61,C61),8)</f>
        <v>06000007</v>
      </c>
      <c r="C62" s="13"/>
      <c r="D62" s="13"/>
    </row>
    <row r="64" spans="1:4" x14ac:dyDescent="0.25">
      <c r="A64" s="3" t="s">
        <v>69</v>
      </c>
      <c r="B64" s="2" t="s">
        <v>41</v>
      </c>
      <c r="C64" s="2" t="s">
        <v>43</v>
      </c>
      <c r="D64" s="2" t="s">
        <v>42</v>
      </c>
    </row>
    <row r="65" spans="1:4" x14ac:dyDescent="0.25">
      <c r="B65" s="1" t="s">
        <v>40</v>
      </c>
      <c r="C65" s="1">
        <v>0</v>
      </c>
      <c r="D65" s="1">
        <v>6</v>
      </c>
    </row>
    <row r="66" spans="1:4" x14ac:dyDescent="0.25">
      <c r="B66" s="1" t="s">
        <v>70</v>
      </c>
      <c r="C66" s="1">
        <v>4</v>
      </c>
      <c r="D66" s="1">
        <v>0</v>
      </c>
    </row>
    <row r="67" spans="1:4" x14ac:dyDescent="0.25">
      <c r="B67" s="1" t="s">
        <v>71</v>
      </c>
      <c r="C67" s="1">
        <v>6</v>
      </c>
      <c r="D67" s="1">
        <v>0</v>
      </c>
    </row>
    <row r="68" spans="1:4" x14ac:dyDescent="0.25">
      <c r="B68" s="1" t="s">
        <v>44</v>
      </c>
      <c r="C68" s="1">
        <v>7</v>
      </c>
      <c r="D68" s="1">
        <v>0</v>
      </c>
    </row>
    <row r="69" spans="1:4" x14ac:dyDescent="0.25">
      <c r="B69" s="1" t="s">
        <v>72</v>
      </c>
      <c r="C69" s="1">
        <v>10</v>
      </c>
      <c r="D69" s="1">
        <v>0</v>
      </c>
    </row>
    <row r="70" spans="1:4" x14ac:dyDescent="0.25">
      <c r="B70" s="1" t="s">
        <v>73</v>
      </c>
      <c r="C70" s="1">
        <v>11</v>
      </c>
      <c r="D70" s="1">
        <v>0</v>
      </c>
    </row>
    <row r="71" spans="1:4" x14ac:dyDescent="0.25">
      <c r="B71" s="1" t="s">
        <v>44</v>
      </c>
      <c r="C71" s="1">
        <v>12</v>
      </c>
      <c r="D71" s="1">
        <v>0</v>
      </c>
    </row>
    <row r="72" spans="1:4" x14ac:dyDescent="0.25">
      <c r="B72" s="1" t="s">
        <v>74</v>
      </c>
      <c r="C72" s="1">
        <v>13</v>
      </c>
      <c r="D72" s="1">
        <v>64</v>
      </c>
    </row>
    <row r="73" spans="1:4" x14ac:dyDescent="0.25">
      <c r="B73" s="1" t="s">
        <v>75</v>
      </c>
      <c r="C73" s="1">
        <v>21</v>
      </c>
      <c r="D73" s="1">
        <v>0</v>
      </c>
    </row>
    <row r="74" spans="1:4" x14ac:dyDescent="0.25">
      <c r="B74" s="1" t="s">
        <v>76</v>
      </c>
      <c r="C74" s="1">
        <v>24</v>
      </c>
      <c r="D74" s="1">
        <v>1</v>
      </c>
    </row>
    <row r="75" spans="1:4" x14ac:dyDescent="0.25">
      <c r="B75" s="1" t="s">
        <v>44</v>
      </c>
      <c r="C75" s="1">
        <v>25</v>
      </c>
      <c r="D75" s="1">
        <v>10</v>
      </c>
    </row>
    <row r="76" spans="1:4" x14ac:dyDescent="0.25">
      <c r="B76" s="1" t="s">
        <v>77</v>
      </c>
      <c r="C76" s="1">
        <v>29</v>
      </c>
      <c r="D76" s="1">
        <v>1</v>
      </c>
    </row>
    <row r="77" spans="1:4" x14ac:dyDescent="0.25">
      <c r="B77" s="1" t="s">
        <v>79</v>
      </c>
      <c r="C77" s="1">
        <v>30</v>
      </c>
      <c r="D77" s="1">
        <v>1</v>
      </c>
    </row>
    <row r="78" spans="1:4" x14ac:dyDescent="0.25">
      <c r="B78" s="1" t="s">
        <v>78</v>
      </c>
      <c r="C78" s="1">
        <v>31</v>
      </c>
      <c r="D78" s="1">
        <v>0</v>
      </c>
    </row>
    <row r="79" spans="1:4" x14ac:dyDescent="0.25">
      <c r="A79" s="12" t="s">
        <v>51</v>
      </c>
      <c r="B79" s="13" t="str">
        <f>DEC2HEX(_xlfn.BITLSHIFT(D65,C65)+_xlfn.BITLSHIFT(D66,C66)+_xlfn.BITLSHIFT(D67,C67)+_xlfn.BITLSHIFT(D68,C68)+_xlfn.BITLSHIFT(D69,C69)+_xlfn.BITLSHIFT(D70,C70)+_xlfn.BITLSHIFT(D71,C71)+_xlfn.BITLSHIFT(D72,C72)+_xlfn.BITLSHIFT(D73,C73)+_xlfn.BITLSHIFT(D74,C74)+_xlfn.BITLSHIFT(D75,C75)+_xlfn.BITLSHIFT(D76,C76)+_xlfn.BITLSHIFT(D77,C77)+_xlfn.BITLSHIFT(D78,C78),8)</f>
        <v>75080006</v>
      </c>
      <c r="C79" s="13"/>
      <c r="D79" s="13"/>
    </row>
    <row r="81" spans="1:4" x14ac:dyDescent="0.25">
      <c r="A81" s="3" t="s">
        <v>80</v>
      </c>
      <c r="B81" s="2" t="s">
        <v>41</v>
      </c>
      <c r="C81" s="2" t="s">
        <v>43</v>
      </c>
      <c r="D81" s="2" t="s">
        <v>42</v>
      </c>
    </row>
    <row r="82" spans="1:4" x14ac:dyDescent="0.25">
      <c r="B82" s="1" t="s">
        <v>40</v>
      </c>
      <c r="C82" s="1">
        <v>0</v>
      </c>
      <c r="D82" s="1">
        <v>5</v>
      </c>
    </row>
    <row r="83" spans="1:4" x14ac:dyDescent="0.25">
      <c r="B83" s="1" t="s">
        <v>44</v>
      </c>
      <c r="C83" s="1">
        <v>4</v>
      </c>
      <c r="D83" s="1">
        <v>524290</v>
      </c>
    </row>
    <row r="84" spans="1:4" x14ac:dyDescent="0.25">
      <c r="A84" s="12" t="s">
        <v>51</v>
      </c>
      <c r="B84" s="13" t="str">
        <f>DEC2HEX(_xlfn.BITLSHIFT(D82,C82)+_xlfn.BITLSHIFT(D83,C83),8)</f>
        <v>00800025</v>
      </c>
      <c r="C84" s="13"/>
      <c r="D84" s="13"/>
    </row>
    <row r="86" spans="1:4" x14ac:dyDescent="0.25">
      <c r="A86" s="3" t="s">
        <v>81</v>
      </c>
      <c r="B86" s="2" t="s">
        <v>41</v>
      </c>
      <c r="C86" s="2" t="s">
        <v>43</v>
      </c>
      <c r="D86" s="2" t="s">
        <v>42</v>
      </c>
    </row>
    <row r="87" spans="1:4" x14ac:dyDescent="0.25">
      <c r="B87" s="1" t="s">
        <v>40</v>
      </c>
      <c r="C87" s="1">
        <v>0</v>
      </c>
      <c r="D87" s="1">
        <v>4</v>
      </c>
    </row>
    <row r="88" spans="1:4" x14ac:dyDescent="0.25">
      <c r="B88" s="1" t="s">
        <v>82</v>
      </c>
      <c r="C88" s="1">
        <v>4</v>
      </c>
      <c r="D88" s="1">
        <v>0</v>
      </c>
    </row>
    <row r="89" spans="1:4" x14ac:dyDescent="0.25">
      <c r="B89" s="1" t="s">
        <v>83</v>
      </c>
      <c r="C89" s="1">
        <v>5</v>
      </c>
      <c r="D89" s="1">
        <v>0</v>
      </c>
    </row>
    <row r="90" spans="1:4" x14ac:dyDescent="0.25">
      <c r="B90" s="1" t="s">
        <v>84</v>
      </c>
      <c r="C90" s="1">
        <v>6</v>
      </c>
      <c r="D90" s="1">
        <v>0</v>
      </c>
    </row>
    <row r="91" spans="1:4" x14ac:dyDescent="0.25">
      <c r="B91" s="1" t="s">
        <v>85</v>
      </c>
      <c r="C91" s="1">
        <v>7</v>
      </c>
      <c r="D91" s="1">
        <v>1</v>
      </c>
    </row>
    <row r="92" spans="1:4" x14ac:dyDescent="0.25">
      <c r="B92" s="1" t="s">
        <v>86</v>
      </c>
      <c r="C92" s="1">
        <v>8</v>
      </c>
      <c r="D92" s="1">
        <v>1</v>
      </c>
    </row>
    <row r="93" spans="1:4" x14ac:dyDescent="0.25">
      <c r="B93" s="1" t="s">
        <v>87</v>
      </c>
      <c r="C93" s="1">
        <v>9</v>
      </c>
      <c r="D93" s="1">
        <v>0</v>
      </c>
    </row>
    <row r="94" spans="1:4" x14ac:dyDescent="0.25">
      <c r="B94" s="1" t="s">
        <v>93</v>
      </c>
      <c r="C94" s="1">
        <v>10</v>
      </c>
      <c r="D94" s="1">
        <v>7</v>
      </c>
    </row>
    <row r="95" spans="1:4" x14ac:dyDescent="0.25">
      <c r="B95" s="1" t="s">
        <v>88</v>
      </c>
      <c r="C95" s="1">
        <v>14</v>
      </c>
      <c r="D95" s="1">
        <v>1</v>
      </c>
    </row>
    <row r="96" spans="1:4" x14ac:dyDescent="0.25">
      <c r="B96" s="1" t="s">
        <v>89</v>
      </c>
      <c r="C96" s="1">
        <v>15</v>
      </c>
      <c r="D96" s="1">
        <v>1</v>
      </c>
    </row>
    <row r="97" spans="1:4" x14ac:dyDescent="0.25">
      <c r="B97" s="1" t="s">
        <v>91</v>
      </c>
      <c r="C97" s="1">
        <v>25</v>
      </c>
      <c r="D97" s="1">
        <v>1</v>
      </c>
    </row>
    <row r="98" spans="1:4" x14ac:dyDescent="0.25">
      <c r="B98" s="1" t="s">
        <v>90</v>
      </c>
      <c r="C98" s="1">
        <v>26</v>
      </c>
      <c r="D98" s="1">
        <v>0</v>
      </c>
    </row>
    <row r="99" spans="1:4" x14ac:dyDescent="0.25">
      <c r="B99" s="1" t="s">
        <v>92</v>
      </c>
      <c r="C99" s="1">
        <v>27</v>
      </c>
      <c r="D99" s="1">
        <v>6</v>
      </c>
    </row>
    <row r="100" spans="1:4" x14ac:dyDescent="0.25">
      <c r="B100" s="1" t="s">
        <v>44</v>
      </c>
      <c r="C100" s="1">
        <v>30</v>
      </c>
      <c r="D100" s="1">
        <v>0</v>
      </c>
    </row>
    <row r="101" spans="1:4" x14ac:dyDescent="0.25">
      <c r="A101" s="12" t="s">
        <v>51</v>
      </c>
      <c r="B101" s="13" t="str">
        <f>DEC2HEX(_xlfn.BITLSHIFT(D87,C87)+_xlfn.BITLSHIFT(D88,C88)+_xlfn.BITLSHIFT(D89,C89)+_xlfn.BITLSHIFT(D90,C90)+_xlfn.BITLSHIFT(D91,C91)+_xlfn.BITLSHIFT(D92,C92)+_xlfn.BITLSHIFT(D93,C93)+_xlfn.BITLSHIFT(D94,C94)+_xlfn.BITLSHIFT(D95,C95)+_xlfn.BITLSHIFT(D96,C96)+_xlfn.BITLSHIFT(D97,C97)+_xlfn.BITLSHIFT(D98,C98)+_xlfn.BITLSHIFT(D99,C99)+_xlfn.BITLSHIFT(D100,C100),8)</f>
        <v>3200DD84</v>
      </c>
      <c r="C101" s="13"/>
      <c r="D101" s="13"/>
    </row>
    <row r="103" spans="1:4" x14ac:dyDescent="0.25">
      <c r="A103" s="3" t="s">
        <v>94</v>
      </c>
      <c r="B103" s="2" t="s">
        <v>41</v>
      </c>
      <c r="C103" s="2" t="s">
        <v>43</v>
      </c>
      <c r="D103" s="2" t="s">
        <v>42</v>
      </c>
    </row>
    <row r="104" spans="1:4" x14ac:dyDescent="0.25">
      <c r="B104" s="1" t="s">
        <v>40</v>
      </c>
      <c r="C104" s="1">
        <v>0</v>
      </c>
      <c r="D104" s="1">
        <v>3</v>
      </c>
    </row>
    <row r="105" spans="1:4" x14ac:dyDescent="0.25">
      <c r="B105" s="1" t="s">
        <v>95</v>
      </c>
      <c r="C105" s="1">
        <v>4</v>
      </c>
      <c r="D105" s="1">
        <v>0</v>
      </c>
    </row>
    <row r="106" spans="1:4" x14ac:dyDescent="0.25">
      <c r="B106" s="1" t="s">
        <v>96</v>
      </c>
      <c r="C106" s="1">
        <v>28</v>
      </c>
      <c r="D106" s="1">
        <v>0</v>
      </c>
    </row>
    <row r="107" spans="1:4" x14ac:dyDescent="0.25">
      <c r="B107" s="1" t="s">
        <v>45</v>
      </c>
      <c r="C107" s="1">
        <v>29</v>
      </c>
      <c r="D107" s="1">
        <v>0</v>
      </c>
    </row>
    <row r="108" spans="1:4" x14ac:dyDescent="0.25">
      <c r="B108" s="1" t="s">
        <v>97</v>
      </c>
      <c r="C108" s="1">
        <v>30</v>
      </c>
      <c r="D108" s="1">
        <v>0</v>
      </c>
    </row>
    <row r="109" spans="1:4" x14ac:dyDescent="0.25">
      <c r="B109" s="1" t="s">
        <v>44</v>
      </c>
      <c r="C109" s="1">
        <v>31</v>
      </c>
      <c r="D109" s="1">
        <v>0</v>
      </c>
    </row>
    <row r="110" spans="1:4" x14ac:dyDescent="0.25">
      <c r="A110" s="12" t="s">
        <v>51</v>
      </c>
      <c r="B110" s="13" t="str">
        <f>DEC2HEX(_xlfn.BITLSHIFT(D104,C104)+_xlfn.BITLSHIFT(D105,C105)+_xlfn.BITLSHIFT(D106,C106)+_xlfn.BITLSHIFT(D107,C107)+_xlfn.BITLSHIFT(D108,C108)+_xlfn.BITLSHIFT(D109,C109),8)</f>
        <v>00000003</v>
      </c>
      <c r="C110" s="13"/>
      <c r="D110" s="13"/>
    </row>
    <row r="112" spans="1:4" x14ac:dyDescent="0.25">
      <c r="A112" s="3" t="s">
        <v>98</v>
      </c>
      <c r="B112" s="2" t="s">
        <v>41</v>
      </c>
      <c r="C112" s="2" t="s">
        <v>43</v>
      </c>
      <c r="D112" s="2" t="s">
        <v>42</v>
      </c>
    </row>
    <row r="113" spans="1:4" x14ac:dyDescent="0.25">
      <c r="B113" s="1" t="s">
        <v>40</v>
      </c>
      <c r="C113" s="1">
        <v>0</v>
      </c>
      <c r="D113" s="1">
        <v>2</v>
      </c>
    </row>
    <row r="114" spans="1:4" x14ac:dyDescent="0.25">
      <c r="B114" s="1" t="s">
        <v>99</v>
      </c>
      <c r="C114" s="1">
        <v>4</v>
      </c>
      <c r="D114" s="1">
        <f>_xlfn.BITAND(L3,16383)</f>
        <v>1536</v>
      </c>
    </row>
    <row r="115" spans="1:4" x14ac:dyDescent="0.25">
      <c r="B115" s="1" t="s">
        <v>100</v>
      </c>
      <c r="C115" s="1">
        <v>18</v>
      </c>
      <c r="D115" s="1">
        <f>_xlfn.BITAND(M3,16383)</f>
        <v>0</v>
      </c>
    </row>
    <row r="116" spans="1:4" x14ac:dyDescent="0.25">
      <c r="A116" s="12" t="s">
        <v>51</v>
      </c>
      <c r="B116" s="13" t="str">
        <f>DEC2HEX(_xlfn.BITLSHIFT(D113,C113)+_xlfn.BITLSHIFT(D114,C114)+_xlfn.BITLSHIFT(D115,C115),8)</f>
        <v>00006002</v>
      </c>
      <c r="C116" s="13"/>
      <c r="D116" s="13"/>
    </row>
    <row r="118" spans="1:4" x14ac:dyDescent="0.25">
      <c r="A118" s="3" t="s">
        <v>101</v>
      </c>
      <c r="B118" s="2" t="s">
        <v>41</v>
      </c>
      <c r="C118" s="2" t="s">
        <v>43</v>
      </c>
      <c r="D118" s="2" t="s">
        <v>42</v>
      </c>
    </row>
    <row r="119" spans="1:4" x14ac:dyDescent="0.25">
      <c r="B119" s="1" t="s">
        <v>40</v>
      </c>
      <c r="C119" s="1">
        <v>0</v>
      </c>
      <c r="D119" s="1">
        <v>1</v>
      </c>
    </row>
    <row r="120" spans="1:4" x14ac:dyDescent="0.25">
      <c r="B120" s="1" t="s">
        <v>26</v>
      </c>
      <c r="C120" s="1">
        <v>4</v>
      </c>
      <c r="D120" s="1">
        <f>K3</f>
        <v>14942208</v>
      </c>
    </row>
    <row r="121" spans="1:4" x14ac:dyDescent="0.25">
      <c r="B121" s="1" t="s">
        <v>44</v>
      </c>
      <c r="C121" s="1">
        <v>28</v>
      </c>
      <c r="D121" s="1">
        <v>0</v>
      </c>
    </row>
    <row r="122" spans="1:4" x14ac:dyDescent="0.25">
      <c r="A122" s="12" t="s">
        <v>51</v>
      </c>
      <c r="B122" s="13" t="str">
        <f>DEC2HEX(_xlfn.BITLSHIFT(D119,C119)+_xlfn.BITLSHIFT(D120,C120)+_xlfn.BITLSHIFT(D121,C121),8)</f>
        <v>0E400001</v>
      </c>
      <c r="C122" s="13"/>
      <c r="D122" s="13"/>
    </row>
    <row r="124" spans="1:4" x14ac:dyDescent="0.25">
      <c r="A124" s="3" t="s">
        <v>102</v>
      </c>
      <c r="B124" s="2" t="s">
        <v>41</v>
      </c>
      <c r="C124" s="2" t="s">
        <v>43</v>
      </c>
      <c r="D124" s="2" t="s">
        <v>42</v>
      </c>
    </row>
    <row r="125" spans="1:4" x14ac:dyDescent="0.25">
      <c r="B125" s="1" t="s">
        <v>40</v>
      </c>
      <c r="C125" s="1">
        <v>0</v>
      </c>
      <c r="D125" s="1">
        <v>0</v>
      </c>
    </row>
    <row r="126" spans="1:4" x14ac:dyDescent="0.25">
      <c r="B126" s="1" t="s">
        <v>25</v>
      </c>
      <c r="C126" s="1">
        <v>4</v>
      </c>
      <c r="D126" s="1">
        <f>H3</f>
        <v>87</v>
      </c>
    </row>
    <row r="127" spans="1:4" x14ac:dyDescent="0.25">
      <c r="B127" s="1" t="s">
        <v>103</v>
      </c>
      <c r="C127" s="1">
        <v>20</v>
      </c>
      <c r="D127" s="1">
        <f>IF(H3&lt;75,0,1)</f>
        <v>1</v>
      </c>
    </row>
    <row r="128" spans="1:4" x14ac:dyDescent="0.25">
      <c r="B128" s="1" t="s">
        <v>104</v>
      </c>
      <c r="C128" s="1">
        <v>21</v>
      </c>
      <c r="D128" s="1">
        <v>1</v>
      </c>
    </row>
    <row r="129" spans="1:4" x14ac:dyDescent="0.25">
      <c r="B129" s="1" t="s">
        <v>44</v>
      </c>
      <c r="C129" s="1">
        <v>22</v>
      </c>
      <c r="D129" s="1">
        <v>0</v>
      </c>
    </row>
    <row r="130" spans="1:4" x14ac:dyDescent="0.25">
      <c r="A130" s="12" t="s">
        <v>51</v>
      </c>
      <c r="B130" s="13" t="str">
        <f>DEC2HEX(_xlfn.BITLSHIFT(D125,C125)+_xlfn.BITLSHIFT(D126,C126)+_xlfn.BITLSHIFT(D127,C127)+_xlfn.BITLSHIFT(D128,C128)+_xlfn.BITLSHIFT(D129,C129),8)</f>
        <v>00300570</v>
      </c>
      <c r="C130" s="13"/>
      <c r="D130" s="13"/>
    </row>
  </sheetData>
  <mergeCells count="19">
    <mergeCell ref="B110:D110"/>
    <mergeCell ref="B116:D116"/>
    <mergeCell ref="B122:D122"/>
    <mergeCell ref="B130:D130"/>
    <mergeCell ref="A10:D10"/>
    <mergeCell ref="B101:D101"/>
    <mergeCell ref="B84:D84"/>
    <mergeCell ref="C1:M1"/>
    <mergeCell ref="C5:M5"/>
    <mergeCell ref="B49:D49"/>
    <mergeCell ref="B62:D62"/>
    <mergeCell ref="B79:D79"/>
    <mergeCell ref="B28:D28"/>
    <mergeCell ref="B36:D36"/>
    <mergeCell ref="B44:D44"/>
    <mergeCell ref="A3:B3"/>
    <mergeCell ref="A7:B7"/>
    <mergeCell ref="B15:D15"/>
    <mergeCell ref="B21:D2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Spur Analysis</vt:lpstr>
      <vt:lpstr>ADF5356 Synth Tuning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2022-04-26T14:34:56Z</dcterms:created>
  <dcterms:modified xsi:type="dcterms:W3CDTF">2022-11-07T18:16:37Z</dcterms:modified>
</cp:coreProperties>
</file>