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study_materials\ТЛЭЦ\"/>
    </mc:Choice>
  </mc:AlternateContent>
  <xr:revisionPtr revIDLastSave="0" documentId="13_ncr:1_{88DC0138-7E1A-475E-B389-6BB0BAFADD81}" xr6:coauthVersionLast="47" xr6:coauthVersionMax="47" xr10:uidLastSave="{00000000-0000-0000-0000-000000000000}"/>
  <bookViews>
    <workbookView xWindow="-108" yWindow="-108" windowWidth="23256" windowHeight="13176" activeTab="1" xr2:uid="{02B9DD5D-65BB-44E9-9046-DDCB2707FAD4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J18" i="1"/>
  <c r="J16" i="1"/>
  <c r="J5" i="1"/>
  <c r="J6" i="1"/>
  <c r="J7" i="1"/>
  <c r="J8" i="1"/>
  <c r="J9" i="1"/>
  <c r="J4" i="1"/>
  <c r="H5" i="1"/>
  <c r="H6" i="1"/>
  <c r="H7" i="1"/>
  <c r="H8" i="1"/>
  <c r="H9" i="1"/>
  <c r="H4" i="1"/>
  <c r="N8" i="1"/>
  <c r="N9" i="1"/>
  <c r="U8" i="1"/>
  <c r="V8" i="1"/>
  <c r="Y8" i="1" s="1"/>
  <c r="W8" i="1"/>
  <c r="Z8" i="1"/>
  <c r="U9" i="1"/>
  <c r="V9" i="1"/>
  <c r="Y9" i="1" s="1"/>
  <c r="Z9" i="1"/>
  <c r="W9" i="1" s="1"/>
  <c r="K16" i="1"/>
  <c r="K17" i="1"/>
  <c r="K18" i="1"/>
  <c r="E20" i="1"/>
  <c r="E22" i="1"/>
  <c r="E23" i="1"/>
  <c r="E24" i="1"/>
  <c r="E21" i="1"/>
  <c r="E10" i="1"/>
  <c r="E11" i="1"/>
  <c r="E12" i="1"/>
  <c r="C10" i="1"/>
  <c r="C11" i="1"/>
  <c r="C12" i="1"/>
  <c r="N13" i="1"/>
  <c r="N14" i="1"/>
  <c r="N16" i="1"/>
  <c r="R15" i="1" s="1"/>
  <c r="N17" i="1"/>
  <c r="N15" i="1" s="1"/>
  <c r="N18" i="1"/>
  <c r="N19" i="1"/>
  <c r="K11" i="1"/>
  <c r="K12" i="1"/>
  <c r="K10" i="1"/>
  <c r="K20" i="1"/>
  <c r="K21" i="1"/>
  <c r="K22" i="1"/>
  <c r="K23" i="1"/>
  <c r="K24" i="1"/>
  <c r="K19" i="1"/>
  <c r="F17" i="1"/>
  <c r="F18" i="1"/>
  <c r="F19" i="1"/>
  <c r="F20" i="1"/>
  <c r="F21" i="1"/>
  <c r="F22" i="1"/>
  <c r="F23" i="1"/>
  <c r="F24" i="1"/>
  <c r="F16" i="1"/>
  <c r="F11" i="1"/>
  <c r="F12" i="1"/>
  <c r="F10" i="1"/>
  <c r="F5" i="1"/>
  <c r="F6" i="1"/>
  <c r="F4" i="1"/>
  <c r="F8" i="1"/>
  <c r="F9" i="1"/>
  <c r="F7" i="1"/>
  <c r="E8" i="1"/>
  <c r="E9" i="1"/>
  <c r="E7" i="1"/>
  <c r="W12" i="1"/>
  <c r="Z11" i="1"/>
  <c r="W11" i="1" s="1"/>
  <c r="Z12" i="1"/>
  <c r="Z10" i="1"/>
  <c r="W10" i="1" s="1"/>
  <c r="J19" i="1"/>
  <c r="J20" i="1"/>
  <c r="J21" i="1"/>
  <c r="E19" i="1"/>
  <c r="J24" i="1"/>
  <c r="J23" i="1"/>
  <c r="J22" i="1"/>
  <c r="E18" i="1"/>
  <c r="E17" i="1"/>
  <c r="E16" i="1"/>
  <c r="E5" i="1"/>
  <c r="E6" i="1"/>
  <c r="E4" i="1"/>
  <c r="J11" i="1"/>
  <c r="J12" i="1"/>
  <c r="J10" i="1"/>
  <c r="C8" i="1"/>
  <c r="C9" i="1"/>
  <c r="C7" i="1"/>
  <c r="K5" i="1"/>
  <c r="T9" i="1" l="1"/>
  <c r="T8" i="1"/>
  <c r="X8" i="1"/>
  <c r="X9" i="1"/>
  <c r="U11" i="1"/>
  <c r="U5" i="1"/>
  <c r="U12" i="1"/>
  <c r="U10" i="1"/>
  <c r="O11" i="1"/>
  <c r="T10" i="1"/>
  <c r="N12" i="1"/>
  <c r="N11" i="1"/>
  <c r="Q11" i="1" s="1"/>
  <c r="R11" i="1" s="1"/>
  <c r="N4" i="1"/>
  <c r="V7" i="1"/>
  <c r="U7" i="1"/>
  <c r="K6" i="1"/>
  <c r="O6" i="1" s="1"/>
  <c r="O5" i="1"/>
  <c r="K4" i="1"/>
  <c r="O4" i="1" s="1"/>
  <c r="R14" i="1"/>
  <c r="X7" i="1" s="1"/>
  <c r="K9" i="1"/>
  <c r="O9" i="1" s="1"/>
  <c r="P9" i="1" s="1"/>
  <c r="S9" i="1" s="1"/>
  <c r="N5" i="1"/>
  <c r="K8" i="1"/>
  <c r="O8" i="1" s="1"/>
  <c r="Q8" i="1" s="1"/>
  <c r="R8" i="1" s="1"/>
  <c r="K7" i="1"/>
  <c r="O7" i="1" s="1"/>
  <c r="Z7" i="1"/>
  <c r="W7" i="1" s="1"/>
  <c r="O12" i="1"/>
  <c r="Q12" i="1" s="1"/>
  <c r="R12" i="1" s="1"/>
  <c r="O10" i="1"/>
  <c r="U6" i="1"/>
  <c r="U4" i="1"/>
  <c r="N10" i="1"/>
  <c r="V4" i="1"/>
  <c r="Z4" i="1" s="1"/>
  <c r="W4" i="1" s="1"/>
  <c r="T12" i="1"/>
  <c r="T11" i="1"/>
  <c r="T4" i="1"/>
  <c r="T6" i="1"/>
  <c r="N6" i="1"/>
  <c r="N7" i="1"/>
  <c r="T7" i="1"/>
  <c r="V6" i="1"/>
  <c r="Z6" i="1" s="1"/>
  <c r="W6" i="1" s="1"/>
  <c r="T5" i="1"/>
  <c r="V12" i="1"/>
  <c r="AA12" i="1" s="1"/>
  <c r="AA8" i="1"/>
  <c r="V10" i="1"/>
  <c r="AA10" i="1" s="1"/>
  <c r="V5" i="1"/>
  <c r="V11" i="1"/>
  <c r="AA11" i="1" s="1"/>
  <c r="P8" i="1" l="1"/>
  <c r="S8" i="1" s="1"/>
  <c r="Q9" i="1"/>
  <c r="R9" i="1" s="1"/>
  <c r="P12" i="1"/>
  <c r="S12" i="1" s="1"/>
  <c r="P11" i="1"/>
  <c r="S11" i="1" s="1"/>
  <c r="Q4" i="1"/>
  <c r="R4" i="1" s="1"/>
  <c r="Q7" i="1"/>
  <c r="R7" i="1" s="1"/>
  <c r="P6" i="1"/>
  <c r="S6" i="1" s="1"/>
  <c r="Q6" i="1"/>
  <c r="R6" i="1" s="1"/>
  <c r="Y5" i="1"/>
  <c r="Y7" i="1"/>
  <c r="P7" i="1"/>
  <c r="S7" i="1" s="1"/>
  <c r="P4" i="1"/>
  <c r="S4" i="1" s="1"/>
  <c r="Q10" i="1"/>
  <c r="R10" i="1" s="1"/>
  <c r="P10" i="1"/>
  <c r="S10" i="1" s="1"/>
  <c r="AA9" i="1"/>
  <c r="P5" i="1"/>
  <c r="S5" i="1" s="1"/>
  <c r="Q5" i="1"/>
  <c r="R5" i="1" s="1"/>
  <c r="X12" i="1"/>
  <c r="Y12" i="1"/>
  <c r="X4" i="1"/>
  <c r="Y6" i="1"/>
  <c r="X6" i="1"/>
  <c r="Y4" i="1"/>
  <c r="Y10" i="1"/>
  <c r="X11" i="1"/>
  <c r="X10" i="1"/>
  <c r="X5" i="1"/>
  <c r="Z5" i="1"/>
  <c r="W5" i="1" s="1"/>
  <c r="Y11" i="1"/>
</calcChain>
</file>

<file path=xl/sharedStrings.xml><?xml version="1.0" encoding="utf-8"?>
<sst xmlns="http://schemas.openxmlformats.org/spreadsheetml/2006/main" count="98" uniqueCount="41">
  <si>
    <t>f</t>
  </si>
  <si>
    <t>Хар-ер</t>
  </si>
  <si>
    <t>Rэ</t>
  </si>
  <si>
    <t>Сэ</t>
  </si>
  <si>
    <t>Zвх(беск)</t>
  </si>
  <si>
    <t>Zвх(ноль)</t>
  </si>
  <si>
    <t>xx</t>
  </si>
  <si>
    <t>кз</t>
  </si>
  <si>
    <t>f пб</t>
  </si>
  <si>
    <t>е</t>
  </si>
  <si>
    <t>и</t>
  </si>
  <si>
    <t>f об</t>
  </si>
  <si>
    <t>Результат измерения</t>
  </si>
  <si>
    <t>Результат теор измерения</t>
  </si>
  <si>
    <t>корень(Zвх(ноль)/Zвх(беск))</t>
  </si>
  <si>
    <t>bэ</t>
  </si>
  <si>
    <t>aэ</t>
  </si>
  <si>
    <t>Zc1</t>
  </si>
  <si>
    <t>Zc2</t>
  </si>
  <si>
    <t>Ω</t>
  </si>
  <si>
    <t>Zтm</t>
  </si>
  <si>
    <t>Zп</t>
  </si>
  <si>
    <t>bт</t>
  </si>
  <si>
    <t>aт</t>
  </si>
  <si>
    <t>Z'вх(беск)</t>
  </si>
  <si>
    <t>Z'вх(ноль)</t>
  </si>
  <si>
    <t>m=</t>
  </si>
  <si>
    <t>fc=</t>
  </si>
  <si>
    <t>R=</t>
  </si>
  <si>
    <t>sin(b/2)</t>
  </si>
  <si>
    <t>Q</t>
  </si>
  <si>
    <t>мнимое</t>
  </si>
  <si>
    <t>a</t>
  </si>
  <si>
    <t>jb</t>
  </si>
  <si>
    <t>L</t>
  </si>
  <si>
    <t>C</t>
  </si>
  <si>
    <t>Cэ</t>
  </si>
  <si>
    <t>C'</t>
  </si>
  <si>
    <t>fбеск=</t>
  </si>
  <si>
    <t>SQRT(L/C')</t>
  </si>
  <si>
    <t>SQRT(L/C)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</si>
</sst>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1" fontId="0" fillId="0" borderId="1" xfId="0" applyNumberFormat="1" applyBorder="1"/>
    <xf numFmtId="1" fontId="0" fillId="0" borderId="3" xfId="0" applyNumberFormat="1" applyBorder="1"/>
    <xf numFmtId="0" fontId="0" fillId="0" borderId="0" xfId="0" applyBorder="1"/>
    <xf numFmtId="0" fontId="0" fillId="0" borderId="15" xfId="0" applyBorder="1"/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281024"/>
        <c:axId val="1550282688"/>
      </c:barChart>
      <c:catAx>
        <c:axId val="155028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0282688"/>
        <c:crosses val="autoZero"/>
        <c:auto val="1"/>
        <c:lblAlgn val="ctr"/>
        <c:lblOffset val="100"/>
        <c:noMultiLvlLbl val="0"/>
      </c:catAx>
      <c:valAx>
        <c:axId val="15502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028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D491E0-7BAF-4212-9A5B-798CD70028A7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FDAA49-0D92-41EE-A406-2D9017F73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40C7-EB0D-4AC3-91A1-7FB1B49ABCF9}">
  <dimension ref="A1:AA24"/>
  <sheetViews>
    <sheetView tabSelected="1" zoomScaleNormal="100" workbookViewId="0">
      <selection activeCell="J14" activeCellId="1" sqref="B20:B24 J14:K14"/>
    </sheetView>
  </sheetViews>
  <sheetFormatPr defaultRowHeight="14.4" x14ac:dyDescent="0.3"/>
  <cols>
    <col min="5" max="5" width="9.44140625" bestFit="1" customWidth="1"/>
    <col min="9" max="9" width="9.44140625" bestFit="1" customWidth="1"/>
    <col min="10" max="10" width="11.44140625" bestFit="1" customWidth="1"/>
    <col min="12" max="12" width="14.6640625" customWidth="1"/>
    <col min="13" max="13" width="6.5546875" bestFit="1" customWidth="1"/>
    <col min="14" max="14" width="9.21875" customWidth="1"/>
    <col min="15" max="15" width="7.21875" customWidth="1"/>
    <col min="16" max="16" width="10.109375" customWidth="1"/>
    <col min="19" max="19" width="9.77734375" customWidth="1"/>
  </cols>
  <sheetData>
    <row r="1" spans="1:27" x14ac:dyDescent="0.3">
      <c r="A1" s="25" t="s">
        <v>8</v>
      </c>
      <c r="B1" s="25" t="s">
        <v>6</v>
      </c>
      <c r="C1" s="25"/>
      <c r="D1" s="25"/>
      <c r="E1" s="25"/>
      <c r="F1" s="25"/>
      <c r="G1" s="25" t="s">
        <v>7</v>
      </c>
      <c r="H1" s="25"/>
      <c r="I1" s="25"/>
      <c r="J1" s="25"/>
      <c r="K1" s="25"/>
      <c r="M1" s="28" t="s">
        <v>0</v>
      </c>
      <c r="N1" s="30" t="s">
        <v>12</v>
      </c>
      <c r="O1" s="31"/>
      <c r="P1" s="31"/>
      <c r="Q1" s="31"/>
      <c r="R1" s="31"/>
      <c r="S1" s="31"/>
      <c r="T1" s="31"/>
      <c r="U1" s="32"/>
      <c r="V1" s="26" t="s">
        <v>13</v>
      </c>
      <c r="W1" s="27"/>
      <c r="X1" s="27"/>
      <c r="Y1" s="27"/>
      <c r="Z1" s="27"/>
      <c r="AA1" s="28"/>
    </row>
    <row r="2" spans="1:27" ht="30" customHeight="1" x14ac:dyDescent="0.3">
      <c r="A2" s="25"/>
      <c r="B2" s="25" t="s">
        <v>1</v>
      </c>
      <c r="C2" s="25" t="s">
        <v>2</v>
      </c>
      <c r="D2" s="25" t="s">
        <v>3</v>
      </c>
      <c r="E2" s="25" t="s">
        <v>4</v>
      </c>
      <c r="F2" s="25"/>
      <c r="G2" s="25" t="s">
        <v>1</v>
      </c>
      <c r="H2" s="25" t="s">
        <v>2</v>
      </c>
      <c r="I2" s="25" t="s">
        <v>3</v>
      </c>
      <c r="J2" s="25" t="s">
        <v>5</v>
      </c>
      <c r="K2" s="25"/>
      <c r="M2" s="32"/>
      <c r="N2" s="29" t="s">
        <v>14</v>
      </c>
      <c r="O2" s="29"/>
      <c r="P2" s="36" t="s">
        <v>30</v>
      </c>
      <c r="Q2" s="37"/>
      <c r="R2" s="34" t="s">
        <v>15</v>
      </c>
      <c r="S2" s="34" t="s">
        <v>16</v>
      </c>
      <c r="T2" s="34" t="s">
        <v>17</v>
      </c>
      <c r="U2" s="34" t="s">
        <v>18</v>
      </c>
      <c r="V2" s="38" t="s">
        <v>19</v>
      </c>
      <c r="W2" s="34" t="s">
        <v>29</v>
      </c>
      <c r="X2" s="34" t="s">
        <v>20</v>
      </c>
      <c r="Y2" s="34" t="s">
        <v>21</v>
      </c>
      <c r="Z2" s="34" t="s">
        <v>22</v>
      </c>
      <c r="AA2" s="34" t="s">
        <v>23</v>
      </c>
    </row>
    <row r="3" spans="1:27" x14ac:dyDescent="0.3">
      <c r="A3" s="25"/>
      <c r="B3" s="25"/>
      <c r="C3" s="25"/>
      <c r="D3" s="25"/>
      <c r="E3" s="9" t="s">
        <v>32</v>
      </c>
      <c r="F3" s="9" t="s">
        <v>33</v>
      </c>
      <c r="G3" s="25"/>
      <c r="H3" s="25"/>
      <c r="I3" s="25"/>
      <c r="J3" s="9" t="s">
        <v>32</v>
      </c>
      <c r="K3" s="9" t="s">
        <v>33</v>
      </c>
      <c r="M3" s="33"/>
      <c r="N3" s="9" t="s">
        <v>32</v>
      </c>
      <c r="O3" s="9" t="s">
        <v>33</v>
      </c>
      <c r="P3" s="9" t="s">
        <v>32</v>
      </c>
      <c r="Q3" s="9" t="s">
        <v>33</v>
      </c>
      <c r="R3" s="35"/>
      <c r="S3" s="35"/>
      <c r="T3" s="35"/>
      <c r="U3" s="35"/>
      <c r="V3" s="39"/>
      <c r="W3" s="35"/>
      <c r="X3" s="35"/>
      <c r="Y3" s="35"/>
      <c r="Z3" s="35"/>
      <c r="AA3" s="35"/>
    </row>
    <row r="4" spans="1:27" x14ac:dyDescent="0.3">
      <c r="A4" s="1">
        <v>400</v>
      </c>
      <c r="B4" s="3" t="s">
        <v>9</v>
      </c>
      <c r="C4" s="3">
        <v>1</v>
      </c>
      <c r="D4" s="3">
        <v>0.38400000000000001</v>
      </c>
      <c r="E4" s="4">
        <f>SQRT(C4^2+(1/(2*PI()*$A4*D4*10^(-6))^2))</f>
        <v>1036.1654766363795</v>
      </c>
      <c r="F4" s="5">
        <f>ATAN((-1/(2*PI()*$A4*D4*10^(-6)))/$C4)*(180/PI())</f>
        <v>-89.944704017167794</v>
      </c>
      <c r="G4" s="3" t="s">
        <v>10</v>
      </c>
      <c r="H4" s="3">
        <f>10^6</f>
        <v>1000000</v>
      </c>
      <c r="I4" s="3">
        <v>0.68400000000000005</v>
      </c>
      <c r="J4" s="3">
        <f>SQRT((10^(5)/$H4)^2+(2*PI()*$A4*I4*10^(-6)*10^5)^2)</f>
        <v>171.90797908976418</v>
      </c>
      <c r="K4" s="5">
        <f>ATAN((2*PI()*$A4*I4*10^(-6)*10^5)/(10^(5)/$H4))*(180/PI())</f>
        <v>89.966670667034919</v>
      </c>
      <c r="M4" s="1">
        <v>400</v>
      </c>
      <c r="N4" s="8">
        <f t="shared" ref="N4:N12" si="0">SQRT(J4/E4)</f>
        <v>0.40731786466406616</v>
      </c>
      <c r="O4" s="8">
        <f>(K4-F4)/2</f>
        <v>89.955687342101356</v>
      </c>
      <c r="P4" s="5">
        <f>SQRT((1+$N4*COS(O4*(PI()/180)))^2+($N4*SIN(O4*(PI()/180)))^2)/SQRT((1-$N4*COS(O4*(PI()/180)))^2+($N4*SIN(O4*(PI()/180)))^2)</f>
        <v>1.000540532418053</v>
      </c>
      <c r="Q4" s="5">
        <f>(ATAN((N4*SIN(O4*(PI()/180)))/(1+N4*COS(O4*(PI()/180))))-ATAN((-N4*SIN(O4*(PI()/180)))/(1-N4*COS(O4*(PI()/180)))))*(180/PI())</f>
        <v>44.323882621911103</v>
      </c>
      <c r="R4" s="5">
        <f>Q4/2</f>
        <v>22.161941310955552</v>
      </c>
      <c r="S4" s="5">
        <f>10*LOG10(P4)</f>
        <v>2.346868242445239E-3</v>
      </c>
      <c r="T4" s="8">
        <f t="shared" ref="T4:T12" si="1">SQRT(J4*E4)</f>
        <v>422.04870938215447</v>
      </c>
      <c r="U4" s="8">
        <f t="shared" ref="U4:U12" si="2">SQRT(J16*E16)</f>
        <v>133.63127530385592</v>
      </c>
      <c r="V4" s="8">
        <f t="shared" ref="V4:V12" si="3">$M4/$N$14</f>
        <v>0.2020022089875847</v>
      </c>
      <c r="W4" s="5">
        <f t="shared" ref="W4:W12" si="4">SIN(((PI()/180)*$Z4)/2)</f>
        <v>5.1992650980797507E-2</v>
      </c>
      <c r="X4" s="8">
        <f>($R$14*SQRT(1-$V4^2))/(1-(1-$N$13^2)*$V4^2)</f>
        <v>341.93684081084075</v>
      </c>
      <c r="Y4" s="8">
        <f>($R$14*(1-(1-$R$13^2)*$V4^2))/(SQRT(1-$V4^2))</f>
        <v>345.17751354070413</v>
      </c>
      <c r="Z4" s="5">
        <f>ASIN(($N$13*$V4)/(SQRT(1-(1-$N$13^2)*$V4)))*(180/PI())</f>
        <v>5.9606064809434232</v>
      </c>
      <c r="AA4" s="8">
        <v>0</v>
      </c>
    </row>
    <row r="5" spans="1:27" x14ac:dyDescent="0.3">
      <c r="A5" s="1">
        <v>800</v>
      </c>
      <c r="B5" s="3" t="s">
        <v>9</v>
      </c>
      <c r="C5" s="3">
        <v>1</v>
      </c>
      <c r="D5" s="3">
        <v>0.54200000000000004</v>
      </c>
      <c r="E5" s="4">
        <f>SQRT(C5^2+(1/(2*PI()*$A5*D5*10^(-6))^2))</f>
        <v>367.05612024531109</v>
      </c>
      <c r="F5" s="5">
        <f t="shared" ref="F5:F6" si="5">ATAN((-1/(2*PI()*$A5*D5*10^(-6)))/$C5)*(180/PI())</f>
        <v>-89.843904386195206</v>
      </c>
      <c r="G5" s="3" t="s">
        <v>10</v>
      </c>
      <c r="H5" s="3">
        <f t="shared" ref="H5:H9" si="6">10^6</f>
        <v>1000000</v>
      </c>
      <c r="I5" s="3">
        <v>0.27</v>
      </c>
      <c r="J5" s="3">
        <f t="shared" ref="J5:J9" si="7">SQRT((10^(5)/$H5)^2+(2*PI()*$A5*I5*10^(-6)*10^5)^2)</f>
        <v>135.71683947649606</v>
      </c>
      <c r="K5" s="5">
        <f t="shared" ref="K5:K9" si="8">ATAN((2*PI()*$A5*I5*10^(-6)*10^5)/(10^(5)/$H5))*(180/PI())</f>
        <v>89.957782847789147</v>
      </c>
      <c r="M5" s="1">
        <v>800</v>
      </c>
      <c r="N5" s="8">
        <f t="shared" si="0"/>
        <v>0.60806587855258054</v>
      </c>
      <c r="O5" s="8">
        <f t="shared" ref="O5:O12" si="9">(K5-F5)/2</f>
        <v>89.900843616992177</v>
      </c>
      <c r="P5" s="5">
        <f t="shared" ref="P5:P12" si="10">SQRT((1+$N5*COS(O5*(PI()/180)))^2+($N5*SIN(O5*(PI()/180)))^2)/SQRT((1-$N5*COS(O5*(PI()/180)))^2+($N5*SIN(O5*(PI()/180)))^2)</f>
        <v>1.0015377050852257</v>
      </c>
      <c r="Q5" s="5">
        <f t="shared" ref="Q5:Q12" si="11">(ATAN((N5*SIN(O5*(PI()/180)))/(1+N5*COS(O5*(PI()/180))))-ATAN((-N5*SIN(O5*(PI()/180)))/(1-N5*COS(O5*(PI()/180)))))*(180/PI())</f>
        <v>62.604679119229075</v>
      </c>
      <c r="R5" s="5">
        <f t="shared" ref="R5:R12" si="12">Q5/2</f>
        <v>31.302339559614538</v>
      </c>
      <c r="S5" s="5">
        <f t="shared" ref="S5:S12" si="13">10*LOG10(P5)</f>
        <v>6.6730390639068021E-3</v>
      </c>
      <c r="T5" s="8">
        <f t="shared" si="1"/>
        <v>223.19430223506674</v>
      </c>
      <c r="U5" s="8">
        <f t="shared" si="2"/>
        <v>394.25946004094743</v>
      </c>
      <c r="V5" s="8">
        <f t="shared" si="3"/>
        <v>0.40400441797516939</v>
      </c>
      <c r="W5" s="5">
        <f t="shared" si="4"/>
        <v>0.11589699072907821</v>
      </c>
      <c r="X5" s="8">
        <f>($R$14*SQRT(1-V5^2))/(1-(1-$N$13^2)*V5^2)</f>
        <v>354.17368101067029</v>
      </c>
      <c r="Y5" s="8">
        <f>($R$14*(1-(1-$R$13^2)*$V5^2))/(SQRT(1-$V5^2))</f>
        <v>369.56447398313901</v>
      </c>
      <c r="Z5" s="5">
        <f>ASIN(($N$13*$V5)/(SQRT(1-(1-$N$13^2)*$V5)))*(180/PI())</f>
        <v>13.310729586132455</v>
      </c>
      <c r="AA5" s="8">
        <v>0</v>
      </c>
    </row>
    <row r="6" spans="1:27" x14ac:dyDescent="0.3">
      <c r="A6" s="1">
        <v>1200</v>
      </c>
      <c r="B6" s="3" t="s">
        <v>9</v>
      </c>
      <c r="C6" s="3">
        <v>1</v>
      </c>
      <c r="D6" s="3">
        <v>1.71</v>
      </c>
      <c r="E6" s="4">
        <f>SQRT(C6^2+(1/(2*PI()*$A6*D6*10^(-6))^2))</f>
        <v>77.567334726584662</v>
      </c>
      <c r="F6" s="5">
        <f t="shared" si="5"/>
        <v>-89.261320928868543</v>
      </c>
      <c r="G6" s="3" t="s">
        <v>10</v>
      </c>
      <c r="H6" s="3">
        <f t="shared" si="6"/>
        <v>1000000</v>
      </c>
      <c r="I6" s="3">
        <v>2.0099999999999998</v>
      </c>
      <c r="J6" s="3">
        <f t="shared" si="7"/>
        <v>1515.5042993909478</v>
      </c>
      <c r="K6" s="5">
        <f t="shared" si="8"/>
        <v>89.996219358824803</v>
      </c>
      <c r="M6" s="1">
        <v>1200</v>
      </c>
      <c r="N6" s="8">
        <f t="shared" si="0"/>
        <v>4.420171824072475</v>
      </c>
      <c r="O6" s="8">
        <f t="shared" si="9"/>
        <v>89.62877014384668</v>
      </c>
      <c r="P6" s="5">
        <f t="shared" si="10"/>
        <v>1.0027927805029384</v>
      </c>
      <c r="Q6" s="5">
        <f t="shared" si="11"/>
        <v>154.50497476077868</v>
      </c>
      <c r="R6" s="5">
        <f t="shared" si="12"/>
        <v>77.25248738038934</v>
      </c>
      <c r="S6" s="5">
        <f t="shared" si="13"/>
        <v>1.2111986417608949E-2</v>
      </c>
      <c r="T6" s="8">
        <f t="shared" si="1"/>
        <v>342.86094742684799</v>
      </c>
      <c r="U6" s="8">
        <f t="shared" si="2"/>
        <v>342.32693401456595</v>
      </c>
      <c r="V6" s="8">
        <f t="shared" si="3"/>
        <v>0.60600662696275409</v>
      </c>
      <c r="W6" s="5">
        <f t="shared" si="4"/>
        <v>0.20071987694255927</v>
      </c>
      <c r="X6" s="8">
        <f>($R$14*SQRT(1-V6^2))/(1-(1-$N$13^2)*V6^2)</f>
        <v>376.32932878211528</v>
      </c>
      <c r="Y6" s="8">
        <f>($R$14*(1-(1-$R$13^2)*$V6^2))/(SQRT(1-$V6^2))</f>
        <v>424.98915570663223</v>
      </c>
      <c r="Z6" s="5">
        <f>ASIN(($N$13*$V6)/(SQRT(1-(1-$N$13^2)*$V6)))*(180/PI())</f>
        <v>23.158117249950081</v>
      </c>
      <c r="AA6" s="8">
        <v>0</v>
      </c>
    </row>
    <row r="7" spans="1:27" x14ac:dyDescent="0.3">
      <c r="A7" s="1">
        <v>1600</v>
      </c>
      <c r="B7" s="3" t="s">
        <v>10</v>
      </c>
      <c r="C7" s="3">
        <f>10^6</f>
        <v>1000000</v>
      </c>
      <c r="D7" s="3">
        <v>0.11700000000000001</v>
      </c>
      <c r="E7" s="4">
        <f>SQRT((10^(5)/$C7)^2+(2*PI()*$A7*D7*10^(-6)*10^5)^2)</f>
        <v>117.62127145972725</v>
      </c>
      <c r="F7" s="5">
        <f>ATAN((2*PI()*$A7*D7*10^(-6)*10^5)/(10^(5)/$C7))*(180/PI())</f>
        <v>89.951287904216287</v>
      </c>
      <c r="G7" s="3" t="s">
        <v>10</v>
      </c>
      <c r="H7" s="3">
        <f t="shared" si="6"/>
        <v>1000000</v>
      </c>
      <c r="I7" s="3">
        <v>0.182</v>
      </c>
      <c r="J7" s="3">
        <f t="shared" si="7"/>
        <v>182.96638347249595</v>
      </c>
      <c r="K7" s="5">
        <f t="shared" si="8"/>
        <v>89.96868507685501</v>
      </c>
      <c r="M7" s="1">
        <v>1600</v>
      </c>
      <c r="N7" s="8">
        <f t="shared" si="0"/>
        <v>1.247218996687683</v>
      </c>
      <c r="O7" s="8">
        <f>(K7-F7)/2</f>
        <v>8.6985863193618229E-3</v>
      </c>
      <c r="P7" s="5">
        <f t="shared" si="10"/>
        <v>9.0899910277881997</v>
      </c>
      <c r="Q7" s="5">
        <f t="shared" si="11"/>
        <v>-3.9056568556670598E-2</v>
      </c>
      <c r="R7" s="5">
        <f t="shared" si="12"/>
        <v>-1.9528284278335299E-2</v>
      </c>
      <c r="S7" s="5">
        <f t="shared" si="13"/>
        <v>9.5856345455486096</v>
      </c>
      <c r="T7" s="8">
        <f t="shared" si="1"/>
        <v>146.69948417913065</v>
      </c>
      <c r="U7" s="8">
        <f t="shared" si="2"/>
        <v>266.04183437673726</v>
      </c>
      <c r="V7" s="8">
        <f t="shared" si="3"/>
        <v>0.80800883595033879</v>
      </c>
      <c r="W7" s="5">
        <f t="shared" si="4"/>
        <v>0.33136967125233224</v>
      </c>
      <c r="X7" s="7">
        <f t="shared" ref="X7:X12" si="14">($R$14*SQRT(ABS(1-V7^2)))/(1-(1-$N$13^2)*V7^2)</f>
        <v>404.35857548924952</v>
      </c>
      <c r="Y7" s="7">
        <f t="shared" ref="Y7:Y12" si="15">($R$14*(1-(1-$R$13^2)*$V7^2))/(SQRT(ABS(1-$V7^2)))</f>
        <v>573.79277876943331</v>
      </c>
      <c r="Z7" s="5">
        <f>ASIN(($N$13*$V7)/(SQRT(1-(1-$N$13^2)*$V7)))*(180/PI())</f>
        <v>38.70386011024614</v>
      </c>
      <c r="AA7" s="8">
        <v>0</v>
      </c>
    </row>
    <row r="8" spans="1:27" x14ac:dyDescent="0.3">
      <c r="A8" s="1">
        <v>2000</v>
      </c>
      <c r="B8" s="3" t="s">
        <v>10</v>
      </c>
      <c r="C8" s="3">
        <f t="shared" ref="C8:C12" si="16">10^6</f>
        <v>1000000</v>
      </c>
      <c r="D8" s="3">
        <v>0.219</v>
      </c>
      <c r="E8" s="4">
        <f t="shared" ref="E8:E12" si="17">SQRT((10^(5)/$C8)^2+(2*PI()*$A8*D8*10^(-6)*10^5)^2)</f>
        <v>275.20353462283771</v>
      </c>
      <c r="F8" s="5">
        <f t="shared" ref="F8:F9" si="18">ATAN((2*PI()*$A8*D8*10^(-6)*10^5)/(10^(5)/$C8))*(180/PI())</f>
        <v>89.979180579619936</v>
      </c>
      <c r="G8" s="3" t="s">
        <v>10</v>
      </c>
      <c r="H8" s="3">
        <f t="shared" si="6"/>
        <v>1000000</v>
      </c>
      <c r="I8" s="3">
        <v>1.0999999999999999E-2</v>
      </c>
      <c r="J8" s="3">
        <f t="shared" si="7"/>
        <v>13.823369386842339</v>
      </c>
      <c r="K8" s="5">
        <f t="shared" si="8"/>
        <v>89.58551147943173</v>
      </c>
      <c r="M8" s="1">
        <v>2000</v>
      </c>
      <c r="N8" s="8">
        <f t="shared" si="0"/>
        <v>0.22411965894681168</v>
      </c>
      <c r="O8" s="8">
        <f>(K8-F8)/2</f>
        <v>-0.19683455009410267</v>
      </c>
      <c r="P8" s="5">
        <f t="shared" si="10"/>
        <v>1.5777122121524616</v>
      </c>
      <c r="Q8" s="5">
        <f t="shared" si="11"/>
        <v>-9.2894804487823279E-2</v>
      </c>
      <c r="R8" s="5">
        <f t="shared" si="12"/>
        <v>-4.644740224391164E-2</v>
      </c>
      <c r="S8" s="5">
        <f t="shared" si="13"/>
        <v>1.9802778716708056</v>
      </c>
      <c r="T8" s="8">
        <f t="shared" si="1"/>
        <v>61.678522320627465</v>
      </c>
      <c r="U8" s="8">
        <f t="shared" si="2"/>
        <v>51.64123877811695</v>
      </c>
      <c r="V8" s="8">
        <f t="shared" si="3"/>
        <v>1.0100110449379236</v>
      </c>
      <c r="W8" s="5">
        <f t="shared" si="4"/>
        <v>0.70710678118654746</v>
      </c>
      <c r="X8" s="7">
        <f t="shared" si="14"/>
        <v>231.50546458650589</v>
      </c>
      <c r="Y8" s="7">
        <f t="shared" si="15"/>
        <v>2383.1811006399575</v>
      </c>
      <c r="Z8" s="5">
        <f>90</f>
        <v>90</v>
      </c>
      <c r="AA8" s="8">
        <f>8.7*ACOSH(($N$13*$V8)/(SQRT(ABS(1-(1-$N$13^2)*$V8^2))))</f>
        <v>2.6694872901719542</v>
      </c>
    </row>
    <row r="9" spans="1:27" x14ac:dyDescent="0.3">
      <c r="A9" s="1">
        <v>2400</v>
      </c>
      <c r="B9" s="3" t="s">
        <v>10</v>
      </c>
      <c r="C9" s="3">
        <f t="shared" si="16"/>
        <v>1000000</v>
      </c>
      <c r="D9" s="3">
        <v>0.27400000000000002</v>
      </c>
      <c r="E9" s="4">
        <f t="shared" si="17"/>
        <v>413.18227790132642</v>
      </c>
      <c r="F9" s="5">
        <f t="shared" si="18"/>
        <v>89.986133049954745</v>
      </c>
      <c r="G9" s="3" t="s">
        <v>10</v>
      </c>
      <c r="H9" s="3">
        <f t="shared" si="6"/>
        <v>1000000</v>
      </c>
      <c r="I9" s="3">
        <v>0.14000000000000001</v>
      </c>
      <c r="J9" s="3">
        <f t="shared" si="7"/>
        <v>211.11505000500404</v>
      </c>
      <c r="K9" s="5">
        <f t="shared" si="8"/>
        <v>89.972860399268413</v>
      </c>
      <c r="M9" s="1">
        <v>2400</v>
      </c>
      <c r="N9" s="8">
        <f t="shared" si="0"/>
        <v>0.71480693020235542</v>
      </c>
      <c r="O9" s="8">
        <f t="shared" si="9"/>
        <v>-6.6363253431660496E-3</v>
      </c>
      <c r="P9" s="5">
        <f t="shared" si="10"/>
        <v>6.0127927636301335</v>
      </c>
      <c r="Q9" s="5">
        <f t="shared" si="11"/>
        <v>-1.9399574461220922E-2</v>
      </c>
      <c r="R9" s="5">
        <f t="shared" si="12"/>
        <v>-9.6997872306104609E-3</v>
      </c>
      <c r="S9" s="5">
        <f t="shared" si="13"/>
        <v>7.7907623574923122</v>
      </c>
      <c r="T9" s="8">
        <f t="shared" si="1"/>
        <v>295.34555568066367</v>
      </c>
      <c r="U9" s="8">
        <f t="shared" si="2"/>
        <v>206.56018248993638</v>
      </c>
      <c r="V9" s="8">
        <f t="shared" si="3"/>
        <v>1.2120132539255082</v>
      </c>
      <c r="W9" s="5">
        <f t="shared" si="4"/>
        <v>0.70710678118654746</v>
      </c>
      <c r="X9" s="7">
        <f t="shared" si="14"/>
        <v>-1633.6743123345123</v>
      </c>
      <c r="Y9" s="7">
        <f t="shared" si="15"/>
        <v>493.651664036873</v>
      </c>
      <c r="Z9" s="5">
        <f>90</f>
        <v>90</v>
      </c>
      <c r="AA9" s="8">
        <f>8.7*ACOSH(($N$13*$V9)/(SQRT(ABS(1-(1-$N$13^2)*$V9^2))))</f>
        <v>8.5242997671151333</v>
      </c>
    </row>
    <row r="10" spans="1:27" x14ac:dyDescent="0.3">
      <c r="A10" s="1">
        <v>3600</v>
      </c>
      <c r="B10" s="3" t="s">
        <v>10</v>
      </c>
      <c r="C10" s="3">
        <f t="shared" si="16"/>
        <v>1000000</v>
      </c>
      <c r="D10" s="3">
        <v>0.35</v>
      </c>
      <c r="E10" s="4">
        <f t="shared" si="17"/>
        <v>791.68135502030009</v>
      </c>
      <c r="F10" s="5">
        <f>ATAN((-1/(2*PI()*$A10*D10*10^(-6)))/$C10)*(180/PI())</f>
        <v>-7.2372273645339305E-3</v>
      </c>
      <c r="G10" s="3" t="s">
        <v>9</v>
      </c>
      <c r="H10" s="3">
        <v>1</v>
      </c>
      <c r="I10" s="3">
        <v>0.25</v>
      </c>
      <c r="J10" s="4">
        <f>SQRT(H10^2+(1/(2*PI()*$A10*I10*10^(-6))^2))</f>
        <v>176.8416530684465</v>
      </c>
      <c r="K10" s="5">
        <f>ATAN((-1/(2*PI()*$A10*I10*10^(-6)))/$H10)*(180/PI())</f>
        <v>-89.676003453505714</v>
      </c>
      <c r="M10" s="1">
        <v>3600</v>
      </c>
      <c r="N10" s="8">
        <f t="shared" si="0"/>
        <v>0.47262541802230496</v>
      </c>
      <c r="O10" s="8">
        <f t="shared" si="9"/>
        <v>-44.834383113070594</v>
      </c>
      <c r="P10" s="5">
        <f t="shared" si="10"/>
        <v>1.8504279880768524</v>
      </c>
      <c r="Q10" s="5">
        <f t="shared" si="11"/>
        <v>-40.634438322916559</v>
      </c>
      <c r="R10" s="5">
        <f t="shared" si="12"/>
        <v>-20.317219161458279</v>
      </c>
      <c r="S10" s="5">
        <f t="shared" si="13"/>
        <v>2.6727218859925332</v>
      </c>
      <c r="T10" s="8">
        <f t="shared" si="1"/>
        <v>374.16873135693413</v>
      </c>
      <c r="U10" s="8">
        <f t="shared" si="2"/>
        <v>311.45181714609834</v>
      </c>
      <c r="V10" s="8">
        <f t="shared" si="3"/>
        <v>1.8180198808882624</v>
      </c>
      <c r="W10" s="5">
        <f t="shared" si="4"/>
        <v>0</v>
      </c>
      <c r="X10" s="7">
        <f t="shared" si="14"/>
        <v>-327.16595851650231</v>
      </c>
      <c r="Y10" s="7">
        <f t="shared" si="15"/>
        <v>222.65990414360851</v>
      </c>
      <c r="Z10" s="5">
        <f>0</f>
        <v>0</v>
      </c>
      <c r="AA10" s="8">
        <f>8.7*ASINH(($N$13*$V10)/(SQRT(ABS(1-(1-$N$13^2)*$V10^2))))</f>
        <v>5.5715823285363655</v>
      </c>
    </row>
    <row r="11" spans="1:27" x14ac:dyDescent="0.3">
      <c r="A11" s="1">
        <v>4200</v>
      </c>
      <c r="B11" s="3" t="s">
        <v>10</v>
      </c>
      <c r="C11" s="3">
        <f t="shared" si="16"/>
        <v>1000000</v>
      </c>
      <c r="D11" s="3">
        <v>0.35899999999999999</v>
      </c>
      <c r="E11" s="4">
        <f t="shared" si="17"/>
        <v>947.37868589425852</v>
      </c>
      <c r="F11" s="5">
        <f t="shared" ref="F11:F12" si="19">ATAN((-1/(2*PI()*$A11*D11*10^(-6)))/$C11)*(180/PI())</f>
        <v>-6.0478223198989194E-3</v>
      </c>
      <c r="G11" s="3" t="s">
        <v>9</v>
      </c>
      <c r="H11" s="3">
        <v>1</v>
      </c>
      <c r="I11" s="3">
        <v>0.26</v>
      </c>
      <c r="J11" s="4">
        <f>SQRT(H11^2+(1/(2*PI()*$A11*I11*10^(-6))^2))</f>
        <v>145.74971546149123</v>
      </c>
      <c r="K11" s="5">
        <f t="shared" ref="K11:K12" si="20">ATAN((-1/(2*PI()*$A11*I11*10^(-6)))/$H11)*(180/PI())</f>
        <v>-89.606886168742349</v>
      </c>
      <c r="M11" s="1">
        <v>4200</v>
      </c>
      <c r="N11" s="8">
        <f t="shared" si="0"/>
        <v>0.39223112439691082</v>
      </c>
      <c r="O11" s="8">
        <f t="shared" si="9"/>
        <v>-44.800419173211225</v>
      </c>
      <c r="P11" s="5">
        <f t="shared" si="10"/>
        <v>1.6923558301197754</v>
      </c>
      <c r="Q11" s="5">
        <f t="shared" si="11"/>
        <v>-33.155167003895563</v>
      </c>
      <c r="R11" s="5">
        <f t="shared" si="12"/>
        <v>-16.577583501947782</v>
      </c>
      <c r="S11" s="5">
        <f t="shared" si="13"/>
        <v>2.284916818769497</v>
      </c>
      <c r="T11" s="8">
        <f t="shared" si="1"/>
        <v>371.59140719797284</v>
      </c>
      <c r="U11" s="8">
        <f t="shared" si="2"/>
        <v>321.97812982871704</v>
      </c>
      <c r="V11" s="8">
        <f t="shared" si="3"/>
        <v>2.1210231943696396</v>
      </c>
      <c r="W11" s="5">
        <f t="shared" si="4"/>
        <v>0</v>
      </c>
      <c r="X11" s="7">
        <f t="shared" si="14"/>
        <v>-253.29204553833767</v>
      </c>
      <c r="Y11" s="7">
        <f t="shared" si="15"/>
        <v>180.73413137842539</v>
      </c>
      <c r="Z11" s="5">
        <f>0</f>
        <v>0</v>
      </c>
      <c r="AA11" s="8">
        <f>8.7*ASINH(($N$13*$V11)/(SQRT(ABS(1-(1-$N$13^2)*$V11^2))))</f>
        <v>5.1976511285543978</v>
      </c>
    </row>
    <row r="12" spans="1:27" x14ac:dyDescent="0.3">
      <c r="A12" s="1">
        <v>4800</v>
      </c>
      <c r="B12" s="3" t="s">
        <v>10</v>
      </c>
      <c r="C12" s="3">
        <f t="shared" si="16"/>
        <v>1000000</v>
      </c>
      <c r="D12" s="3">
        <v>0.36899999999999999</v>
      </c>
      <c r="E12" s="4">
        <f t="shared" si="17"/>
        <v>1112.8777861005044</v>
      </c>
      <c r="F12" s="5">
        <f t="shared" si="19"/>
        <v>-5.1484341143108979E-3</v>
      </c>
      <c r="G12" s="3" t="s">
        <v>9</v>
      </c>
      <c r="H12" s="3">
        <v>1</v>
      </c>
      <c r="I12" s="3">
        <v>0.27</v>
      </c>
      <c r="J12" s="4">
        <f>SQRT(H12^2+(1/(2*PI()*$A12*I12*10^(-6))^2))</f>
        <v>122.80881147663005</v>
      </c>
      <c r="K12" s="5">
        <f t="shared" si="20"/>
        <v>-89.533450311900395</v>
      </c>
      <c r="M12" s="1">
        <v>4800</v>
      </c>
      <c r="N12" s="8">
        <f t="shared" si="0"/>
        <v>0.33219342118191514</v>
      </c>
      <c r="O12" s="8">
        <f t="shared" si="9"/>
        <v>-44.764150938893039</v>
      </c>
      <c r="P12" s="5">
        <f t="shared" si="10"/>
        <v>1.5739421956967978</v>
      </c>
      <c r="Q12" s="5">
        <f t="shared" si="11"/>
        <v>-27.739327333408188</v>
      </c>
      <c r="R12" s="5">
        <f t="shared" si="12"/>
        <v>-13.869663666704094</v>
      </c>
      <c r="S12" s="5">
        <f t="shared" si="13"/>
        <v>1.9698877849897372</v>
      </c>
      <c r="T12" s="8">
        <f t="shared" si="1"/>
        <v>369.69067912208209</v>
      </c>
      <c r="U12" s="8">
        <f t="shared" si="2"/>
        <v>332.1714163994626</v>
      </c>
      <c r="V12" s="8">
        <f t="shared" si="3"/>
        <v>2.4240265078510164</v>
      </c>
      <c r="W12" s="5">
        <f t="shared" si="4"/>
        <v>0</v>
      </c>
      <c r="X12" s="7">
        <f t="shared" si="14"/>
        <v>-209.28547528573074</v>
      </c>
      <c r="Y12" s="7">
        <f t="shared" si="15"/>
        <v>153.09759821348925</v>
      </c>
      <c r="Z12" s="5">
        <f>0</f>
        <v>0</v>
      </c>
      <c r="AA12" s="8">
        <f>8.7*ASINH(($N$13*$V12)/(SQRT(ABS(1-(1-$N$13^2)*$V12^2))))</f>
        <v>4.9920718390724916</v>
      </c>
    </row>
    <row r="13" spans="1:27" ht="15" thickBot="1" x14ac:dyDescent="0.35">
      <c r="A13" s="25" t="s">
        <v>11</v>
      </c>
      <c r="B13" s="25" t="s">
        <v>6</v>
      </c>
      <c r="C13" s="25"/>
      <c r="D13" s="25"/>
      <c r="E13" s="25"/>
      <c r="F13" s="25"/>
      <c r="G13" s="25" t="s">
        <v>7</v>
      </c>
      <c r="H13" s="25"/>
      <c r="I13" s="25"/>
      <c r="J13" s="25"/>
      <c r="K13" s="25"/>
      <c r="M13" s="2" t="s">
        <v>26</v>
      </c>
      <c r="N13" s="12">
        <f>0.472</f>
        <v>0.47199999999999998</v>
      </c>
      <c r="Q13" s="2" t="s">
        <v>26</v>
      </c>
      <c r="R13" s="5">
        <v>1</v>
      </c>
      <c r="W13" s="6" t="s">
        <v>31</v>
      </c>
    </row>
    <row r="14" spans="1:27" ht="15" thickBot="1" x14ac:dyDescent="0.35">
      <c r="A14" s="25"/>
      <c r="B14" s="25" t="s">
        <v>1</v>
      </c>
      <c r="C14" s="25" t="s">
        <v>2</v>
      </c>
      <c r="D14" s="25" t="s">
        <v>3</v>
      </c>
      <c r="E14" s="25" t="s">
        <v>24</v>
      </c>
      <c r="F14" s="25"/>
      <c r="G14" s="25" t="s">
        <v>1</v>
      </c>
      <c r="H14" s="25" t="s">
        <v>2</v>
      </c>
      <c r="I14" s="25" t="s">
        <v>3</v>
      </c>
      <c r="J14" s="25" t="s">
        <v>25</v>
      </c>
      <c r="K14" s="25"/>
      <c r="M14" s="2" t="s">
        <v>27</v>
      </c>
      <c r="N14" s="17">
        <f>1/(2*PI()*SQRT(N19*N16))</f>
        <v>1980.1763654207587</v>
      </c>
      <c r="Q14" s="2" t="s">
        <v>28</v>
      </c>
      <c r="R14" s="13">
        <f>SQRT(N16/N17)</f>
        <v>338.06170189140664</v>
      </c>
      <c r="S14" s="14" t="s">
        <v>40</v>
      </c>
    </row>
    <row r="15" spans="1:27" ht="15" thickBot="1" x14ac:dyDescent="0.35">
      <c r="A15" s="25"/>
      <c r="B15" s="25"/>
      <c r="C15" s="25"/>
      <c r="D15" s="25"/>
      <c r="E15" s="9" t="s">
        <v>32</v>
      </c>
      <c r="F15" s="9" t="s">
        <v>33</v>
      </c>
      <c r="G15" s="25"/>
      <c r="H15" s="25"/>
      <c r="I15" s="25"/>
      <c r="J15" s="9" t="s">
        <v>32</v>
      </c>
      <c r="K15" s="9" t="s">
        <v>33</v>
      </c>
      <c r="M15" s="10" t="s">
        <v>38</v>
      </c>
      <c r="N15" s="18">
        <f>1/(2*PI()*SQRT(N17*N16))</f>
        <v>1345.1047731519027</v>
      </c>
      <c r="Q15" s="11" t="s">
        <v>28</v>
      </c>
      <c r="R15" s="13">
        <f>SQRT(N16/N18)</f>
        <v>365.14837167011075</v>
      </c>
      <c r="S15" s="20" t="s">
        <v>39</v>
      </c>
    </row>
    <row r="16" spans="1:27" ht="15" thickBot="1" x14ac:dyDescent="0.35">
      <c r="A16" s="1">
        <v>400</v>
      </c>
      <c r="B16" s="3" t="s">
        <v>9</v>
      </c>
      <c r="C16" s="3">
        <v>1</v>
      </c>
      <c r="D16" s="3">
        <v>1.68</v>
      </c>
      <c r="E16" s="4">
        <f t="shared" ref="E16:E19" si="21">SQRT(C16^2+(1/(2*PI()*$A16*D16*10^(-6))^2))</f>
        <v>236.83982407522208</v>
      </c>
      <c r="F16" s="5">
        <f>ATAN((-1/(2*PI()*$A16*D16*10^(-6)))/$C16)*(180/PI())</f>
        <v>-89.758081437620177</v>
      </c>
      <c r="G16" s="3" t="s">
        <v>10</v>
      </c>
      <c r="H16" s="3">
        <v>1000000</v>
      </c>
      <c r="I16" s="3">
        <v>0.3</v>
      </c>
      <c r="J16" s="4">
        <f>SQRT((10^(5)/$H16)^2+(2*PI()*$A16*I16*10^(-6)*10^5)^2)</f>
        <v>75.398290000685492</v>
      </c>
      <c r="K16" s="5">
        <f t="shared" ref="K16:K18" si="22">ATAN((-1/(2*PI()*$A16*I16*10^(-6)))/$H16)*(180/PI())</f>
        <v>-7.5990843174585723E-2</v>
      </c>
      <c r="M16" s="14" t="s">
        <v>34</v>
      </c>
      <c r="N16" s="21">
        <f>0.04</f>
        <v>0.04</v>
      </c>
      <c r="O16" s="24"/>
      <c r="P16" s="19"/>
      <c r="Q16" s="19"/>
      <c r="R16" s="19"/>
      <c r="S16" s="19"/>
      <c r="T16" s="19"/>
      <c r="U16" s="19"/>
    </row>
    <row r="17" spans="1:21" ht="15" thickBot="1" x14ac:dyDescent="0.35">
      <c r="A17" s="1">
        <v>800</v>
      </c>
      <c r="B17" s="3" t="s">
        <v>9</v>
      </c>
      <c r="C17" s="3">
        <v>1</v>
      </c>
      <c r="D17" s="3">
        <v>0.193</v>
      </c>
      <c r="E17" s="4">
        <f t="shared" si="21"/>
        <v>1030.7967486103366</v>
      </c>
      <c r="F17" s="5">
        <f t="shared" ref="F17:F24" si="23">ATAN((-1/(2*PI()*$A17*D17*10^(-6)))/$C17)*(180/PI())</f>
        <v>-89.944416017437433</v>
      </c>
      <c r="G17" s="3" t="s">
        <v>10</v>
      </c>
      <c r="H17" s="3">
        <v>1000000</v>
      </c>
      <c r="I17" s="3">
        <v>0.3</v>
      </c>
      <c r="J17" s="4">
        <f t="shared" ref="J17:J18" si="24">SQRT((10^(5)/$H17)^2+(2*PI()*$A17*I17*10^(-6)*10^5)^2)</f>
        <v>150.79648052958623</v>
      </c>
      <c r="K17" s="5">
        <f t="shared" si="22"/>
        <v>-3.7995438296226314E-2</v>
      </c>
      <c r="M17" s="14" t="s">
        <v>35</v>
      </c>
      <c r="N17" s="21">
        <f>3.5*10^-7</f>
        <v>3.4999999999999998E-7</v>
      </c>
      <c r="O17" s="19"/>
      <c r="P17" s="19"/>
      <c r="Q17" s="19"/>
      <c r="R17" s="19"/>
      <c r="S17" s="19"/>
      <c r="T17" s="19"/>
      <c r="U17" s="19"/>
    </row>
    <row r="18" spans="1:21" ht="15" thickBot="1" x14ac:dyDescent="0.35">
      <c r="A18" s="1">
        <v>1200</v>
      </c>
      <c r="B18" s="3" t="s">
        <v>9</v>
      </c>
      <c r="C18" s="3">
        <v>1</v>
      </c>
      <c r="D18" s="3">
        <v>0.25600000000000001</v>
      </c>
      <c r="E18" s="4">
        <f t="shared" si="21"/>
        <v>518.0834621402945</v>
      </c>
      <c r="F18" s="5">
        <f t="shared" si="23"/>
        <v>-89.889408137342102</v>
      </c>
      <c r="G18" s="3" t="s">
        <v>10</v>
      </c>
      <c r="H18" s="3">
        <v>1000000</v>
      </c>
      <c r="I18" s="3">
        <v>0.3</v>
      </c>
      <c r="J18" s="4">
        <f t="shared" si="24"/>
        <v>226.19469316331723</v>
      </c>
      <c r="K18" s="5">
        <f t="shared" si="22"/>
        <v>-2.5330294260317431E-2</v>
      </c>
      <c r="M18" s="16" t="s">
        <v>37</v>
      </c>
      <c r="N18" s="22">
        <f>3*10^-7</f>
        <v>2.9999999999999999E-7</v>
      </c>
    </row>
    <row r="19" spans="1:21" ht="15" thickBot="1" x14ac:dyDescent="0.35">
      <c r="A19" s="1">
        <v>1600</v>
      </c>
      <c r="B19" s="3" t="s">
        <v>9</v>
      </c>
      <c r="C19" s="3">
        <v>1</v>
      </c>
      <c r="D19" s="3">
        <v>0.46600000000000003</v>
      </c>
      <c r="E19" s="4">
        <f t="shared" si="21"/>
        <v>213.46122526085094</v>
      </c>
      <c r="F19" s="5">
        <f t="shared" si="23"/>
        <v>-89.731585963599727</v>
      </c>
      <c r="G19" s="3" t="s">
        <v>9</v>
      </c>
      <c r="H19" s="3">
        <v>1</v>
      </c>
      <c r="I19" s="3">
        <v>0.3</v>
      </c>
      <c r="J19" s="4">
        <f t="shared" ref="J19:J24" si="25">SQRT(H19^2+(1/(2*PI()*$A19*I19*10^(-6))^2))</f>
        <v>331.57430606915995</v>
      </c>
      <c r="K19" s="5">
        <f>ATAN((-1/(2*PI()*$A19*I19*10^(-6)))/$H19)*(180/PI())</f>
        <v>-89.827200523916801</v>
      </c>
      <c r="M19" s="15" t="s">
        <v>36</v>
      </c>
      <c r="N19" s="23">
        <f>1.615*10^-7</f>
        <v>1.6149999999999998E-7</v>
      </c>
    </row>
    <row r="20" spans="1:21" x14ac:dyDescent="0.3">
      <c r="A20" s="1">
        <v>2000</v>
      </c>
      <c r="B20" s="3" t="s">
        <v>10</v>
      </c>
      <c r="C20" s="3">
        <v>1000000</v>
      </c>
      <c r="D20" s="3">
        <v>8.0000000000000002E-3</v>
      </c>
      <c r="E20" s="4">
        <f t="shared" ref="E20:E24" si="26">SQRT((10^(5)/$C20)^2+(2*PI()*$A20*D20*10^(-6)*10^5)^2)</f>
        <v>10.053593838382124</v>
      </c>
      <c r="F20" s="5">
        <f t="shared" si="23"/>
        <v>-0.56991286152911413</v>
      </c>
      <c r="G20" s="3" t="s">
        <v>9</v>
      </c>
      <c r="H20" s="3">
        <v>1</v>
      </c>
      <c r="I20" s="3">
        <v>0.3</v>
      </c>
      <c r="J20" s="4">
        <f t="shared" si="25"/>
        <v>265.26012343538713</v>
      </c>
      <c r="K20" s="5">
        <f t="shared" ref="K20:K24" si="27">ATAN((-1/(2*PI()*$A20*I20*10^(-6)))/$H20)*(180/PI())</f>
        <v>-89.784001023271856</v>
      </c>
    </row>
    <row r="21" spans="1:21" x14ac:dyDescent="0.3">
      <c r="A21" s="1">
        <v>2400</v>
      </c>
      <c r="B21" s="3" t="s">
        <v>10</v>
      </c>
      <c r="C21" s="3">
        <v>1000000</v>
      </c>
      <c r="D21" s="3">
        <v>0.128</v>
      </c>
      <c r="E21" s="4">
        <f t="shared" si="26"/>
        <v>193.01947854067998</v>
      </c>
      <c r="F21" s="5">
        <f t="shared" si="23"/>
        <v>-2.9683937864399622E-2</v>
      </c>
      <c r="G21" s="3" t="s">
        <v>9</v>
      </c>
      <c r="H21" s="3">
        <v>1</v>
      </c>
      <c r="I21" s="3">
        <v>0.3</v>
      </c>
      <c r="J21" s="4">
        <f t="shared" si="25"/>
        <v>221.05079400721456</v>
      </c>
      <c r="K21" s="5">
        <f t="shared" si="27"/>
        <v>-89.740801768207135</v>
      </c>
    </row>
    <row r="22" spans="1:21" x14ac:dyDescent="0.3">
      <c r="A22" s="1">
        <v>3600</v>
      </c>
      <c r="B22" s="3" t="s">
        <v>10</v>
      </c>
      <c r="C22" s="3">
        <v>1000000</v>
      </c>
      <c r="D22" s="3">
        <v>0.29099999999999998</v>
      </c>
      <c r="E22" s="4">
        <f t="shared" si="26"/>
        <v>658.22650037630285</v>
      </c>
      <c r="F22" s="5">
        <f t="shared" si="23"/>
        <v>-8.7045689744687255E-3</v>
      </c>
      <c r="G22" s="3" t="s">
        <v>9</v>
      </c>
      <c r="H22" s="3">
        <v>1</v>
      </c>
      <c r="I22" s="3">
        <v>0.3</v>
      </c>
      <c r="J22" s="4">
        <f t="shared" si="25"/>
        <v>147.36908092905904</v>
      </c>
      <c r="K22" s="5">
        <f t="shared" si="27"/>
        <v>-89.611205967607503</v>
      </c>
    </row>
    <row r="23" spans="1:21" x14ac:dyDescent="0.3">
      <c r="A23" s="1">
        <v>4200</v>
      </c>
      <c r="B23" s="3" t="s">
        <v>10</v>
      </c>
      <c r="C23" s="3">
        <v>1000000</v>
      </c>
      <c r="D23" s="3">
        <v>0.311</v>
      </c>
      <c r="E23" s="4">
        <f t="shared" si="26"/>
        <v>820.70967091608588</v>
      </c>
      <c r="F23" s="5">
        <f t="shared" si="23"/>
        <v>-6.9812482641883203E-3</v>
      </c>
      <c r="G23" s="3" t="s">
        <v>9</v>
      </c>
      <c r="H23" s="3">
        <v>1</v>
      </c>
      <c r="I23" s="3">
        <v>0.3</v>
      </c>
      <c r="J23" s="4">
        <f t="shared" si="25"/>
        <v>126.3174052430509</v>
      </c>
      <c r="K23" s="5">
        <f t="shared" si="27"/>
        <v>-89.546409476245145</v>
      </c>
    </row>
    <row r="24" spans="1:21" x14ac:dyDescent="0.3">
      <c r="A24" s="1">
        <v>4800</v>
      </c>
      <c r="B24" s="3" t="s">
        <v>10</v>
      </c>
      <c r="C24" s="3">
        <v>1000000</v>
      </c>
      <c r="D24" s="3">
        <v>0.33100000000000002</v>
      </c>
      <c r="E24" s="4">
        <f t="shared" si="26"/>
        <v>998.27248661334511</v>
      </c>
      <c r="F24" s="5">
        <f t="shared" si="23"/>
        <v>-5.7394930119012786E-3</v>
      </c>
      <c r="G24" s="3" t="s">
        <v>9</v>
      </c>
      <c r="H24" s="3">
        <v>1</v>
      </c>
      <c r="I24" s="3">
        <v>0.3</v>
      </c>
      <c r="J24" s="4">
        <f t="shared" si="25"/>
        <v>110.52878983687916</v>
      </c>
      <c r="K24" s="5">
        <f t="shared" si="27"/>
        <v>-89.481614145136035</v>
      </c>
    </row>
  </sheetData>
  <mergeCells count="37">
    <mergeCell ref="A13:A15"/>
    <mergeCell ref="B14:B15"/>
    <mergeCell ref="C14:C15"/>
    <mergeCell ref="D14:D15"/>
    <mergeCell ref="E14:F14"/>
    <mergeCell ref="V1:AA1"/>
    <mergeCell ref="N2:O2"/>
    <mergeCell ref="N1:U1"/>
    <mergeCell ref="M1:M3"/>
    <mergeCell ref="AA2:AA3"/>
    <mergeCell ref="Z2:Z3"/>
    <mergeCell ref="Y2:Y3"/>
    <mergeCell ref="X2:X3"/>
    <mergeCell ref="W2:W3"/>
    <mergeCell ref="P2:Q2"/>
    <mergeCell ref="V2:V3"/>
    <mergeCell ref="U2:U3"/>
    <mergeCell ref="T2:T3"/>
    <mergeCell ref="S2:S3"/>
    <mergeCell ref="R2:R3"/>
    <mergeCell ref="J14:K14"/>
    <mergeCell ref="I14:I15"/>
    <mergeCell ref="H14:H15"/>
    <mergeCell ref="G14:G15"/>
    <mergeCell ref="D2:D3"/>
    <mergeCell ref="J2:K2"/>
    <mergeCell ref="G13:K13"/>
    <mergeCell ref="B13:F13"/>
    <mergeCell ref="C2:C3"/>
    <mergeCell ref="B2:B3"/>
    <mergeCell ref="A1:A3"/>
    <mergeCell ref="E2:F2"/>
    <mergeCell ref="I2:I3"/>
    <mergeCell ref="H2:H3"/>
    <mergeCell ref="G2:G3"/>
    <mergeCell ref="B1:F1"/>
    <mergeCell ref="G1:K1"/>
  </mergeCells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Goll Roberto</cp:lastModifiedBy>
  <dcterms:created xsi:type="dcterms:W3CDTF">2024-04-09T06:02:51Z</dcterms:created>
  <dcterms:modified xsi:type="dcterms:W3CDTF">2024-07-05T14:27:13Z</dcterms:modified>
</cp:coreProperties>
</file>