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study_materials\ТЛЭЦ\"/>
    </mc:Choice>
  </mc:AlternateContent>
  <xr:revisionPtr revIDLastSave="0" documentId="13_ncr:1_{DCEBFD0A-43A9-45FB-B2EE-E0295D217C8E}" xr6:coauthVersionLast="47" xr6:coauthVersionMax="47" xr10:uidLastSave="{00000000-0000-0000-0000-000000000000}"/>
  <bookViews>
    <workbookView xWindow="28680" yWindow="-120" windowWidth="29040" windowHeight="16440" activeTab="1" xr2:uid="{02B9DD5D-65BB-44E9-9046-DDCB2707FAD4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K17" i="1"/>
  <c r="J17" i="1"/>
  <c r="K16" i="1"/>
  <c r="J16" i="1"/>
  <c r="K9" i="1"/>
  <c r="J9" i="1"/>
  <c r="F9" i="1"/>
  <c r="E9" i="1"/>
  <c r="K8" i="1"/>
  <c r="J8" i="1"/>
  <c r="F8" i="1"/>
  <c r="E8" i="1"/>
  <c r="K7" i="1"/>
  <c r="J7" i="1"/>
  <c r="F7" i="1"/>
  <c r="E7" i="1"/>
  <c r="K6" i="1"/>
  <c r="J6" i="1"/>
  <c r="F6" i="1"/>
  <c r="E6" i="1"/>
  <c r="K5" i="1"/>
  <c r="J5" i="1"/>
  <c r="F5" i="1"/>
  <c r="E5" i="1"/>
  <c r="K4" i="1"/>
  <c r="J4" i="1"/>
  <c r="F4" i="1"/>
  <c r="E4" i="1"/>
  <c r="E16" i="1"/>
  <c r="F16" i="1"/>
  <c r="E17" i="1"/>
  <c r="F17" i="1"/>
  <c r="E18" i="1"/>
  <c r="F18" i="1"/>
  <c r="E19" i="1"/>
  <c r="F19" i="1"/>
  <c r="J19" i="1"/>
  <c r="K19" i="1"/>
  <c r="E20" i="1"/>
  <c r="F20" i="1"/>
  <c r="J20" i="1"/>
  <c r="K20" i="1"/>
  <c r="E21" i="1"/>
  <c r="F21" i="1"/>
  <c r="J21" i="1"/>
  <c r="K21" i="1"/>
  <c r="W9" i="1"/>
  <c r="Z8" i="1"/>
  <c r="W8" i="1" s="1"/>
  <c r="Z9" i="1"/>
  <c r="Z7" i="1"/>
  <c r="W7" i="1" s="1"/>
  <c r="R14" i="1"/>
  <c r="N14" i="1"/>
  <c r="V7" i="1" s="1"/>
  <c r="AA7" i="1" s="1"/>
  <c r="O7" i="1" l="1"/>
  <c r="N4" i="1"/>
  <c r="U5" i="1"/>
  <c r="U8" i="1"/>
  <c r="U7" i="1"/>
  <c r="O8" i="1"/>
  <c r="O6" i="1"/>
  <c r="T8" i="1"/>
  <c r="N5" i="1"/>
  <c r="O9" i="1"/>
  <c r="O4" i="1"/>
  <c r="O5" i="1"/>
  <c r="U6" i="1"/>
  <c r="U4" i="1"/>
  <c r="U9" i="1"/>
  <c r="X7" i="1"/>
  <c r="V4" i="1"/>
  <c r="Z4" i="1" s="1"/>
  <c r="W4" i="1" s="1"/>
  <c r="Y7" i="1"/>
  <c r="T4" i="1"/>
  <c r="T6" i="1"/>
  <c r="N6" i="1"/>
  <c r="N9" i="1"/>
  <c r="N7" i="1"/>
  <c r="T7" i="1"/>
  <c r="V6" i="1"/>
  <c r="Z6" i="1" s="1"/>
  <c r="W6" i="1" s="1"/>
  <c r="V9" i="1"/>
  <c r="AA9" i="1" s="1"/>
  <c r="T9" i="1"/>
  <c r="T5" i="1"/>
  <c r="V8" i="1"/>
  <c r="AA8" i="1" s="1"/>
  <c r="V5" i="1"/>
  <c r="Y5" i="1" s="1"/>
  <c r="P4" i="1" l="1"/>
  <c r="S4" i="1" s="1"/>
  <c r="Q5" i="1"/>
  <c r="R5" i="1" s="1"/>
  <c r="N8" i="1"/>
  <c r="Q8" i="1" s="1"/>
  <c r="R8" i="1" s="1"/>
  <c r="Q4" i="1"/>
  <c r="R4" i="1" s="1"/>
  <c r="P5" i="1"/>
  <c r="S5" i="1" s="1"/>
  <c r="Q7" i="1"/>
  <c r="R7" i="1" s="1"/>
  <c r="P6" i="1"/>
  <c r="S6" i="1" s="1"/>
  <c r="Q6" i="1"/>
  <c r="R6" i="1" s="1"/>
  <c r="Q9" i="1"/>
  <c r="R9" i="1" s="1"/>
  <c r="P9" i="1"/>
  <c r="S9" i="1" s="1"/>
  <c r="P7" i="1"/>
  <c r="S7" i="1" s="1"/>
  <c r="X4" i="1"/>
  <c r="Y6" i="1"/>
  <c r="X6" i="1"/>
  <c r="Y4" i="1"/>
  <c r="X9" i="1"/>
  <c r="X8" i="1"/>
  <c r="Y9" i="1"/>
  <c r="X5" i="1"/>
  <c r="Z5" i="1"/>
  <c r="W5" i="1" s="1"/>
  <c r="Y8" i="1"/>
  <c r="P8" i="1" l="1"/>
  <c r="S8" i="1" s="1"/>
</calcChain>
</file>

<file path=xl/sharedStrings.xml><?xml version="1.0" encoding="utf-8"?>
<sst xmlns="http://schemas.openxmlformats.org/spreadsheetml/2006/main" count="79" uniqueCount="34">
  <si>
    <t>f</t>
  </si>
  <si>
    <t>Хар-ер</t>
  </si>
  <si>
    <t>Rэ</t>
  </si>
  <si>
    <t>Сэ</t>
  </si>
  <si>
    <t>Zвх(беск)</t>
  </si>
  <si>
    <t>Zвх(ноль)</t>
  </si>
  <si>
    <t>xx</t>
  </si>
  <si>
    <t>кз</t>
  </si>
  <si>
    <t>f пб</t>
  </si>
  <si>
    <t>е</t>
  </si>
  <si>
    <t>f об</t>
  </si>
  <si>
    <t>Результат измерения</t>
  </si>
  <si>
    <t>Результат теор измерения</t>
  </si>
  <si>
    <t>корень(Zвх(ноль)/Zвх(беск))</t>
  </si>
  <si>
    <t>bэ</t>
  </si>
  <si>
    <t>aэ</t>
  </si>
  <si>
    <t>Zc1</t>
  </si>
  <si>
    <t>Zc2</t>
  </si>
  <si>
    <t>Ω</t>
  </si>
  <si>
    <t>Zтm</t>
  </si>
  <si>
    <t>Zп</t>
  </si>
  <si>
    <t>bт</t>
  </si>
  <si>
    <t>aт</t>
  </si>
  <si>
    <t>Z'вх(беск)</t>
  </si>
  <si>
    <t>Z'вх(ноль)</t>
  </si>
  <si>
    <t>m=</t>
  </si>
  <si>
    <t>fc=</t>
  </si>
  <si>
    <t>R=</t>
  </si>
  <si>
    <t>sin(b/2)</t>
  </si>
  <si>
    <t>Q</t>
  </si>
  <si>
    <t xml:space="preserve">  </t>
  </si>
  <si>
    <t>мнимое</t>
  </si>
  <si>
    <t>a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</si>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</sst>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281024"/>
        <c:axId val="1550282688"/>
      </c:barChart>
      <c:catAx>
        <c:axId val="1550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282688"/>
        <c:crosses val="autoZero"/>
        <c:auto val="1"/>
        <c:lblAlgn val="ctr"/>
        <c:lblOffset val="100"/>
        <c:noMultiLvlLbl val="0"/>
      </c:catAx>
      <c:valAx>
        <c:axId val="15502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D491E0-7BAF-4212-9A5B-798CD70028A7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FDAA49-0D92-41EE-A406-2D9017F731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40C7-EB0D-4AC3-91A1-7FB1B49ABCF9}">
  <dimension ref="A1:AA24"/>
  <sheetViews>
    <sheetView tabSelected="1" topLeftCell="F1" zoomScale="125" workbookViewId="0">
      <selection activeCell="R4" sqref="R4"/>
    </sheetView>
  </sheetViews>
  <sheetFormatPr defaultRowHeight="14.4" x14ac:dyDescent="0.3"/>
  <cols>
    <col min="2" max="4" width="8.88671875" customWidth="1"/>
    <col min="5" max="5" width="9.44140625" bestFit="1" customWidth="1"/>
    <col min="7" max="7" width="8.88671875" customWidth="1"/>
    <col min="9" max="9" width="9.44140625" bestFit="1" customWidth="1"/>
    <col min="10" max="11" width="8.88671875" customWidth="1"/>
    <col min="12" max="12" width="14.6640625" customWidth="1"/>
    <col min="13" max="13" width="8.88671875" customWidth="1"/>
    <col min="14" max="14" width="13.88671875" customWidth="1"/>
    <col min="15" max="15" width="7" customWidth="1"/>
    <col min="16" max="21" width="8.88671875" customWidth="1"/>
    <col min="23" max="28" width="8.88671875" customWidth="1"/>
  </cols>
  <sheetData>
    <row r="1" spans="1:27" x14ac:dyDescent="0.3">
      <c r="A1" s="10" t="s">
        <v>8</v>
      </c>
      <c r="B1" s="10" t="s">
        <v>6</v>
      </c>
      <c r="C1" s="10"/>
      <c r="D1" s="10"/>
      <c r="E1" s="10"/>
      <c r="F1" s="10"/>
      <c r="G1" s="10" t="s">
        <v>7</v>
      </c>
      <c r="H1" s="10"/>
      <c r="I1" s="10"/>
      <c r="J1" s="10"/>
      <c r="K1" s="10"/>
      <c r="M1" s="13" t="s">
        <v>0</v>
      </c>
      <c r="N1" s="15" t="s">
        <v>11</v>
      </c>
      <c r="O1" s="16"/>
      <c r="P1" s="16"/>
      <c r="Q1" s="16"/>
      <c r="R1" s="16"/>
      <c r="S1" s="16"/>
      <c r="T1" s="16"/>
      <c r="U1" s="17"/>
      <c r="V1" s="11" t="s">
        <v>12</v>
      </c>
      <c r="W1" s="12"/>
      <c r="X1" s="12"/>
      <c r="Y1" s="12"/>
      <c r="Z1" s="12"/>
      <c r="AA1" s="13"/>
    </row>
    <row r="2" spans="1:27" ht="30" customHeight="1" x14ac:dyDescent="0.3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/>
      <c r="G2" s="10" t="s">
        <v>1</v>
      </c>
      <c r="H2" s="10" t="s">
        <v>2</v>
      </c>
      <c r="I2" s="10" t="s">
        <v>3</v>
      </c>
      <c r="J2" s="10" t="s">
        <v>5</v>
      </c>
      <c r="K2" s="10"/>
      <c r="M2" s="17"/>
      <c r="N2" s="14" t="s">
        <v>13</v>
      </c>
      <c r="O2" s="14"/>
      <c r="P2" s="21" t="s">
        <v>29</v>
      </c>
      <c r="Q2" s="22"/>
      <c r="R2" s="19" t="s">
        <v>14</v>
      </c>
      <c r="S2" s="19" t="s">
        <v>15</v>
      </c>
      <c r="T2" s="19" t="s">
        <v>16</v>
      </c>
      <c r="U2" s="19" t="s">
        <v>17</v>
      </c>
      <c r="V2" s="23" t="s">
        <v>18</v>
      </c>
      <c r="W2" s="19" t="s">
        <v>28</v>
      </c>
      <c r="X2" s="19" t="s">
        <v>19</v>
      </c>
      <c r="Y2" s="19" t="s">
        <v>20</v>
      </c>
      <c r="Z2" s="19" t="s">
        <v>21</v>
      </c>
      <c r="AA2" s="19" t="s">
        <v>22</v>
      </c>
    </row>
    <row r="3" spans="1:27" x14ac:dyDescent="0.3">
      <c r="A3" s="10"/>
      <c r="B3" s="10"/>
      <c r="C3" s="10"/>
      <c r="D3" s="10"/>
      <c r="E3" s="9" t="s">
        <v>32</v>
      </c>
      <c r="F3" s="9" t="s">
        <v>33</v>
      </c>
      <c r="G3" s="10"/>
      <c r="H3" s="10"/>
      <c r="I3" s="10"/>
      <c r="J3" s="9" t="s">
        <v>32</v>
      </c>
      <c r="K3" s="9" t="s">
        <v>33</v>
      </c>
      <c r="M3" s="18"/>
      <c r="N3" s="9" t="s">
        <v>32</v>
      </c>
      <c r="O3" s="9" t="s">
        <v>33</v>
      </c>
      <c r="P3" s="9" t="s">
        <v>32</v>
      </c>
      <c r="Q3" s="9" t="s">
        <v>33</v>
      </c>
      <c r="R3" s="20"/>
      <c r="S3" s="20"/>
      <c r="T3" s="20"/>
      <c r="U3" s="20"/>
      <c r="V3" s="24"/>
      <c r="W3" s="20"/>
      <c r="X3" s="20"/>
      <c r="Y3" s="20"/>
      <c r="Z3" s="20"/>
      <c r="AA3" s="20"/>
    </row>
    <row r="4" spans="1:27" x14ac:dyDescent="0.3">
      <c r="A4" s="1">
        <v>400</v>
      </c>
      <c r="B4" s="3" t="s">
        <v>9</v>
      </c>
      <c r="C4" s="3">
        <v>532</v>
      </c>
      <c r="D4" s="3">
        <v>0.46600000000000003</v>
      </c>
      <c r="E4" s="4">
        <f t="shared" ref="E4:E5" si="0">SQRT(C4^2+(1/(2*PI()*$A4*D4*10^(-6))^2))</f>
        <v>1006.0114885217862</v>
      </c>
      <c r="F4" s="5">
        <f t="shared" ref="F4:F5" si="1">ATAN((-1/(2*PI()*$A4*D4*10^(-6)))/$C4)*(180/PI())</f>
        <v>-58.074170982583297</v>
      </c>
      <c r="G4" s="3" t="s">
        <v>9</v>
      </c>
      <c r="H4" s="3">
        <v>494</v>
      </c>
      <c r="I4" s="3">
        <v>4.5</v>
      </c>
      <c r="J4" s="4">
        <f t="shared" ref="J4:J5" si="2">SQRT(H4^2+(1/(2*PI()*$A4*I4*10^(-6))^2))</f>
        <v>501.85056796320873</v>
      </c>
      <c r="K4" s="5">
        <f t="shared" ref="K4:K5" si="3">ATAN((-1/(2*PI()*$A4*I4*10^(-6)))/$H4)*(180/PI())</f>
        <v>-10.14772612131048</v>
      </c>
      <c r="M4" s="1">
        <v>400</v>
      </c>
      <c r="N4" s="8">
        <f t="shared" ref="N4:N9" si="4">SQRT(J4/E4)</f>
        <v>0.7062943625253354</v>
      </c>
      <c r="O4" s="8">
        <f>(K4-F4)/2</f>
        <v>23.963222430636407</v>
      </c>
      <c r="P4" s="5">
        <f>SQRT((1+$N4*COS(O4*(PI()/180)))^2+($N4*SIN(O4*(PI()/180)))^2)/SQRT((1-$N4*COS(O4*(PI()/180)))^2+($N4*SIN(O4*(PI()/180)))^2)</f>
        <v>3.6620632124419172</v>
      </c>
      <c r="Q4" s="5">
        <f>(ATAN((N4*SIN(O4*(PI()/180)))/(1+N4*COS(O4*(PI()/180))))-ATAN((-N4*SIN(O4*(PI()/180)))/(1-N4*COS(O4*(PI()/180)))))*(180/PI())</f>
        <v>48.862724289735674</v>
      </c>
      <c r="R4" s="5">
        <f>Q4/2</f>
        <v>24.431362144867837</v>
      </c>
      <c r="S4" s="5">
        <f>10*LOG10(P4)</f>
        <v>5.6372583657348043</v>
      </c>
      <c r="T4" s="8">
        <f t="shared" ref="T4:T9" si="5">SQRT(J4*E4)</f>
        <v>710.54024297865874</v>
      </c>
      <c r="U4" s="8">
        <f t="shared" ref="U4:U9" si="6">SQRT(J16*E16)</f>
        <v>710.54024297865874</v>
      </c>
      <c r="V4" s="8">
        <f t="shared" ref="V4:V9" si="7">$M4/$N$14</f>
        <v>0.2753153860581829</v>
      </c>
      <c r="W4" s="5">
        <f t="shared" ref="W4:W9" si="8">SIN(((PI()/180)*$Z4)/2)</f>
        <v>0.12450853143110005</v>
      </c>
      <c r="X4" s="8">
        <f>($R$14*SQRT(1-$V4^2))/(1-(1-$N$13^2)*$V4^2)</f>
        <v>309.87996278649723</v>
      </c>
      <c r="Y4" s="8">
        <f>($R$14*(1-(1-$R$13^2)*$V4^2))/(SQRT(1-$V4^2))</f>
        <v>328.93999387100649</v>
      </c>
      <c r="Z4" s="5">
        <f>ASIN(($N$13*$V4)/(SQRT(1-(1-$N$13^2)*$V4)))*(180/PI())</f>
        <v>14.304749972535122</v>
      </c>
      <c r="AA4" s="8">
        <v>0</v>
      </c>
    </row>
    <row r="5" spans="1:27" x14ac:dyDescent="0.3">
      <c r="A5" s="1">
        <v>800</v>
      </c>
      <c r="B5" s="3" t="s">
        <v>9</v>
      </c>
      <c r="C5" s="3">
        <v>313</v>
      </c>
      <c r="D5" s="3">
        <v>0.433</v>
      </c>
      <c r="E5" s="4">
        <f t="shared" si="0"/>
        <v>555.93811137719842</v>
      </c>
      <c r="F5" s="5">
        <f t="shared" si="1"/>
        <v>-55.735623926837796</v>
      </c>
      <c r="G5" s="3" t="s">
        <v>9</v>
      </c>
      <c r="H5" s="3">
        <v>494</v>
      </c>
      <c r="I5" s="3">
        <v>4.7430000000000003</v>
      </c>
      <c r="J5" s="4">
        <f t="shared" si="2"/>
        <v>495.77752800047381</v>
      </c>
      <c r="K5" s="5">
        <f t="shared" si="3"/>
        <v>-4.8532457137885761</v>
      </c>
      <c r="M5" s="1">
        <v>800</v>
      </c>
      <c r="N5" s="8">
        <f t="shared" si="4"/>
        <v>0.94434393443357967</v>
      </c>
      <c r="O5" s="8">
        <f t="shared" ref="O5:O9" si="9">(K5-F5)/2</f>
        <v>25.441189106524611</v>
      </c>
      <c r="P5" s="5">
        <f t="shared" ref="P5:P9" si="10">SQRT((1+$N5*COS(O5*(PI()/180)))^2+($N5*SIN(O5*(PI()/180)))^2)/SQRT((1-$N5*COS(O5*(PI()/180)))^2+($N5*SIN(O5*(PI()/180)))^2)</f>
        <v>4.3948250649843486</v>
      </c>
      <c r="Q5" s="5">
        <f t="shared" ref="Q5:Q9" si="11">(ATAN((N5*SIN(O5*(PI()/180)))/(1+N5*COS(O5*(PI()/180))))-ATAN((-N5*SIN(O5*(PI()/180)))/(1-N5*COS(O5*(PI()/180)))))*(180/PI())</f>
        <v>82.402968680276601</v>
      </c>
      <c r="R5" s="5">
        <f t="shared" ref="R5:R9" si="12">Q5/2</f>
        <v>41.2014843401383</v>
      </c>
      <c r="S5" s="5">
        <f t="shared" ref="S5:S9" si="13">10*LOG10(P5)</f>
        <v>6.4294159276041203</v>
      </c>
      <c r="T5" s="8">
        <f t="shared" si="5"/>
        <v>524.9967833995172</v>
      </c>
      <c r="U5" s="8">
        <f t="shared" si="6"/>
        <v>524.9967833995172</v>
      </c>
      <c r="V5" s="8">
        <f t="shared" si="7"/>
        <v>0.5506307721163658</v>
      </c>
      <c r="W5" s="5">
        <f t="shared" si="8"/>
        <v>0.2663769528979763</v>
      </c>
      <c r="X5" s="8">
        <f>($R$14*SQRT(1-V5^2))/(1-(1-$N$13^2)*V5^2)</f>
        <v>285.624523372228</v>
      </c>
      <c r="Y5" s="8">
        <f>($R$14*(1-(1-$R$13^2)*$V5^2))/(SQRT(1-$V5^2))</f>
        <v>378.8298013301216</v>
      </c>
      <c r="Z5" s="5">
        <f>ASIN(($N$13*$V5)/(SQRT(1-(1-$N$13^2)*$V5)))*(180/PI())</f>
        <v>30.897575252815578</v>
      </c>
      <c r="AA5" s="8">
        <v>0</v>
      </c>
    </row>
    <row r="6" spans="1:27" x14ac:dyDescent="0.3">
      <c r="A6" s="1">
        <v>1200</v>
      </c>
      <c r="B6" s="3" t="s">
        <v>9</v>
      </c>
      <c r="C6" s="3">
        <v>259</v>
      </c>
      <c r="D6" s="3">
        <v>0.434</v>
      </c>
      <c r="E6" s="4">
        <f t="shared" ref="E6:E9" si="14">SQRT(C6^2+(1/(2*PI()*$A6*D6*10^(-6))^2))</f>
        <v>400.58776357430651</v>
      </c>
      <c r="F6" s="5">
        <f t="shared" ref="F6:F9" si="15">ATAN((-1/(2*PI()*$A6*D6*10^(-6)))/$C6)*(180/PI())</f>
        <v>-49.71801461204614</v>
      </c>
      <c r="G6" s="3" t="s">
        <v>9</v>
      </c>
      <c r="H6" s="3">
        <v>500</v>
      </c>
      <c r="I6" s="3">
        <v>1.4319999999999999</v>
      </c>
      <c r="J6" s="4">
        <f t="shared" ref="J6:J9" si="16">SQRT(H6^2+(1/(2*PI()*$A6*I6*10^(-6))^2))</f>
        <v>508.50576442475472</v>
      </c>
      <c r="K6" s="5">
        <f t="shared" ref="K6:K9" si="17">ATAN((-1/(2*PI()*$A6*I6*10^(-6)))/$H6)*(180/PI())</f>
        <v>-10.494303009200769</v>
      </c>
      <c r="M6" s="1">
        <v>1200</v>
      </c>
      <c r="N6" s="8">
        <f t="shared" si="4"/>
        <v>1.1266761489513011</v>
      </c>
      <c r="O6" s="8">
        <f t="shared" si="9"/>
        <v>19.611855801422685</v>
      </c>
      <c r="P6" s="5">
        <f t="shared" si="10"/>
        <v>5.4703681472649626</v>
      </c>
      <c r="Q6" s="5">
        <f t="shared" si="11"/>
        <v>-70.394472747024295</v>
      </c>
      <c r="R6" s="5">
        <f t="shared" si="12"/>
        <v>-35.197236373512148</v>
      </c>
      <c r="S6" s="5">
        <f t="shared" si="13"/>
        <v>7.3801655465986542</v>
      </c>
      <c r="T6" s="8">
        <f t="shared" si="5"/>
        <v>451.33267878091397</v>
      </c>
      <c r="U6" s="8">
        <f t="shared" si="6"/>
        <v>451.33267878091397</v>
      </c>
      <c r="V6" s="8">
        <f t="shared" si="7"/>
        <v>0.82594615817454864</v>
      </c>
      <c r="W6" s="5">
        <f t="shared" si="8"/>
        <v>0.44943758805531092</v>
      </c>
      <c r="X6" s="8">
        <f>($R$14*SQRT(1-V6^2))/(1-(1-$N$13^2)*V6^2)</f>
        <v>214.93621723250737</v>
      </c>
      <c r="Y6" s="8">
        <f>($R$14*(1-(1-$R$13^2)*$V6^2))/(SQRT(1-$V6^2))</f>
        <v>560.93715756643758</v>
      </c>
      <c r="Z6" s="5">
        <f>ASIN(($N$13*$V6)/(SQRT(1-(1-$N$13^2)*$V6)))*(180/PI())</f>
        <v>53.415211817423355</v>
      </c>
      <c r="AA6" s="8">
        <v>0</v>
      </c>
    </row>
    <row r="7" spans="1:27" x14ac:dyDescent="0.3">
      <c r="A7" s="1">
        <v>1600</v>
      </c>
      <c r="B7" s="3" t="s">
        <v>9</v>
      </c>
      <c r="C7" s="3">
        <v>240</v>
      </c>
      <c r="D7" s="3">
        <v>0.47199999999999998</v>
      </c>
      <c r="E7" s="4">
        <f t="shared" si="14"/>
        <v>319.39573121099704</v>
      </c>
      <c r="F7" s="5">
        <f t="shared" si="15"/>
        <v>-41.286559696574621</v>
      </c>
      <c r="G7" s="3" t="s">
        <v>9</v>
      </c>
      <c r="H7" s="3">
        <v>495</v>
      </c>
      <c r="I7" s="3">
        <v>0.75</v>
      </c>
      <c r="J7" s="4">
        <f t="shared" si="16"/>
        <v>512.46022603831329</v>
      </c>
      <c r="K7" s="5">
        <f t="shared" si="17"/>
        <v>-14.999381075855469</v>
      </c>
      <c r="M7" s="1">
        <v>1600</v>
      </c>
      <c r="N7" s="8">
        <f t="shared" si="4"/>
        <v>1.2666759599020996</v>
      </c>
      <c r="O7" s="8">
        <f>(K7-F7)/2</f>
        <v>13.143589310359577</v>
      </c>
      <c r="P7" s="5">
        <f t="shared" si="10"/>
        <v>6.0735680511227566</v>
      </c>
      <c r="Q7" s="5">
        <f t="shared" si="11"/>
        <v>-43.621736366739803</v>
      </c>
      <c r="R7" s="5">
        <f t="shared" si="12"/>
        <v>-21.810868183369902</v>
      </c>
      <c r="S7" s="5">
        <f t="shared" si="13"/>
        <v>7.8344390189168838</v>
      </c>
      <c r="T7" s="8">
        <f t="shared" si="5"/>
        <v>404.5708944203227</v>
      </c>
      <c r="U7" s="8">
        <f t="shared" si="6"/>
        <v>404.5708944203227</v>
      </c>
      <c r="V7" s="8">
        <f t="shared" si="7"/>
        <v>1.1012615442327316</v>
      </c>
      <c r="W7" s="5">
        <f t="shared" si="8"/>
        <v>0.70710678118654746</v>
      </c>
      <c r="X7" s="7">
        <f t="shared" ref="X7:X9" si="18">($R$14*SQRT(ABS(1-V7^2)))/(1-(1-$N$13^2)*V7^2)</f>
        <v>209.35525270366472</v>
      </c>
      <c r="Y7" s="7">
        <f t="shared" ref="Y7:Y9" si="19">($R$14*(1-(1-$R$13^2)*$V7^2))/(SQRT(ABS(1-$V7^2)))</f>
        <v>685.54768834211643</v>
      </c>
      <c r="Z7" s="5">
        <f>90</f>
        <v>90</v>
      </c>
      <c r="AA7" s="8">
        <f>8.7*ACOSH(($N$13*$V7)/(SQRT(ABS(1-(1-$N$13^2)*$V7^2))))</f>
        <v>4.591607367947959</v>
      </c>
    </row>
    <row r="8" spans="1:27" x14ac:dyDescent="0.3">
      <c r="A8" s="1">
        <v>2000</v>
      </c>
      <c r="B8" s="3" t="s">
        <v>9</v>
      </c>
      <c r="C8" s="3">
        <v>231</v>
      </c>
      <c r="D8" s="3">
        <v>0.56699999999999995</v>
      </c>
      <c r="E8" s="4">
        <f t="shared" si="14"/>
        <v>270.29361462643482</v>
      </c>
      <c r="F8" s="5">
        <f t="shared" si="15"/>
        <v>-31.281538463254297</v>
      </c>
      <c r="G8" s="3" t="s">
        <v>9</v>
      </c>
      <c r="H8" s="3">
        <v>441</v>
      </c>
      <c r="I8" s="3">
        <v>0.46400000000000002</v>
      </c>
      <c r="J8" s="4">
        <f t="shared" si="16"/>
        <v>473.17474342185955</v>
      </c>
      <c r="K8" s="5">
        <f t="shared" si="17"/>
        <v>-21.250863418105791</v>
      </c>
      <c r="M8" s="1">
        <v>2000</v>
      </c>
      <c r="N8" s="8">
        <f t="shared" si="4"/>
        <v>1.3231006554802835</v>
      </c>
      <c r="O8" s="8">
        <f>(K8-F8)/2</f>
        <v>5.0153375225742529</v>
      </c>
      <c r="P8" s="5">
        <f t="shared" si="10"/>
        <v>6.8581814145587394</v>
      </c>
      <c r="Q8" s="5">
        <f t="shared" si="11"/>
        <v>-17.129563914949806</v>
      </c>
      <c r="R8" s="5">
        <f t="shared" si="12"/>
        <v>-8.5647819574749029</v>
      </c>
      <c r="S8" s="5">
        <f t="shared" si="13"/>
        <v>8.3620896901160773</v>
      </c>
      <c r="T8" s="8">
        <f t="shared" si="5"/>
        <v>357.62565868437105</v>
      </c>
      <c r="U8" s="8">
        <f t="shared" si="6"/>
        <v>357.62565868437105</v>
      </c>
      <c r="V8" s="8">
        <f t="shared" si="7"/>
        <v>1.3765769302909145</v>
      </c>
      <c r="W8" s="5">
        <f t="shared" si="8"/>
        <v>0.70710678118654746</v>
      </c>
      <c r="X8" s="7">
        <f t="shared" si="18"/>
        <v>568.55447285218247</v>
      </c>
      <c r="Y8" s="7">
        <f t="shared" si="19"/>
        <v>334.26984964031055</v>
      </c>
      <c r="Z8" s="5">
        <f>90</f>
        <v>90</v>
      </c>
      <c r="AA8" s="8">
        <f>8.7*ACOSH(($N$13*$V8)/(SQRT(ABS(1-(1-$N$13^2)*$V8^2))))</f>
        <v>9.4046730123154827</v>
      </c>
    </row>
    <row r="9" spans="1:27" x14ac:dyDescent="0.3">
      <c r="A9" s="1">
        <v>2500</v>
      </c>
      <c r="B9" s="3" t="s">
        <v>9</v>
      </c>
      <c r="C9" s="3">
        <v>241</v>
      </c>
      <c r="D9" s="3">
        <v>0.74260000000000004</v>
      </c>
      <c r="E9" s="4">
        <f t="shared" si="14"/>
        <v>255.79361627611792</v>
      </c>
      <c r="F9" s="5">
        <f t="shared" si="15"/>
        <v>-19.581483755712455</v>
      </c>
      <c r="G9" s="3" t="s">
        <v>9</v>
      </c>
      <c r="H9" s="3">
        <v>379</v>
      </c>
      <c r="I9" s="3">
        <v>0.315</v>
      </c>
      <c r="J9" s="4">
        <f t="shared" si="16"/>
        <v>429.51836093510957</v>
      </c>
      <c r="K9" s="5">
        <f t="shared" si="17"/>
        <v>-28.068741863999964</v>
      </c>
      <c r="M9" s="1">
        <v>2500</v>
      </c>
      <c r="N9" s="8">
        <f t="shared" si="4"/>
        <v>1.2958239900710256</v>
      </c>
      <c r="O9" s="8">
        <f t="shared" si="9"/>
        <v>-4.2436290541437547</v>
      </c>
      <c r="P9" s="5">
        <f t="shared" si="10"/>
        <v>7.4586629239459175</v>
      </c>
      <c r="Q9" s="5">
        <f t="shared" si="11"/>
        <v>15.768195439904394</v>
      </c>
      <c r="R9" s="5">
        <f t="shared" si="12"/>
        <v>7.8840977199521971</v>
      </c>
      <c r="S9" s="5">
        <f t="shared" si="13"/>
        <v>8.7266098071700604</v>
      </c>
      <c r="T9" s="8">
        <f t="shared" si="5"/>
        <v>331.46350447761597</v>
      </c>
      <c r="U9" s="8">
        <f t="shared" si="6"/>
        <v>331.46350447761597</v>
      </c>
      <c r="V9" s="8">
        <f t="shared" si="7"/>
        <v>1.7207211628636432</v>
      </c>
      <c r="W9" s="5">
        <f t="shared" si="8"/>
        <v>0.70710678118654746</v>
      </c>
      <c r="X9" s="7">
        <f t="shared" si="18"/>
        <v>1705.4474662062823</v>
      </c>
      <c r="Y9" s="7">
        <f t="shared" si="19"/>
        <v>225.82620969037637</v>
      </c>
      <c r="Z9" s="5">
        <f>90</f>
        <v>90</v>
      </c>
      <c r="AA9" s="8">
        <f>8.7*ACOSH(($N$13*$V9)/(SQRT(ABS(1-(1-$N$13^2)*$V9^2))))</f>
        <v>15.099954255954884</v>
      </c>
    </row>
    <row r="10" spans="1:27" ht="1.8" customHeight="1" x14ac:dyDescent="0.3">
      <c r="A10" s="1"/>
      <c r="B10" s="3"/>
      <c r="C10" s="3"/>
      <c r="D10" s="3"/>
      <c r="E10" s="4"/>
      <c r="F10" s="5"/>
      <c r="G10" s="3"/>
      <c r="H10" s="3"/>
      <c r="I10" s="3"/>
      <c r="J10" s="4"/>
      <c r="K10" s="5"/>
      <c r="M10" s="1"/>
      <c r="N10" s="8"/>
      <c r="O10" s="8"/>
      <c r="P10" s="5"/>
      <c r="Q10" s="5"/>
      <c r="R10" s="5"/>
      <c r="S10" s="5"/>
      <c r="T10" s="8"/>
      <c r="U10" s="8"/>
      <c r="V10" s="8"/>
      <c r="W10" s="5"/>
      <c r="X10" s="7"/>
      <c r="Y10" s="7"/>
      <c r="Z10" s="5"/>
      <c r="AA10" s="8"/>
    </row>
    <row r="11" spans="1:27" ht="0.6" customHeight="1" x14ac:dyDescent="0.3">
      <c r="A11" s="1"/>
      <c r="B11" s="3"/>
      <c r="C11" s="3"/>
      <c r="D11" s="3"/>
      <c r="E11" s="4"/>
      <c r="F11" s="5"/>
      <c r="G11" s="3"/>
      <c r="H11" s="3"/>
      <c r="I11" s="3"/>
      <c r="J11" s="4"/>
      <c r="K11" s="5"/>
      <c r="M11" s="1"/>
      <c r="N11" s="8"/>
      <c r="O11" s="8"/>
      <c r="P11" s="5"/>
      <c r="Q11" s="5"/>
      <c r="R11" s="5"/>
      <c r="S11" s="5"/>
      <c r="T11" s="8"/>
      <c r="U11" s="8"/>
      <c r="V11" s="8"/>
      <c r="W11" s="5"/>
      <c r="X11" s="7"/>
      <c r="Y11" s="7"/>
      <c r="Z11" s="5"/>
      <c r="AA11" s="8"/>
    </row>
    <row r="12" spans="1:27" ht="1.2" customHeight="1" x14ac:dyDescent="0.3">
      <c r="A12" s="1"/>
      <c r="B12" s="3"/>
      <c r="C12" s="3"/>
      <c r="D12" s="3"/>
      <c r="E12" s="4"/>
      <c r="F12" s="5"/>
      <c r="G12" s="3"/>
      <c r="H12" s="3"/>
      <c r="I12" s="3"/>
      <c r="J12" s="4"/>
      <c r="K12" s="5"/>
      <c r="M12" s="1"/>
      <c r="N12" s="8"/>
      <c r="O12" s="8"/>
      <c r="P12" s="5"/>
      <c r="Q12" s="5"/>
      <c r="R12" s="5"/>
      <c r="S12" s="5"/>
      <c r="T12" s="8"/>
      <c r="U12" s="8"/>
      <c r="V12" s="8"/>
      <c r="W12" s="5"/>
      <c r="X12" s="7"/>
      <c r="Y12" s="7"/>
      <c r="Z12" s="5"/>
      <c r="AA12" s="8"/>
    </row>
    <row r="13" spans="1:27" x14ac:dyDescent="0.3">
      <c r="A13" s="10" t="s">
        <v>10</v>
      </c>
      <c r="B13" s="10" t="s">
        <v>6</v>
      </c>
      <c r="C13" s="10"/>
      <c r="D13" s="10"/>
      <c r="E13" s="10"/>
      <c r="F13" s="10"/>
      <c r="G13" s="10" t="s">
        <v>7</v>
      </c>
      <c r="H13" s="10"/>
      <c r="I13" s="10"/>
      <c r="J13" s="10"/>
      <c r="K13" s="10"/>
      <c r="M13" s="2" t="s">
        <v>25</v>
      </c>
      <c r="N13" s="5">
        <v>0.86599999999999999</v>
      </c>
      <c r="Q13" s="2" t="s">
        <v>25</v>
      </c>
      <c r="R13" s="5">
        <v>1</v>
      </c>
      <c r="W13" s="6" t="s">
        <v>31</v>
      </c>
    </row>
    <row r="14" spans="1:27" x14ac:dyDescent="0.3">
      <c r="A14" s="10"/>
      <c r="B14" s="10" t="s">
        <v>1</v>
      </c>
      <c r="C14" s="10" t="s">
        <v>2</v>
      </c>
      <c r="D14" s="10" t="s">
        <v>3</v>
      </c>
      <c r="E14" s="10" t="s">
        <v>23</v>
      </c>
      <c r="F14" s="10"/>
      <c r="G14" s="10" t="s">
        <v>1</v>
      </c>
      <c r="H14" s="10" t="s">
        <v>2</v>
      </c>
      <c r="I14" s="10" t="s">
        <v>3</v>
      </c>
      <c r="J14" s="10" t="s">
        <v>24</v>
      </c>
      <c r="K14" s="10"/>
      <c r="M14" s="2" t="s">
        <v>26</v>
      </c>
      <c r="N14" s="5">
        <f>1/(2*PI()*SQRT(30*10^(-3)*400*10^(-9)))</f>
        <v>1452.8792078313679</v>
      </c>
      <c r="Q14" s="2" t="s">
        <v>27</v>
      </c>
      <c r="R14" s="5">
        <f>SQRT((30*10^(-3))/(300*10^(-9)))</f>
        <v>316.2277660168379</v>
      </c>
    </row>
    <row r="15" spans="1:27" x14ac:dyDescent="0.3">
      <c r="A15" s="10"/>
      <c r="B15" s="10"/>
      <c r="C15" s="10"/>
      <c r="D15" s="10"/>
      <c r="E15" s="9" t="s">
        <v>32</v>
      </c>
      <c r="F15" s="9" t="s">
        <v>33</v>
      </c>
      <c r="G15" s="10"/>
      <c r="H15" s="10"/>
      <c r="I15" s="10"/>
      <c r="J15" s="9" t="s">
        <v>32</v>
      </c>
      <c r="K15" s="9" t="s">
        <v>33</v>
      </c>
    </row>
    <row r="16" spans="1:27" x14ac:dyDescent="0.3">
      <c r="A16" s="1">
        <v>400</v>
      </c>
      <c r="B16" s="3" t="s">
        <v>9</v>
      </c>
      <c r="C16" s="3">
        <v>532</v>
      </c>
      <c r="D16" s="3">
        <v>0.46600000000000003</v>
      </c>
      <c r="E16" s="4">
        <f t="shared" ref="E16:E21" si="20">SQRT(C16^2+(1/(2*PI()*$A16*D16*10^(-6))^2))</f>
        <v>1006.0114885217862</v>
      </c>
      <c r="F16" s="5">
        <f>ATAN((-1/(2*PI()*$A16*D16*10^(-6)))/$C16)*(180/PI())</f>
        <v>-58.074170982583297</v>
      </c>
      <c r="G16" s="3" t="s">
        <v>9</v>
      </c>
      <c r="H16" s="3">
        <v>494</v>
      </c>
      <c r="I16" s="3">
        <v>4.5</v>
      </c>
      <c r="J16" s="4">
        <f t="shared" ref="J16:J18" si="21">SQRT(H16^2+(1/(2*PI()*$A16*I16*10^(-6))^2))</f>
        <v>501.85056796320873</v>
      </c>
      <c r="K16" s="5">
        <f t="shared" ref="K16:K18" si="22">ATAN((-1/(2*PI()*$A16*I16*10^(-6)))/$H16)*(180/PI())</f>
        <v>-10.14772612131048</v>
      </c>
    </row>
    <row r="17" spans="1:16" x14ac:dyDescent="0.3">
      <c r="A17" s="1">
        <v>800</v>
      </c>
      <c r="B17" s="3" t="s">
        <v>9</v>
      </c>
      <c r="C17" s="3">
        <v>313</v>
      </c>
      <c r="D17" s="3">
        <v>0.433</v>
      </c>
      <c r="E17" s="4">
        <f t="shared" si="20"/>
        <v>555.93811137719842</v>
      </c>
      <c r="F17" s="5">
        <f t="shared" ref="F17:F21" si="23">ATAN((-1/(2*PI()*$A17*D17*10^(-6)))/$C17)*(180/PI())</f>
        <v>-55.735623926837796</v>
      </c>
      <c r="G17" s="3" t="s">
        <v>9</v>
      </c>
      <c r="H17" s="3">
        <v>494</v>
      </c>
      <c r="I17" s="3">
        <v>4.7430000000000003</v>
      </c>
      <c r="J17" s="4">
        <f t="shared" si="21"/>
        <v>495.77752800047381</v>
      </c>
      <c r="K17" s="5">
        <f t="shared" si="22"/>
        <v>-4.8532457137885761</v>
      </c>
      <c r="P17" t="s">
        <v>30</v>
      </c>
    </row>
    <row r="18" spans="1:16" x14ac:dyDescent="0.3">
      <c r="A18" s="1">
        <v>1200</v>
      </c>
      <c r="B18" s="3" t="s">
        <v>9</v>
      </c>
      <c r="C18" s="3">
        <v>259</v>
      </c>
      <c r="D18" s="3">
        <v>0.434</v>
      </c>
      <c r="E18" s="4">
        <f t="shared" si="20"/>
        <v>400.58776357430651</v>
      </c>
      <c r="F18" s="5">
        <f t="shared" si="23"/>
        <v>-49.71801461204614</v>
      </c>
      <c r="G18" s="3" t="s">
        <v>9</v>
      </c>
      <c r="H18" s="3">
        <v>500</v>
      </c>
      <c r="I18" s="3">
        <v>1.4319999999999999</v>
      </c>
      <c r="J18" s="4">
        <f t="shared" si="21"/>
        <v>508.50576442475472</v>
      </c>
      <c r="K18" s="5">
        <f t="shared" si="22"/>
        <v>-10.494303009200769</v>
      </c>
    </row>
    <row r="19" spans="1:16" x14ac:dyDescent="0.3">
      <c r="A19" s="1">
        <v>1600</v>
      </c>
      <c r="B19" s="3" t="s">
        <v>9</v>
      </c>
      <c r="C19" s="3">
        <v>240</v>
      </c>
      <c r="D19" s="3">
        <v>0.47199999999999998</v>
      </c>
      <c r="E19" s="4">
        <f t="shared" si="20"/>
        <v>319.39573121099704</v>
      </c>
      <c r="F19" s="5">
        <f t="shared" si="23"/>
        <v>-41.286559696574621</v>
      </c>
      <c r="G19" s="3" t="s">
        <v>9</v>
      </c>
      <c r="H19" s="3">
        <v>495</v>
      </c>
      <c r="I19" s="3">
        <v>0.75</v>
      </c>
      <c r="J19" s="4">
        <f t="shared" ref="J19:J21" si="24">SQRT(H19^2+(1/(2*PI()*$A19*I19*10^(-6))^2))</f>
        <v>512.46022603831329</v>
      </c>
      <c r="K19" s="5">
        <f>ATAN((-1/(2*PI()*$A19*I19*10^(-6)))/$H19)*(180/PI())</f>
        <v>-14.999381075855469</v>
      </c>
    </row>
    <row r="20" spans="1:16" x14ac:dyDescent="0.3">
      <c r="A20" s="1">
        <v>2000</v>
      </c>
      <c r="B20" s="3" t="s">
        <v>9</v>
      </c>
      <c r="C20" s="3">
        <v>231</v>
      </c>
      <c r="D20" s="3">
        <v>0.56699999999999995</v>
      </c>
      <c r="E20" s="4">
        <f t="shared" si="20"/>
        <v>270.29361462643482</v>
      </c>
      <c r="F20" s="5">
        <f t="shared" si="23"/>
        <v>-31.281538463254297</v>
      </c>
      <c r="G20" s="3" t="s">
        <v>9</v>
      </c>
      <c r="H20" s="3">
        <v>441</v>
      </c>
      <c r="I20" s="3">
        <v>0.46400000000000002</v>
      </c>
      <c r="J20" s="4">
        <f t="shared" si="24"/>
        <v>473.17474342185955</v>
      </c>
      <c r="K20" s="5">
        <f t="shared" ref="K20:K21" si="25">ATAN((-1/(2*PI()*$A20*I20*10^(-6)))/$H20)*(180/PI())</f>
        <v>-21.250863418105791</v>
      </c>
    </row>
    <row r="21" spans="1:16" x14ac:dyDescent="0.3">
      <c r="A21" s="1">
        <v>2500</v>
      </c>
      <c r="B21" s="3" t="s">
        <v>9</v>
      </c>
      <c r="C21" s="3">
        <v>241</v>
      </c>
      <c r="D21" s="3">
        <v>0.74260000000000004</v>
      </c>
      <c r="E21" s="4">
        <f t="shared" si="20"/>
        <v>255.79361627611792</v>
      </c>
      <c r="F21" s="5">
        <f t="shared" si="23"/>
        <v>-19.581483755712455</v>
      </c>
      <c r="G21" s="3" t="s">
        <v>9</v>
      </c>
      <c r="H21" s="3">
        <v>379</v>
      </c>
      <c r="I21" s="3">
        <v>0.315</v>
      </c>
      <c r="J21" s="4">
        <f t="shared" si="24"/>
        <v>429.51836093510957</v>
      </c>
      <c r="K21" s="5">
        <f t="shared" si="25"/>
        <v>-28.068741863999964</v>
      </c>
    </row>
    <row r="22" spans="1:16" ht="1.8" customHeight="1" x14ac:dyDescent="0.3">
      <c r="A22" s="1"/>
      <c r="B22" s="3"/>
      <c r="C22" s="3"/>
      <c r="D22" s="3"/>
      <c r="E22" s="4"/>
      <c r="F22" s="5"/>
      <c r="G22" s="3"/>
      <c r="H22" s="3"/>
      <c r="I22" s="3"/>
      <c r="J22" s="4"/>
      <c r="K22" s="5"/>
    </row>
    <row r="23" spans="1:16" hidden="1" x14ac:dyDescent="0.3">
      <c r="A23" s="1"/>
      <c r="B23" s="3"/>
      <c r="C23" s="3"/>
      <c r="D23" s="3"/>
      <c r="E23" s="4"/>
      <c r="F23" s="5"/>
      <c r="G23" s="3"/>
      <c r="H23" s="3"/>
      <c r="I23" s="3"/>
      <c r="J23" s="4"/>
      <c r="K23" s="5"/>
    </row>
    <row r="24" spans="1:16" hidden="1" x14ac:dyDescent="0.3">
      <c r="A24" s="1"/>
      <c r="B24" s="3"/>
      <c r="C24" s="3"/>
      <c r="D24" s="3"/>
      <c r="E24" s="4"/>
      <c r="F24" s="5"/>
      <c r="G24" s="3"/>
      <c r="H24" s="3"/>
      <c r="I24" s="3"/>
      <c r="J24" s="4"/>
      <c r="K24" s="5"/>
    </row>
  </sheetData>
  <mergeCells count="37">
    <mergeCell ref="A1:A3"/>
    <mergeCell ref="E2:F2"/>
    <mergeCell ref="I2:I3"/>
    <mergeCell ref="H2:H3"/>
    <mergeCell ref="G2:G3"/>
    <mergeCell ref="B1:F1"/>
    <mergeCell ref="G1:K1"/>
    <mergeCell ref="J14:K14"/>
    <mergeCell ref="I14:I15"/>
    <mergeCell ref="H14:H15"/>
    <mergeCell ref="G14:G15"/>
    <mergeCell ref="D2:D3"/>
    <mergeCell ref="J2:K2"/>
    <mergeCell ref="G13:K13"/>
    <mergeCell ref="B13:F13"/>
    <mergeCell ref="C2:C3"/>
    <mergeCell ref="B2:B3"/>
    <mergeCell ref="V1:AA1"/>
    <mergeCell ref="N2:O2"/>
    <mergeCell ref="N1:U1"/>
    <mergeCell ref="M1:M3"/>
    <mergeCell ref="AA2:AA3"/>
    <mergeCell ref="Z2:Z3"/>
    <mergeCell ref="Y2:Y3"/>
    <mergeCell ref="X2:X3"/>
    <mergeCell ref="W2:W3"/>
    <mergeCell ref="P2:Q2"/>
    <mergeCell ref="V2:V3"/>
    <mergeCell ref="U2:U3"/>
    <mergeCell ref="T2:T3"/>
    <mergeCell ref="S2:S3"/>
    <mergeCell ref="R2:R3"/>
    <mergeCell ref="A13:A15"/>
    <mergeCell ref="B14:B15"/>
    <mergeCell ref="C14:C15"/>
    <mergeCell ref="D14:D15"/>
    <mergeCell ref="E14:F1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Goll Roberto</cp:lastModifiedBy>
  <dcterms:created xsi:type="dcterms:W3CDTF">2024-04-09T06:02:51Z</dcterms:created>
  <dcterms:modified xsi:type="dcterms:W3CDTF">2024-06-11T14:08:14Z</dcterms:modified>
</cp:coreProperties>
</file>