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xr:revisionPtr revIDLastSave="0" documentId="13_ncr:1_{2582607E-CC63-4329-9555-F9E6526DC8B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R2_S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" i="1" l="1"/>
  <c r="Y22" i="1"/>
  <c r="Y24" i="1"/>
  <c r="Y30" i="1"/>
  <c r="Y28" i="1"/>
  <c r="Y26" i="1"/>
  <c r="Y18" i="1"/>
  <c r="Y16" i="1"/>
  <c r="Y14" i="1"/>
  <c r="Q30" i="1"/>
  <c r="Q28" i="1"/>
  <c r="Q26" i="1"/>
  <c r="Q18" i="1"/>
  <c r="Q16" i="1"/>
  <c r="Q14" i="1"/>
  <c r="H13" i="1"/>
  <c r="O24" i="1"/>
  <c r="O22" i="1"/>
  <c r="O20" i="1"/>
  <c r="O30" i="1"/>
  <c r="O28" i="1"/>
  <c r="O26" i="1"/>
  <c r="O18" i="1"/>
  <c r="O16" i="1"/>
  <c r="H11" i="1"/>
  <c r="O14" i="1"/>
  <c r="O3" i="1"/>
  <c r="O4" i="1"/>
  <c r="B3" i="1"/>
  <c r="B4" i="1"/>
  <c r="B2" i="1"/>
  <c r="B9" i="1"/>
  <c r="B10" i="1"/>
  <c r="B8" i="1"/>
  <c r="B6" i="1"/>
  <c r="B7" i="1"/>
  <c r="B5" i="1"/>
  <c r="B12" i="1"/>
  <c r="J12" i="1"/>
  <c r="I24" i="1" s="1"/>
  <c r="S17" i="1" l="1"/>
  <c r="Q22" i="1"/>
  <c r="S23" i="1" s="1"/>
  <c r="O6" i="1"/>
  <c r="Q24" i="1"/>
  <c r="S25" i="1" s="1"/>
  <c r="Q20" i="1"/>
  <c r="S20" i="1" s="1"/>
  <c r="U20" i="1" s="1"/>
  <c r="O5" i="1"/>
  <c r="S22" i="1"/>
  <c r="U22" i="1" s="1"/>
  <c r="S21" i="1"/>
  <c r="S16" i="1"/>
  <c r="U16" i="1" s="1"/>
  <c r="M2" i="1"/>
  <c r="P2" i="1" s="1"/>
  <c r="O10" i="1"/>
  <c r="O9" i="1"/>
  <c r="O2" i="1"/>
  <c r="O8" i="1"/>
  <c r="J24" i="1"/>
  <c r="E24" i="1" s="1"/>
  <c r="O7" i="1"/>
  <c r="F27" i="1"/>
  <c r="I30" i="1"/>
  <c r="J30" i="1" s="1"/>
  <c r="H30" i="1" s="1"/>
  <c r="F26" i="1"/>
  <c r="I29" i="1"/>
  <c r="J29" i="1" s="1"/>
  <c r="H29" i="1" s="1"/>
  <c r="F25" i="1"/>
  <c r="I28" i="1"/>
  <c r="J28" i="1" s="1"/>
  <c r="E28" i="1" s="1"/>
  <c r="I27" i="1"/>
  <c r="J27" i="1" s="1"/>
  <c r="E27" i="1" s="1"/>
  <c r="D29" i="1"/>
  <c r="I26" i="1"/>
  <c r="J26" i="1" s="1"/>
  <c r="H26" i="1" s="1"/>
  <c r="D28" i="1"/>
  <c r="I25" i="1"/>
  <c r="J25" i="1" s="1"/>
  <c r="H25" i="1" s="1"/>
  <c r="D24" i="1"/>
  <c r="D25" i="1"/>
  <c r="D32" i="1"/>
  <c r="D31" i="1"/>
  <c r="D30" i="1"/>
  <c r="F32" i="1"/>
  <c r="F24" i="1"/>
  <c r="F31" i="1"/>
  <c r="F30" i="1"/>
  <c r="E30" i="1"/>
  <c r="F29" i="1"/>
  <c r="I32" i="1"/>
  <c r="J32" i="1" s="1"/>
  <c r="H32" i="1" s="1"/>
  <c r="D27" i="1"/>
  <c r="F28" i="1"/>
  <c r="I31" i="1"/>
  <c r="D26" i="1"/>
  <c r="G24" i="1"/>
  <c r="S24" i="1" l="1"/>
  <c r="U24" i="1" s="1"/>
  <c r="N2" i="1"/>
  <c r="Q2" i="1" s="1"/>
  <c r="U7" i="1"/>
  <c r="U8" i="1"/>
  <c r="U2" i="1"/>
  <c r="U6" i="1"/>
  <c r="U10" i="1"/>
  <c r="G30" i="1"/>
  <c r="U9" i="1"/>
  <c r="H24" i="1"/>
  <c r="S19" i="1"/>
  <c r="S18" i="1"/>
  <c r="U18" i="1" s="1"/>
  <c r="S28" i="1"/>
  <c r="U28" i="1" s="1"/>
  <c r="S29" i="1"/>
  <c r="S31" i="1"/>
  <c r="S30" i="1"/>
  <c r="U30" i="1" s="1"/>
  <c r="S26" i="1"/>
  <c r="U26" i="1" s="1"/>
  <c r="S27" i="1"/>
  <c r="S15" i="1"/>
  <c r="S14" i="1"/>
  <c r="U14" i="1" s="1"/>
  <c r="E29" i="1"/>
  <c r="G32" i="1"/>
  <c r="E25" i="1"/>
  <c r="G25" i="1"/>
  <c r="E32" i="1"/>
  <c r="G31" i="1"/>
  <c r="J31" i="1"/>
  <c r="E26" i="1"/>
  <c r="H27" i="1"/>
  <c r="G27" i="1"/>
  <c r="H28" i="1"/>
  <c r="G28" i="1"/>
  <c r="G26" i="1"/>
  <c r="G29" i="1"/>
  <c r="U4" i="1" l="1"/>
  <c r="U3" i="1"/>
  <c r="U5" i="1"/>
  <c r="H31" i="1"/>
  <c r="E31" i="1"/>
</calcChain>
</file>

<file path=xl/sharedStrings.xml><?xml version="1.0" encoding="utf-8"?>
<sst xmlns="http://schemas.openxmlformats.org/spreadsheetml/2006/main" count="91" uniqueCount="46">
  <si>
    <t>Rэ</t>
  </si>
  <si>
    <t>F.Гц</t>
  </si>
  <si>
    <t>Cэ</t>
  </si>
  <si>
    <t>Zэ</t>
  </si>
  <si>
    <t>Zт</t>
  </si>
  <si>
    <t>w</t>
  </si>
  <si>
    <t>w1</t>
  </si>
  <si>
    <t>w2</t>
  </si>
  <si>
    <t>PI</t>
  </si>
  <si>
    <t>=</t>
  </si>
  <si>
    <t>f1</t>
  </si>
  <si>
    <t>f2</t>
  </si>
  <si>
    <t>l1=</t>
  </si>
  <si>
    <t>l2=</t>
  </si>
  <si>
    <t>c=</t>
  </si>
  <si>
    <t xml:space="preserve">характеристика сопротивления </t>
  </si>
  <si>
    <t>схема измерений 1</t>
  </si>
  <si>
    <t>схема двухполюсника 1</t>
  </si>
  <si>
    <t>кр.решение</t>
  </si>
  <si>
    <t>U,В</t>
  </si>
  <si>
    <t>+j</t>
  </si>
  <si>
    <t>e</t>
  </si>
  <si>
    <t>=  j</t>
  </si>
  <si>
    <t>0.455719e</t>
  </si>
  <si>
    <t>j  77.62356</t>
  </si>
  <si>
    <t>j  80.03987</t>
  </si>
  <si>
    <t>0.569445e</t>
  </si>
  <si>
    <t>2.914958e</t>
  </si>
  <si>
    <t>j  88.03519</t>
  </si>
  <si>
    <t>0.024881e</t>
  </si>
  <si>
    <t>j  13.97228</t>
  </si>
  <si>
    <t>0.47815e</t>
  </si>
  <si>
    <t>j  78.18747</t>
  </si>
  <si>
    <t>0.061889e</t>
  </si>
  <si>
    <t>j  31.75311</t>
  </si>
  <si>
    <t>-j</t>
  </si>
  <si>
    <t>871.6043e</t>
  </si>
  <si>
    <t>268.1633e</t>
  </si>
  <si>
    <t>580.4338e</t>
  </si>
  <si>
    <t>j  89.99343</t>
  </si>
  <si>
    <t>j  89.97863</t>
  </si>
  <si>
    <t>j  89.99013</t>
  </si>
  <si>
    <t>=j</t>
  </si>
  <si>
    <t>j</t>
  </si>
  <si>
    <t>=10</t>
  </si>
  <si>
    <r>
      <t xml:space="preserve">     -</t>
    </r>
    <r>
      <rPr>
        <vertAlign val="superscript"/>
        <sz val="14"/>
        <color theme="1"/>
        <rFont val="Calibri"/>
        <family val="2"/>
        <charset val="204"/>
        <scheme val="minor"/>
      </rPr>
      <t>-</t>
    </r>
    <r>
      <rPr>
        <vertAlign val="superscript"/>
        <sz val="11"/>
        <color theme="1"/>
        <rFont val="Calibri"/>
        <family val="2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</si>
</sst>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rgb="FFFF0000"/>
      <name val="Calibri"/>
      <family val="2"/>
      <scheme val="minor"/>
    </font>
    <font>
      <vertAlign val="superscript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5" borderId="8" xfId="0" applyNumberFormat="1" applyFill="1" applyBorder="1"/>
    <xf numFmtId="0" fontId="0" fillId="6" borderId="8" xfId="0" applyNumberFormat="1" applyFill="1" applyBorder="1"/>
    <xf numFmtId="0" fontId="0" fillId="3" borderId="5" xfId="0" applyNumberFormat="1" applyFill="1" applyBorder="1"/>
    <xf numFmtId="0" fontId="0" fillId="3" borderId="7" xfId="0" applyNumberFormat="1" applyFill="1" applyBorder="1"/>
    <xf numFmtId="0" fontId="0" fillId="2" borderId="10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11" xfId="0" applyNumberFormat="1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5" borderId="14" xfId="0" applyNumberFormat="1" applyFill="1" applyBorder="1"/>
    <xf numFmtId="0" fontId="0" fillId="6" borderId="14" xfId="0" applyNumberFormat="1" applyFill="1" applyBorder="1"/>
    <xf numFmtId="0" fontId="1" fillId="5" borderId="17" xfId="0" applyNumberFormat="1" applyFont="1" applyFill="1" applyBorder="1"/>
    <xf numFmtId="0" fontId="1" fillId="6" borderId="17" xfId="0" applyNumberFormat="1" applyFont="1" applyFill="1" applyBorder="1"/>
    <xf numFmtId="2" fontId="1" fillId="9" borderId="2" xfId="0" applyNumberFormat="1" applyFont="1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2" fontId="3" fillId="9" borderId="5" xfId="0" applyNumberFormat="1" applyFont="1" applyFill="1" applyBorder="1" applyAlignment="1">
      <alignment horizontal="center" vertical="center"/>
    </xf>
    <xf numFmtId="2" fontId="3" fillId="9" borderId="6" xfId="0" applyNumberFormat="1" applyFont="1" applyFill="1" applyBorder="1" applyAlignment="1">
      <alignment horizontal="center" vertical="center"/>
    </xf>
    <xf numFmtId="2" fontId="1" fillId="9" borderId="16" xfId="0" applyNumberFormat="1" applyFont="1" applyFill="1" applyBorder="1" applyAlignment="1">
      <alignment horizontal="center" vertical="center"/>
    </xf>
    <xf numFmtId="2" fontId="1" fillId="9" borderId="18" xfId="0" applyNumberFormat="1" applyFont="1" applyFill="1" applyBorder="1" applyAlignment="1">
      <alignment horizontal="center" vertical="center"/>
    </xf>
    <xf numFmtId="2" fontId="3" fillId="9" borderId="13" xfId="0" applyNumberFormat="1" applyFont="1" applyFill="1" applyBorder="1" applyAlignment="1">
      <alignment horizontal="center" vertical="center"/>
    </xf>
    <xf numFmtId="2" fontId="3" fillId="9" borderId="15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9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/>
    <xf numFmtId="0" fontId="0" fillId="2" borderId="3" xfId="0" applyFill="1" applyBorder="1" applyAlignment="1">
      <alignment horizontal="center"/>
    </xf>
    <xf numFmtId="0" fontId="0" fillId="3" borderId="2" xfId="0" applyNumberFormat="1" applyFill="1" applyBorder="1"/>
    <xf numFmtId="0" fontId="0" fillId="0" borderId="19" xfId="0" quotePrefix="1" applyBorder="1"/>
    <xf numFmtId="0" fontId="0" fillId="0" borderId="20" xfId="0" applyBorder="1"/>
    <xf numFmtId="0" fontId="0" fillId="4" borderId="22" xfId="0" applyNumberFormat="1" applyFill="1" applyBorder="1" applyAlignment="1">
      <alignment horizontal="center"/>
    </xf>
    <xf numFmtId="0" fontId="0" fillId="4" borderId="23" xfId="0" applyNumberFormat="1" applyFill="1" applyBorder="1" applyAlignment="1">
      <alignment horizontal="center"/>
    </xf>
    <xf numFmtId="0" fontId="1" fillId="10" borderId="21" xfId="0" applyNumberFormat="1" applyFont="1" applyFill="1" applyBorder="1" applyAlignment="1">
      <alignment horizontal="center"/>
    </xf>
    <xf numFmtId="0" fontId="0" fillId="10" borderId="22" xfId="0" applyFill="1" applyBorder="1"/>
    <xf numFmtId="0" fontId="0" fillId="10" borderId="22" xfId="0" applyNumberFormat="1" applyFill="1" applyBorder="1" applyAlignment="1">
      <alignment horizontal="center"/>
    </xf>
    <xf numFmtId="0" fontId="0" fillId="10" borderId="23" xfId="0" applyNumberFormat="1" applyFill="1" applyBorder="1" applyAlignment="1">
      <alignment horizontal="center"/>
    </xf>
    <xf numFmtId="0" fontId="0" fillId="11" borderId="11" xfId="0" quotePrefix="1" applyFill="1" applyBorder="1" applyAlignment="1">
      <alignment horizontal="center"/>
    </xf>
    <xf numFmtId="0" fontId="0" fillId="11" borderId="12" xfId="0" applyFill="1" applyBorder="1"/>
    <xf numFmtId="0" fontId="0" fillId="11" borderId="10" xfId="0" quotePrefix="1" applyFill="1" applyBorder="1" applyAlignment="1">
      <alignment horizontal="center"/>
    </xf>
    <xf numFmtId="0" fontId="0" fillId="11" borderId="8" xfId="0" quotePrefix="1" applyFill="1" applyBorder="1" applyAlignment="1">
      <alignment horizontal="center"/>
    </xf>
    <xf numFmtId="0" fontId="0" fillId="11" borderId="9" xfId="0" applyFill="1" applyBorder="1"/>
    <xf numFmtId="0" fontId="0" fillId="0" borderId="19" xfId="0" applyBorder="1"/>
    <xf numFmtId="0" fontId="0" fillId="12" borderId="3" xfId="0" quotePrefix="1" applyFill="1" applyBorder="1"/>
    <xf numFmtId="0" fontId="0" fillId="12" borderId="4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/>
    <xf numFmtId="0" fontId="0" fillId="12" borderId="8" xfId="0" applyFill="1" applyBorder="1"/>
    <xf numFmtId="0" fontId="0" fillId="12" borderId="6" xfId="0" applyFill="1" applyBorder="1"/>
    <xf numFmtId="0" fontId="5" fillId="0" borderId="0" xfId="0" applyFont="1" applyBorder="1"/>
    <xf numFmtId="0" fontId="0" fillId="11" borderId="8" xfId="0" applyFill="1" applyBorder="1"/>
    <xf numFmtId="0" fontId="0" fillId="11" borderId="11" xfId="0" applyFill="1" applyBorder="1"/>
    <xf numFmtId="0" fontId="1" fillId="4" borderId="22" xfId="0" applyNumberFormat="1" applyFont="1" applyFill="1" applyBorder="1" applyAlignment="1">
      <alignment horizontal="center"/>
    </xf>
    <xf numFmtId="0" fontId="0" fillId="13" borderId="3" xfId="0" quotePrefix="1" applyFill="1" applyBorder="1"/>
    <xf numFmtId="0" fontId="0" fillId="13" borderId="4" xfId="0" applyFill="1" applyBorder="1" applyAlignment="1">
      <alignment horizontal="left"/>
    </xf>
    <xf numFmtId="0" fontId="0" fillId="13" borderId="8" xfId="0" applyFill="1" applyBorder="1" applyAlignment="1">
      <alignment horizontal="left"/>
    </xf>
    <xf numFmtId="0" fontId="0" fillId="13" borderId="9" xfId="0" applyFill="1" applyBorder="1"/>
    <xf numFmtId="0" fontId="0" fillId="13" borderId="8" xfId="0" applyFill="1" applyBorder="1"/>
    <xf numFmtId="0" fontId="0" fillId="12" borderId="5" xfId="0" applyFill="1" applyBorder="1"/>
    <xf numFmtId="0" fontId="0" fillId="12" borderId="0" xfId="0" applyFill="1"/>
    <xf numFmtId="0" fontId="5" fillId="12" borderId="0" xfId="0" applyFont="1" applyFill="1" applyBorder="1"/>
    <xf numFmtId="0" fontId="6" fillId="12" borderId="0" xfId="0" applyFont="1" applyFill="1" applyBorder="1"/>
    <xf numFmtId="0" fontId="0" fillId="12" borderId="7" xfId="0" applyFill="1" applyBorder="1"/>
    <xf numFmtId="0" fontId="5" fillId="12" borderId="8" xfId="0" applyFont="1" applyFill="1" applyBorder="1"/>
    <xf numFmtId="0" fontId="1" fillId="5" borderId="2" xfId="0" applyNumberFormat="1" applyFont="1" applyFill="1" applyBorder="1"/>
    <xf numFmtId="0" fontId="1" fillId="5" borderId="3" xfId="0" applyNumberFormat="1" applyFont="1" applyFill="1" applyBorder="1"/>
    <xf numFmtId="0" fontId="1" fillId="6" borderId="3" xfId="0" applyNumberFormat="1" applyFont="1" applyFill="1" applyBorder="1"/>
    <xf numFmtId="0" fontId="1" fillId="6" borderId="4" xfId="0" applyNumberFormat="1" applyFont="1" applyFill="1" applyBorder="1"/>
    <xf numFmtId="0" fontId="0" fillId="5" borderId="5" xfId="0" applyNumberFormat="1" applyFill="1" applyBorder="1"/>
    <xf numFmtId="0" fontId="0" fillId="6" borderId="6" xfId="0" applyNumberFormat="1" applyFill="1" applyBorder="1"/>
    <xf numFmtId="0" fontId="1" fillId="5" borderId="16" xfId="0" applyNumberFormat="1" applyFont="1" applyFill="1" applyBorder="1"/>
    <xf numFmtId="0" fontId="1" fillId="6" borderId="18" xfId="0" applyNumberFormat="1" applyFont="1" applyFill="1" applyBorder="1"/>
    <xf numFmtId="0" fontId="0" fillId="5" borderId="13" xfId="0" applyNumberFormat="1" applyFill="1" applyBorder="1"/>
    <xf numFmtId="0" fontId="0" fillId="6" borderId="15" xfId="0" applyNumberFormat="1" applyFill="1" applyBorder="1"/>
    <xf numFmtId="0" fontId="0" fillId="5" borderId="7" xfId="0" applyNumberFormat="1" applyFill="1" applyBorder="1"/>
    <xf numFmtId="0" fontId="0" fillId="6" borderId="9" xfId="0" applyNumberFormat="1" applyFill="1" applyBorder="1"/>
    <xf numFmtId="0" fontId="0" fillId="2" borderId="2" xfId="0" applyNumberFormat="1" applyFill="1" applyBorder="1" applyAlignment="1">
      <alignment horizontal="center"/>
    </xf>
    <xf numFmtId="0" fontId="1" fillId="10" borderId="22" xfId="0" applyNumberFormat="1" applyFont="1" applyFill="1" applyBorder="1" applyAlignment="1">
      <alignment horizontal="center"/>
    </xf>
    <xf numFmtId="0" fontId="0" fillId="14" borderId="2" xfId="0" quotePrefix="1" applyFill="1" applyBorder="1"/>
    <xf numFmtId="0" fontId="0" fillId="14" borderId="3" xfId="0" applyNumberFormat="1" applyFill="1" applyBorder="1"/>
    <xf numFmtId="0" fontId="0" fillId="14" borderId="4" xfId="0" applyNumberFormat="1" applyFill="1" applyBorder="1"/>
    <xf numFmtId="0" fontId="0" fillId="14" borderId="5" xfId="0" quotePrefix="1" applyFill="1" applyBorder="1"/>
    <xf numFmtId="0" fontId="0" fillId="14" borderId="0" xfId="0" applyNumberFormat="1" applyFill="1" applyBorder="1"/>
    <xf numFmtId="0" fontId="0" fillId="14" borderId="6" xfId="0" applyNumberFormat="1" applyFill="1" applyBorder="1"/>
    <xf numFmtId="0" fontId="0" fillId="14" borderId="7" xfId="0" quotePrefix="1" applyFill="1" applyBorder="1"/>
    <xf numFmtId="0" fontId="0" fillId="14" borderId="8" xfId="0" applyNumberFormat="1" applyFill="1" applyBorder="1"/>
    <xf numFmtId="0" fontId="0" fillId="14" borderId="9" xfId="0" applyNumberFormat="1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1" fillId="0" borderId="3" xfId="0" applyFont="1" applyBorder="1"/>
    <xf numFmtId="0" fontId="1" fillId="0" borderId="0" xfId="0" applyFont="1" applyBorder="1"/>
    <xf numFmtId="0" fontId="1" fillId="15" borderId="3" xfId="0" applyFont="1" applyFill="1" applyBorder="1"/>
    <xf numFmtId="0" fontId="1" fillId="15" borderId="0" xfId="0" applyFont="1" applyFill="1" applyBorder="1"/>
    <xf numFmtId="0" fontId="1" fillId="15" borderId="6" xfId="0" applyFont="1" applyFill="1" applyBorder="1"/>
    <xf numFmtId="0" fontId="1" fillId="0" borderId="5" xfId="0" applyFont="1" applyBorder="1"/>
    <xf numFmtId="0" fontId="7" fillId="0" borderId="0" xfId="0" applyFont="1" applyBorder="1"/>
    <xf numFmtId="0" fontId="1" fillId="0" borderId="4" xfId="0" applyFont="1" applyBorder="1"/>
    <xf numFmtId="0" fontId="1" fillId="12" borderId="5" xfId="0" applyFont="1" applyFill="1" applyBorder="1"/>
    <xf numFmtId="0" fontId="7" fillId="12" borderId="3" xfId="0" applyFont="1" applyFill="1" applyBorder="1"/>
    <xf numFmtId="0" fontId="0" fillId="7" borderId="0" xfId="0" quotePrefix="1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7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1" fillId="7" borderId="0" xfId="0" quotePrefix="1" applyNumberFormat="1" applyFont="1" applyFill="1" applyBorder="1" applyAlignment="1">
      <alignment horizontal="center"/>
    </xf>
    <xf numFmtId="0" fontId="1" fillId="7" borderId="0" xfId="0" applyNumberFormat="1" applyFont="1" applyFill="1" applyBorder="1" applyAlignment="1">
      <alignment horizontal="center"/>
    </xf>
    <xf numFmtId="0" fontId="1" fillId="7" borderId="6" xfId="0" applyNumberFormat="1" applyFont="1" applyFill="1" applyBorder="1" applyAlignment="1">
      <alignment horizontal="center"/>
    </xf>
    <xf numFmtId="0" fontId="1" fillId="7" borderId="17" xfId="0" quotePrefix="1" applyNumberFormat="1" applyFont="1" applyFill="1" applyBorder="1" applyAlignment="1">
      <alignment horizontal="center"/>
    </xf>
    <xf numFmtId="0" fontId="1" fillId="7" borderId="17" xfId="0" applyNumberFormat="1" applyFont="1" applyFill="1" applyBorder="1" applyAlignment="1">
      <alignment horizontal="center"/>
    </xf>
    <xf numFmtId="0" fontId="1" fillId="7" borderId="18" xfId="0" applyNumberFormat="1" applyFont="1" applyFill="1" applyBorder="1" applyAlignment="1">
      <alignment horizontal="center"/>
    </xf>
    <xf numFmtId="0" fontId="0" fillId="7" borderId="14" xfId="0" quotePrefix="1" applyNumberFormat="1" applyFill="1" applyBorder="1" applyAlignment="1">
      <alignment horizontal="center"/>
    </xf>
    <xf numFmtId="0" fontId="0" fillId="7" borderId="14" xfId="0" applyNumberFormat="1" applyFill="1" applyBorder="1" applyAlignment="1">
      <alignment horizontal="center"/>
    </xf>
    <xf numFmtId="0" fontId="0" fillId="7" borderId="15" xfId="0" applyNumberFormat="1" applyFill="1" applyBorder="1" applyAlignment="1">
      <alignment horizontal="center"/>
    </xf>
    <xf numFmtId="0" fontId="0" fillId="7" borderId="8" xfId="0" quotePrefix="1" applyNumberFormat="1" applyFill="1" applyBorder="1" applyAlignment="1">
      <alignment horizontal="center"/>
    </xf>
    <xf numFmtId="0" fontId="0" fillId="7" borderId="8" xfId="0" applyNumberFormat="1" applyFill="1" applyBorder="1" applyAlignment="1">
      <alignment horizontal="center"/>
    </xf>
    <xf numFmtId="0" fontId="0" fillId="7" borderId="9" xfId="0" applyNumberFormat="1" applyFill="1" applyBorder="1" applyAlignment="1">
      <alignment horizontal="center"/>
    </xf>
    <xf numFmtId="0" fontId="0" fillId="8" borderId="10" xfId="0" applyNumberFormat="1" applyFill="1" applyBorder="1" applyAlignment="1">
      <alignment horizontal="center"/>
    </xf>
    <xf numFmtId="0" fontId="0" fillId="8" borderId="11" xfId="0" applyNumberFormat="1" applyFill="1" applyBorder="1" applyAlignment="1">
      <alignment horizontal="center"/>
    </xf>
    <xf numFmtId="0" fontId="0" fillId="8" borderId="12" xfId="0" applyNumberFormat="1" applyFill="1" applyBorder="1" applyAlignment="1">
      <alignment horizontal="center"/>
    </xf>
    <xf numFmtId="0" fontId="0" fillId="16" borderId="22" xfId="0" applyFill="1" applyBorder="1"/>
    <xf numFmtId="0" fontId="0" fillId="16" borderId="0" xfId="0" applyFill="1"/>
    <xf numFmtId="0" fontId="1" fillId="17" borderId="5" xfId="0" applyNumberFormat="1" applyFont="1" applyFill="1" applyBorder="1" applyAlignment="1">
      <alignment horizontal="center"/>
    </xf>
    <xf numFmtId="0" fontId="1" fillId="17" borderId="6" xfId="0" applyNumberFormat="1" applyFont="1" applyFill="1" applyBorder="1" applyAlignment="1">
      <alignment horizontal="center"/>
    </xf>
    <xf numFmtId="0" fontId="0" fillId="17" borderId="5" xfId="0" applyNumberFormat="1" applyFill="1" applyBorder="1" applyAlignment="1">
      <alignment horizontal="center"/>
    </xf>
    <xf numFmtId="0" fontId="0" fillId="17" borderId="6" xfId="0" applyNumberFormat="1" applyFill="1" applyBorder="1" applyAlignment="1">
      <alignment horizontal="center"/>
    </xf>
    <xf numFmtId="0" fontId="1" fillId="17" borderId="16" xfId="0" applyNumberFormat="1" applyFont="1" applyFill="1" applyBorder="1" applyAlignment="1">
      <alignment horizontal="center"/>
    </xf>
    <xf numFmtId="0" fontId="1" fillId="17" borderId="18" xfId="0" applyNumberFormat="1" applyFont="1" applyFill="1" applyBorder="1" applyAlignment="1">
      <alignment horizontal="center"/>
    </xf>
    <xf numFmtId="0" fontId="0" fillId="17" borderId="13" xfId="0" applyNumberFormat="1" applyFill="1" applyBorder="1" applyAlignment="1">
      <alignment horizontal="center"/>
    </xf>
    <xf numFmtId="0" fontId="0" fillId="17" borderId="15" xfId="0" applyNumberFormat="1" applyFill="1" applyBorder="1" applyAlignment="1">
      <alignment horizontal="center"/>
    </xf>
    <xf numFmtId="0" fontId="0" fillId="17" borderId="7" xfId="0" applyNumberFormat="1" applyFill="1" applyBorder="1" applyAlignment="1">
      <alignment horizontal="center"/>
    </xf>
    <xf numFmtId="0" fontId="0" fillId="17" borderId="9" xfId="0" applyNumberFormat="1" applyFill="1" applyBorder="1" applyAlignment="1">
      <alignment horizontal="center"/>
    </xf>
    <xf numFmtId="11" fontId="0" fillId="17" borderId="4" xfId="0" applyNumberFormat="1" applyFill="1" applyBorder="1"/>
    <xf numFmtId="11" fontId="0" fillId="17" borderId="6" xfId="0" applyNumberFormat="1" applyFill="1" applyBorder="1"/>
    <xf numFmtId="11" fontId="0" fillId="17" borderId="9" xfId="0" applyNumberFormat="1" applyFill="1" applyBorder="1"/>
    <xf numFmtId="0" fontId="0" fillId="17" borderId="8" xfId="0" applyNumberFormat="1" applyFill="1" applyBorder="1"/>
    <xf numFmtId="0" fontId="0" fillId="17" borderId="0" xfId="0" applyNumberFormat="1" applyFill="1" applyBorder="1"/>
    <xf numFmtId="0" fontId="0" fillId="17" borderId="3" xfId="0" applyNumberFormat="1" applyFill="1" applyBorder="1"/>
    <xf numFmtId="0" fontId="0" fillId="18" borderId="2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1" fillId="18" borderId="5" xfId="0" applyFont="1" applyFill="1" applyBorder="1"/>
    <xf numFmtId="0" fontId="1" fillId="18" borderId="6" xfId="0" applyFont="1" applyFill="1" applyBorder="1"/>
    <xf numFmtId="0" fontId="0" fillId="18" borderId="7" xfId="0" applyFill="1" applyBorder="1"/>
    <xf numFmtId="0" fontId="0" fillId="18" borderId="9" xfId="0" applyFill="1" applyBorder="1"/>
    <xf numFmtId="0" fontId="0" fillId="18" borderId="3" xfId="0" applyFill="1" applyBorder="1"/>
    <xf numFmtId="0" fontId="0" fillId="18" borderId="0" xfId="0" applyFill="1" applyBorder="1"/>
    <xf numFmtId="0" fontId="1" fillId="18" borderId="0" xfId="0" applyFont="1" applyFill="1" applyBorder="1"/>
    <xf numFmtId="0" fontId="0" fillId="18" borderId="0" xfId="0" applyFill="1"/>
    <xf numFmtId="0" fontId="0" fillId="8" borderId="8" xfId="0" applyNumberFormat="1" applyFill="1" applyBorder="1" applyAlignment="1">
      <alignment horizontal="center"/>
    </xf>
    <xf numFmtId="0" fontId="0" fillId="8" borderId="9" xfId="0" applyNumberFormat="1" applyFill="1" applyBorder="1" applyAlignment="1">
      <alignment horizontal="center"/>
    </xf>
    <xf numFmtId="0" fontId="0" fillId="18" borderId="0" xfId="0" quotePrefix="1" applyFill="1" applyAlignment="1">
      <alignment horizontal="right"/>
    </xf>
    <xf numFmtId="0" fontId="5" fillId="18" borderId="0" xfId="0" applyFont="1" applyFill="1" applyAlignment="1">
      <alignment horizontal="left"/>
    </xf>
    <xf numFmtId="0" fontId="4" fillId="18" borderId="0" xfId="0" applyNumberFormat="1" applyFont="1" applyFill="1"/>
    <xf numFmtId="0" fontId="0" fillId="18" borderId="0" xfId="0" applyNumberFormat="1" applyFill="1"/>
    <xf numFmtId="0" fontId="0" fillId="18" borderId="2" xfId="0" applyNumberFormat="1" applyFill="1" applyBorder="1"/>
    <xf numFmtId="0" fontId="0" fillId="18" borderId="3" xfId="0" applyNumberFormat="1" applyFill="1" applyBorder="1"/>
    <xf numFmtId="0" fontId="0" fillId="18" borderId="4" xfId="0" applyNumberFormat="1" applyFill="1" applyBorder="1"/>
    <xf numFmtId="0" fontId="0" fillId="18" borderId="5" xfId="0" applyNumberFormat="1" applyFill="1" applyBorder="1"/>
    <xf numFmtId="0" fontId="0" fillId="18" borderId="0" xfId="0" applyNumberFormat="1" applyFill="1" applyBorder="1"/>
    <xf numFmtId="0" fontId="0" fillId="18" borderId="6" xfId="0" applyNumberFormat="1" applyFill="1" applyBorder="1"/>
    <xf numFmtId="0" fontId="0" fillId="18" borderId="5" xfId="0" applyNumberFormat="1" applyFill="1" applyBorder="1" applyAlignment="1">
      <alignment horizontal="center"/>
    </xf>
    <xf numFmtId="0" fontId="0" fillId="18" borderId="8" xfId="0" applyFill="1" applyBorder="1"/>
    <xf numFmtId="0" fontId="0" fillId="18" borderId="8" xfId="0" quotePrefix="1" applyFill="1" applyBorder="1" applyAlignment="1">
      <alignment horizontal="right"/>
    </xf>
    <xf numFmtId="0" fontId="0" fillId="15" borderId="2" xfId="0" applyNumberFormat="1" applyFill="1" applyBorder="1" applyAlignment="1">
      <alignment horizontal="center"/>
    </xf>
    <xf numFmtId="0" fontId="0" fillId="15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14</xdr:row>
      <xdr:rowOff>19050</xdr:rowOff>
    </xdr:from>
    <xdr:to>
      <xdr:col>6</xdr:col>
      <xdr:colOff>600075</xdr:colOff>
      <xdr:row>21</xdr:row>
      <xdr:rowOff>85726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30FA6-9B62-452D-AF6C-22E26F1C0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2190750"/>
          <a:ext cx="29241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727821</xdr:colOff>
      <xdr:row>14</xdr:row>
      <xdr:rowOff>21163</xdr:rowOff>
    </xdr:from>
    <xdr:to>
      <xdr:col>10</xdr:col>
      <xdr:colOff>253252</xdr:colOff>
      <xdr:row>21</xdr:row>
      <xdr:rowOff>144556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5089A9-7FDD-40D0-82D6-B028F6605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586" y="3069163"/>
          <a:ext cx="1452842" cy="1535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476250</xdr:colOff>
      <xdr:row>13</xdr:row>
      <xdr:rowOff>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957C9E-22F3-4C8E-A396-202EED711880}"/>
                </a:ext>
              </a:extLst>
            </xdr:cNvPr>
            <xdr:cNvSpPr txBox="1"/>
          </xdr:nvSpPr>
          <xdr:spPr>
            <a:xfrm>
              <a:off x="9934575" y="277177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957C9E-22F3-4C8E-A396-202EED711880}"/>
                </a:ext>
              </a:extLst>
            </xdr:cNvPr>
            <xdr:cNvSpPr txBox="1"/>
          </xdr:nvSpPr>
          <xdr:spPr>
            <a:xfrm>
              <a:off x="9934575" y="277177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12</xdr:row>
      <xdr:rowOff>180975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6B8CDA5-2435-42FA-A780-0DD36EF6D910}"/>
                </a:ext>
              </a:extLst>
            </xdr:cNvPr>
            <xdr:cNvSpPr txBox="1"/>
          </xdr:nvSpPr>
          <xdr:spPr>
            <a:xfrm>
              <a:off x="14030325" y="25527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6B8CDA5-2435-42FA-A780-0DD36EF6D910}"/>
                </a:ext>
              </a:extLst>
            </xdr:cNvPr>
            <xdr:cNvSpPr txBox="1"/>
          </xdr:nvSpPr>
          <xdr:spPr>
            <a:xfrm>
              <a:off x="14030325" y="25527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438150</xdr:colOff>
      <xdr:row>0</xdr:row>
      <xdr:rowOff>190500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F044C17-9333-4A0F-A60B-4310EF2A81CD}"/>
                </a:ext>
              </a:extLst>
            </xdr:cNvPr>
            <xdr:cNvSpPr txBox="1"/>
          </xdr:nvSpPr>
          <xdr:spPr>
            <a:xfrm>
              <a:off x="12715875" y="1905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F044C17-9333-4A0F-A60B-4310EF2A81CD}"/>
                </a:ext>
              </a:extLst>
            </xdr:cNvPr>
            <xdr:cNvSpPr txBox="1"/>
          </xdr:nvSpPr>
          <xdr:spPr>
            <a:xfrm>
              <a:off x="12715875" y="1905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495300</xdr:colOff>
      <xdr:row>14</xdr:row>
      <xdr:rowOff>180975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2A3E87-F48E-4E3F-8308-CCF0A3299788}"/>
                </a:ext>
              </a:extLst>
            </xdr:cNvPr>
            <xdr:cNvSpPr txBox="1"/>
          </xdr:nvSpPr>
          <xdr:spPr>
            <a:xfrm>
              <a:off x="12163425" y="298132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2A3E87-F48E-4E3F-8308-CCF0A3299788}"/>
                </a:ext>
              </a:extLst>
            </xdr:cNvPr>
            <xdr:cNvSpPr txBox="1"/>
          </xdr:nvSpPr>
          <xdr:spPr>
            <a:xfrm>
              <a:off x="12163425" y="298132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476250</xdr:colOff>
      <xdr:row>16</xdr:row>
      <xdr:rowOff>190500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BDFED21-9671-4AA8-92F0-43B262D98FC5}"/>
                </a:ext>
              </a:extLst>
            </xdr:cNvPr>
            <xdr:cNvSpPr txBox="1"/>
          </xdr:nvSpPr>
          <xdr:spPr>
            <a:xfrm>
              <a:off x="12144375" y="33909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BDFED21-9671-4AA8-92F0-43B262D98FC5}"/>
                </a:ext>
              </a:extLst>
            </xdr:cNvPr>
            <xdr:cNvSpPr txBox="1"/>
          </xdr:nvSpPr>
          <xdr:spPr>
            <a:xfrm>
              <a:off x="12144375" y="33909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495300</xdr:colOff>
      <xdr:row>25</xdr:row>
      <xdr:rowOff>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0DBA4F4-7ABA-4160-BF0D-F359859A1769}"/>
                </a:ext>
              </a:extLst>
            </xdr:cNvPr>
            <xdr:cNvSpPr txBox="1"/>
          </xdr:nvSpPr>
          <xdr:spPr>
            <a:xfrm>
              <a:off x="12163425" y="399097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0DBA4F4-7ABA-4160-BF0D-F359859A1769}"/>
                </a:ext>
              </a:extLst>
            </xdr:cNvPr>
            <xdr:cNvSpPr txBox="1"/>
          </xdr:nvSpPr>
          <xdr:spPr>
            <a:xfrm>
              <a:off x="12163425" y="399097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504825</xdr:colOff>
      <xdr:row>26</xdr:row>
      <xdr:rowOff>180975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29409F9-B37D-4EE6-9072-8D5241BC6C84}"/>
                </a:ext>
              </a:extLst>
            </xdr:cNvPr>
            <xdr:cNvSpPr txBox="1"/>
          </xdr:nvSpPr>
          <xdr:spPr>
            <a:xfrm>
              <a:off x="12172950" y="437197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29409F9-B37D-4EE6-9072-8D5241BC6C84}"/>
                </a:ext>
              </a:extLst>
            </xdr:cNvPr>
            <xdr:cNvSpPr txBox="1"/>
          </xdr:nvSpPr>
          <xdr:spPr>
            <a:xfrm>
              <a:off x="12172950" y="437197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514350</xdr:colOff>
      <xdr:row>29</xdr:row>
      <xdr:rowOff>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E450EA2-5A3A-4A83-81F3-866295F7942F}"/>
                </a:ext>
              </a:extLst>
            </xdr:cNvPr>
            <xdr:cNvSpPr txBox="1"/>
          </xdr:nvSpPr>
          <xdr:spPr>
            <a:xfrm>
              <a:off x="12182475" y="479107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E450EA2-5A3A-4A83-81F3-866295F7942F}"/>
                </a:ext>
              </a:extLst>
            </xdr:cNvPr>
            <xdr:cNvSpPr txBox="1"/>
          </xdr:nvSpPr>
          <xdr:spPr>
            <a:xfrm>
              <a:off x="12182475" y="4791075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14</xdr:row>
      <xdr:rowOff>180975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64B8735-E63F-4861-83F8-76DD4AF14471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64B8735-E63F-4861-83F8-76DD4AF14471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16</xdr:row>
      <xdr:rowOff>180975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3D15C52-0B34-45FB-8C2B-730CAA98D9D8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3D15C52-0B34-45FB-8C2B-730CAA98D9D8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24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71A0A18-1080-4D12-A8A0-39FD4C2D7DBA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71A0A18-1080-4D12-A8A0-39FD4C2D7DBA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26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332D5D2-B902-4028-B5AE-8B4D1F822348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332D5D2-B902-4028-B5AE-8B4D1F822348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28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8FAA0F4-5376-4C20-A881-D932200FE619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8FAA0F4-5376-4C20-A881-D932200FE619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14</xdr:row>
      <xdr:rowOff>180975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CBE08DA-812D-46A6-9BD1-0872069A8622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CBE08DA-812D-46A6-9BD1-0872069A8622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16</xdr:row>
      <xdr:rowOff>180975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9AF18EF-BE51-4431-94CD-1E902F8D2B0E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9AF18EF-BE51-4431-94CD-1E902F8D2B0E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24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ED90278-B436-4E05-B81B-B1878B98269B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ED90278-B436-4E05-B81B-B1878B98269B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26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D9D0C1-A28F-4444-8BA7-1EAE31FD735A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D9D0C1-A28F-4444-8BA7-1EAE31FD735A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28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D80C863-3FC8-4399-A930-8BC8874EB2EC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D80C863-3FC8-4399-A930-8BC8874EB2EC}"/>
                </a:ext>
              </a:extLst>
            </xdr:cNvPr>
            <xdr:cNvSpPr txBox="1"/>
          </xdr:nvSpPr>
          <xdr:spPr>
            <a:xfrm>
              <a:off x="13649325" y="25812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495300</xdr:colOff>
      <xdr:row>24</xdr:row>
      <xdr:rowOff>180975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A0D4568-77E3-4AA6-8AFF-493B9F222906}"/>
            </a:ext>
          </a:extLst>
        </xdr:cNvPr>
        <xdr:cNvSpPr txBox="1"/>
      </xdr:nvSpPr>
      <xdr:spPr>
        <a:xfrm>
          <a:off x="12163425" y="378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18</xdr:col>
      <xdr:colOff>457200</xdr:colOff>
      <xdr:row>1</xdr:row>
      <xdr:rowOff>190500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282296CE-598C-47D4-873C-890058095138}"/>
                </a:ext>
              </a:extLst>
            </xdr:cNvPr>
            <xdr:cNvSpPr txBox="1"/>
          </xdr:nvSpPr>
          <xdr:spPr>
            <a:xfrm>
              <a:off x="12734925" y="39052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282296CE-598C-47D4-873C-890058095138}"/>
                </a:ext>
              </a:extLst>
            </xdr:cNvPr>
            <xdr:cNvSpPr txBox="1"/>
          </xdr:nvSpPr>
          <xdr:spPr>
            <a:xfrm>
              <a:off x="12734925" y="39052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457200</xdr:colOff>
      <xdr:row>2</xdr:row>
      <xdr:rowOff>190500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63C557D-97D6-4695-BBF2-059392820C47}"/>
                </a:ext>
              </a:extLst>
            </xdr:cNvPr>
            <xdr:cNvSpPr txBox="1"/>
          </xdr:nvSpPr>
          <xdr:spPr>
            <a:xfrm>
              <a:off x="12734925" y="6096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63C557D-97D6-4695-BBF2-059392820C47}"/>
                </a:ext>
              </a:extLst>
            </xdr:cNvPr>
            <xdr:cNvSpPr txBox="1"/>
          </xdr:nvSpPr>
          <xdr:spPr>
            <a:xfrm>
              <a:off x="12734925" y="6096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447675</xdr:colOff>
      <xdr:row>7</xdr:row>
      <xdr:rowOff>219075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9D815D6-5A79-465C-B562-3000D6143F44}"/>
                </a:ext>
              </a:extLst>
            </xdr:cNvPr>
            <xdr:cNvSpPr txBox="1"/>
          </xdr:nvSpPr>
          <xdr:spPr>
            <a:xfrm>
              <a:off x="12725400" y="168592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9D815D6-5A79-465C-B562-3000D6143F44}"/>
                </a:ext>
              </a:extLst>
            </xdr:cNvPr>
            <xdr:cNvSpPr txBox="1"/>
          </xdr:nvSpPr>
          <xdr:spPr>
            <a:xfrm>
              <a:off x="12725400" y="168592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447675</xdr:colOff>
      <xdr:row>6</xdr:row>
      <xdr:rowOff>200025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52DD105-2F29-487A-AF0F-3BC5E3CEFAEE}"/>
                </a:ext>
              </a:extLst>
            </xdr:cNvPr>
            <xdr:cNvSpPr txBox="1"/>
          </xdr:nvSpPr>
          <xdr:spPr>
            <a:xfrm>
              <a:off x="12725400" y="153352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52DD105-2F29-487A-AF0F-3BC5E3CEFAEE}"/>
                </a:ext>
              </a:extLst>
            </xdr:cNvPr>
            <xdr:cNvSpPr txBox="1"/>
          </xdr:nvSpPr>
          <xdr:spPr>
            <a:xfrm>
              <a:off x="12725400" y="153352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447675</xdr:colOff>
      <xdr:row>8</xdr:row>
      <xdr:rowOff>209550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2262EB6-3BFA-4F3A-A83A-23E710AD4015}"/>
                </a:ext>
              </a:extLst>
            </xdr:cNvPr>
            <xdr:cNvSpPr txBox="1"/>
          </xdr:nvSpPr>
          <xdr:spPr>
            <a:xfrm>
              <a:off x="12725400" y="19050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2262EB6-3BFA-4F3A-A83A-23E710AD4015}"/>
                </a:ext>
              </a:extLst>
            </xdr:cNvPr>
            <xdr:cNvSpPr txBox="1"/>
          </xdr:nvSpPr>
          <xdr:spPr>
            <a:xfrm>
              <a:off x="12725400" y="19050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514350</xdr:colOff>
      <xdr:row>19</xdr:row>
      <xdr:rowOff>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0059FF0-2E7D-4628-BB30-C4125F627349}"/>
                </a:ext>
              </a:extLst>
            </xdr:cNvPr>
            <xdr:cNvSpPr txBox="1"/>
          </xdr:nvSpPr>
          <xdr:spPr>
            <a:xfrm>
              <a:off x="12182475" y="474345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0059FF0-2E7D-4628-BB30-C4125F627349}"/>
                </a:ext>
              </a:extLst>
            </xdr:cNvPr>
            <xdr:cNvSpPr txBox="1"/>
          </xdr:nvSpPr>
          <xdr:spPr>
            <a:xfrm>
              <a:off x="12182475" y="474345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30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597BD09-BED1-4906-B5BA-4014E4D8E0DE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597BD09-BED1-4906-B5BA-4014E4D8E0DE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30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90A03A0-E0C9-436A-B380-006C1E837836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90A03A0-E0C9-436A-B380-006C1E837836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514350</xdr:colOff>
      <xdr:row>21</xdr:row>
      <xdr:rowOff>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948E4114-7BA3-42BF-A625-37DC8D437DFC}"/>
                </a:ext>
              </a:extLst>
            </xdr:cNvPr>
            <xdr:cNvSpPr txBox="1"/>
          </xdr:nvSpPr>
          <xdr:spPr>
            <a:xfrm>
              <a:off x="12182475" y="474345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948E4114-7BA3-42BF-A625-37DC8D437DFC}"/>
                </a:ext>
              </a:extLst>
            </xdr:cNvPr>
            <xdr:cNvSpPr txBox="1"/>
          </xdr:nvSpPr>
          <xdr:spPr>
            <a:xfrm>
              <a:off x="12182475" y="474345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20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687961A-2C58-4AD2-A485-BA86A36E23C2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687961A-2C58-4AD2-A485-BA86A36E23C2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20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8EBB5BBC-8D9D-4296-963A-ACC408AD16FC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8EBB5BBC-8D9D-4296-963A-ACC408AD16FC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22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838853A4-63DA-4447-8302-E218B64BE801}"/>
                </a:ext>
              </a:extLst>
            </xdr:cNvPr>
            <xdr:cNvSpPr txBox="1"/>
          </xdr:nvSpPr>
          <xdr:spPr>
            <a:xfrm>
              <a:off x="13649325" y="51244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838853A4-63DA-4447-8302-E218B64BE801}"/>
                </a:ext>
              </a:extLst>
            </xdr:cNvPr>
            <xdr:cNvSpPr txBox="1"/>
          </xdr:nvSpPr>
          <xdr:spPr>
            <a:xfrm>
              <a:off x="13649325" y="51244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22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1C7A0CC-4B32-4DDB-A259-79F114E7A81F}"/>
                </a:ext>
              </a:extLst>
            </xdr:cNvPr>
            <xdr:cNvSpPr txBox="1"/>
          </xdr:nvSpPr>
          <xdr:spPr>
            <a:xfrm>
              <a:off x="13649325" y="51244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1C7A0CC-4B32-4DDB-A259-79F114E7A81F}"/>
                </a:ext>
              </a:extLst>
            </xdr:cNvPr>
            <xdr:cNvSpPr txBox="1"/>
          </xdr:nvSpPr>
          <xdr:spPr>
            <a:xfrm>
              <a:off x="13649325" y="51244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514350</xdr:colOff>
      <xdr:row>23</xdr:row>
      <xdr:rowOff>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D42FF80-57E3-4F64-B1DA-CE830BB501A8}"/>
                </a:ext>
              </a:extLst>
            </xdr:cNvPr>
            <xdr:cNvSpPr txBox="1"/>
          </xdr:nvSpPr>
          <xdr:spPr>
            <a:xfrm>
              <a:off x="12182475" y="474345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D42FF80-57E3-4F64-B1DA-CE830BB501A8}"/>
                </a:ext>
              </a:extLst>
            </xdr:cNvPr>
            <xdr:cNvSpPr txBox="1"/>
          </xdr:nvSpPr>
          <xdr:spPr>
            <a:xfrm>
              <a:off x="12182475" y="474345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22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D3D1794-5888-49E6-9AF3-1E90985F615D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D3D1794-5888-49E6-9AF3-1E90985F615D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22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638BB6F-6377-40C5-83F9-5034437D13A5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638BB6F-6377-40C5-83F9-5034437D13A5}"/>
                </a:ext>
              </a:extLst>
            </xdr:cNvPr>
            <xdr:cNvSpPr txBox="1"/>
          </xdr:nvSpPr>
          <xdr:spPr>
            <a:xfrm>
              <a:off x="13649325" y="472440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24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399B385-1A98-4EBE-8DD7-E22B6D07D363}"/>
                </a:ext>
              </a:extLst>
            </xdr:cNvPr>
            <xdr:cNvSpPr txBox="1"/>
          </xdr:nvSpPr>
          <xdr:spPr>
            <a:xfrm>
              <a:off x="13649325" y="51244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399B385-1A98-4EBE-8DD7-E22B6D07D363}"/>
                </a:ext>
              </a:extLst>
            </xdr:cNvPr>
            <xdr:cNvSpPr txBox="1"/>
          </xdr:nvSpPr>
          <xdr:spPr>
            <a:xfrm>
              <a:off x="13649325" y="51244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533400</xdr:colOff>
      <xdr:row>24</xdr:row>
      <xdr:rowOff>180975</xdr:rowOff>
    </xdr:from>
    <xdr:ext cx="848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DCD17E00-AB3E-4375-B81C-C3EC2FBE189F}"/>
                </a:ext>
              </a:extLst>
            </xdr:cNvPr>
            <xdr:cNvSpPr txBox="1"/>
          </xdr:nvSpPr>
          <xdr:spPr>
            <a:xfrm>
              <a:off x="13649325" y="51244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DCD17E00-AB3E-4375-B81C-C3EC2FBE189F}"/>
                </a:ext>
              </a:extLst>
            </xdr:cNvPr>
            <xdr:cNvSpPr txBox="1"/>
          </xdr:nvSpPr>
          <xdr:spPr>
            <a:xfrm>
              <a:off x="13649325" y="51244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457200</xdr:colOff>
      <xdr:row>3</xdr:row>
      <xdr:rowOff>219075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96522891-03D3-4FDC-B4FA-4EC22594DEFE}"/>
                </a:ext>
              </a:extLst>
            </xdr:cNvPr>
            <xdr:cNvSpPr txBox="1"/>
          </xdr:nvSpPr>
          <xdr:spPr>
            <a:xfrm>
              <a:off x="12734925" y="8667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96522891-03D3-4FDC-B4FA-4EC22594DEFE}"/>
                </a:ext>
              </a:extLst>
            </xdr:cNvPr>
            <xdr:cNvSpPr txBox="1"/>
          </xdr:nvSpPr>
          <xdr:spPr>
            <a:xfrm>
              <a:off x="12734925" y="86677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466725</xdr:colOff>
      <xdr:row>4</xdr:row>
      <xdr:rowOff>200025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5DDD93E-0745-4053-A880-7E31CA46A432}"/>
                </a:ext>
              </a:extLst>
            </xdr:cNvPr>
            <xdr:cNvSpPr txBox="1"/>
          </xdr:nvSpPr>
          <xdr:spPr>
            <a:xfrm>
              <a:off x="12744450" y="107632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5DDD93E-0745-4053-A880-7E31CA46A432}"/>
                </a:ext>
              </a:extLst>
            </xdr:cNvPr>
            <xdr:cNvSpPr txBox="1"/>
          </xdr:nvSpPr>
          <xdr:spPr>
            <a:xfrm>
              <a:off x="12744450" y="1076325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457200</xdr:colOff>
      <xdr:row>5</xdr:row>
      <xdr:rowOff>171450</xdr:rowOff>
    </xdr:from>
    <xdr:ext cx="8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96E5B7FC-5E92-4036-8F46-5A098D789D04}"/>
                </a:ext>
              </a:extLst>
            </xdr:cNvPr>
            <xdr:cNvSpPr txBox="1"/>
          </xdr:nvSpPr>
          <xdr:spPr>
            <a:xfrm>
              <a:off x="12734925" y="12763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96E5B7FC-5E92-4036-8F46-5A098D789D04}"/>
                </a:ext>
              </a:extLst>
            </xdr:cNvPr>
            <xdr:cNvSpPr txBox="1"/>
          </xdr:nvSpPr>
          <xdr:spPr>
            <a:xfrm>
              <a:off x="12734925" y="1276350"/>
              <a:ext cx="8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243639</xdr:colOff>
      <xdr:row>2</xdr:row>
      <xdr:rowOff>14037</xdr:rowOff>
    </xdr:from>
    <xdr:ext cx="1415708" cy="370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34ACB6D2-82CB-45D9-A688-8C8284C6AF6D}"/>
                </a:ext>
              </a:extLst>
            </xdr:cNvPr>
            <xdr:cNvSpPr txBox="1"/>
          </xdr:nvSpPr>
          <xdr:spPr>
            <a:xfrm>
              <a:off x="6520113" y="445169"/>
              <a:ext cx="1415708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э</m:t>
                            </m:r>
                          </m:sub>
                        </m:sSub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𝑗𝑤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34ACB6D2-82CB-45D9-A688-8C8284C6AF6D}"/>
                </a:ext>
              </a:extLst>
            </xdr:cNvPr>
            <xdr:cNvSpPr txBox="1"/>
          </xdr:nvSpPr>
          <xdr:spPr>
            <a:xfrm>
              <a:off x="6520113" y="445169"/>
              <a:ext cx="1415708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ru-RU" sz="1100" b="0" i="0">
                  <a:latin typeface="Cambria Math" panose="02040503050406030204" pitchFamily="18" charset="0"/>
                </a:rPr>
                <a:t>_э</a:t>
              </a:r>
              <a:r>
                <a:rPr lang="en-US" sz="1100" b="0" i="0">
                  <a:latin typeface="Cambria Math" panose="02040503050406030204" pitchFamily="18" charset="0"/>
                </a:rPr>
                <a:t>=10^5/𝑅_</a:t>
              </a:r>
              <a:r>
                <a:rPr lang="ru-RU" sz="1100" b="0" i="0">
                  <a:latin typeface="Cambria Math" panose="02040503050406030204" pitchFamily="18" charset="0"/>
                </a:rPr>
                <a:t>э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𝑗𝑤𝐶_</a:t>
              </a:r>
              <a:r>
                <a:rPr lang="ru-RU" sz="1100" b="0" i="0">
                  <a:latin typeface="Cambria Math" panose="02040503050406030204" pitchFamily="18" charset="0"/>
                </a:rPr>
                <a:t>э∗10^5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232108</xdr:colOff>
      <xdr:row>4</xdr:row>
      <xdr:rowOff>181977</xdr:rowOff>
    </xdr:from>
    <xdr:ext cx="948337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DBDE4E1-FF83-4587-A8DE-4CCFE83C6E91}"/>
                </a:ext>
              </a:extLst>
            </xdr:cNvPr>
            <xdr:cNvSpPr txBox="1"/>
          </xdr:nvSpPr>
          <xdr:spPr>
            <a:xfrm>
              <a:off x="6508582" y="1074319"/>
              <a:ext cx="948337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𝑗𝑤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э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DBDE4E1-FF83-4587-A8DE-4CCFE83C6E91}"/>
                </a:ext>
              </a:extLst>
            </xdr:cNvPr>
            <xdr:cNvSpPr txBox="1"/>
          </xdr:nvSpPr>
          <xdr:spPr>
            <a:xfrm>
              <a:off x="6508582" y="1074319"/>
              <a:ext cx="948337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ru-RU" sz="1100" b="0" i="0">
                  <a:latin typeface="Cambria Math" panose="02040503050406030204" pitchFamily="18" charset="0"/>
                </a:rPr>
                <a:t>_э=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_э+1/(</a:t>
              </a:r>
              <a:r>
                <a:rPr lang="en-US" sz="1100" b="0" i="0">
                  <a:latin typeface="Cambria Math" panose="02040503050406030204" pitchFamily="18" charset="0"/>
                </a:rPr>
                <a:t>𝑗𝑤𝐶_</a:t>
              </a:r>
              <a:r>
                <a:rPr lang="ru-RU" sz="1100" b="0" i="0">
                  <a:latin typeface="Cambria Math" panose="02040503050406030204" pitchFamily="18" charset="0"/>
                </a:rPr>
                <a:t>э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21</xdr:col>
      <xdr:colOff>599479</xdr:colOff>
      <xdr:row>3</xdr:row>
      <xdr:rowOff>197644</xdr:rowOff>
    </xdr:from>
    <xdr:ext cx="1205650" cy="3874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82EA124-719E-41D5-B37A-0CAE1DA2CA5A}"/>
                </a:ext>
              </a:extLst>
            </xdr:cNvPr>
            <xdr:cNvSpPr txBox="1"/>
          </xdr:nvSpPr>
          <xdr:spPr>
            <a:xfrm>
              <a:off x="14297620" y="852488"/>
              <a:ext cx="1205650" cy="3874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т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𝑗𝑤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82EA124-719E-41D5-B37A-0CAE1DA2CA5A}"/>
                </a:ext>
              </a:extLst>
            </xdr:cNvPr>
            <xdr:cNvSpPr txBox="1"/>
          </xdr:nvSpPr>
          <xdr:spPr>
            <a:xfrm>
              <a:off x="14297620" y="852488"/>
              <a:ext cx="1205650" cy="3874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ru-RU" sz="1100" b="0" i="0">
                  <a:latin typeface="Cambria Math" panose="02040503050406030204" pitchFamily="18" charset="0"/>
                </a:rPr>
                <a:t>_т=</a:t>
              </a:r>
              <a:r>
                <a:rPr lang="en-US" sz="1100" b="0" i="0">
                  <a:latin typeface="Cambria Math" panose="02040503050406030204" pitchFamily="18" charset="0"/>
                </a:rPr>
                <a:t>𝑗𝑤𝑙_2  (𝑤_2^2−𝑤^2)/(𝑤_1^2−𝑤^2 )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tabSelected="1" zoomScale="85" zoomScaleNormal="85" workbookViewId="0">
      <selection activeCell="S20" sqref="S20"/>
    </sheetView>
  </sheetViews>
  <sheetFormatPr defaultRowHeight="15" x14ac:dyDescent="0.25"/>
  <cols>
    <col min="1" max="1" width="12.140625" bestFit="1" customWidth="1"/>
    <col min="2" max="2" width="5.140625" bestFit="1" customWidth="1"/>
    <col min="3" max="3" width="8.7109375" bestFit="1" customWidth="1"/>
    <col min="4" max="4" width="12.140625" bestFit="1" customWidth="1"/>
    <col min="5" max="5" width="11" bestFit="1" customWidth="1"/>
    <col min="6" max="8" width="12.140625" bestFit="1" customWidth="1"/>
    <col min="9" max="9" width="8.42578125" customWidth="1"/>
    <col min="10" max="10" width="8.42578125" bestFit="1" customWidth="1"/>
    <col min="13" max="13" width="12" bestFit="1" customWidth="1"/>
    <col min="16" max="17" width="12" bestFit="1" customWidth="1"/>
    <col min="20" max="20" width="3.42578125" bestFit="1" customWidth="1"/>
    <col min="24" max="24" width="2.5703125" bestFit="1" customWidth="1"/>
    <col min="25" max="25" width="19.28515625" customWidth="1"/>
    <col min="29" max="29" width="21.28515625" customWidth="1"/>
    <col min="33" max="33" width="0.42578125" customWidth="1"/>
    <col min="34" max="34" width="6.42578125" customWidth="1"/>
  </cols>
  <sheetData>
    <row r="1" spans="1:31" ht="15.75" thickBot="1" x14ac:dyDescent="0.3">
      <c r="A1" s="7" t="s">
        <v>1</v>
      </c>
      <c r="B1" s="128" t="s">
        <v>15</v>
      </c>
      <c r="C1" s="128"/>
      <c r="D1" s="128"/>
      <c r="E1" s="129"/>
      <c r="F1" s="31" t="s">
        <v>19</v>
      </c>
      <c r="G1" s="7" t="s">
        <v>0</v>
      </c>
      <c r="H1" s="9" t="s">
        <v>2</v>
      </c>
      <c r="I1" s="190"/>
      <c r="J1" s="191"/>
      <c r="K1" s="188"/>
      <c r="L1" s="174"/>
      <c r="M1" s="7" t="s">
        <v>10</v>
      </c>
      <c r="N1" s="8" t="s">
        <v>11</v>
      </c>
      <c r="O1" s="8" t="s">
        <v>5</v>
      </c>
      <c r="P1" s="8" t="s">
        <v>6</v>
      </c>
      <c r="Q1" s="9" t="s">
        <v>7</v>
      </c>
      <c r="R1" s="115" t="s">
        <v>3</v>
      </c>
      <c r="S1" s="116"/>
      <c r="T1" s="117" t="s">
        <v>4</v>
      </c>
      <c r="U1" s="118"/>
      <c r="V1" s="119"/>
      <c r="W1" s="174"/>
      <c r="X1" s="174"/>
      <c r="Y1" s="174"/>
      <c r="Z1" s="174"/>
    </row>
    <row r="2" spans="1:31" ht="18" thickBot="1" x14ac:dyDescent="0.3">
      <c r="A2" s="147">
        <v>500</v>
      </c>
      <c r="B2" s="130" t="str">
        <f t="shared" ref="B2:B7" si="0">IF(G2&lt;100000,"емкостная","индуктивная")</f>
        <v>индуктивная</v>
      </c>
      <c r="C2" s="131"/>
      <c r="D2" s="131"/>
      <c r="E2" s="132"/>
      <c r="F2" s="147">
        <v>4.2999999999999999E-4</v>
      </c>
      <c r="G2" s="147">
        <v>100000</v>
      </c>
      <c r="H2" s="148">
        <v>0.72529999999999994</v>
      </c>
      <c r="I2" s="172"/>
      <c r="J2" s="93"/>
      <c r="K2" s="104" t="s">
        <v>18</v>
      </c>
      <c r="L2" s="95"/>
      <c r="M2" s="102">
        <f>1/(2*$J$12*SQRT($B$13*$C$13*$B$14*$C$14))</f>
        <v>2729.4847558696556</v>
      </c>
      <c r="N2" s="102">
        <f>M2*SQRT(1+(B12*C12)/(B13*C13))</f>
        <v>5418.6813632489402</v>
      </c>
      <c r="O2" s="102">
        <f>2*$J$12*$A2</f>
        <v>3141.5926535897929</v>
      </c>
      <c r="P2" s="102">
        <f>2*$J$12*$M2</f>
        <v>17149.858514250878</v>
      </c>
      <c r="Q2" s="109">
        <f>2*$J$12*$N2</f>
        <v>34046.57912585359</v>
      </c>
      <c r="R2" s="110" t="s">
        <v>23</v>
      </c>
      <c r="S2" s="111" t="s">
        <v>24</v>
      </c>
      <c r="T2" s="107" t="s">
        <v>43</v>
      </c>
      <c r="U2" s="120">
        <f>Y14</f>
        <v>215.94079577479727</v>
      </c>
      <c r="V2" s="121"/>
      <c r="W2" s="174"/>
      <c r="X2" s="174"/>
      <c r="Y2" s="174"/>
      <c r="Z2" s="174"/>
    </row>
    <row r="3" spans="1:31" ht="18" thickBot="1" x14ac:dyDescent="0.3">
      <c r="A3" s="149">
        <v>1000</v>
      </c>
      <c r="B3" s="112" t="str">
        <f t="shared" si="0"/>
        <v>индуктивная</v>
      </c>
      <c r="C3" s="113"/>
      <c r="D3" s="113"/>
      <c r="E3" s="114"/>
      <c r="F3" s="149">
        <v>9.0000000000000006E-5</v>
      </c>
      <c r="G3" s="149">
        <v>100000</v>
      </c>
      <c r="H3" s="150">
        <v>0.99629999999999996</v>
      </c>
      <c r="I3" s="172"/>
      <c r="J3" s="96"/>
      <c r="K3" s="97"/>
      <c r="L3" s="98"/>
      <c r="M3" s="171"/>
      <c r="N3" s="164"/>
      <c r="O3" s="11">
        <f t="shared" ref="O3:O10" si="1">2*$J$12*$A3</f>
        <v>6283.1853071795858</v>
      </c>
      <c r="P3" s="163"/>
      <c r="Q3" s="164"/>
      <c r="R3" s="63" t="s">
        <v>26</v>
      </c>
      <c r="S3" s="64" t="s">
        <v>25</v>
      </c>
      <c r="T3" s="12" t="s">
        <v>43</v>
      </c>
      <c r="U3" s="122">
        <f>Y16</f>
        <v>469.67962121435431</v>
      </c>
      <c r="V3" s="123"/>
      <c r="W3" s="174"/>
      <c r="X3" s="174"/>
      <c r="Y3" s="174"/>
      <c r="Z3" s="172"/>
      <c r="AA3" s="91"/>
      <c r="AB3" s="91"/>
      <c r="AC3" s="91"/>
      <c r="AD3" s="91"/>
      <c r="AE3" s="91"/>
    </row>
    <row r="4" spans="1:31" ht="17.25" x14ac:dyDescent="0.25">
      <c r="A4" s="149">
        <v>1500</v>
      </c>
      <c r="B4" s="112" t="str">
        <f t="shared" si="0"/>
        <v>индуктивная</v>
      </c>
      <c r="C4" s="113"/>
      <c r="D4" s="113"/>
      <c r="E4" s="114"/>
      <c r="F4" s="149">
        <v>9.0000000000000006E-5</v>
      </c>
      <c r="G4" s="149">
        <v>100000</v>
      </c>
      <c r="H4" s="150">
        <v>4.6393000000000004</v>
      </c>
      <c r="I4" s="172"/>
      <c r="J4" s="96"/>
      <c r="K4" s="97"/>
      <c r="L4" s="98"/>
      <c r="M4" s="172"/>
      <c r="N4" s="166"/>
      <c r="O4" s="11">
        <f t="shared" si="1"/>
        <v>9424.7779607693792</v>
      </c>
      <c r="P4" s="165"/>
      <c r="Q4" s="166"/>
      <c r="R4" s="62" t="s">
        <v>27</v>
      </c>
      <c r="S4" s="65" t="s">
        <v>28</v>
      </c>
      <c r="T4" s="12" t="s">
        <v>43</v>
      </c>
      <c r="U4" s="122">
        <f>Y18</f>
        <v>835.35815699190994</v>
      </c>
      <c r="V4" s="123"/>
      <c r="W4" s="93"/>
      <c r="X4" s="94"/>
      <c r="Y4" s="95"/>
      <c r="Z4" s="172"/>
      <c r="AA4" s="91"/>
      <c r="AB4" s="92"/>
      <c r="AC4" s="91"/>
      <c r="AD4" s="91"/>
      <c r="AE4" s="91"/>
    </row>
    <row r="5" spans="1:31" ht="17.25" x14ac:dyDescent="0.25">
      <c r="A5" s="151">
        <v>2000</v>
      </c>
      <c r="B5" s="133" t="str">
        <f t="shared" si="0"/>
        <v>емкостная</v>
      </c>
      <c r="C5" s="134"/>
      <c r="D5" s="134"/>
      <c r="E5" s="135"/>
      <c r="F5" s="151">
        <v>6.0999999999999997E-4</v>
      </c>
      <c r="G5" s="151">
        <v>1</v>
      </c>
      <c r="H5" s="152">
        <v>9.1300000000000006E-2</v>
      </c>
      <c r="I5" s="172"/>
      <c r="J5" s="96"/>
      <c r="K5" s="105" t="s">
        <v>18</v>
      </c>
      <c r="L5" s="106"/>
      <c r="M5" s="173"/>
      <c r="N5" s="168"/>
      <c r="O5" s="103">
        <f t="shared" si="1"/>
        <v>12566.370614359172</v>
      </c>
      <c r="P5" s="167"/>
      <c r="Q5" s="168"/>
      <c r="R5" s="107" t="s">
        <v>36</v>
      </c>
      <c r="S5" s="108" t="s">
        <v>39</v>
      </c>
      <c r="T5" s="107" t="s">
        <v>43</v>
      </c>
      <c r="U5" s="120">
        <f>Y20</f>
        <v>-1570.4137072665135</v>
      </c>
      <c r="V5" s="121"/>
      <c r="W5" s="96"/>
      <c r="X5" s="97"/>
      <c r="Y5" s="98"/>
      <c r="Z5" s="172"/>
      <c r="AA5" s="91"/>
      <c r="AB5" s="91"/>
      <c r="AC5" s="91"/>
      <c r="AD5" s="91"/>
      <c r="AE5" s="91"/>
    </row>
    <row r="6" spans="1:31" ht="17.25" x14ac:dyDescent="0.25">
      <c r="A6" s="149">
        <v>2500</v>
      </c>
      <c r="B6" s="112" t="str">
        <f t="shared" si="0"/>
        <v>емкостная</v>
      </c>
      <c r="C6" s="113"/>
      <c r="D6" s="113"/>
      <c r="E6" s="114"/>
      <c r="F6" s="149">
        <v>1.48E-3</v>
      </c>
      <c r="G6" s="149">
        <v>1</v>
      </c>
      <c r="H6" s="150">
        <v>0.2374</v>
      </c>
      <c r="I6" s="172"/>
      <c r="J6" s="96"/>
      <c r="K6" s="97"/>
      <c r="L6" s="98"/>
      <c r="M6" s="172"/>
      <c r="N6" s="166"/>
      <c r="O6" s="11">
        <f t="shared" si="1"/>
        <v>15707.963267948966</v>
      </c>
      <c r="P6" s="165"/>
      <c r="Q6" s="166"/>
      <c r="R6" s="12" t="s">
        <v>37</v>
      </c>
      <c r="S6" s="53" t="s">
        <v>40</v>
      </c>
      <c r="T6" s="12" t="s">
        <v>43</v>
      </c>
      <c r="U6" s="122">
        <f>Y22</f>
        <v>-5142.7523143389653</v>
      </c>
      <c r="V6" s="123"/>
      <c r="W6" s="96"/>
      <c r="X6" s="97"/>
      <c r="Y6" s="98"/>
      <c r="Z6" s="172"/>
      <c r="AA6" s="91"/>
      <c r="AB6" s="91"/>
      <c r="AC6" s="91"/>
      <c r="AD6" s="91"/>
      <c r="AE6" s="91"/>
    </row>
    <row r="7" spans="1:31" ht="18" thickBot="1" x14ac:dyDescent="0.3">
      <c r="A7" s="153">
        <v>3000</v>
      </c>
      <c r="B7" s="136" t="str">
        <f t="shared" si="0"/>
        <v>емкостная</v>
      </c>
      <c r="C7" s="137"/>
      <c r="D7" s="137"/>
      <c r="E7" s="138"/>
      <c r="F7" s="153">
        <v>6.9999999999999999E-4</v>
      </c>
      <c r="G7" s="153">
        <v>1</v>
      </c>
      <c r="H7" s="154">
        <v>9.1300000000000006E-2</v>
      </c>
      <c r="I7" s="172"/>
      <c r="J7" s="99"/>
      <c r="K7" s="100"/>
      <c r="L7" s="101"/>
      <c r="M7" s="172"/>
      <c r="N7" s="166"/>
      <c r="O7" s="11">
        <f t="shared" si="1"/>
        <v>18849.555921538758</v>
      </c>
      <c r="P7" s="165"/>
      <c r="Q7" s="166"/>
      <c r="R7" s="12" t="s">
        <v>38</v>
      </c>
      <c r="S7" s="53" t="s">
        <v>41</v>
      </c>
      <c r="T7" s="12" t="s">
        <v>43</v>
      </c>
      <c r="U7" s="122">
        <f>Y24</f>
        <v>4209.8387679196685</v>
      </c>
      <c r="V7" s="123"/>
      <c r="W7" s="99"/>
      <c r="X7" s="100"/>
      <c r="Y7" s="101"/>
      <c r="Z7" s="172"/>
      <c r="AA7" s="91"/>
      <c r="AB7" s="91"/>
      <c r="AC7" s="92"/>
      <c r="AD7" s="91"/>
      <c r="AE7" s="91"/>
    </row>
    <row r="8" spans="1:31" ht="17.25" x14ac:dyDescent="0.25">
      <c r="A8" s="149">
        <v>3500</v>
      </c>
      <c r="B8" s="112" t="str">
        <f>IF(G8&lt;0,"емкостная","индуктивная")</f>
        <v>индуктивная</v>
      </c>
      <c r="C8" s="113"/>
      <c r="D8" s="113"/>
      <c r="E8" s="114"/>
      <c r="F8" s="149">
        <v>4.0999999999999999E-4</v>
      </c>
      <c r="G8" s="149">
        <v>100000</v>
      </c>
      <c r="H8" s="150">
        <v>3.9600000000000003E-2</v>
      </c>
      <c r="I8" s="172"/>
      <c r="J8" s="171"/>
      <c r="K8" s="171"/>
      <c r="L8" s="171"/>
      <c r="M8" s="172"/>
      <c r="N8" s="166"/>
      <c r="O8" s="11">
        <f t="shared" si="1"/>
        <v>21991.148575128551</v>
      </c>
      <c r="P8" s="165"/>
      <c r="Q8" s="166"/>
      <c r="R8" s="62" t="s">
        <v>29</v>
      </c>
      <c r="S8" s="64" t="s">
        <v>30</v>
      </c>
      <c r="T8" s="12" t="s">
        <v>43</v>
      </c>
      <c r="U8" s="122">
        <f>Y26</f>
        <v>-1332.8061150653248</v>
      </c>
      <c r="V8" s="123"/>
      <c r="W8" s="174"/>
      <c r="X8" s="174"/>
      <c r="Y8" s="174"/>
      <c r="Z8" s="172"/>
      <c r="AA8" s="91"/>
      <c r="AB8" s="91"/>
      <c r="AC8" s="91"/>
      <c r="AD8" s="91"/>
      <c r="AE8" s="91"/>
    </row>
    <row r="9" spans="1:31" ht="17.25" x14ac:dyDescent="0.25">
      <c r="A9" s="149">
        <v>4000</v>
      </c>
      <c r="B9" s="112" t="str">
        <f>IF(G9&lt;0,"емкостная","индуктивная")</f>
        <v>индуктивная</v>
      </c>
      <c r="C9" s="113"/>
      <c r="D9" s="113"/>
      <c r="E9" s="114"/>
      <c r="F9" s="149">
        <v>9.1E-4</v>
      </c>
      <c r="G9" s="149">
        <v>100000</v>
      </c>
      <c r="H9" s="150">
        <v>7.6100000000000001E-2</v>
      </c>
      <c r="I9" s="172"/>
      <c r="J9" s="172"/>
      <c r="K9" s="174"/>
      <c r="L9" s="172"/>
      <c r="M9" s="172"/>
      <c r="N9" s="166"/>
      <c r="O9" s="11">
        <f t="shared" si="1"/>
        <v>25132.741228718343</v>
      </c>
      <c r="P9" s="165"/>
      <c r="Q9" s="166"/>
      <c r="R9" s="62" t="s">
        <v>31</v>
      </c>
      <c r="S9" s="64" t="s">
        <v>32</v>
      </c>
      <c r="T9" s="12" t="s">
        <v>43</v>
      </c>
      <c r="U9" s="122">
        <f>Y28</f>
        <v>-667.73179391863005</v>
      </c>
      <c r="V9" s="123"/>
      <c r="W9" s="174"/>
      <c r="X9" s="174"/>
      <c r="Y9" s="174"/>
      <c r="Z9" s="172"/>
      <c r="AA9" s="91"/>
      <c r="AB9" s="91"/>
      <c r="AC9" s="91"/>
      <c r="AD9" s="91"/>
      <c r="AE9" s="91"/>
    </row>
    <row r="10" spans="1:31" ht="18" thickBot="1" x14ac:dyDescent="0.3">
      <c r="A10" s="155">
        <v>4500</v>
      </c>
      <c r="B10" s="139" t="str">
        <f>IF(G10&lt;0,"емкостная","индуктивная")</f>
        <v>индуктивная</v>
      </c>
      <c r="C10" s="140"/>
      <c r="D10" s="140"/>
      <c r="E10" s="141"/>
      <c r="F10" s="155">
        <v>2.0000000000000001E-4</v>
      </c>
      <c r="G10" s="155">
        <v>100000</v>
      </c>
      <c r="H10" s="156">
        <v>9.8500000000000004E-2</v>
      </c>
      <c r="I10" s="172"/>
      <c r="J10" s="172"/>
      <c r="K10" s="172"/>
      <c r="L10" s="174"/>
      <c r="M10" s="172"/>
      <c r="N10" s="166"/>
      <c r="O10" s="14">
        <f t="shared" si="1"/>
        <v>28274.333882308139</v>
      </c>
      <c r="P10" s="165"/>
      <c r="Q10" s="166"/>
      <c r="R10" s="66" t="s">
        <v>33</v>
      </c>
      <c r="S10" s="67" t="s">
        <v>34</v>
      </c>
      <c r="T10" s="13" t="s">
        <v>43</v>
      </c>
      <c r="U10" s="124">
        <f>Y30</f>
        <v>-342.17882591900729</v>
      </c>
      <c r="V10" s="125"/>
      <c r="W10" s="174"/>
      <c r="X10" s="174"/>
      <c r="Y10" s="174"/>
      <c r="Z10" s="174"/>
      <c r="AA10" s="15"/>
      <c r="AB10" s="15"/>
    </row>
    <row r="11" spans="1:31" ht="21.75" thickBot="1" x14ac:dyDescent="0.35">
      <c r="A11" s="174"/>
      <c r="B11" s="174"/>
      <c r="C11" s="174"/>
      <c r="D11" s="174"/>
      <c r="E11" s="174"/>
      <c r="F11" s="174"/>
      <c r="G11" s="174"/>
      <c r="H11" s="174">
        <f>0.000001</f>
        <v>9.9999999999999995E-7</v>
      </c>
      <c r="I11" s="189" t="s">
        <v>44</v>
      </c>
      <c r="J11" s="178" t="s">
        <v>45</v>
      </c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</row>
    <row r="12" spans="1:31" ht="15.75" thickBot="1" x14ac:dyDescent="0.3">
      <c r="A12" s="32" t="s">
        <v>12</v>
      </c>
      <c r="B12" s="162">
        <f>50</f>
        <v>50</v>
      </c>
      <c r="C12" s="157">
        <v>1E-3</v>
      </c>
      <c r="D12" s="174"/>
      <c r="E12" s="174"/>
      <c r="F12" s="174"/>
      <c r="G12" s="174"/>
      <c r="H12" s="30" t="s">
        <v>8</v>
      </c>
      <c r="I12" s="10" t="s">
        <v>9</v>
      </c>
      <c r="J12" s="30">
        <f>PI()</f>
        <v>3.1415926535897931</v>
      </c>
      <c r="K12" s="165"/>
      <c r="L12" s="174"/>
      <c r="M12" s="172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</row>
    <row r="13" spans="1:31" ht="18" thickBot="1" x14ac:dyDescent="0.3">
      <c r="A13" s="5" t="s">
        <v>13</v>
      </c>
      <c r="B13" s="161">
        <v>17</v>
      </c>
      <c r="C13" s="158">
        <v>1E-3</v>
      </c>
      <c r="D13" s="174"/>
      <c r="E13" s="174"/>
      <c r="F13" s="174"/>
      <c r="G13" s="174"/>
      <c r="H13" s="174">
        <f>100000</f>
        <v>100000</v>
      </c>
      <c r="I13" s="177" t="s">
        <v>44</v>
      </c>
      <c r="J13" s="178">
        <v>5</v>
      </c>
      <c r="K13" s="188"/>
      <c r="L13" s="188"/>
      <c r="M13" s="166"/>
      <c r="N13" s="7" t="s">
        <v>1</v>
      </c>
      <c r="O13" s="126" t="s">
        <v>3</v>
      </c>
      <c r="P13" s="126"/>
      <c r="Q13" s="126"/>
      <c r="R13" s="126"/>
      <c r="S13" s="126"/>
      <c r="T13" s="126"/>
      <c r="U13" s="127"/>
      <c r="V13" s="174"/>
      <c r="W13" s="80" t="s">
        <v>1</v>
      </c>
      <c r="X13" s="117" t="s">
        <v>4</v>
      </c>
      <c r="Y13" s="118"/>
      <c r="Z13" s="119"/>
    </row>
    <row r="14" spans="1:31" ht="15.75" thickBot="1" x14ac:dyDescent="0.3">
      <c r="A14" s="6" t="s">
        <v>14</v>
      </c>
      <c r="B14" s="160">
        <v>200</v>
      </c>
      <c r="C14" s="159">
        <v>1.0000000000000001E-9</v>
      </c>
      <c r="D14" s="142" t="s">
        <v>17</v>
      </c>
      <c r="E14" s="143"/>
      <c r="F14" s="143"/>
      <c r="G14" s="144"/>
      <c r="H14" s="142" t="s">
        <v>16</v>
      </c>
      <c r="I14" s="143"/>
      <c r="J14" s="143"/>
      <c r="K14" s="175"/>
      <c r="L14" s="176"/>
      <c r="M14" s="174"/>
      <c r="N14" s="37">
        <v>500</v>
      </c>
      <c r="O14" s="55">
        <f>(10^5)/(10^6)</f>
        <v>0.1</v>
      </c>
      <c r="P14" s="41" t="s">
        <v>20</v>
      </c>
      <c r="Q14" s="42">
        <f>$O2*$H2*$H$11*$H$13</f>
        <v>227.85971516486765</v>
      </c>
      <c r="R14" s="33"/>
      <c r="S14" s="34">
        <f>ATAN(Q14/O14)</f>
        <v>1.570357460304137</v>
      </c>
      <c r="T14" s="47" t="s">
        <v>22</v>
      </c>
      <c r="U14" s="48">
        <f>(S14*180)/$J$12</f>
        <v>89.974854802309764</v>
      </c>
      <c r="V14" s="146"/>
      <c r="W14" s="37">
        <v>500</v>
      </c>
      <c r="X14" s="82" t="s">
        <v>42</v>
      </c>
      <c r="Y14" s="83">
        <f>O2*$B$13*$C$13*((($Q$2^2)-(O2^2))/(($P$2^2)-(O2^2)))</f>
        <v>215.94079577479727</v>
      </c>
      <c r="Z14" s="84"/>
    </row>
    <row r="15" spans="1:31" ht="15.75" thickBot="1" x14ac:dyDescent="0.3">
      <c r="A15" s="179">
        <v>100000</v>
      </c>
      <c r="B15" s="180"/>
      <c r="C15" s="180"/>
      <c r="D15" s="181"/>
      <c r="E15" s="182"/>
      <c r="F15" s="182"/>
      <c r="G15" s="183"/>
      <c r="H15" s="181"/>
      <c r="I15" s="182"/>
      <c r="J15" s="182"/>
      <c r="K15" s="182"/>
      <c r="L15" s="183"/>
      <c r="M15" s="174"/>
      <c r="N15" s="38"/>
      <c r="O15" s="14"/>
      <c r="P15" s="14"/>
      <c r="Q15" s="14"/>
      <c r="R15" s="14"/>
      <c r="S15" s="51">
        <f>Q14</f>
        <v>227.85971516486765</v>
      </c>
      <c r="T15" s="49" t="s">
        <v>21</v>
      </c>
      <c r="U15" s="50"/>
      <c r="V15" s="174"/>
      <c r="W15" s="38"/>
      <c r="X15" s="85"/>
      <c r="Y15" s="86"/>
      <c r="Z15" s="87"/>
    </row>
    <row r="16" spans="1:31" ht="15.75" thickBot="1" x14ac:dyDescent="0.3">
      <c r="A16" s="180"/>
      <c r="B16" s="180"/>
      <c r="C16" s="180"/>
      <c r="D16" s="184"/>
      <c r="E16" s="185"/>
      <c r="F16" s="185"/>
      <c r="G16" s="166"/>
      <c r="H16" s="184"/>
      <c r="I16" s="185"/>
      <c r="J16" s="185"/>
      <c r="K16" s="185"/>
      <c r="L16" s="186"/>
      <c r="M16" s="174"/>
      <c r="N16" s="39">
        <v>1000</v>
      </c>
      <c r="O16" s="55">
        <f>(10^5)/(10^6)</f>
        <v>0.1</v>
      </c>
      <c r="P16" s="43" t="s">
        <v>20</v>
      </c>
      <c r="Q16" s="42">
        <f>$O3*$H3*$H$11*$H$13</f>
        <v>625.99375215430211</v>
      </c>
      <c r="R16" s="46"/>
      <c r="S16" s="34">
        <f>ATAN(Q16/O16)</f>
        <v>1.5706365807929514</v>
      </c>
      <c r="T16" s="47" t="s">
        <v>22</v>
      </c>
      <c r="U16" s="48">
        <f>(S16*180)/$J$12</f>
        <v>89.990847228294456</v>
      </c>
      <c r="V16" s="174"/>
      <c r="W16" s="39">
        <v>1000</v>
      </c>
      <c r="X16" s="85" t="s">
        <v>42</v>
      </c>
      <c r="Y16" s="86">
        <f>O3*$B$13*$C$13*((($Q$2^2)-(O3^2))/(($P$2^2)-(O3^2)))</f>
        <v>469.67962121435431</v>
      </c>
      <c r="Z16" s="87"/>
    </row>
    <row r="17" spans="1:26" ht="15.75" thickBot="1" x14ac:dyDescent="0.3">
      <c r="A17" s="174"/>
      <c r="B17" s="174"/>
      <c r="C17" s="174"/>
      <c r="D17" s="184"/>
      <c r="E17" s="185"/>
      <c r="F17" s="172"/>
      <c r="G17" s="186"/>
      <c r="H17" s="184"/>
      <c r="I17" s="185"/>
      <c r="J17" s="185"/>
      <c r="K17" s="185"/>
      <c r="L17" s="186"/>
      <c r="M17" s="174"/>
      <c r="N17" s="38"/>
      <c r="O17" s="11"/>
      <c r="P17" s="11"/>
      <c r="Q17" s="11"/>
      <c r="R17" s="11"/>
      <c r="S17" s="51">
        <f>Q16</f>
        <v>625.99375215430211</v>
      </c>
      <c r="T17" s="49" t="s">
        <v>21</v>
      </c>
      <c r="U17" s="52"/>
      <c r="V17" s="174"/>
      <c r="W17" s="38"/>
      <c r="X17" s="85"/>
      <c r="Y17" s="86"/>
      <c r="Z17" s="87"/>
    </row>
    <row r="18" spans="1:26" ht="15.75" thickBot="1" x14ac:dyDescent="0.3">
      <c r="A18" s="174"/>
      <c r="B18" s="174"/>
      <c r="C18" s="174"/>
      <c r="D18" s="184"/>
      <c r="E18" s="185"/>
      <c r="F18" s="185"/>
      <c r="G18" s="186"/>
      <c r="H18" s="184"/>
      <c r="I18" s="185"/>
      <c r="J18" s="185"/>
      <c r="K18" s="185"/>
      <c r="L18" s="186"/>
      <c r="M18" s="174"/>
      <c r="N18" s="39">
        <v>1500</v>
      </c>
      <c r="O18" s="55">
        <f>(10^5)/(10^6)</f>
        <v>0.1</v>
      </c>
      <c r="P18" s="41" t="s">
        <v>20</v>
      </c>
      <c r="Q18" s="42">
        <f>$O4*$H4*$H$11*$H$13</f>
        <v>4372.437239339738</v>
      </c>
      <c r="R18" s="46"/>
      <c r="S18" s="34">
        <f>ATAN(Q18/O18)</f>
        <v>1.570773456255079</v>
      </c>
      <c r="T18" s="47" t="s">
        <v>22</v>
      </c>
      <c r="U18" s="48">
        <f>(S18*180)/$J$12</f>
        <v>89.998689614593275</v>
      </c>
      <c r="V18" s="174"/>
      <c r="W18" s="39">
        <v>1500</v>
      </c>
      <c r="X18" s="85" t="s">
        <v>42</v>
      </c>
      <c r="Y18" s="86">
        <f>O4*$B$13*$C$13*((($Q$2^2)-(O4^2))/(($P$2^2)-(O4^2)))</f>
        <v>835.35815699190994</v>
      </c>
      <c r="Z18" s="87"/>
    </row>
    <row r="19" spans="1:26" ht="15.75" thickBot="1" x14ac:dyDescent="0.3">
      <c r="A19" s="174"/>
      <c r="B19" s="174"/>
      <c r="C19" s="174"/>
      <c r="D19" s="184"/>
      <c r="E19" s="185"/>
      <c r="F19" s="185"/>
      <c r="G19" s="186"/>
      <c r="H19" s="187"/>
      <c r="I19" s="185"/>
      <c r="J19" s="185"/>
      <c r="K19" s="185"/>
      <c r="L19" s="186"/>
      <c r="M19" s="174"/>
      <c r="N19" s="38"/>
      <c r="O19" s="11"/>
      <c r="P19" s="11"/>
      <c r="Q19" s="11"/>
      <c r="R19" s="11"/>
      <c r="S19" s="51">
        <f>Q18</f>
        <v>4372.437239339738</v>
      </c>
      <c r="T19" s="49" t="s">
        <v>21</v>
      </c>
      <c r="U19" s="52"/>
      <c r="V19" s="174"/>
      <c r="W19" s="38"/>
      <c r="X19" s="85"/>
      <c r="Y19" s="86"/>
      <c r="Z19" s="87"/>
    </row>
    <row r="20" spans="1:26" ht="15.75" thickBot="1" x14ac:dyDescent="0.3">
      <c r="A20" s="174"/>
      <c r="B20" s="174"/>
      <c r="C20" s="174"/>
      <c r="D20" s="165"/>
      <c r="E20" s="172"/>
      <c r="F20" s="172"/>
      <c r="G20" s="166"/>
      <c r="H20" s="165"/>
      <c r="I20" s="172"/>
      <c r="J20" s="172"/>
      <c r="K20" s="172"/>
      <c r="L20" s="166"/>
      <c r="M20" s="174"/>
      <c r="N20" s="56">
        <v>2000</v>
      </c>
      <c r="O20" s="54">
        <f>(10^5)/(10^6)</f>
        <v>0.1</v>
      </c>
      <c r="P20" s="44" t="s">
        <v>35</v>
      </c>
      <c r="Q20" s="45">
        <f>1/(2*$J$12*$A5*$H5*$H$11)</f>
        <v>871.60428856459669</v>
      </c>
      <c r="R20" s="46"/>
      <c r="S20" s="34">
        <f>ATAN(Q20/O20)</f>
        <v>1.5706815958316909</v>
      </c>
      <c r="T20" s="57" t="s">
        <v>22</v>
      </c>
      <c r="U20" s="58">
        <f>(S20*180)/$J$12</f>
        <v>89.993426400028838</v>
      </c>
      <c r="V20" s="146"/>
      <c r="W20" s="81">
        <v>2000</v>
      </c>
      <c r="X20" s="85" t="s">
        <v>42</v>
      </c>
      <c r="Y20" s="86">
        <f>O5*$B$13*$C$13*((($Q$2^2)-(O5^2))/(($P$2^2)-(O5^2)))*(-1)</f>
        <v>-1570.4137072665135</v>
      </c>
      <c r="Z20" s="87"/>
    </row>
    <row r="21" spans="1:26" ht="15.75" thickBot="1" x14ac:dyDescent="0.3">
      <c r="A21" s="174"/>
      <c r="B21" s="174"/>
      <c r="C21" s="174"/>
      <c r="D21" s="165"/>
      <c r="E21" s="172"/>
      <c r="F21" s="172"/>
      <c r="G21" s="166"/>
      <c r="H21" s="165"/>
      <c r="I21" s="172"/>
      <c r="J21" s="172"/>
      <c r="K21" s="172"/>
      <c r="L21" s="166"/>
      <c r="M21" s="174"/>
      <c r="N21" s="35"/>
      <c r="O21" s="14"/>
      <c r="P21" s="14"/>
      <c r="Q21" s="14"/>
      <c r="R21" s="14"/>
      <c r="S21" s="61">
        <f>Q20</f>
        <v>871.60428856459669</v>
      </c>
      <c r="T21" s="59" t="s">
        <v>21</v>
      </c>
      <c r="U21" s="60"/>
      <c r="V21" s="174"/>
      <c r="W21" s="38"/>
      <c r="X21" s="85"/>
      <c r="Y21" s="86"/>
      <c r="Z21" s="87"/>
    </row>
    <row r="22" spans="1:26" ht="15.75" thickBot="1" x14ac:dyDescent="0.3">
      <c r="A22" s="174"/>
      <c r="B22" s="174"/>
      <c r="C22" s="174"/>
      <c r="D22" s="169"/>
      <c r="E22" s="188"/>
      <c r="F22" s="188"/>
      <c r="G22" s="170"/>
      <c r="H22" s="169"/>
      <c r="I22" s="188"/>
      <c r="J22" s="188"/>
      <c r="K22" s="188"/>
      <c r="L22" s="170"/>
      <c r="M22" s="174"/>
      <c r="N22" s="35">
        <v>2500</v>
      </c>
      <c r="O22" s="54">
        <f>(10^5)/(10^6)</f>
        <v>0.1</v>
      </c>
      <c r="P22" s="44" t="s">
        <v>35</v>
      </c>
      <c r="Q22" s="45">
        <f>1/(2*$J$12*$A6*$H6*$H$11)</f>
        <v>268.16334135112947</v>
      </c>
      <c r="R22" s="46"/>
      <c r="S22" s="34">
        <f>ATAN(Q22/O22)</f>
        <v>1.5704234197642009</v>
      </c>
      <c r="T22" s="57" t="s">
        <v>22</v>
      </c>
      <c r="U22" s="58">
        <f>(S22*180)/$J$12</f>
        <v>89.978634000990368</v>
      </c>
      <c r="V22" s="174"/>
      <c r="W22" s="39">
        <v>2500</v>
      </c>
      <c r="X22" s="85" t="s">
        <v>42</v>
      </c>
      <c r="Y22" s="86">
        <f>O6*$B$13*$C$13*((($Q$2^2)-(O6^2))/(($P$2^2)-(O6^2)))*(-1)</f>
        <v>-5142.7523143389653</v>
      </c>
      <c r="Z22" s="87"/>
    </row>
    <row r="23" spans="1:26" ht="15.75" thickBot="1" x14ac:dyDescent="0.3">
      <c r="A23" s="174"/>
      <c r="B23" s="174"/>
      <c r="C23" s="174"/>
      <c r="K23" s="174"/>
      <c r="L23" s="174"/>
      <c r="M23" s="174"/>
      <c r="N23" s="35"/>
      <c r="O23" s="14"/>
      <c r="P23" s="14"/>
      <c r="Q23" s="14"/>
      <c r="R23" s="14"/>
      <c r="S23" s="61">
        <f>Q22</f>
        <v>268.16334135112947</v>
      </c>
      <c r="T23" s="59" t="s">
        <v>21</v>
      </c>
      <c r="U23" s="60"/>
      <c r="V23" s="174"/>
      <c r="W23" s="39"/>
      <c r="X23" s="85"/>
      <c r="Y23" s="86"/>
      <c r="Z23" s="87"/>
    </row>
    <row r="24" spans="1:26" ht="15.75" thickBot="1" x14ac:dyDescent="0.3">
      <c r="A24" s="174"/>
      <c r="B24" s="174"/>
      <c r="C24" s="174"/>
      <c r="D24" s="20">
        <f t="shared" ref="D24:D32" si="2">2*$J$12*A2*H2*0.000001*100000</f>
        <v>227.85971516486765</v>
      </c>
      <c r="E24" s="21">
        <f t="shared" ref="E24:E32" si="3">(2*$J$12)*A2*$B$13*$C$13*((((2*$J$12*J24)^2)-((2*$J$12*A2)^2))/(((2*$J$12*I24)^2)-((2*$J$12*A2)^2)))</f>
        <v>210.50582564163361</v>
      </c>
      <c r="F24" s="68">
        <f t="shared" ref="F24:F32" si="4">2*$J$12*A2</f>
        <v>3141.5926535897929</v>
      </c>
      <c r="G24" s="69">
        <f t="shared" ref="G24:G32" si="5">2*$J$12*I24</f>
        <v>284784.73106311477</v>
      </c>
      <c r="H24" s="69">
        <f t="shared" ref="H24:H32" si="6">2*$J$12*J24</f>
        <v>565365.94001159316</v>
      </c>
      <c r="I24" s="70">
        <f t="shared" ref="I24:I32" si="7">1/(2*$J$12*SQRT($B$13*$C$13*H2*$C$14))</f>
        <v>45324.897665790755</v>
      </c>
      <c r="J24" s="71">
        <f>I24*SQRT(1+(($B$12*$C$12)/($B$13*$C$13)))</f>
        <v>89980.784008641029</v>
      </c>
      <c r="K24" s="174"/>
      <c r="L24" s="174"/>
      <c r="M24" s="174"/>
      <c r="N24" s="36">
        <v>3000</v>
      </c>
      <c r="O24" s="54">
        <f>(10^5)/(10^6)</f>
        <v>0.1</v>
      </c>
      <c r="P24" s="44" t="s">
        <v>35</v>
      </c>
      <c r="Q24" s="45">
        <f>1/(2*$J$12*$A7*$H7*$H$11)</f>
        <v>581.06952570973101</v>
      </c>
      <c r="R24" s="46"/>
      <c r="S24" s="34">
        <f>ATAN(Q24/O24)</f>
        <v>1.570624230351032</v>
      </c>
      <c r="T24" s="57" t="s">
        <v>22</v>
      </c>
      <c r="U24" s="58">
        <f>(S24*180)/$J$12</f>
        <v>89.990139600097351</v>
      </c>
      <c r="V24" s="174"/>
      <c r="W24" s="39">
        <v>3000</v>
      </c>
      <c r="X24" s="85" t="s">
        <v>42</v>
      </c>
      <c r="Y24" s="86">
        <f>O7*$B$13*$C$13*((($Q$2^2)-(O7^2))/(($P$2^2)-(O7^2)))*(-1)</f>
        <v>4209.8387679196685</v>
      </c>
      <c r="Z24" s="87"/>
    </row>
    <row r="25" spans="1:26" ht="15.75" thickBot="1" x14ac:dyDescent="0.3">
      <c r="A25" s="174"/>
      <c r="B25" s="174"/>
      <c r="C25" s="174"/>
      <c r="D25" s="22">
        <f t="shared" si="2"/>
        <v>625.99375215430211</v>
      </c>
      <c r="E25" s="23">
        <f t="shared" si="3"/>
        <v>421.18361869683088</v>
      </c>
      <c r="F25" s="72">
        <f t="shared" si="4"/>
        <v>6283.1853071795858</v>
      </c>
      <c r="G25" s="1">
        <f t="shared" si="5"/>
        <v>242985.56491149747</v>
      </c>
      <c r="H25" s="1">
        <f t="shared" si="6"/>
        <v>482384.57800250244</v>
      </c>
      <c r="I25" s="2">
        <f t="shared" si="7"/>
        <v>38672.353755641423</v>
      </c>
      <c r="J25" s="73">
        <f t="shared" ref="J25:J32" si="8">I25*SQRT(1+(($B$12*$C$12)/($B$13*$C$13)))</f>
        <v>76773.890060396225</v>
      </c>
      <c r="K25" s="174"/>
      <c r="L25" s="174"/>
      <c r="M25" s="174"/>
      <c r="N25" s="145"/>
      <c r="O25" s="13"/>
      <c r="P25" s="14"/>
      <c r="Q25" s="14"/>
      <c r="R25" s="14"/>
      <c r="S25" s="61">
        <f>Q24</f>
        <v>581.06952570973101</v>
      </c>
      <c r="T25" s="59" t="s">
        <v>21</v>
      </c>
      <c r="U25" s="60"/>
      <c r="V25" s="174"/>
      <c r="W25" s="39"/>
      <c r="X25" s="85"/>
      <c r="Y25" s="86"/>
      <c r="Z25" s="87"/>
    </row>
    <row r="26" spans="1:26" ht="15.75" thickBot="1" x14ac:dyDescent="0.3">
      <c r="A26" s="174"/>
      <c r="B26" s="174"/>
      <c r="C26" s="174"/>
      <c r="D26" s="22">
        <f t="shared" si="2"/>
        <v>4372.437239339738</v>
      </c>
      <c r="E26" s="23">
        <f t="shared" si="3"/>
        <v>634.78471229565844</v>
      </c>
      <c r="F26" s="72">
        <f t="shared" si="4"/>
        <v>9424.7779607693792</v>
      </c>
      <c r="G26" s="1">
        <f t="shared" si="5"/>
        <v>112602.83134618565</v>
      </c>
      <c r="H26" s="1">
        <f t="shared" si="6"/>
        <v>223543.60556603802</v>
      </c>
      <c r="I26" s="2">
        <f t="shared" si="7"/>
        <v>17921.297214888466</v>
      </c>
      <c r="J26" s="73">
        <f t="shared" si="8"/>
        <v>35578.069822419879</v>
      </c>
      <c r="K26" s="174"/>
      <c r="L26" s="174"/>
      <c r="M26" s="174"/>
      <c r="N26" s="39">
        <v>3500</v>
      </c>
      <c r="O26" s="55">
        <f>(10^5)/(10^6)</f>
        <v>0.1</v>
      </c>
      <c r="P26" s="41" t="s">
        <v>20</v>
      </c>
      <c r="Q26" s="42">
        <f>$O8*$H8*$H$11*$H$13</f>
        <v>87.084948357509063</v>
      </c>
      <c r="R26" s="46"/>
      <c r="S26" s="34">
        <f>ATAN(Q26/O26)</f>
        <v>1.569648023236903</v>
      </c>
      <c r="T26" s="47" t="s">
        <v>22</v>
      </c>
      <c r="U26" s="48">
        <f>(S26*180)/$J$12</f>
        <v>89.934207052527114</v>
      </c>
      <c r="V26" s="146"/>
      <c r="W26" s="39">
        <v>3500</v>
      </c>
      <c r="X26" s="85" t="s">
        <v>42</v>
      </c>
      <c r="Y26" s="86">
        <f>O8*$B$13*$C$13*((($Q$2^2)-(O8^2))/(($P$2^2)-(O8^2)))</f>
        <v>-1332.8061150653248</v>
      </c>
      <c r="Z26" s="87"/>
    </row>
    <row r="27" spans="1:26" ht="15.75" thickBot="1" x14ac:dyDescent="0.3">
      <c r="A27" s="174"/>
      <c r="B27" s="174"/>
      <c r="C27" s="174"/>
      <c r="D27" s="24">
        <f t="shared" si="2"/>
        <v>114.73096370909924</v>
      </c>
      <c r="E27" s="25">
        <f t="shared" si="3"/>
        <v>842.10086841077009</v>
      </c>
      <c r="F27" s="74">
        <f t="shared" si="4"/>
        <v>12566.370614359172</v>
      </c>
      <c r="G27" s="18">
        <f t="shared" si="5"/>
        <v>802675.76485181483</v>
      </c>
      <c r="H27" s="18">
        <f t="shared" si="6"/>
        <v>1593503.7550148612</v>
      </c>
      <c r="I27" s="19">
        <f t="shared" si="7"/>
        <v>127749.81567623415</v>
      </c>
      <c r="J27" s="75">
        <f t="shared" si="8"/>
        <v>253613.99944611179</v>
      </c>
      <c r="K27" s="174"/>
      <c r="L27" s="174"/>
      <c r="M27" s="174"/>
      <c r="N27" s="39"/>
      <c r="O27" s="14"/>
      <c r="P27" s="14"/>
      <c r="Q27" s="14"/>
      <c r="R27" s="14"/>
      <c r="S27" s="51">
        <f>Q26</f>
        <v>87.084948357509063</v>
      </c>
      <c r="T27" s="49" t="s">
        <v>21</v>
      </c>
      <c r="U27" s="50"/>
      <c r="V27" s="174"/>
      <c r="W27" s="39"/>
      <c r="X27" s="85"/>
      <c r="Y27" s="86"/>
      <c r="Z27" s="87"/>
    </row>
    <row r="28" spans="1:26" ht="15.75" thickBot="1" x14ac:dyDescent="0.3">
      <c r="A28" s="174"/>
      <c r="B28" s="174"/>
      <c r="C28" s="174"/>
      <c r="D28" s="22">
        <f t="shared" si="2"/>
        <v>372.90704798110846</v>
      </c>
      <c r="E28" s="23">
        <f t="shared" si="3"/>
        <v>1053.2164131051725</v>
      </c>
      <c r="F28" s="72">
        <f t="shared" si="4"/>
        <v>15707.963267948966</v>
      </c>
      <c r="G28" s="1">
        <f t="shared" si="5"/>
        <v>497777.40807064512</v>
      </c>
      <c r="H28" s="1">
        <f t="shared" si="6"/>
        <v>988207.4477090704</v>
      </c>
      <c r="I28" s="2">
        <f t="shared" si="7"/>
        <v>79223.735053914686</v>
      </c>
      <c r="J28" s="73">
        <f t="shared" si="8"/>
        <v>157278.10010312425</v>
      </c>
      <c r="K28" s="174"/>
      <c r="L28" s="174"/>
      <c r="M28" s="174"/>
      <c r="N28" s="39">
        <v>4000</v>
      </c>
      <c r="O28" s="55">
        <f>(10^5)/(10^6)</f>
        <v>0.1</v>
      </c>
      <c r="P28" s="41" t="s">
        <v>20</v>
      </c>
      <c r="Q28" s="42">
        <f>$O9*$H9*$H$11*$H$13</f>
        <v>191.26016075054659</v>
      </c>
      <c r="R28" s="46"/>
      <c r="S28" s="34">
        <f>ATAN(Q28/O28)</f>
        <v>1.5702734788034736</v>
      </c>
      <c r="T28" s="47" t="s">
        <v>22</v>
      </c>
      <c r="U28" s="48">
        <f>(S28*180)/$J$12</f>
        <v>89.970043016764578</v>
      </c>
      <c r="V28" s="174"/>
      <c r="W28" s="39">
        <v>4000</v>
      </c>
      <c r="X28" s="85" t="s">
        <v>42</v>
      </c>
      <c r="Y28" s="86">
        <f>O9*$B$13*$C$13*((($Q$2^2)-(O9^2))/(($P$2^2)-(O9^2)))</f>
        <v>-667.73179391863005</v>
      </c>
      <c r="Z28" s="87"/>
    </row>
    <row r="29" spans="1:26" ht="15.75" thickBot="1" x14ac:dyDescent="0.3">
      <c r="A29" s="174"/>
      <c r="B29" s="174"/>
      <c r="C29" s="174"/>
      <c r="D29" s="26">
        <f t="shared" si="2"/>
        <v>172.09644556364887</v>
      </c>
      <c r="E29" s="27">
        <f t="shared" si="3"/>
        <v>1263.4402818208594</v>
      </c>
      <c r="F29" s="76">
        <f t="shared" si="4"/>
        <v>18849.555921538758</v>
      </c>
      <c r="G29" s="16">
        <f t="shared" si="5"/>
        <v>802675.76485181483</v>
      </c>
      <c r="H29" s="16">
        <f t="shared" si="6"/>
        <v>1593503.7550148612</v>
      </c>
      <c r="I29" s="17">
        <f t="shared" si="7"/>
        <v>127749.81567623415</v>
      </c>
      <c r="J29" s="77">
        <f t="shared" si="8"/>
        <v>253613.99944611179</v>
      </c>
      <c r="K29" s="174"/>
      <c r="L29" s="174"/>
      <c r="M29" s="174"/>
      <c r="N29" s="39"/>
      <c r="O29" s="14"/>
      <c r="P29" s="14"/>
      <c r="Q29" s="14"/>
      <c r="R29" s="14"/>
      <c r="S29" s="51">
        <f>Q28</f>
        <v>191.26016075054659</v>
      </c>
      <c r="T29" s="49" t="s">
        <v>21</v>
      </c>
      <c r="U29" s="50"/>
      <c r="V29" s="174"/>
      <c r="W29" s="39"/>
      <c r="X29" s="85"/>
      <c r="Y29" s="86"/>
      <c r="Z29" s="87"/>
    </row>
    <row r="30" spans="1:26" ht="15.75" thickBot="1" x14ac:dyDescent="0.3">
      <c r="A30" s="174"/>
      <c r="B30" s="174"/>
      <c r="C30" s="174"/>
      <c r="D30" s="22">
        <f t="shared" si="2"/>
        <v>87.084948357509063</v>
      </c>
      <c r="E30" s="23">
        <f t="shared" si="3"/>
        <v>1473.7650503643379</v>
      </c>
      <c r="F30" s="72">
        <f t="shared" si="4"/>
        <v>21991.148575128551</v>
      </c>
      <c r="G30" s="1">
        <f t="shared" si="5"/>
        <v>1218787.3735452176</v>
      </c>
      <c r="H30" s="1">
        <f t="shared" si="6"/>
        <v>2419585.0196966534</v>
      </c>
      <c r="I30" s="2">
        <f t="shared" si="7"/>
        <v>193976.0350777097</v>
      </c>
      <c r="J30" s="73">
        <f t="shared" si="8"/>
        <v>385088.91611582332</v>
      </c>
      <c r="K30" s="174"/>
      <c r="L30" s="174"/>
      <c r="M30" s="174"/>
      <c r="N30" s="39">
        <v>4500</v>
      </c>
      <c r="O30" s="54">
        <f>(10^5)/(10^6)</f>
        <v>0.1</v>
      </c>
      <c r="P30" s="44" t="s">
        <v>20</v>
      </c>
      <c r="Q30" s="45">
        <f>$O10*$H10*$H$11*$H$13</f>
        <v>278.50218874073516</v>
      </c>
      <c r="R30" s="46"/>
      <c r="S30" s="34">
        <f>ATAN(Q30/O30)</f>
        <v>1.5704372632049313</v>
      </c>
      <c r="T30" s="47" t="s">
        <v>22</v>
      </c>
      <c r="U30" s="48">
        <f>(S30*180)/$J$12</f>
        <v>89.979427171718172</v>
      </c>
      <c r="V30" s="174"/>
      <c r="W30" s="40">
        <v>4500</v>
      </c>
      <c r="X30" s="88" t="s">
        <v>42</v>
      </c>
      <c r="Y30" s="89">
        <f>O10*$B$13*$C$13*((($Q$2^2)-(O10^2))/(($P$2^2)-(O10^2)))</f>
        <v>-342.17882591900729</v>
      </c>
      <c r="Z30" s="90"/>
    </row>
    <row r="31" spans="1:26" ht="15.75" thickBot="1" x14ac:dyDescent="0.3">
      <c r="A31" s="174"/>
      <c r="B31" s="174"/>
      <c r="C31" s="174"/>
      <c r="D31" s="22">
        <f t="shared" si="2"/>
        <v>191.26016075054659</v>
      </c>
      <c r="E31" s="23">
        <f t="shared" si="3"/>
        <v>1684.9213903499649</v>
      </c>
      <c r="F31" s="72">
        <f t="shared" si="4"/>
        <v>25132.741228718343</v>
      </c>
      <c r="G31" s="1">
        <f t="shared" si="5"/>
        <v>879190.95388904249</v>
      </c>
      <c r="H31" s="1">
        <f t="shared" si="6"/>
        <v>1745404.742169997</v>
      </c>
      <c r="I31" s="2">
        <f t="shared" si="7"/>
        <v>139927.58623311974</v>
      </c>
      <c r="J31" s="73">
        <f t="shared" si="8"/>
        <v>277789.79241239012</v>
      </c>
      <c r="K31" s="174"/>
      <c r="L31" s="174"/>
      <c r="M31" s="174"/>
      <c r="N31" s="40"/>
      <c r="O31" s="14"/>
      <c r="P31" s="14"/>
      <c r="Q31" s="14"/>
      <c r="R31" s="14"/>
      <c r="S31" s="51">
        <f>Q30</f>
        <v>278.50218874073516</v>
      </c>
      <c r="T31" s="49" t="s">
        <v>21</v>
      </c>
      <c r="U31" s="50"/>
      <c r="V31" s="174"/>
      <c r="W31" s="174"/>
      <c r="X31" s="174"/>
      <c r="Y31" s="180"/>
      <c r="Z31" s="180"/>
    </row>
    <row r="32" spans="1:26" ht="15.75" thickBot="1" x14ac:dyDescent="0.3">
      <c r="A32" s="174"/>
      <c r="B32" s="174"/>
      <c r="C32" s="174"/>
      <c r="D32" s="28">
        <f t="shared" si="2"/>
        <v>278.50218874073516</v>
      </c>
      <c r="E32" s="29">
        <f t="shared" si="3"/>
        <v>1896.2753912769876</v>
      </c>
      <c r="F32" s="78">
        <f t="shared" si="4"/>
        <v>28274.333882308139</v>
      </c>
      <c r="G32" s="3">
        <f t="shared" si="5"/>
        <v>772782.75860529591</v>
      </c>
      <c r="H32" s="3">
        <f t="shared" si="6"/>
        <v>1534158.9737365767</v>
      </c>
      <c r="I32" s="4">
        <f t="shared" si="7"/>
        <v>122992.19596822376</v>
      </c>
      <c r="J32" s="79">
        <f t="shared" si="8"/>
        <v>244168.98415896544</v>
      </c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1:26" x14ac:dyDescent="0.25"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1:26" x14ac:dyDescent="0.25">
      <c r="K34" s="174"/>
      <c r="L34" s="174"/>
      <c r="M34" s="174"/>
    </row>
    <row r="35" spans="11:26" x14ac:dyDescent="0.25">
      <c r="K35" s="174"/>
      <c r="L35" s="174"/>
      <c r="M35" s="174"/>
    </row>
    <row r="36" spans="11:26" x14ac:dyDescent="0.25">
      <c r="M36" s="174"/>
    </row>
    <row r="37" spans="11:26" x14ac:dyDescent="0.25">
      <c r="M37" s="174"/>
    </row>
    <row r="38" spans="11:26" x14ac:dyDescent="0.25">
      <c r="M38" s="174"/>
    </row>
    <row r="39" spans="11:26" x14ac:dyDescent="0.25">
      <c r="M39" s="174"/>
    </row>
    <row r="40" spans="11:26" x14ac:dyDescent="0.25">
      <c r="M40" s="174"/>
    </row>
  </sheetData>
  <mergeCells count="25">
    <mergeCell ref="B9:E9"/>
    <mergeCell ref="B10:E10"/>
    <mergeCell ref="D14:G14"/>
    <mergeCell ref="H14:L14"/>
    <mergeCell ref="B3:E3"/>
    <mergeCell ref="B4:E4"/>
    <mergeCell ref="B5:E5"/>
    <mergeCell ref="B7:E7"/>
    <mergeCell ref="B8:E8"/>
    <mergeCell ref="B6:E6"/>
    <mergeCell ref="R1:S1"/>
    <mergeCell ref="T1:V1"/>
    <mergeCell ref="X13:Z13"/>
    <mergeCell ref="U2:V2"/>
    <mergeCell ref="U3:V3"/>
    <mergeCell ref="U4:V4"/>
    <mergeCell ref="U5:V5"/>
    <mergeCell ref="U6:V6"/>
    <mergeCell ref="U7:V7"/>
    <mergeCell ref="U8:V8"/>
    <mergeCell ref="U9:V9"/>
    <mergeCell ref="U10:V10"/>
    <mergeCell ref="O13:U13"/>
    <mergeCell ref="B1:E1"/>
    <mergeCell ref="B2:E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LR2_SH1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Goll Roberto</cp:lastModifiedBy>
  <dcterms:created xsi:type="dcterms:W3CDTF">2015-06-05T18:17:20Z</dcterms:created>
  <dcterms:modified xsi:type="dcterms:W3CDTF">2024-02-05T06:12:01Z</dcterms:modified>
</cp:coreProperties>
</file>