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 Osuna\Desktop\Resume &amp; Cover Letter\"/>
    </mc:Choice>
  </mc:AlternateContent>
  <xr:revisionPtr revIDLastSave="0" documentId="13_ncr:1_{8081BFFC-593C-45DF-B9BB-DAD750D64D3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Dashboard" sheetId="3" r:id="rId1"/>
    <sheet name="Rolling Budget and Forecast" sheetId="1" r:id="rId2"/>
    <sheet name="Sensitivity&amp;Scenario Analysis " sheetId="6" r:id="rId3"/>
    <sheet name="2022" sheetId="4" state="hidden" r:id="rId4"/>
    <sheet name="Balance Sheets" sheetId="5" state="hidden" r:id="rId5"/>
  </sheets>
  <externalReferences>
    <externalReference r:id="rId6"/>
    <externalReference r:id="rId7"/>
  </externalReferences>
  <definedNames>
    <definedName name="fdasfdas">'2022'!$B$87</definedName>
    <definedName name="FlightInstructorSalary">'2022'!$B$86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6" l="1"/>
  <c r="E21" i="6"/>
  <c r="C21" i="6"/>
  <c r="D20" i="6"/>
  <c r="E20" i="6"/>
  <c r="C20" i="6"/>
  <c r="F8" i="6"/>
  <c r="L6" i="6"/>
  <c r="K6" i="6" s="1"/>
  <c r="J6" i="6" s="1"/>
  <c r="I9" i="6"/>
  <c r="I8" i="6" s="1"/>
  <c r="I7" i="6" s="1"/>
  <c r="F5" i="6"/>
  <c r="C22" i="6" l="1"/>
  <c r="E22" i="6"/>
  <c r="D22" i="6"/>
  <c r="N6" i="6"/>
  <c r="O6" i="6" s="1"/>
  <c r="P6" i="6" s="1"/>
  <c r="I11" i="6"/>
  <c r="I12" i="6" s="1"/>
  <c r="I13" i="6" s="1"/>
  <c r="C7" i="6" l="1"/>
  <c r="F6" i="6" l="1"/>
  <c r="F7" i="6" s="1"/>
  <c r="F9" i="6" s="1"/>
  <c r="F10" i="6" l="1"/>
  <c r="F11" i="6" s="1"/>
  <c r="I6" i="6" s="1"/>
  <c r="D11" i="1"/>
  <c r="D10" i="1"/>
  <c r="E10" i="1"/>
  <c r="F10" i="1"/>
  <c r="G10" i="1"/>
  <c r="H10" i="1"/>
  <c r="I10" i="1"/>
  <c r="J10" i="1"/>
  <c r="K10" i="1"/>
  <c r="L10" i="1"/>
  <c r="M10" i="1"/>
  <c r="N10" i="1"/>
  <c r="C10" i="1"/>
  <c r="V95" i="1"/>
  <c r="W95" i="1"/>
  <c r="X95" i="1"/>
  <c r="Y95" i="1"/>
  <c r="Z95" i="1"/>
  <c r="AA95" i="1"/>
  <c r="AB95" i="1"/>
  <c r="AC95" i="1"/>
  <c r="AD95" i="1"/>
  <c r="AE95" i="1"/>
  <c r="AF95" i="1"/>
  <c r="AG95" i="1"/>
  <c r="W60" i="1"/>
  <c r="X60" i="1"/>
  <c r="Y60" i="1"/>
  <c r="Z60" i="1"/>
  <c r="AA60" i="1"/>
  <c r="AB60" i="1"/>
  <c r="AC60" i="1"/>
  <c r="AD60" i="1"/>
  <c r="AE60" i="1"/>
  <c r="AF60" i="1"/>
  <c r="AG60" i="1"/>
  <c r="V60" i="1"/>
  <c r="W53" i="1"/>
  <c r="X53" i="1"/>
  <c r="Y53" i="1"/>
  <c r="Z53" i="1"/>
  <c r="AA53" i="1"/>
  <c r="AB53" i="1"/>
  <c r="AC53" i="1"/>
  <c r="AD53" i="1"/>
  <c r="AE53" i="1"/>
  <c r="AF53" i="1"/>
  <c r="AG53" i="1"/>
  <c r="V53" i="1"/>
  <c r="V46" i="1"/>
  <c r="W46" i="1"/>
  <c r="X46" i="1"/>
  <c r="Y46" i="1"/>
  <c r="Z46" i="1"/>
  <c r="AA46" i="1"/>
  <c r="AB46" i="1"/>
  <c r="AC46" i="1"/>
  <c r="AD46" i="1"/>
  <c r="AE46" i="1"/>
  <c r="AF46" i="1"/>
  <c r="AG46" i="1"/>
  <c r="W88" i="1"/>
  <c r="X88" i="1"/>
  <c r="Y88" i="1"/>
  <c r="AE88" i="1"/>
  <c r="Z88" i="1"/>
  <c r="AA88" i="1"/>
  <c r="AB88" i="1"/>
  <c r="AC88" i="1"/>
  <c r="AD88" i="1"/>
  <c r="AF88" i="1"/>
  <c r="AG88" i="1"/>
  <c r="V88" i="1"/>
  <c r="AA81" i="1"/>
  <c r="AB81" i="1"/>
  <c r="AC81" i="1"/>
  <c r="AD81" i="1"/>
  <c r="AE81" i="1"/>
  <c r="AG81" i="1"/>
  <c r="Z81" i="1"/>
  <c r="AF81" i="1"/>
  <c r="Y81" i="1"/>
  <c r="X81" i="1"/>
  <c r="W81" i="1"/>
  <c r="V81" i="1"/>
  <c r="Y74" i="1"/>
  <c r="Z74" i="1"/>
  <c r="AA74" i="1"/>
  <c r="AB74" i="1"/>
  <c r="AC74" i="1"/>
  <c r="AD74" i="1"/>
  <c r="AF74" i="1"/>
  <c r="AG74" i="1"/>
  <c r="X74" i="1"/>
  <c r="AE74" i="1"/>
  <c r="W74" i="1"/>
  <c r="V74" i="1"/>
  <c r="V67" i="1"/>
  <c r="AE67" i="1"/>
  <c r="AG67" i="1"/>
  <c r="W67" i="1"/>
  <c r="Y67" i="1"/>
  <c r="Z67" i="1"/>
  <c r="AC67" i="1"/>
  <c r="AF67" i="1"/>
  <c r="X67" i="1"/>
  <c r="AA67" i="1"/>
  <c r="AD67" i="1"/>
  <c r="AB67" i="1"/>
  <c r="W114" i="1" l="1"/>
  <c r="W113" i="1"/>
  <c r="W112" i="1"/>
  <c r="W111" i="1"/>
  <c r="W110" i="1"/>
  <c r="W109" i="1"/>
  <c r="W108" i="1"/>
  <c r="W107" i="1"/>
  <c r="W106" i="1"/>
  <c r="W105" i="1"/>
  <c r="W104" i="1"/>
  <c r="W103" i="1"/>
  <c r="O10" i="1"/>
  <c r="N11" i="1"/>
  <c r="C11" i="1"/>
  <c r="AG99" i="1"/>
  <c r="AF99" i="1"/>
  <c r="AE99" i="1"/>
  <c r="AD99" i="1"/>
  <c r="AC99" i="1"/>
  <c r="AB99" i="1"/>
  <c r="AA99" i="1"/>
  <c r="Z99" i="1"/>
  <c r="Y99" i="1"/>
  <c r="X99" i="1"/>
  <c r="W99" i="1"/>
  <c r="V99" i="1"/>
  <c r="AG97" i="1"/>
  <c r="AF97" i="1"/>
  <c r="AE97" i="1"/>
  <c r="AD97" i="1"/>
  <c r="AC97" i="1"/>
  <c r="AB97" i="1"/>
  <c r="AA97" i="1"/>
  <c r="Z97" i="1"/>
  <c r="Y97" i="1"/>
  <c r="X97" i="1"/>
  <c r="W97" i="1"/>
  <c r="V97" i="1"/>
  <c r="AK96" i="1"/>
  <c r="AK99" i="1" s="1"/>
  <c r="AJ96" i="1"/>
  <c r="AJ99" i="1" s="1"/>
  <c r="AI96" i="1"/>
  <c r="AI99" i="1" s="1"/>
  <c r="AH96" i="1"/>
  <c r="AK95" i="1"/>
  <c r="AJ95" i="1"/>
  <c r="AI95" i="1"/>
  <c r="AH95" i="1"/>
  <c r="AG92" i="1"/>
  <c r="AF92" i="1"/>
  <c r="AE92" i="1"/>
  <c r="AD92" i="1"/>
  <c r="AC92" i="1"/>
  <c r="AB92" i="1"/>
  <c r="AA92" i="1"/>
  <c r="Z92" i="1"/>
  <c r="Y92" i="1"/>
  <c r="X92" i="1"/>
  <c r="W92" i="1"/>
  <c r="V92" i="1"/>
  <c r="AG90" i="1"/>
  <c r="AF90" i="1"/>
  <c r="AE90" i="1"/>
  <c r="AD90" i="1"/>
  <c r="AC90" i="1"/>
  <c r="AB90" i="1"/>
  <c r="AA90" i="1"/>
  <c r="Z90" i="1"/>
  <c r="Y90" i="1"/>
  <c r="X90" i="1"/>
  <c r="W90" i="1"/>
  <c r="V90" i="1"/>
  <c r="AK89" i="1"/>
  <c r="AK92" i="1" s="1"/>
  <c r="AJ89" i="1"/>
  <c r="AJ92" i="1" s="1"/>
  <c r="AI89" i="1"/>
  <c r="AI92" i="1" s="1"/>
  <c r="AH89" i="1"/>
  <c r="AH92" i="1" s="1"/>
  <c r="AK88" i="1"/>
  <c r="AJ88" i="1"/>
  <c r="AI88" i="1"/>
  <c r="AH88" i="1"/>
  <c r="AG85" i="1"/>
  <c r="AF85" i="1"/>
  <c r="AE85" i="1"/>
  <c r="AD85" i="1"/>
  <c r="AC85" i="1"/>
  <c r="AB85" i="1"/>
  <c r="AA85" i="1"/>
  <c r="Z85" i="1"/>
  <c r="Y85" i="1"/>
  <c r="X85" i="1"/>
  <c r="W85" i="1"/>
  <c r="V85" i="1"/>
  <c r="AG83" i="1"/>
  <c r="AF83" i="1"/>
  <c r="AE83" i="1"/>
  <c r="AD83" i="1"/>
  <c r="AC83" i="1"/>
  <c r="AB83" i="1"/>
  <c r="AA83" i="1"/>
  <c r="Z83" i="1"/>
  <c r="Y83" i="1"/>
  <c r="X83" i="1"/>
  <c r="W83" i="1"/>
  <c r="V83" i="1"/>
  <c r="AK82" i="1"/>
  <c r="AK85" i="1" s="1"/>
  <c r="AJ82" i="1"/>
  <c r="AJ85" i="1" s="1"/>
  <c r="AI82" i="1"/>
  <c r="AI85" i="1" s="1"/>
  <c r="AH82" i="1"/>
  <c r="AH85" i="1" s="1"/>
  <c r="AK81" i="1"/>
  <c r="AJ81" i="1"/>
  <c r="AI81" i="1"/>
  <c r="AH81" i="1"/>
  <c r="AG78" i="1"/>
  <c r="AF78" i="1"/>
  <c r="AE78" i="1"/>
  <c r="AD78" i="1"/>
  <c r="AC78" i="1"/>
  <c r="AB78" i="1"/>
  <c r="AA78" i="1"/>
  <c r="Z78" i="1"/>
  <c r="Y78" i="1"/>
  <c r="X78" i="1"/>
  <c r="W78" i="1"/>
  <c r="V78" i="1"/>
  <c r="AG76" i="1"/>
  <c r="AF76" i="1"/>
  <c r="AE76" i="1"/>
  <c r="AD76" i="1"/>
  <c r="AC76" i="1"/>
  <c r="AB76" i="1"/>
  <c r="AA76" i="1"/>
  <c r="Z76" i="1"/>
  <c r="Y76" i="1"/>
  <c r="X76" i="1"/>
  <c r="W76" i="1"/>
  <c r="V76" i="1"/>
  <c r="AK75" i="1"/>
  <c r="AK78" i="1" s="1"/>
  <c r="AJ75" i="1"/>
  <c r="AJ78" i="1" s="1"/>
  <c r="AI75" i="1"/>
  <c r="AI78" i="1" s="1"/>
  <c r="AH75" i="1"/>
  <c r="AK74" i="1"/>
  <c r="AJ74" i="1"/>
  <c r="AI74" i="1"/>
  <c r="AH74" i="1"/>
  <c r="AG71" i="1"/>
  <c r="AF71" i="1"/>
  <c r="AE71" i="1"/>
  <c r="AD71" i="1"/>
  <c r="AC71" i="1"/>
  <c r="AB71" i="1"/>
  <c r="AA71" i="1"/>
  <c r="Z71" i="1"/>
  <c r="Y71" i="1"/>
  <c r="X71" i="1"/>
  <c r="W71" i="1"/>
  <c r="V71" i="1"/>
  <c r="AG69" i="1"/>
  <c r="AF69" i="1"/>
  <c r="AE69" i="1"/>
  <c r="AD69" i="1"/>
  <c r="AC69" i="1"/>
  <c r="AB69" i="1"/>
  <c r="AA69" i="1"/>
  <c r="Z69" i="1"/>
  <c r="Y69" i="1"/>
  <c r="X69" i="1"/>
  <c r="W69" i="1"/>
  <c r="V69" i="1"/>
  <c r="AK68" i="1"/>
  <c r="AK71" i="1" s="1"/>
  <c r="AJ68" i="1"/>
  <c r="AJ71" i="1" s="1"/>
  <c r="AI68" i="1"/>
  <c r="AI71" i="1" s="1"/>
  <c r="AH68" i="1"/>
  <c r="AH71" i="1" s="1"/>
  <c r="AK67" i="1"/>
  <c r="AJ67" i="1"/>
  <c r="AI67" i="1"/>
  <c r="AH67" i="1"/>
  <c r="AG64" i="1"/>
  <c r="AF64" i="1"/>
  <c r="AE64" i="1"/>
  <c r="AD64" i="1"/>
  <c r="AC64" i="1"/>
  <c r="AB64" i="1"/>
  <c r="AA64" i="1"/>
  <c r="Z64" i="1"/>
  <c r="Y64" i="1"/>
  <c r="X64" i="1"/>
  <c r="W64" i="1"/>
  <c r="V64" i="1"/>
  <c r="AG62" i="1"/>
  <c r="AF62" i="1"/>
  <c r="AE62" i="1"/>
  <c r="AD62" i="1"/>
  <c r="AC62" i="1"/>
  <c r="AB62" i="1"/>
  <c r="AA62" i="1"/>
  <c r="Z62" i="1"/>
  <c r="Y62" i="1"/>
  <c r="X62" i="1"/>
  <c r="W62" i="1"/>
  <c r="V62" i="1"/>
  <c r="AK61" i="1"/>
  <c r="AK64" i="1" s="1"/>
  <c r="AJ61" i="1"/>
  <c r="AJ64" i="1" s="1"/>
  <c r="AI61" i="1"/>
  <c r="AI64" i="1" s="1"/>
  <c r="AH61" i="1"/>
  <c r="AK60" i="1"/>
  <c r="AJ60" i="1"/>
  <c r="AI60" i="1"/>
  <c r="AH60" i="1"/>
  <c r="AG57" i="1"/>
  <c r="AF57" i="1"/>
  <c r="AE57" i="1"/>
  <c r="AD57" i="1"/>
  <c r="AC57" i="1"/>
  <c r="AB57" i="1"/>
  <c r="AA57" i="1"/>
  <c r="Z57" i="1"/>
  <c r="Y57" i="1"/>
  <c r="X57" i="1"/>
  <c r="W57" i="1"/>
  <c r="V57" i="1"/>
  <c r="AG55" i="1"/>
  <c r="AF55" i="1"/>
  <c r="AE55" i="1"/>
  <c r="AD55" i="1"/>
  <c r="AC55" i="1"/>
  <c r="AB55" i="1"/>
  <c r="AA55" i="1"/>
  <c r="Z55" i="1"/>
  <c r="Y55" i="1"/>
  <c r="X55" i="1"/>
  <c r="W55" i="1"/>
  <c r="V55" i="1"/>
  <c r="AK54" i="1"/>
  <c r="AK57" i="1" s="1"/>
  <c r="AJ54" i="1"/>
  <c r="AJ57" i="1" s="1"/>
  <c r="AI54" i="1"/>
  <c r="AI57" i="1" s="1"/>
  <c r="AH54" i="1"/>
  <c r="AH57" i="1" s="1"/>
  <c r="AK53" i="1"/>
  <c r="AJ53" i="1"/>
  <c r="AI53" i="1"/>
  <c r="AH53" i="1"/>
  <c r="AG50" i="1"/>
  <c r="AF50" i="1"/>
  <c r="AE50" i="1"/>
  <c r="AD50" i="1"/>
  <c r="AC50" i="1"/>
  <c r="AB50" i="1"/>
  <c r="AA50" i="1"/>
  <c r="Z50" i="1"/>
  <c r="Y50" i="1"/>
  <c r="X50" i="1"/>
  <c r="W50" i="1"/>
  <c r="V50" i="1"/>
  <c r="AG48" i="1"/>
  <c r="AF48" i="1"/>
  <c r="AE48" i="1"/>
  <c r="AD48" i="1"/>
  <c r="AC48" i="1"/>
  <c r="AB48" i="1"/>
  <c r="AA48" i="1"/>
  <c r="Z48" i="1"/>
  <c r="Y48" i="1"/>
  <c r="X48" i="1"/>
  <c r="W48" i="1"/>
  <c r="V48" i="1"/>
  <c r="AK47" i="1"/>
  <c r="AK50" i="1" s="1"/>
  <c r="AJ47" i="1"/>
  <c r="AJ50" i="1" s="1"/>
  <c r="AI47" i="1"/>
  <c r="AH47" i="1"/>
  <c r="AH50" i="1" s="1"/>
  <c r="AK46" i="1"/>
  <c r="AJ46" i="1"/>
  <c r="AI46" i="1"/>
  <c r="AH46" i="1"/>
  <c r="AF27" i="1"/>
  <c r="Z27" i="1"/>
  <c r="X27" i="1"/>
  <c r="Z20" i="1"/>
  <c r="AG20" i="1"/>
  <c r="AF20" i="1"/>
  <c r="AE20" i="1"/>
  <c r="AD20" i="1"/>
  <c r="AC20" i="1"/>
  <c r="AJ17" i="1"/>
  <c r="AA20" i="1"/>
  <c r="Y20" i="1"/>
  <c r="X20" i="1"/>
  <c r="W20" i="1"/>
  <c r="AH17" i="1"/>
  <c r="I11" i="1"/>
  <c r="J11" i="1"/>
  <c r="K11" i="1"/>
  <c r="L11" i="1"/>
  <c r="M11" i="1"/>
  <c r="I17" i="1"/>
  <c r="J17" i="1"/>
  <c r="K17" i="1"/>
  <c r="L17" i="1"/>
  <c r="M17" i="1"/>
  <c r="N17" i="1"/>
  <c r="I16" i="1"/>
  <c r="J16" i="1"/>
  <c r="K16" i="1"/>
  <c r="L16" i="1"/>
  <c r="M16" i="1"/>
  <c r="N16" i="1"/>
  <c r="I23" i="1"/>
  <c r="J23" i="1"/>
  <c r="K23" i="1"/>
  <c r="L23" i="1"/>
  <c r="M23" i="1"/>
  <c r="N23" i="1"/>
  <c r="AL75" i="1" l="1"/>
  <c r="AL78" i="1" s="1"/>
  <c r="AL95" i="1"/>
  <c r="AL96" i="1"/>
  <c r="AL99" i="1" s="1"/>
  <c r="AL60" i="1"/>
  <c r="K24" i="1"/>
  <c r="K31" i="1" s="1"/>
  <c r="J24" i="1"/>
  <c r="I24" i="1"/>
  <c r="I31" i="1" s="1"/>
  <c r="AL53" i="1"/>
  <c r="N24" i="1"/>
  <c r="M24" i="1"/>
  <c r="AL46" i="1"/>
  <c r="L24" i="1"/>
  <c r="AL81" i="1"/>
  <c r="AJ55" i="1"/>
  <c r="AH76" i="1"/>
  <c r="M31" i="1"/>
  <c r="AJ83" i="1"/>
  <c r="AI48" i="1"/>
  <c r="AJ69" i="1"/>
  <c r="N31" i="1"/>
  <c r="AH97" i="1"/>
  <c r="AJ90" i="1"/>
  <c r="AI90" i="1"/>
  <c r="AL88" i="1"/>
  <c r="AI83" i="1"/>
  <c r="AL74" i="1"/>
  <c r="AH69" i="1"/>
  <c r="AI69" i="1"/>
  <c r="AL61" i="1"/>
  <c r="AL64" i="1" s="1"/>
  <c r="AH62" i="1"/>
  <c r="AI55" i="1"/>
  <c r="AI50" i="1"/>
  <c r="AJ48" i="1"/>
  <c r="AG14" i="1"/>
  <c r="AJ20" i="1"/>
  <c r="Z14" i="1"/>
  <c r="W27" i="1"/>
  <c r="AE27" i="1"/>
  <c r="X34" i="1"/>
  <c r="AA14" i="1"/>
  <c r="AH20" i="1"/>
  <c r="AB14" i="1"/>
  <c r="AJ11" i="1"/>
  <c r="AC14" i="1"/>
  <c r="V14" i="1"/>
  <c r="AH11" i="1"/>
  <c r="AD14" i="1"/>
  <c r="W14" i="1"/>
  <c r="AK11" i="1"/>
  <c r="AE14" i="1"/>
  <c r="AK17" i="1"/>
  <c r="AG27" i="1"/>
  <c r="AL47" i="1"/>
  <c r="AL50" i="1" s="1"/>
  <c r="AK48" i="1"/>
  <c r="AL54" i="1"/>
  <c r="AL57" i="1" s="1"/>
  <c r="AK55" i="1"/>
  <c r="AL68" i="1"/>
  <c r="AL71" i="1" s="1"/>
  <c r="AK69" i="1"/>
  <c r="AL82" i="1"/>
  <c r="AL85" i="1" s="1"/>
  <c r="AK83" i="1"/>
  <c r="AL89" i="1"/>
  <c r="AL92" i="1" s="1"/>
  <c r="AK90" i="1"/>
  <c r="X14" i="1"/>
  <c r="AF14" i="1"/>
  <c r="AB20" i="1"/>
  <c r="AA27" i="1"/>
  <c r="AI62" i="1"/>
  <c r="AH64" i="1"/>
  <c r="AI76" i="1"/>
  <c r="AH78" i="1"/>
  <c r="AI97" i="1"/>
  <c r="AH99" i="1"/>
  <c r="V20" i="1"/>
  <c r="AJ62" i="1"/>
  <c r="AL67" i="1"/>
  <c r="AJ76" i="1"/>
  <c r="AJ97" i="1"/>
  <c r="AC27" i="1"/>
  <c r="AK62" i="1"/>
  <c r="AK76" i="1"/>
  <c r="AK97" i="1"/>
  <c r="AD27" i="1"/>
  <c r="AH48" i="1"/>
  <c r="AH55" i="1"/>
  <c r="AH83" i="1"/>
  <c r="AH90" i="1"/>
  <c r="AI17" i="1"/>
  <c r="J31" i="1" l="1"/>
  <c r="AL62" i="1"/>
  <c r="L31" i="1"/>
  <c r="AL17" i="1"/>
  <c r="AL20" i="1" s="1"/>
  <c r="AL97" i="1"/>
  <c r="AL83" i="1"/>
  <c r="AL76" i="1"/>
  <c r="AL69" i="1"/>
  <c r="AL55" i="1"/>
  <c r="AD34" i="1"/>
  <c r="Y14" i="1"/>
  <c r="AI11" i="1"/>
  <c r="AL11" i="1" s="1"/>
  <c r="W34" i="1"/>
  <c r="AH24" i="1"/>
  <c r="V27" i="1"/>
  <c r="Y27" i="1"/>
  <c r="AI24" i="1"/>
  <c r="AH14" i="1"/>
  <c r="Z34" i="1"/>
  <c r="AK14" i="1"/>
  <c r="AJ14" i="1"/>
  <c r="AG34" i="1"/>
  <c r="AH31" i="1"/>
  <c r="V34" i="1"/>
  <c r="AF34" i="1"/>
  <c r="AE34" i="1"/>
  <c r="AK31" i="1"/>
  <c r="AK24" i="1"/>
  <c r="AJ38" i="1"/>
  <c r="AL48" i="1"/>
  <c r="AI20" i="1"/>
  <c r="AL90" i="1"/>
  <c r="AB27" i="1"/>
  <c r="AJ24" i="1"/>
  <c r="AK20" i="1"/>
  <c r="AK38" i="1" l="1"/>
  <c r="AI38" i="1"/>
  <c r="AI27" i="1"/>
  <c r="AC34" i="1"/>
  <c r="AH38" i="1"/>
  <c r="AH34" i="1"/>
  <c r="AI14" i="1"/>
  <c r="AA34" i="1"/>
  <c r="AK34" i="1"/>
  <c r="AJ31" i="1"/>
  <c r="AB34" i="1"/>
  <c r="AK27" i="1"/>
  <c r="AL24" i="1"/>
  <c r="AL27" i="1" s="1"/>
  <c r="AH27" i="1"/>
  <c r="Y34" i="1"/>
  <c r="AI31" i="1"/>
  <c r="AJ27" i="1"/>
  <c r="AL31" i="1" l="1"/>
  <c r="AL34" i="1" s="1"/>
  <c r="AL38" i="1"/>
  <c r="AI34" i="1"/>
  <c r="AJ34" i="1"/>
  <c r="M102" i="1" l="1"/>
  <c r="I83" i="1"/>
  <c r="J83" i="1"/>
  <c r="K83" i="1"/>
  <c r="L83" i="1"/>
  <c r="M83" i="1"/>
  <c r="C102" i="1"/>
  <c r="D102" i="1"/>
  <c r="E102" i="1"/>
  <c r="F102" i="1"/>
  <c r="G102" i="1"/>
  <c r="H102" i="1"/>
  <c r="I102" i="1"/>
  <c r="J102" i="1"/>
  <c r="K102" i="1"/>
  <c r="L102" i="1"/>
  <c r="N102" i="1"/>
  <c r="D23" i="1"/>
  <c r="E23" i="1"/>
  <c r="F23" i="1"/>
  <c r="G23" i="1"/>
  <c r="G28" i="1" s="1"/>
  <c r="H23" i="1"/>
  <c r="C23" i="1"/>
  <c r="C28" i="1" s="1"/>
  <c r="G44" i="5"/>
  <c r="G21" i="5" s="1"/>
  <c r="F44" i="5"/>
  <c r="F21" i="5" s="1"/>
  <c r="E44" i="5"/>
  <c r="G41" i="5"/>
  <c r="G8" i="5" s="1"/>
  <c r="F41" i="5"/>
  <c r="D34" i="5"/>
  <c r="D26" i="5"/>
  <c r="D28" i="5" s="1"/>
  <c r="D36" i="5" s="1"/>
  <c r="D23" i="5"/>
  <c r="E21" i="5"/>
  <c r="E14" i="5"/>
  <c r="E15" i="5" s="1"/>
  <c r="D14" i="5"/>
  <c r="D15" i="5" s="1"/>
  <c r="D17" i="5" s="1"/>
  <c r="D38" i="5" s="1"/>
  <c r="E13" i="5"/>
  <c r="F13" i="5" s="1"/>
  <c r="D10" i="5"/>
  <c r="F8" i="5"/>
  <c r="B87" i="4"/>
  <c r="B86" i="4"/>
  <c r="C15" i="4" s="1"/>
  <c r="B70" i="4"/>
  <c r="M37" i="4" s="1"/>
  <c r="B69" i="4"/>
  <c r="C38" i="4" s="1"/>
  <c r="B66" i="4"/>
  <c r="B65" i="4"/>
  <c r="B53" i="4"/>
  <c r="I8" i="4" s="1"/>
  <c r="I14" i="4" s="1"/>
  <c r="B52" i="4"/>
  <c r="I7" i="4" s="1"/>
  <c r="B51" i="4"/>
  <c r="J8" i="4" s="1"/>
  <c r="J14" i="4" s="1"/>
  <c r="B50" i="4"/>
  <c r="L7" i="4" s="1"/>
  <c r="B49" i="4"/>
  <c r="M8" i="4" s="1"/>
  <c r="M14" i="4" s="1"/>
  <c r="B48" i="4"/>
  <c r="M7" i="4" s="1"/>
  <c r="N40" i="4"/>
  <c r="N39" i="4"/>
  <c r="M29" i="4"/>
  <c r="L29" i="4"/>
  <c r="K29" i="4"/>
  <c r="J29" i="4"/>
  <c r="I29" i="4"/>
  <c r="H29" i="4"/>
  <c r="G29" i="4"/>
  <c r="F29" i="4"/>
  <c r="E29" i="4"/>
  <c r="D29" i="4"/>
  <c r="C29" i="4"/>
  <c r="B29" i="4"/>
  <c r="N28" i="4"/>
  <c r="N27" i="4"/>
  <c r="N26" i="4"/>
  <c r="N25" i="4"/>
  <c r="N24" i="4"/>
  <c r="N23" i="4"/>
  <c r="N22" i="4"/>
  <c r="E15" i="4"/>
  <c r="D15" i="4"/>
  <c r="D7" i="4"/>
  <c r="C7" i="4"/>
  <c r="J12" i="3"/>
  <c r="G11" i="3"/>
  <c r="G7" i="4" l="1"/>
  <c r="D28" i="1"/>
  <c r="E28" i="1"/>
  <c r="F24" i="1"/>
  <c r="F28" i="1"/>
  <c r="C24" i="1"/>
  <c r="E24" i="1"/>
  <c r="G24" i="1"/>
  <c r="H24" i="1"/>
  <c r="H28" i="1"/>
  <c r="D24" i="1"/>
  <c r="V23" i="1" s="1"/>
  <c r="J28" i="1"/>
  <c r="K28" i="1"/>
  <c r="I28" i="1"/>
  <c r="N28" i="1"/>
  <c r="M28" i="1"/>
  <c r="L28" i="1"/>
  <c r="C101" i="1"/>
  <c r="F8" i="4"/>
  <c r="K8" i="4"/>
  <c r="K14" i="4" s="1"/>
  <c r="L8" i="4"/>
  <c r="L14" i="4" s="1"/>
  <c r="B7" i="4"/>
  <c r="H7" i="4"/>
  <c r="H10" i="4" s="1"/>
  <c r="B8" i="4"/>
  <c r="B14" i="4" s="1"/>
  <c r="C8" i="4"/>
  <c r="C10" i="4" s="1"/>
  <c r="D8" i="4"/>
  <c r="D14" i="4" s="1"/>
  <c r="E8" i="4"/>
  <c r="E14" i="4" s="1"/>
  <c r="L10" i="4"/>
  <c r="H8" i="4"/>
  <c r="H14" i="4" s="1"/>
  <c r="G8" i="4"/>
  <c r="M10" i="4"/>
  <c r="M11" i="4" s="1"/>
  <c r="E7" i="4"/>
  <c r="E10" i="4" s="1"/>
  <c r="E16" i="4" s="1"/>
  <c r="N29" i="4"/>
  <c r="F7" i="4"/>
  <c r="F10" i="4" s="1"/>
  <c r="I10" i="4"/>
  <c r="J7" i="4"/>
  <c r="J10" i="4" s="1"/>
  <c r="J11" i="4" s="1"/>
  <c r="K7" i="4"/>
  <c r="G13" i="5"/>
  <c r="G14" i="5" s="1"/>
  <c r="G15" i="5" s="1"/>
  <c r="F14" i="5"/>
  <c r="F15" i="5" s="1"/>
  <c r="G38" i="4"/>
  <c r="H38" i="4"/>
  <c r="B37" i="4"/>
  <c r="I38" i="4"/>
  <c r="I15" i="4"/>
  <c r="J15" i="4"/>
  <c r="C37" i="4"/>
  <c r="C41" i="4" s="1"/>
  <c r="J38" i="4"/>
  <c r="K15" i="4"/>
  <c r="D37" i="4"/>
  <c r="K38" i="4"/>
  <c r="E38" i="4"/>
  <c r="F38" i="4"/>
  <c r="H15" i="4"/>
  <c r="L15" i="4"/>
  <c r="E37" i="4"/>
  <c r="E41" i="4" s="1"/>
  <c r="L38" i="4"/>
  <c r="F14" i="4"/>
  <c r="M15" i="4"/>
  <c r="F37" i="4"/>
  <c r="F41" i="4" s="1"/>
  <c r="M38" i="4"/>
  <c r="M41" i="4" s="1"/>
  <c r="N38" i="1" s="1"/>
  <c r="G37" i="4"/>
  <c r="F15" i="4"/>
  <c r="G15" i="4"/>
  <c r="H37" i="4"/>
  <c r="I37" i="4"/>
  <c r="J37" i="4"/>
  <c r="D38" i="4"/>
  <c r="K37" i="4"/>
  <c r="L37" i="4"/>
  <c r="B15" i="4"/>
  <c r="B38" i="4"/>
  <c r="G10" i="4" l="1"/>
  <c r="H11" i="4" s="1"/>
  <c r="G14" i="4"/>
  <c r="K10" i="4"/>
  <c r="K16" i="4" s="1"/>
  <c r="F11" i="4"/>
  <c r="M16" i="4"/>
  <c r="M31" i="4" s="1"/>
  <c r="N30" i="1" s="1"/>
  <c r="D10" i="4"/>
  <c r="D16" i="4" s="1"/>
  <c r="D31" i="4" s="1"/>
  <c r="E30" i="1" s="1"/>
  <c r="AE23" i="1"/>
  <c r="AF23" i="1"/>
  <c r="AF25" i="1" s="1"/>
  <c r="Y23" i="1"/>
  <c r="Z23" i="1"/>
  <c r="Z25" i="1" s="1"/>
  <c r="AB23" i="1"/>
  <c r="AG23" i="1"/>
  <c r="AG25" i="1" s="1"/>
  <c r="X23" i="1"/>
  <c r="X25" i="1" s="1"/>
  <c r="AA23" i="1"/>
  <c r="AA25" i="1" s="1"/>
  <c r="AC23" i="1"/>
  <c r="AC25" i="1" s="1"/>
  <c r="W23" i="1"/>
  <c r="W25" i="1" s="1"/>
  <c r="AD23" i="1"/>
  <c r="AD25" i="1" s="1"/>
  <c r="R38" i="1"/>
  <c r="D101" i="1"/>
  <c r="G11" i="4"/>
  <c r="H16" i="4"/>
  <c r="B10" i="4"/>
  <c r="C11" i="4" s="1"/>
  <c r="N8" i="4"/>
  <c r="N14" i="4" s="1"/>
  <c r="C14" i="4"/>
  <c r="C16" i="4" s="1"/>
  <c r="C17" i="4" s="1"/>
  <c r="K11" i="4"/>
  <c r="G41" i="4"/>
  <c r="L11" i="4"/>
  <c r="I11" i="4"/>
  <c r="L16" i="4"/>
  <c r="M18" i="4" s="1"/>
  <c r="K41" i="4"/>
  <c r="L38" i="1" s="1"/>
  <c r="D11" i="4"/>
  <c r="G16" i="4"/>
  <c r="H18" i="4" s="1"/>
  <c r="F16" i="4"/>
  <c r="F31" i="4" s="1"/>
  <c r="G30" i="1" s="1"/>
  <c r="J41" i="4"/>
  <c r="K38" i="1" s="1"/>
  <c r="E11" i="4"/>
  <c r="N7" i="4"/>
  <c r="I16" i="4"/>
  <c r="I31" i="4" s="1"/>
  <c r="J30" i="1" s="1"/>
  <c r="J16" i="4"/>
  <c r="H31" i="4"/>
  <c r="I30" i="1" s="1"/>
  <c r="H17" i="4"/>
  <c r="K31" i="4"/>
  <c r="L30" i="1" s="1"/>
  <c r="K17" i="4"/>
  <c r="L31" i="4"/>
  <c r="M30" i="1" s="1"/>
  <c r="L17" i="4"/>
  <c r="L18" i="4"/>
  <c r="N38" i="4"/>
  <c r="L41" i="4"/>
  <c r="M38" i="1" s="1"/>
  <c r="D41" i="4"/>
  <c r="N10" i="4"/>
  <c r="B16" i="4"/>
  <c r="D18" i="4"/>
  <c r="D17" i="4"/>
  <c r="E18" i="4"/>
  <c r="E31" i="4"/>
  <c r="F30" i="1" s="1"/>
  <c r="E17" i="4"/>
  <c r="I41" i="4"/>
  <c r="J38" i="1" s="1"/>
  <c r="N15" i="4"/>
  <c r="N37" i="4"/>
  <c r="B41" i="4"/>
  <c r="H41" i="4"/>
  <c r="I38" i="1" s="1"/>
  <c r="R96" i="1"/>
  <c r="R99" i="1" s="1"/>
  <c r="Q96" i="1"/>
  <c r="Q99" i="1" s="1"/>
  <c r="P96" i="1"/>
  <c r="P99" i="1" s="1"/>
  <c r="O96" i="1"/>
  <c r="O99" i="1" s="1"/>
  <c r="O95" i="1"/>
  <c r="R89" i="1"/>
  <c r="R92" i="1" s="1"/>
  <c r="Q89" i="1"/>
  <c r="P89" i="1"/>
  <c r="P92" i="1" s="1"/>
  <c r="O89" i="1"/>
  <c r="R88" i="1"/>
  <c r="Q88" i="1"/>
  <c r="P88" i="1"/>
  <c r="O88" i="1"/>
  <c r="R82" i="1"/>
  <c r="Q82" i="1"/>
  <c r="P82" i="1"/>
  <c r="O82" i="1"/>
  <c r="R81" i="1"/>
  <c r="Q81" i="1"/>
  <c r="P81" i="1"/>
  <c r="R75" i="1"/>
  <c r="Q75" i="1"/>
  <c r="P75" i="1"/>
  <c r="O75" i="1"/>
  <c r="R74" i="1"/>
  <c r="Q74" i="1"/>
  <c r="P74" i="1"/>
  <c r="R68" i="1"/>
  <c r="Q68" i="1"/>
  <c r="P68" i="1"/>
  <c r="O68" i="1"/>
  <c r="R67" i="1"/>
  <c r="Q67" i="1"/>
  <c r="P67" i="1"/>
  <c r="O67" i="1"/>
  <c r="R61" i="1"/>
  <c r="Q61" i="1"/>
  <c r="P61" i="1"/>
  <c r="O61" i="1"/>
  <c r="R60" i="1"/>
  <c r="Q60" i="1"/>
  <c r="P60" i="1"/>
  <c r="R54" i="1"/>
  <c r="Q54" i="1"/>
  <c r="P54" i="1"/>
  <c r="O54" i="1"/>
  <c r="R47" i="1"/>
  <c r="Q47" i="1"/>
  <c r="P47" i="1"/>
  <c r="O47" i="1"/>
  <c r="R31" i="1"/>
  <c r="Q31" i="1"/>
  <c r="N99" i="1"/>
  <c r="M99" i="1"/>
  <c r="L99" i="1"/>
  <c r="K99" i="1"/>
  <c r="J99" i="1"/>
  <c r="I99" i="1"/>
  <c r="H99" i="1"/>
  <c r="G99" i="1"/>
  <c r="F99" i="1"/>
  <c r="E99" i="1"/>
  <c r="D99" i="1"/>
  <c r="C99" i="1"/>
  <c r="E97" i="1"/>
  <c r="D97" i="1"/>
  <c r="C97" i="1"/>
  <c r="N92" i="1"/>
  <c r="M92" i="1"/>
  <c r="L92" i="1"/>
  <c r="K92" i="1"/>
  <c r="J92" i="1"/>
  <c r="I92" i="1"/>
  <c r="H92" i="1"/>
  <c r="G92" i="1"/>
  <c r="F92" i="1"/>
  <c r="E92" i="1"/>
  <c r="D92" i="1"/>
  <c r="C92" i="1"/>
  <c r="N90" i="1"/>
  <c r="M90" i="1"/>
  <c r="L90" i="1"/>
  <c r="K90" i="1"/>
  <c r="J90" i="1"/>
  <c r="I90" i="1"/>
  <c r="H90" i="1"/>
  <c r="G90" i="1"/>
  <c r="F90" i="1"/>
  <c r="E90" i="1"/>
  <c r="D90" i="1"/>
  <c r="C90" i="1"/>
  <c r="Q38" i="1" l="1"/>
  <c r="P30" i="1"/>
  <c r="R30" i="1"/>
  <c r="G18" i="4"/>
  <c r="G17" i="4"/>
  <c r="M17" i="4"/>
  <c r="I39" i="1"/>
  <c r="G31" i="4"/>
  <c r="H30" i="1" s="1"/>
  <c r="C31" i="4"/>
  <c r="D30" i="1" s="1"/>
  <c r="K18" i="4"/>
  <c r="AH23" i="1"/>
  <c r="V25" i="1"/>
  <c r="AB25" i="1"/>
  <c r="AJ23" i="1"/>
  <c r="AJ25" i="1" s="1"/>
  <c r="Y25" i="1"/>
  <c r="AI23" i="1"/>
  <c r="AI25" i="1" s="1"/>
  <c r="AK23" i="1"/>
  <c r="AK25" i="1" s="1"/>
  <c r="AE25" i="1"/>
  <c r="S61" i="1"/>
  <c r="S54" i="1"/>
  <c r="R90" i="1"/>
  <c r="E101" i="1"/>
  <c r="O90" i="1"/>
  <c r="I17" i="4"/>
  <c r="I18" i="4"/>
  <c r="J17" i="4"/>
  <c r="N16" i="4"/>
  <c r="N31" i="4" s="1"/>
  <c r="F18" i="4"/>
  <c r="F17" i="4"/>
  <c r="J18" i="4"/>
  <c r="J31" i="4"/>
  <c r="K43" i="4"/>
  <c r="K44" i="4" s="1"/>
  <c r="L37" i="1" s="1"/>
  <c r="R37" i="1" s="1"/>
  <c r="R39" i="1" s="1"/>
  <c r="K32" i="4"/>
  <c r="B31" i="4"/>
  <c r="C30" i="1" s="1"/>
  <c r="O30" i="1" s="1"/>
  <c r="B17" i="4"/>
  <c r="H43" i="4"/>
  <c r="H32" i="4"/>
  <c r="H44" i="4"/>
  <c r="I37" i="1" s="1"/>
  <c r="F33" i="4"/>
  <c r="F43" i="4"/>
  <c r="F44" i="4"/>
  <c r="G37" i="1" s="1"/>
  <c r="M12" i="3" s="1"/>
  <c r="F32" i="4"/>
  <c r="D32" i="4"/>
  <c r="D43" i="4"/>
  <c r="D44" i="4" s="1"/>
  <c r="E37" i="1" s="1"/>
  <c r="G33" i="4"/>
  <c r="G43" i="4"/>
  <c r="G44" i="4" s="1"/>
  <c r="H37" i="1" s="1"/>
  <c r="G32" i="4"/>
  <c r="I33" i="4"/>
  <c r="I43" i="4"/>
  <c r="I32" i="4"/>
  <c r="I44" i="4"/>
  <c r="J37" i="1" s="1"/>
  <c r="J39" i="1" s="1"/>
  <c r="L43" i="4"/>
  <c r="L44" i="4" s="1"/>
  <c r="M37" i="1" s="1"/>
  <c r="M39" i="1" s="1"/>
  <c r="L33" i="4"/>
  <c r="L32" i="4"/>
  <c r="M43" i="4"/>
  <c r="M44" i="4" s="1"/>
  <c r="N37" i="1" s="1"/>
  <c r="N39" i="1" s="1"/>
  <c r="M32" i="4"/>
  <c r="M33" i="4"/>
  <c r="N41" i="4"/>
  <c r="E33" i="4"/>
  <c r="E32" i="4"/>
  <c r="E43" i="4"/>
  <c r="E44" i="4" s="1"/>
  <c r="F37" i="1" s="1"/>
  <c r="C18" i="4"/>
  <c r="O97" i="1"/>
  <c r="P83" i="1"/>
  <c r="P76" i="1"/>
  <c r="O69" i="1"/>
  <c r="R83" i="1"/>
  <c r="S89" i="1"/>
  <c r="S47" i="1"/>
  <c r="P69" i="1"/>
  <c r="Q69" i="1"/>
  <c r="R69" i="1"/>
  <c r="R32" i="1"/>
  <c r="Q90" i="1"/>
  <c r="S75" i="1"/>
  <c r="S82" i="1"/>
  <c r="Q92" i="1"/>
  <c r="R62" i="1"/>
  <c r="Q76" i="1"/>
  <c r="R76" i="1"/>
  <c r="P62" i="1"/>
  <c r="Q62" i="1"/>
  <c r="S67" i="1"/>
  <c r="Q83" i="1"/>
  <c r="S96" i="1"/>
  <c r="S99" i="1" s="1"/>
  <c r="S88" i="1"/>
  <c r="P90" i="1"/>
  <c r="O92" i="1"/>
  <c r="S68" i="1"/>
  <c r="K33" i="4" l="1"/>
  <c r="K30" i="1"/>
  <c r="Q30" i="1" s="1"/>
  <c r="Q32" i="1" s="1"/>
  <c r="P37" i="1"/>
  <c r="N17" i="4"/>
  <c r="C43" i="4"/>
  <c r="C44" i="4" s="1"/>
  <c r="D37" i="1" s="1"/>
  <c r="L39" i="1"/>
  <c r="D33" i="4"/>
  <c r="C32" i="4"/>
  <c r="H33" i="4"/>
  <c r="AL23" i="1"/>
  <c r="AH25" i="1"/>
  <c r="AL25" i="1" s="1"/>
  <c r="F101" i="1"/>
  <c r="F97" i="1"/>
  <c r="S30" i="1"/>
  <c r="J33" i="4"/>
  <c r="J32" i="4"/>
  <c r="J43" i="4"/>
  <c r="J44" i="4" s="1"/>
  <c r="K37" i="1" s="1"/>
  <c r="K39" i="1" s="1"/>
  <c r="C33" i="4"/>
  <c r="B32" i="4"/>
  <c r="B43" i="4"/>
  <c r="B44" i="4" s="1"/>
  <c r="C37" i="1" s="1"/>
  <c r="O37" i="1" s="1"/>
  <c r="N43" i="4"/>
  <c r="N44" i="4" s="1"/>
  <c r="N32" i="4"/>
  <c r="S69" i="1"/>
  <c r="S90" i="1"/>
  <c r="S92" i="1"/>
  <c r="Q37" i="1" l="1"/>
  <c r="Q39" i="1" s="1"/>
  <c r="G101" i="1"/>
  <c r="G97" i="1"/>
  <c r="E12" i="3"/>
  <c r="B11" i="3"/>
  <c r="S37" i="1" l="1"/>
  <c r="H101" i="1"/>
  <c r="H97" i="1"/>
  <c r="P95" i="1"/>
  <c r="O24" i="1"/>
  <c r="O27" i="1" s="1"/>
  <c r="P24" i="1"/>
  <c r="P27" i="1" s="1"/>
  <c r="Q24" i="1"/>
  <c r="Q27" i="1" s="1"/>
  <c r="R24" i="1"/>
  <c r="R27" i="1" s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C85" i="1"/>
  <c r="E83" i="1"/>
  <c r="F83" i="1"/>
  <c r="G83" i="1"/>
  <c r="H83" i="1"/>
  <c r="N83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C78" i="1"/>
  <c r="D76" i="1"/>
  <c r="E76" i="1"/>
  <c r="F76" i="1"/>
  <c r="G76" i="1"/>
  <c r="H76" i="1"/>
  <c r="I76" i="1"/>
  <c r="J76" i="1"/>
  <c r="K76" i="1"/>
  <c r="L76" i="1"/>
  <c r="M76" i="1"/>
  <c r="N76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C71" i="1"/>
  <c r="D69" i="1"/>
  <c r="E69" i="1"/>
  <c r="F69" i="1"/>
  <c r="G69" i="1"/>
  <c r="H69" i="1"/>
  <c r="I69" i="1"/>
  <c r="J69" i="1"/>
  <c r="K69" i="1"/>
  <c r="L69" i="1"/>
  <c r="M69" i="1"/>
  <c r="N69" i="1"/>
  <c r="C69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C64" i="1"/>
  <c r="D62" i="1"/>
  <c r="E62" i="1"/>
  <c r="F62" i="1"/>
  <c r="G62" i="1"/>
  <c r="H62" i="1"/>
  <c r="I62" i="1"/>
  <c r="J62" i="1"/>
  <c r="K62" i="1"/>
  <c r="L62" i="1"/>
  <c r="M62" i="1"/>
  <c r="N62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C57" i="1"/>
  <c r="D55" i="1"/>
  <c r="F55" i="1"/>
  <c r="H55" i="1"/>
  <c r="J55" i="1"/>
  <c r="L55" i="1"/>
  <c r="N55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C50" i="1"/>
  <c r="I34" i="1"/>
  <c r="J34" i="1"/>
  <c r="K34" i="1"/>
  <c r="L34" i="1"/>
  <c r="M34" i="1"/>
  <c r="N34" i="1"/>
  <c r="Q34" i="1"/>
  <c r="R34" i="1"/>
  <c r="I32" i="1"/>
  <c r="J32" i="1"/>
  <c r="K32" i="1"/>
  <c r="L32" i="1"/>
  <c r="M32" i="1"/>
  <c r="N32" i="1"/>
  <c r="D27" i="1"/>
  <c r="E27" i="1"/>
  <c r="F27" i="1"/>
  <c r="G27" i="1"/>
  <c r="H27" i="1"/>
  <c r="I27" i="1"/>
  <c r="J27" i="1"/>
  <c r="K27" i="1"/>
  <c r="L27" i="1"/>
  <c r="M27" i="1"/>
  <c r="N27" i="1"/>
  <c r="C27" i="1"/>
  <c r="P97" i="1" l="1"/>
  <c r="I101" i="1"/>
  <c r="I97" i="1"/>
  <c r="S24" i="1"/>
  <c r="S27" i="1" s="1"/>
  <c r="H11" i="1"/>
  <c r="J101" i="1" l="1"/>
  <c r="J97" i="1"/>
  <c r="I14" i="1"/>
  <c r="R11" i="1"/>
  <c r="R10" i="1"/>
  <c r="E16" i="1"/>
  <c r="H16" i="1"/>
  <c r="D16" i="1"/>
  <c r="G16" i="1"/>
  <c r="J17" i="3" s="1"/>
  <c r="C16" i="1"/>
  <c r="F16" i="1"/>
  <c r="K25" i="1"/>
  <c r="H25" i="1"/>
  <c r="D25" i="1"/>
  <c r="G25" i="1"/>
  <c r="J25" i="1"/>
  <c r="N25" i="1"/>
  <c r="N12" i="1"/>
  <c r="N14" i="1"/>
  <c r="M12" i="1"/>
  <c r="M14" i="1"/>
  <c r="H12" i="1"/>
  <c r="H14" i="1"/>
  <c r="L12" i="1"/>
  <c r="L14" i="1"/>
  <c r="Y16" i="1" l="1"/>
  <c r="X16" i="1"/>
  <c r="X18" i="1" s="1"/>
  <c r="AC16" i="1"/>
  <c r="AC18" i="1" s="1"/>
  <c r="AA16" i="1"/>
  <c r="AA18" i="1" s="1"/>
  <c r="Z16" i="1"/>
  <c r="Z18" i="1" s="1"/>
  <c r="W16" i="1"/>
  <c r="W18" i="1" s="1"/>
  <c r="V16" i="1"/>
  <c r="AD16" i="1"/>
  <c r="AD18" i="1" s="1"/>
  <c r="AB16" i="1"/>
  <c r="AB18" i="1" s="1"/>
  <c r="AG16" i="1"/>
  <c r="AG18" i="1" s="1"/>
  <c r="AF16" i="1"/>
  <c r="AF18" i="1" s="1"/>
  <c r="AE16" i="1"/>
  <c r="AE18" i="1" s="1"/>
  <c r="P16" i="1"/>
  <c r="G11" i="1"/>
  <c r="E17" i="3"/>
  <c r="K101" i="1"/>
  <c r="K97" i="1"/>
  <c r="Q95" i="1"/>
  <c r="E11" i="1"/>
  <c r="AG10" i="1" s="1"/>
  <c r="H7" i="3"/>
  <c r="M7" i="3" a="1"/>
  <c r="M7" i="3" s="1"/>
  <c r="C7" i="3"/>
  <c r="Q16" i="1"/>
  <c r="E7" i="3"/>
  <c r="R16" i="1"/>
  <c r="I12" i="1"/>
  <c r="Q17" i="1"/>
  <c r="Q20" i="1" s="1"/>
  <c r="O16" i="1"/>
  <c r="I25" i="1"/>
  <c r="Q23" i="1"/>
  <c r="Q25" i="1" s="1"/>
  <c r="L25" i="1"/>
  <c r="R14" i="1"/>
  <c r="R12" i="1"/>
  <c r="F25" i="1"/>
  <c r="P23" i="1"/>
  <c r="P25" i="1" s="1"/>
  <c r="Q10" i="1"/>
  <c r="F11" i="1"/>
  <c r="P10" i="1"/>
  <c r="I18" i="1"/>
  <c r="Q11" i="1"/>
  <c r="Q14" i="1" s="1"/>
  <c r="M25" i="1"/>
  <c r="D17" i="1"/>
  <c r="D20" i="1" s="1"/>
  <c r="F17" i="1"/>
  <c r="L17" i="3" s="1"/>
  <c r="G17" i="1"/>
  <c r="N20" i="1"/>
  <c r="C17" i="1"/>
  <c r="H17" i="1"/>
  <c r="E17" i="1"/>
  <c r="E18" i="1" s="1"/>
  <c r="I20" i="1"/>
  <c r="M20" i="1"/>
  <c r="M18" i="1"/>
  <c r="K20" i="1"/>
  <c r="K18" i="1"/>
  <c r="L18" i="1"/>
  <c r="L20" i="1"/>
  <c r="J18" i="1"/>
  <c r="J20" i="1"/>
  <c r="G12" i="1"/>
  <c r="G14" i="1"/>
  <c r="J12" i="1"/>
  <c r="J14" i="1"/>
  <c r="K12" i="1"/>
  <c r="K14" i="1"/>
  <c r="D12" i="1"/>
  <c r="D14" i="1"/>
  <c r="AI16" i="1" l="1"/>
  <c r="AH16" i="1"/>
  <c r="AH18" i="1" s="1"/>
  <c r="X10" i="1"/>
  <c r="X12" i="1" s="1"/>
  <c r="Z10" i="1"/>
  <c r="V10" i="1"/>
  <c r="AA10" i="1"/>
  <c r="Y18" i="1"/>
  <c r="Y10" i="1"/>
  <c r="V18" i="1"/>
  <c r="AC10" i="1"/>
  <c r="AJ16" i="1"/>
  <c r="AJ18" i="1" s="1"/>
  <c r="AD10" i="1"/>
  <c r="AE10" i="1"/>
  <c r="AF10" i="1"/>
  <c r="W10" i="1"/>
  <c r="W12" i="1" s="1"/>
  <c r="AB10" i="1"/>
  <c r="AK16" i="1"/>
  <c r="AK18" i="1" s="1"/>
  <c r="Y12" i="1"/>
  <c r="Z12" i="1"/>
  <c r="AI18" i="1"/>
  <c r="AL18" i="1" s="1"/>
  <c r="P11" i="1"/>
  <c r="P12" i="1" s="1"/>
  <c r="F31" i="1"/>
  <c r="G17" i="3"/>
  <c r="F38" i="1"/>
  <c r="E12" i="1"/>
  <c r="E38" i="1"/>
  <c r="E39" i="1" s="1"/>
  <c r="E31" i="1"/>
  <c r="J7" i="3"/>
  <c r="C31" i="1"/>
  <c r="C38" i="1"/>
  <c r="G18" i="1"/>
  <c r="I16" i="3"/>
  <c r="G31" i="1"/>
  <c r="L6" i="3" s="1"/>
  <c r="G38" i="1"/>
  <c r="D16" i="3"/>
  <c r="D31" i="1"/>
  <c r="H18" i="1"/>
  <c r="H38" i="1"/>
  <c r="H39" i="1" s="1"/>
  <c r="H31" i="1"/>
  <c r="D38" i="1"/>
  <c r="Q97" i="1"/>
  <c r="L101" i="1"/>
  <c r="L97" i="1"/>
  <c r="S16" i="1"/>
  <c r="Q18" i="1"/>
  <c r="O11" i="1"/>
  <c r="E14" i="1"/>
  <c r="E25" i="1"/>
  <c r="C12" i="3"/>
  <c r="N18" i="1"/>
  <c r="G20" i="1"/>
  <c r="R23" i="1"/>
  <c r="R25" i="1" s="1"/>
  <c r="B6" i="3"/>
  <c r="G6" i="3"/>
  <c r="Q12" i="1"/>
  <c r="F14" i="1"/>
  <c r="C18" i="1"/>
  <c r="O17" i="1"/>
  <c r="F12" i="1"/>
  <c r="C25" i="1"/>
  <c r="O23" i="1"/>
  <c r="R17" i="1"/>
  <c r="S10" i="1"/>
  <c r="F18" i="1"/>
  <c r="P17" i="1"/>
  <c r="C20" i="1"/>
  <c r="C12" i="1"/>
  <c r="C14" i="1"/>
  <c r="H20" i="1"/>
  <c r="F20" i="1"/>
  <c r="D18" i="1"/>
  <c r="E20" i="1"/>
  <c r="AL16" i="1" l="1"/>
  <c r="D39" i="1"/>
  <c r="AF37" i="1"/>
  <c r="AF39" i="1" s="1"/>
  <c r="AG37" i="1"/>
  <c r="AG39" i="1" s="1"/>
  <c r="X37" i="1"/>
  <c r="X39" i="1" s="1"/>
  <c r="AD37" i="1"/>
  <c r="AD39" i="1" s="1"/>
  <c r="Y37" i="1"/>
  <c r="V37" i="1"/>
  <c r="Z37" i="1"/>
  <c r="Z39" i="1" s="1"/>
  <c r="W37" i="1"/>
  <c r="W39" i="1" s="1"/>
  <c r="AA37" i="1"/>
  <c r="AA39" i="1" s="1"/>
  <c r="AC37" i="1"/>
  <c r="AC39" i="1" s="1"/>
  <c r="AB37" i="1"/>
  <c r="AE37" i="1"/>
  <c r="S11" i="1"/>
  <c r="AD30" i="1"/>
  <c r="AD32" i="1" s="1"/>
  <c r="W30" i="1"/>
  <c r="W32" i="1" s="1"/>
  <c r="AC30" i="1"/>
  <c r="AC32" i="1" s="1"/>
  <c r="AE30" i="1"/>
  <c r="Z30" i="1"/>
  <c r="Z32" i="1" s="1"/>
  <c r="AF30" i="1"/>
  <c r="AF32" i="1" s="1"/>
  <c r="X30" i="1"/>
  <c r="X32" i="1" s="1"/>
  <c r="AG30" i="1"/>
  <c r="AG32" i="1" s="1"/>
  <c r="AB30" i="1"/>
  <c r="V30" i="1"/>
  <c r="AA30" i="1"/>
  <c r="AA32" i="1" s="1"/>
  <c r="Y30" i="1"/>
  <c r="P14" i="1"/>
  <c r="AA12" i="1"/>
  <c r="AI10" i="1"/>
  <c r="AI12" i="1" s="1"/>
  <c r="AB12" i="1"/>
  <c r="AJ10" i="1"/>
  <c r="AJ12" i="1" s="1"/>
  <c r="AC12" i="1"/>
  <c r="AD12" i="1"/>
  <c r="AK10" i="1"/>
  <c r="AK12" i="1" s="1"/>
  <c r="AE12" i="1"/>
  <c r="AF12" i="1"/>
  <c r="AG12" i="1"/>
  <c r="O12" i="1"/>
  <c r="S12" i="1" s="1"/>
  <c r="O14" i="1"/>
  <c r="S14" i="1"/>
  <c r="AL14" i="1"/>
  <c r="E34" i="1"/>
  <c r="E32" i="1"/>
  <c r="L11" i="3"/>
  <c r="G39" i="1"/>
  <c r="D34" i="1"/>
  <c r="D32" i="1"/>
  <c r="G34" i="1"/>
  <c r="G32" i="1"/>
  <c r="P38" i="1"/>
  <c r="P39" i="1" s="1"/>
  <c r="O12" i="3"/>
  <c r="F39" i="1"/>
  <c r="O38" i="1"/>
  <c r="C39" i="1"/>
  <c r="P31" i="1"/>
  <c r="F34" i="1"/>
  <c r="F32" i="1"/>
  <c r="O7" i="3"/>
  <c r="H34" i="1"/>
  <c r="H32" i="1"/>
  <c r="O31" i="1"/>
  <c r="C34" i="1"/>
  <c r="C32" i="1"/>
  <c r="M101" i="1"/>
  <c r="M97" i="1"/>
  <c r="S23" i="1"/>
  <c r="O25" i="1"/>
  <c r="S25" i="1" s="1"/>
  <c r="P18" i="1"/>
  <c r="P20" i="1"/>
  <c r="R18" i="1"/>
  <c r="R20" i="1"/>
  <c r="O18" i="1"/>
  <c r="S17" i="1"/>
  <c r="S20" i="1" s="1"/>
  <c r="O20" i="1"/>
  <c r="AK37" i="1" l="1"/>
  <c r="AK39" i="1" s="1"/>
  <c r="AE39" i="1"/>
  <c r="AJ37" i="1"/>
  <c r="AJ39" i="1" s="1"/>
  <c r="AB39" i="1"/>
  <c r="AH37" i="1"/>
  <c r="V39" i="1"/>
  <c r="AI37" i="1"/>
  <c r="AI39" i="1" s="1"/>
  <c r="Y39" i="1"/>
  <c r="AI30" i="1"/>
  <c r="AI32" i="1" s="1"/>
  <c r="Y32" i="1"/>
  <c r="AK30" i="1"/>
  <c r="AK32" i="1" s="1"/>
  <c r="AE32" i="1"/>
  <c r="AH30" i="1"/>
  <c r="V32" i="1"/>
  <c r="AJ30" i="1"/>
  <c r="AJ32" i="1" s="1"/>
  <c r="AB32" i="1"/>
  <c r="P32" i="1"/>
  <c r="P34" i="1"/>
  <c r="S31" i="1"/>
  <c r="S34" i="1" s="1"/>
  <c r="O32" i="1"/>
  <c r="S32" i="1" s="1"/>
  <c r="O34" i="1"/>
  <c r="O39" i="1"/>
  <c r="S39" i="1" s="1"/>
  <c r="S38" i="1"/>
  <c r="N101" i="1"/>
  <c r="N97" i="1"/>
  <c r="R95" i="1"/>
  <c r="S18" i="1"/>
  <c r="AL37" i="1" l="1"/>
  <c r="AH39" i="1"/>
  <c r="AL39" i="1" s="1"/>
  <c r="AL30" i="1"/>
  <c r="AH32" i="1"/>
  <c r="AL32" i="1" s="1"/>
  <c r="R97" i="1"/>
  <c r="S97" i="1" s="1"/>
  <c r="S95" i="1"/>
  <c r="R53" i="1"/>
  <c r="R55" i="1" s="1"/>
  <c r="P53" i="1"/>
  <c r="P55" i="1" s="1"/>
  <c r="O53" i="1" l="1"/>
  <c r="C55" i="1"/>
  <c r="G55" i="1"/>
  <c r="E55" i="1"/>
  <c r="K55" i="1"/>
  <c r="M55" i="1"/>
  <c r="Q53" i="1"/>
  <c r="I55" i="1"/>
  <c r="E25" i="5"/>
  <c r="Q55" i="1" l="1"/>
  <c r="S53" i="1"/>
  <c r="O55" i="1"/>
  <c r="F25" i="5"/>
  <c r="E26" i="5"/>
  <c r="S55" i="1" l="1"/>
  <c r="E41" i="5"/>
  <c r="G25" i="5"/>
  <c r="G26" i="5" s="1"/>
  <c r="F26" i="5"/>
  <c r="E45" i="5" l="1"/>
  <c r="E43" i="5"/>
  <c r="E8" i="5"/>
  <c r="F43" i="5" l="1"/>
  <c r="E9" i="5"/>
  <c r="E22" i="5"/>
  <c r="E23" i="5" s="1"/>
  <c r="E28" i="5" s="1"/>
  <c r="F45" i="5"/>
  <c r="G45" i="5" l="1"/>
  <c r="G22" i="5" s="1"/>
  <c r="G23" i="5" s="1"/>
  <c r="G28" i="5" s="1"/>
  <c r="F22" i="5"/>
  <c r="F23" i="5" s="1"/>
  <c r="F28" i="5" s="1"/>
  <c r="G43" i="5"/>
  <c r="G9" i="5" s="1"/>
  <c r="F9" i="5"/>
  <c r="E32" i="5" l="1"/>
  <c r="E34" i="5" l="1"/>
  <c r="E36" i="5" s="1"/>
  <c r="F32" i="5"/>
  <c r="F34" i="5" l="1"/>
  <c r="F36" i="5" s="1"/>
  <c r="G32" i="5"/>
  <c r="G34" i="5" s="1"/>
  <c r="G36" i="5" s="1"/>
  <c r="E7" i="5" l="1"/>
  <c r="E10" i="5" l="1"/>
  <c r="E17" i="5" s="1"/>
  <c r="E38" i="5" s="1"/>
  <c r="D48" i="1" l="1"/>
  <c r="E48" i="1"/>
  <c r="G48" i="1"/>
  <c r="H48" i="1"/>
  <c r="J48" i="1"/>
  <c r="K48" i="1"/>
  <c r="M48" i="1"/>
  <c r="N48" i="1"/>
  <c r="C48" i="1" l="1"/>
  <c r="O46" i="1"/>
  <c r="O48" i="1" s="1"/>
  <c r="R46" i="1"/>
  <c r="R48" i="1" s="1"/>
  <c r="L48" i="1"/>
  <c r="Q46" i="1"/>
  <c r="I48" i="1"/>
  <c r="H12" i="3"/>
  <c r="P46" i="1"/>
  <c r="P48" i="1" s="1"/>
  <c r="F48" i="1"/>
  <c r="Q48" i="1" l="1"/>
  <c r="S48" i="1" s="1"/>
  <c r="S46" i="1"/>
  <c r="F7" i="5" l="1"/>
  <c r="G7" i="5" l="1"/>
  <c r="G10" i="5" s="1"/>
  <c r="G17" i="5" s="1"/>
  <c r="G38" i="5" s="1"/>
  <c r="F10" i="5"/>
  <c r="F17" i="5" s="1"/>
  <c r="F38" i="5" s="1"/>
  <c r="O60" i="1" l="1"/>
  <c r="C62" i="1"/>
  <c r="O62" i="1" l="1"/>
  <c r="S62" i="1" s="1"/>
  <c r="S60" i="1"/>
  <c r="C76" i="1" l="1"/>
  <c r="O74" i="1" l="1"/>
  <c r="S74" i="1" l="1"/>
  <c r="O76" i="1"/>
  <c r="S76" i="1" s="1"/>
  <c r="D83" i="1" l="1"/>
  <c r="C83" i="1"/>
  <c r="O81" i="1" l="1"/>
  <c r="O83" i="1" l="1"/>
  <c r="S83" i="1" s="1"/>
  <c r="S81" i="1"/>
  <c r="AH10" i="1"/>
  <c r="V12" i="1"/>
  <c r="AH12" i="1" l="1"/>
  <c r="AL12" i="1" s="1"/>
  <c r="AL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<sst xmlns="http://schemas.openxmlformats.org/spreadsheetml/2006/main" count="303" uniqueCount="200">
  <si>
    <t>Rolling Budget and Business Forecast</t>
  </si>
  <si>
    <t>Line Item</t>
  </si>
  <si>
    <t>Annual</t>
  </si>
  <si>
    <t>PROFIT AND LOSS</t>
  </si>
  <si>
    <t>Revenue</t>
  </si>
  <si>
    <t>Budget</t>
  </si>
  <si>
    <t>Actual</t>
  </si>
  <si>
    <t>Budget variance (Actual – Budget)</t>
  </si>
  <si>
    <t>Prior year</t>
  </si>
  <si>
    <t>Prior year variance (Actual – Prior year)</t>
  </si>
  <si>
    <t>Cost of Goods Sold</t>
  </si>
  <si>
    <t>Budget variance (Budget – Actual)</t>
  </si>
  <si>
    <t>Prior year variance (Prior year – Actual)</t>
  </si>
  <si>
    <t>BALANCE SHEET</t>
  </si>
  <si>
    <t>Cash</t>
  </si>
  <si>
    <t>Inventory</t>
  </si>
  <si>
    <t>Accounts Receivable</t>
  </si>
  <si>
    <t>Net Fixed Assets</t>
  </si>
  <si>
    <t>Accounts Payable</t>
  </si>
  <si>
    <t>Long-Term Debt</t>
  </si>
  <si>
    <t>FY 2022</t>
  </si>
  <si>
    <t>Operating Expenses</t>
  </si>
  <si>
    <t>EBITDA</t>
  </si>
  <si>
    <t>Common Stock</t>
  </si>
  <si>
    <t>Retained Earnings</t>
  </si>
  <si>
    <t>Q1 Total</t>
  </si>
  <si>
    <t>Q2 Total</t>
  </si>
  <si>
    <t>Q3 Total</t>
  </si>
  <si>
    <t>Q4 Total</t>
  </si>
  <si>
    <t xml:space="preserve">Sky District Inc. </t>
  </si>
  <si>
    <t>Gross Margin</t>
  </si>
  <si>
    <t>Revenue vs. Budget</t>
  </si>
  <si>
    <t>Vs. Prior Month</t>
  </si>
  <si>
    <t>Net Income</t>
  </si>
  <si>
    <t>Operating Expenses vs. Budget</t>
  </si>
  <si>
    <t>DPO (Days Payables Outstanding)</t>
  </si>
  <si>
    <t>Target DSO</t>
  </si>
  <si>
    <t>KPI  Dashboard</t>
  </si>
  <si>
    <t>Quick Ratio</t>
  </si>
  <si>
    <t xml:space="preserve">For the month of </t>
  </si>
  <si>
    <t>Target Revenue</t>
  </si>
  <si>
    <t>Target Gross Margin</t>
  </si>
  <si>
    <t>Target Operating Margin</t>
  </si>
  <si>
    <t>Operating Margin</t>
  </si>
  <si>
    <t xml:space="preserve">Target OpEx </t>
  </si>
  <si>
    <t>(Current assets- Inventory)/Current Liabilities</t>
  </si>
  <si>
    <t>Target Quick Ratio</t>
  </si>
  <si>
    <t>Target Net Income</t>
  </si>
  <si>
    <t>Sky District Inc.</t>
  </si>
  <si>
    <t>Projected P&amp;L (USD)</t>
  </si>
  <si>
    <t>Revenues</t>
  </si>
  <si>
    <t xml:space="preserve">     Sales of Services</t>
  </si>
  <si>
    <t xml:space="preserve">     Sales of Products</t>
  </si>
  <si>
    <t>Total Net Revenue</t>
  </si>
  <si>
    <t xml:space="preserve">    % change</t>
  </si>
  <si>
    <t>N/A</t>
  </si>
  <si>
    <t xml:space="preserve">    Inventory</t>
  </si>
  <si>
    <t xml:space="preserve">    Direct Wages</t>
  </si>
  <si>
    <t>Gross Profit</t>
  </si>
  <si>
    <t xml:space="preserve">    Margin</t>
  </si>
  <si>
    <t xml:space="preserve">     Maintenance, materials and repairs</t>
  </si>
  <si>
    <t xml:space="preserve">     Aircraft rent</t>
  </si>
  <si>
    <t xml:space="preserve">     G &amp; A</t>
  </si>
  <si>
    <t xml:space="preserve">     Utilities</t>
  </si>
  <si>
    <t xml:space="preserve">     Insurance</t>
  </si>
  <si>
    <t xml:space="preserve">     Sales &amp; Marketing</t>
  </si>
  <si>
    <t xml:space="preserve">     Startup expenses</t>
  </si>
  <si>
    <t xml:space="preserve">          Total Expenses</t>
  </si>
  <si>
    <t>Non-Operating Expenses</t>
  </si>
  <si>
    <t xml:space="preserve">     Depreciation and Amortization</t>
  </si>
  <si>
    <t xml:space="preserve">     Interest Expense</t>
  </si>
  <si>
    <t xml:space="preserve">     Interest Income</t>
  </si>
  <si>
    <t xml:space="preserve">     Other (gains) losses</t>
  </si>
  <si>
    <t xml:space="preserve">     Total Other expenses</t>
  </si>
  <si>
    <t>Taxes (21%)</t>
  </si>
  <si>
    <t>Net Income(Loss)</t>
  </si>
  <si>
    <t>Assumptions:</t>
  </si>
  <si>
    <t xml:space="preserve">Revenue </t>
  </si>
  <si>
    <t xml:space="preserve">    Winter(Dec-Feb) Daily Skydiving Services</t>
  </si>
  <si>
    <t xml:space="preserve">    Winter(Dec-Feb) Daily Merchandise Sales</t>
  </si>
  <si>
    <t xml:space="preserve">    Spring &amp; Fall (March-May/Sep-Nov) Daily Skydiving Services</t>
  </si>
  <si>
    <t xml:space="preserve">    Spring &amp; Fall (March-May/Sep-Nov) Daily Merchandise Sales</t>
  </si>
  <si>
    <t xml:space="preserve">    Summer(June-August) Daily Skydiving Services</t>
  </si>
  <si>
    <t xml:space="preserve">    Summer(June-August) Daily Merchandise Sales</t>
  </si>
  <si>
    <t xml:space="preserve">  Start up Costs</t>
  </si>
  <si>
    <t xml:space="preserve">     Small Plane</t>
  </si>
  <si>
    <t xml:space="preserve">     Rent</t>
  </si>
  <si>
    <t xml:space="preserve">     Licensing and Legal</t>
  </si>
  <si>
    <t xml:space="preserve">     Liability Insurance</t>
  </si>
  <si>
    <t xml:space="preserve">     Salaries and Wages for 2 Instructors and 1 Pilot</t>
  </si>
  <si>
    <t xml:space="preserve">     Marketing</t>
  </si>
  <si>
    <t xml:space="preserve">     Merchandise</t>
  </si>
  <si>
    <t xml:space="preserve">     Camera equipment</t>
  </si>
  <si>
    <t xml:space="preserve">   Total Startup expenses</t>
  </si>
  <si>
    <t xml:space="preserve">  Labor Expense </t>
  </si>
  <si>
    <t xml:space="preserve">  Interest expense (6%) 5 years</t>
  </si>
  <si>
    <t xml:space="preserve">  Depreciation</t>
  </si>
  <si>
    <t xml:space="preserve">  Corporate Tax Rate (21%)</t>
  </si>
  <si>
    <t>Revenue Break Down:</t>
  </si>
  <si>
    <t xml:space="preserve">  Skydiving Service Cost(per person)</t>
  </si>
  <si>
    <t xml:space="preserve">  Average Merchandise Sales(per person)</t>
  </si>
  <si>
    <t>Winter</t>
  </si>
  <si>
    <t xml:space="preserve">  Average Weekday customers(per day)</t>
  </si>
  <si>
    <t xml:space="preserve">  Average Weekend customers(per day)</t>
  </si>
  <si>
    <t>Spring/Fall</t>
  </si>
  <si>
    <t>Summer</t>
  </si>
  <si>
    <t>Salary for 1 divng instructor</t>
  </si>
  <si>
    <t>Salary for 1 Pilot</t>
  </si>
  <si>
    <t>Loan for startup costs</t>
  </si>
  <si>
    <t xml:space="preserve">Monthly Growth Rate </t>
  </si>
  <si>
    <t xml:space="preserve">Depreciation </t>
  </si>
  <si>
    <t>15 years</t>
  </si>
  <si>
    <t>Projected Balance Sheet</t>
  </si>
  <si>
    <t>Assets</t>
  </si>
  <si>
    <t xml:space="preserve">Current Assets </t>
  </si>
  <si>
    <t xml:space="preserve">    Cash</t>
  </si>
  <si>
    <t xml:space="preserve">    Accounts Receivable</t>
  </si>
  <si>
    <t>Total Current Assets</t>
  </si>
  <si>
    <t>Non Current Assets</t>
  </si>
  <si>
    <t xml:space="preserve">     Fixed Assets</t>
  </si>
  <si>
    <t xml:space="preserve">     Accumulated Depreciation</t>
  </si>
  <si>
    <t>Total Non-Current Assets</t>
  </si>
  <si>
    <t>Total Assets</t>
  </si>
  <si>
    <t>Liabilities</t>
  </si>
  <si>
    <t xml:space="preserve">Current Liabilities </t>
  </si>
  <si>
    <t xml:space="preserve">     Accounts Payable</t>
  </si>
  <si>
    <t xml:space="preserve">     Deferred Revenue</t>
  </si>
  <si>
    <t xml:space="preserve">Total Current Liabilities </t>
  </si>
  <si>
    <t>Non-Curernt Liabilities</t>
  </si>
  <si>
    <t xml:space="preserve">     Debt</t>
  </si>
  <si>
    <t xml:space="preserve">Total Non-Current Liabilities </t>
  </si>
  <si>
    <t>Total Liabilities</t>
  </si>
  <si>
    <t>Equity</t>
  </si>
  <si>
    <t xml:space="preserve">     Common Stock</t>
  </si>
  <si>
    <t xml:space="preserve">     Retained Earnings</t>
  </si>
  <si>
    <t>Total Equity</t>
  </si>
  <si>
    <t>Total Liabilities &amp; Equity</t>
  </si>
  <si>
    <t>Balance Check</t>
  </si>
  <si>
    <t>Net Revenue</t>
  </si>
  <si>
    <t xml:space="preserve">    AR as a % of Revenue</t>
  </si>
  <si>
    <t xml:space="preserve">    AP as a % of Operating Expenses</t>
  </si>
  <si>
    <t xml:space="preserve">    Deferred Revenue as a % of Revenue</t>
  </si>
  <si>
    <t xml:space="preserve">    Inventory as a % of Revenue</t>
  </si>
  <si>
    <t>Check - Budget</t>
  </si>
  <si>
    <t>Check Actual</t>
  </si>
  <si>
    <t>Gross Profit / Revenue</t>
  </si>
  <si>
    <t>AR / Revenue x 365 Days</t>
  </si>
  <si>
    <t>AP / COGS x 365</t>
  </si>
  <si>
    <t>Net Income vs Budget</t>
  </si>
  <si>
    <t>DSO( Days Sales Outstanding)</t>
  </si>
  <si>
    <t xml:space="preserve">Seasonality Index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</si>
  <si>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</si>
  <si>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</si>
  <si>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</si>
  <si>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</si>
  <si>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</si>
  <si>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</si>
  <si>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</si>
  <si>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</si>
  <si>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</si>
  <si>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</si>
  <si>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</si>
  <si>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</si>
  <si>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FY 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</si>
  <si>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</si>
  <si>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</si>
  <si>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</si>
  <si>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</si>
  <si>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</si>
  <si>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</si>
  <si>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</si>
  <si>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</si>
  <si>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</si>
  <si>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</si>
  <si>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</si>
  <si>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</si>
  <si>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Total</t>
  </si>
  <si>
    <t>Price vs. Quantity Sensitivity</t>
  </si>
  <si>
    <t>Price Per Service</t>
  </si>
  <si>
    <t>Sensitivity Analysis</t>
  </si>
  <si>
    <t>Services Sold per Year</t>
  </si>
  <si>
    <t>Price per service</t>
  </si>
  <si>
    <t>Cost per service</t>
  </si>
  <si>
    <t>G&amp;A</t>
  </si>
  <si>
    <t>Tax Rate</t>
  </si>
  <si>
    <t>Assumptions</t>
  </si>
  <si>
    <t>Income Statement</t>
  </si>
  <si>
    <t>COGS</t>
  </si>
  <si>
    <t>OpEx</t>
  </si>
  <si>
    <t xml:space="preserve">Taxes </t>
  </si>
  <si>
    <t>EBIT</t>
  </si>
  <si>
    <t>Scenario Analysis</t>
  </si>
  <si>
    <t>$ in actual figures</t>
  </si>
  <si>
    <t>Total Expenses</t>
  </si>
  <si>
    <t>Revenue Scenarios</t>
  </si>
  <si>
    <t>Cost Scenarios</t>
  </si>
  <si>
    <t>Choose Scenario -&gt;</t>
  </si>
  <si>
    <t xml:space="preserve">     1. Best Case</t>
  </si>
  <si>
    <t xml:space="preserve">     2. Base Case</t>
  </si>
  <si>
    <t xml:space="preserve">     3. 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</si>
</sst>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mmm&quot;-&quot;yy"/>
    <numFmt numFmtId="166" formatCode="0.0%"/>
    <numFmt numFmtId="167" formatCode="_(* #,##0.0_);_(* \(#,##0.0\);_(* &quot;-&quot;??_);_(@_)"/>
    <numFmt numFmtId="168" formatCode="0.0"/>
    <numFmt numFmtId="169" formatCode="_(* #,##0_);_(* \(#,##0\);_(* &quot;-&quot;??_);_(@_)"/>
    <numFmt numFmtId="170" formatCode="&quot;$&quot;#,##0.00"/>
    <numFmt numFmtId="171" formatCode="&quot;$&quot;#,##0"/>
  </numFmts>
  <fonts count="4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48"/>
      <color rgb="FF434343"/>
      <name val="Calibri"/>
      <family val="2"/>
      <scheme val="minor"/>
    </font>
    <font>
      <b/>
      <sz val="14"/>
      <color rgb="FF434343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rgb="FFFFFF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u/>
      <sz val="14"/>
      <color rgb="FFFF0000"/>
      <name val="Calibri"/>
      <family val="2"/>
      <scheme val="minor"/>
    </font>
    <font>
      <sz val="14"/>
      <color rgb="FF43434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3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434343"/>
      <name val="Calibri"/>
      <family val="2"/>
      <scheme val="minor"/>
    </font>
    <font>
      <b/>
      <sz val="20"/>
      <color rgb="FF434343"/>
      <name val="Calibri"/>
      <family val="2"/>
      <scheme val="minor"/>
    </font>
    <font>
      <b/>
      <sz val="28"/>
      <name val="Calibri"/>
      <family val="2"/>
      <scheme val="minor"/>
    </font>
    <font>
      <i/>
      <sz val="16"/>
      <color rgb="FFFFFF00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rgb="FF4A86E8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07">
    <xf numFmtId="0" fontId="0" fillId="0" borderId="0" xfId="0"/>
    <xf numFmtId="0" fontId="4" fillId="0" borderId="0" xfId="0" applyFont="1"/>
    <xf numFmtId="0" fontId="6" fillId="0" borderId="2" xfId="0" applyFont="1" applyBorder="1"/>
    <xf numFmtId="17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7" fillId="0" borderId="2" xfId="0" applyFont="1" applyBorder="1"/>
    <xf numFmtId="0" fontId="8" fillId="0" borderId="2" xfId="0" applyFont="1" applyBorder="1"/>
    <xf numFmtId="0" fontId="6" fillId="0" borderId="3" xfId="0" applyFont="1" applyBorder="1"/>
    <xf numFmtId="0" fontId="9" fillId="0" borderId="3" xfId="0" applyFont="1" applyBorder="1"/>
    <xf numFmtId="164" fontId="0" fillId="0" borderId="0" xfId="3" applyNumberFormat="1" applyFont="1" applyFill="1"/>
    <xf numFmtId="6" fontId="0" fillId="0" borderId="0" xfId="0" applyNumberFormat="1"/>
    <xf numFmtId="0" fontId="4" fillId="0" borderId="3" xfId="0" applyFont="1" applyBorder="1"/>
    <xf numFmtId="0" fontId="0" fillId="0" borderId="3" xfId="0" applyBorder="1"/>
    <xf numFmtId="0" fontId="7" fillId="0" borderId="0" xfId="0" applyFont="1"/>
    <xf numFmtId="0" fontId="0" fillId="0" borderId="1" xfId="0" applyBorder="1"/>
    <xf numFmtId="6" fontId="0" fillId="0" borderId="1" xfId="0" applyNumberFormat="1" applyBorder="1"/>
    <xf numFmtId="164" fontId="0" fillId="0" borderId="0" xfId="0" applyNumberFormat="1"/>
    <xf numFmtId="0" fontId="13" fillId="0" borderId="0" xfId="5" applyFont="1" applyAlignment="1">
      <alignment wrapText="1"/>
    </xf>
    <xf numFmtId="0" fontId="14" fillId="0" borderId="0" xfId="5" applyFont="1"/>
    <xf numFmtId="0" fontId="16" fillId="0" borderId="0" xfId="5" applyFont="1"/>
    <xf numFmtId="165" fontId="18" fillId="0" borderId="0" xfId="5" applyNumberFormat="1" applyFont="1" applyAlignment="1">
      <alignment horizontal="left"/>
    </xf>
    <xf numFmtId="0" fontId="18" fillId="0" borderId="0" xfId="5" applyFont="1" applyAlignment="1">
      <alignment horizontal="center"/>
    </xf>
    <xf numFmtId="165" fontId="18" fillId="0" borderId="0" xfId="5" applyNumberFormat="1" applyFont="1" applyAlignment="1">
      <alignment horizontal="center"/>
    </xf>
    <xf numFmtId="0" fontId="19" fillId="0" borderId="0" xfId="5" applyFont="1" applyAlignment="1">
      <alignment horizontal="left"/>
    </xf>
    <xf numFmtId="0" fontId="14" fillId="0" borderId="0" xfId="5" applyFont="1" applyAlignment="1">
      <alignment horizontal="center"/>
    </xf>
    <xf numFmtId="0" fontId="20" fillId="0" borderId="0" xfId="5" applyFont="1" applyAlignment="1">
      <alignment wrapText="1"/>
    </xf>
    <xf numFmtId="0" fontId="21" fillId="0" borderId="0" xfId="5" applyFont="1"/>
    <xf numFmtId="0" fontId="22" fillId="0" borderId="0" xfId="5" applyFont="1" applyAlignment="1">
      <alignment wrapText="1"/>
    </xf>
    <xf numFmtId="0" fontId="23" fillId="0" borderId="0" xfId="5" applyFont="1" applyAlignment="1">
      <alignment wrapText="1"/>
    </xf>
    <xf numFmtId="0" fontId="23" fillId="0" borderId="0" xfId="5" applyFont="1" applyAlignment="1">
      <alignment horizontal="left" wrapText="1"/>
    </xf>
    <xf numFmtId="0" fontId="13" fillId="0" borderId="12" xfId="5" applyFont="1" applyBorder="1" applyAlignment="1">
      <alignment vertical="center" wrapText="1"/>
    </xf>
    <xf numFmtId="0" fontId="13" fillId="0" borderId="14" xfId="5" applyFont="1" applyBorder="1" applyAlignment="1">
      <alignment horizontal="center" wrapText="1"/>
    </xf>
    <xf numFmtId="164" fontId="13" fillId="0" borderId="15" xfId="7" applyNumberFormat="1" applyFont="1" applyFill="1" applyBorder="1" applyAlignment="1">
      <alignment horizontal="center" vertical="center"/>
    </xf>
    <xf numFmtId="0" fontId="24" fillId="0" borderId="0" xfId="5" applyFont="1"/>
    <xf numFmtId="165" fontId="25" fillId="0" borderId="0" xfId="6" applyNumberFormat="1" applyFont="1" applyFill="1" applyBorder="1" applyAlignment="1">
      <alignment vertical="center" wrapText="1"/>
    </xf>
    <xf numFmtId="165" fontId="25" fillId="0" borderId="0" xfId="6" applyNumberFormat="1" applyFont="1" applyFill="1" applyBorder="1" applyAlignment="1">
      <alignment vertical="center"/>
    </xf>
    <xf numFmtId="0" fontId="26" fillId="0" borderId="0" xfId="5" applyFont="1"/>
    <xf numFmtId="0" fontId="13" fillId="0" borderId="12" xfId="5" applyFont="1" applyBorder="1" applyAlignment="1">
      <alignment vertical="center"/>
    </xf>
    <xf numFmtId="166" fontId="13" fillId="0" borderId="13" xfId="8" applyNumberFormat="1" applyFont="1" applyFill="1" applyBorder="1" applyAlignment="1">
      <alignment horizontal="center" vertical="center"/>
    </xf>
    <xf numFmtId="0" fontId="13" fillId="0" borderId="0" xfId="5" applyFont="1" applyAlignment="1">
      <alignment horizontal="center"/>
    </xf>
    <xf numFmtId="0" fontId="13" fillId="0" borderId="0" xfId="5" applyFont="1"/>
    <xf numFmtId="167" fontId="13" fillId="0" borderId="0" xfId="9" applyNumberFormat="1" applyFont="1" applyFill="1" applyBorder="1" applyAlignment="1">
      <alignment horizontal="center" vertical="center"/>
    </xf>
    <xf numFmtId="0" fontId="13" fillId="0" borderId="0" xfId="5" applyFont="1" applyAlignment="1">
      <alignment horizontal="center" wrapText="1"/>
    </xf>
    <xf numFmtId="168" fontId="13" fillId="0" borderId="0" xfId="5" applyNumberFormat="1" applyFont="1" applyAlignment="1">
      <alignment horizontal="center" vertical="center"/>
    </xf>
    <xf numFmtId="1" fontId="13" fillId="0" borderId="15" xfId="5" applyNumberFormat="1" applyFont="1" applyBorder="1" applyAlignment="1">
      <alignment horizontal="center" vertical="center"/>
    </xf>
    <xf numFmtId="0" fontId="17" fillId="0" borderId="0" xfId="5" applyFont="1" applyAlignment="1">
      <alignment horizontal="left"/>
    </xf>
    <xf numFmtId="14" fontId="16" fillId="0" borderId="0" xfId="5" applyNumberFormat="1" applyFont="1"/>
    <xf numFmtId="0" fontId="13" fillId="0" borderId="12" xfId="5" applyFont="1" applyBorder="1"/>
    <xf numFmtId="10" fontId="13" fillId="0" borderId="13" xfId="8" applyNumberFormat="1" applyFont="1" applyFill="1" applyBorder="1" applyAlignment="1">
      <alignment horizontal="center" vertical="center"/>
    </xf>
    <xf numFmtId="10" fontId="13" fillId="0" borderId="13" xfId="4" applyNumberFormat="1" applyFont="1" applyFill="1" applyBorder="1" applyAlignment="1">
      <alignment horizontal="center" vertical="center"/>
    </xf>
    <xf numFmtId="9" fontId="13" fillId="0" borderId="15" xfId="4" applyFont="1" applyFill="1" applyBorder="1" applyAlignment="1">
      <alignment horizontal="center" vertical="center"/>
    </xf>
    <xf numFmtId="170" fontId="13" fillId="0" borderId="13" xfId="8" applyNumberFormat="1" applyFont="1" applyFill="1" applyBorder="1" applyAlignment="1">
      <alignment horizontal="center" vertical="center"/>
    </xf>
    <xf numFmtId="0" fontId="27" fillId="0" borderId="0" xfId="5" applyFont="1"/>
    <xf numFmtId="0" fontId="4" fillId="3" borderId="19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0" fillId="0" borderId="19" xfId="0" applyBorder="1"/>
    <xf numFmtId="0" fontId="4" fillId="3" borderId="19" xfId="0" applyFont="1" applyFill="1" applyBorder="1"/>
    <xf numFmtId="169" fontId="0" fillId="0" borderId="0" xfId="10" applyNumberFormat="1" applyFont="1" applyFill="1" applyBorder="1"/>
    <xf numFmtId="169" fontId="0" fillId="0" borderId="20" xfId="0" applyNumberFormat="1" applyBorder="1"/>
    <xf numFmtId="169" fontId="0" fillId="0" borderId="0" xfId="10" applyNumberFormat="1" applyFont="1" applyBorder="1"/>
    <xf numFmtId="0" fontId="0" fillId="0" borderId="20" xfId="0" applyBorder="1"/>
    <xf numFmtId="169" fontId="4" fillId="0" borderId="21" xfId="10" applyNumberFormat="1" applyFont="1" applyFill="1" applyBorder="1"/>
    <xf numFmtId="169" fontId="4" fillId="0" borderId="22" xfId="0" applyNumberFormat="1" applyFont="1" applyBorder="1"/>
    <xf numFmtId="0" fontId="29" fillId="0" borderId="0" xfId="0" applyFont="1"/>
    <xf numFmtId="169" fontId="29" fillId="0" borderId="0" xfId="10" applyNumberFormat="1" applyFont="1" applyFill="1" applyBorder="1" applyAlignment="1">
      <alignment horizontal="right"/>
    </xf>
    <xf numFmtId="169" fontId="4" fillId="0" borderId="0" xfId="10" applyNumberFormat="1" applyFont="1" applyFill="1" applyBorder="1"/>
    <xf numFmtId="9" fontId="29" fillId="0" borderId="0" xfId="4" applyFont="1" applyFill="1" applyBorder="1" applyAlignment="1">
      <alignment horizontal="right"/>
    </xf>
    <xf numFmtId="169" fontId="4" fillId="0" borderId="20" xfId="0" applyNumberFormat="1" applyFont="1" applyBorder="1"/>
    <xf numFmtId="169" fontId="4" fillId="0" borderId="20" xfId="10" applyNumberFormat="1" applyFont="1" applyFill="1" applyBorder="1"/>
    <xf numFmtId="169" fontId="0" fillId="0" borderId="21" xfId="10" applyNumberFormat="1" applyFont="1" applyFill="1" applyBorder="1"/>
    <xf numFmtId="169" fontId="0" fillId="0" borderId="22" xfId="10" applyNumberFormat="1" applyFont="1" applyFill="1" applyBorder="1"/>
    <xf numFmtId="166" fontId="29" fillId="0" borderId="0" xfId="4" applyNumberFormat="1" applyFont="1" applyAlignment="1">
      <alignment horizontal="right"/>
    </xf>
    <xf numFmtId="166" fontId="29" fillId="0" borderId="20" xfId="4" applyNumberFormat="1" applyFont="1" applyBorder="1" applyAlignment="1">
      <alignment horizontal="right"/>
    </xf>
    <xf numFmtId="0" fontId="29" fillId="0" borderId="0" xfId="0" applyFont="1" applyAlignment="1">
      <alignment horizontal="right"/>
    </xf>
    <xf numFmtId="9" fontId="29" fillId="0" borderId="20" xfId="4" applyFont="1" applyFill="1" applyBorder="1" applyAlignment="1">
      <alignment horizontal="right"/>
    </xf>
    <xf numFmtId="169" fontId="0" fillId="0" borderId="0" xfId="10" applyNumberFormat="1" applyFont="1" applyFill="1" applyBorder="1" applyAlignment="1"/>
    <xf numFmtId="169" fontId="0" fillId="0" borderId="20" xfId="10" applyNumberFormat="1" applyFont="1" applyFill="1" applyBorder="1"/>
    <xf numFmtId="9" fontId="29" fillId="0" borderId="0" xfId="4" applyFont="1" applyAlignment="1">
      <alignment horizontal="right"/>
    </xf>
    <xf numFmtId="169" fontId="0" fillId="0" borderId="20" xfId="10" applyNumberFormat="1" applyFont="1" applyBorder="1"/>
    <xf numFmtId="0" fontId="0" fillId="0" borderId="23" xfId="0" applyBorder="1"/>
    <xf numFmtId="0" fontId="4" fillId="0" borderId="24" xfId="0" applyFont="1" applyBorder="1"/>
    <xf numFmtId="169" fontId="4" fillId="0" borderId="25" xfId="10" applyNumberFormat="1" applyFont="1" applyFill="1" applyBorder="1"/>
    <xf numFmtId="169" fontId="4" fillId="0" borderId="26" xfId="10" applyNumberFormat="1" applyFont="1" applyFill="1" applyBorder="1"/>
    <xf numFmtId="0" fontId="30" fillId="0" borderId="0" xfId="0" applyFont="1"/>
    <xf numFmtId="164" fontId="0" fillId="0" borderId="0" xfId="3" applyNumberFormat="1" applyFont="1"/>
    <xf numFmtId="0" fontId="31" fillId="0" borderId="0" xfId="0" applyFont="1"/>
    <xf numFmtId="44" fontId="0" fillId="0" borderId="0" xfId="0" applyNumberFormat="1"/>
    <xf numFmtId="9" fontId="0" fillId="0" borderId="0" xfId="4" applyFont="1"/>
    <xf numFmtId="164" fontId="0" fillId="0" borderId="0" xfId="10" applyNumberFormat="1" applyFont="1"/>
    <xf numFmtId="16" fontId="4" fillId="0" borderId="0" xfId="0" applyNumberFormat="1" applyFont="1"/>
    <xf numFmtId="10" fontId="0" fillId="0" borderId="0" xfId="4" applyNumberFormat="1" applyFont="1" applyFill="1" applyBorder="1"/>
    <xf numFmtId="16" fontId="0" fillId="0" borderId="0" xfId="0" applyNumberFormat="1"/>
    <xf numFmtId="0" fontId="4" fillId="0" borderId="19" xfId="0" applyFont="1" applyBorder="1"/>
    <xf numFmtId="0" fontId="4" fillId="0" borderId="27" xfId="0" applyFont="1" applyBorder="1"/>
    <xf numFmtId="16" fontId="4" fillId="0" borderId="28" xfId="0" applyNumberFormat="1" applyFont="1" applyBorder="1"/>
    <xf numFmtId="0" fontId="4" fillId="0" borderId="28" xfId="0" applyFont="1" applyBorder="1"/>
    <xf numFmtId="0" fontId="4" fillId="0" borderId="29" xfId="0" applyFont="1" applyBorder="1"/>
    <xf numFmtId="169" fontId="0" fillId="0" borderId="19" xfId="10" applyNumberFormat="1" applyFont="1" applyBorder="1"/>
    <xf numFmtId="169" fontId="4" fillId="0" borderId="24" xfId="10" applyNumberFormat="1" applyFont="1" applyBorder="1"/>
    <xf numFmtId="169" fontId="4" fillId="0" borderId="25" xfId="10" applyNumberFormat="1" applyFont="1" applyBorder="1"/>
    <xf numFmtId="169" fontId="4" fillId="0" borderId="26" xfId="10" applyNumberFormat="1" applyFont="1" applyBorder="1"/>
    <xf numFmtId="169" fontId="4" fillId="0" borderId="27" xfId="10" applyNumberFormat="1" applyFont="1" applyBorder="1"/>
    <xf numFmtId="169" fontId="0" fillId="0" borderId="28" xfId="10" applyNumberFormat="1" applyFont="1" applyBorder="1"/>
    <xf numFmtId="169" fontId="0" fillId="0" borderId="29" xfId="10" applyNumberFormat="1" applyFont="1" applyBorder="1"/>
    <xf numFmtId="169" fontId="4" fillId="0" borderId="19" xfId="10" applyNumberFormat="1" applyFont="1" applyBorder="1"/>
    <xf numFmtId="169" fontId="4" fillId="0" borderId="0" xfId="10" applyNumberFormat="1" applyFont="1" applyBorder="1"/>
    <xf numFmtId="169" fontId="4" fillId="0" borderId="20" xfId="10" applyNumberFormat="1" applyFont="1" applyBorder="1"/>
    <xf numFmtId="169" fontId="0" fillId="0" borderId="0" xfId="10" applyNumberFormat="1" applyFont="1" applyBorder="1" applyAlignment="1">
      <alignment horizontal="left"/>
    </xf>
    <xf numFmtId="169" fontId="0" fillId="0" borderId="0" xfId="0" applyNumberFormat="1"/>
    <xf numFmtId="169" fontId="0" fillId="0" borderId="0" xfId="10" applyNumberFormat="1" applyFont="1"/>
    <xf numFmtId="10" fontId="0" fillId="0" borderId="0" xfId="4" applyNumberFormat="1" applyFont="1"/>
    <xf numFmtId="0" fontId="32" fillId="0" borderId="0" xfId="5" applyFont="1"/>
    <xf numFmtId="0" fontId="33" fillId="0" borderId="12" xfId="5" applyFont="1" applyBorder="1" applyAlignment="1">
      <alignment vertical="center" wrapText="1"/>
    </xf>
    <xf numFmtId="0" fontId="33" fillId="0" borderId="14" xfId="5" applyFont="1" applyBorder="1" applyAlignment="1">
      <alignment horizontal="center" wrapText="1"/>
    </xf>
    <xf numFmtId="10" fontId="13" fillId="0" borderId="15" xfId="8" applyNumberFormat="1" applyFont="1" applyFill="1" applyBorder="1" applyAlignment="1">
      <alignment horizontal="center" vertical="center"/>
    </xf>
    <xf numFmtId="14" fontId="36" fillId="0" borderId="0" xfId="5" applyNumberFormat="1" applyFont="1"/>
    <xf numFmtId="170" fontId="13" fillId="0" borderId="15" xfId="7" applyNumberFormat="1" applyFont="1" applyFill="1" applyBorder="1" applyAlignment="1">
      <alignment horizontal="center" vertical="center"/>
    </xf>
    <xf numFmtId="171" fontId="33" fillId="0" borderId="13" xfId="7" applyNumberFormat="1" applyFont="1" applyFill="1" applyBorder="1" applyAlignment="1">
      <alignment horizontal="center" vertical="center"/>
    </xf>
    <xf numFmtId="171" fontId="33" fillId="0" borderId="15" xfId="7" applyNumberFormat="1" applyFont="1" applyFill="1" applyBorder="1" applyAlignment="1">
      <alignment horizontal="center" vertical="center"/>
    </xf>
    <xf numFmtId="1" fontId="13" fillId="0" borderId="13" xfId="5" applyNumberFormat="1" applyFont="1" applyBorder="1" applyAlignment="1">
      <alignment horizontal="center" vertical="center"/>
    </xf>
    <xf numFmtId="0" fontId="6" fillId="0" borderId="0" xfId="1" applyFont="1" applyFill="1" applyAlignment="1"/>
    <xf numFmtId="0" fontId="5" fillId="0" borderId="0" xfId="0" applyFont="1"/>
    <xf numFmtId="9" fontId="0" fillId="0" borderId="0" xfId="0" applyNumberFormat="1"/>
    <xf numFmtId="0" fontId="0" fillId="0" borderId="0" xfId="0" applyAlignment="1">
      <alignment textRotation="90"/>
    </xf>
    <xf numFmtId="0" fontId="0" fillId="0" borderId="21" xfId="0" applyBorder="1"/>
    <xf numFmtId="0" fontId="0" fillId="0" borderId="30" xfId="0" applyBorder="1"/>
    <xf numFmtId="0" fontId="0" fillId="0" borderId="30" xfId="0" applyBorder="1" applyAlignment="1">
      <alignment vertical="center"/>
    </xf>
    <xf numFmtId="0" fontId="0" fillId="7" borderId="21" xfId="0" applyFill="1" applyBorder="1"/>
    <xf numFmtId="164" fontId="0" fillId="7" borderId="21" xfId="3" applyNumberFormat="1" applyFont="1" applyFill="1" applyBorder="1"/>
    <xf numFmtId="0" fontId="0" fillId="0" borderId="16" xfId="0" applyBorder="1"/>
    <xf numFmtId="164" fontId="0" fillId="0" borderId="16" xfId="3" applyNumberFormat="1" applyFont="1" applyBorder="1"/>
    <xf numFmtId="0" fontId="0" fillId="8" borderId="0" xfId="0" applyFill="1"/>
    <xf numFmtId="0" fontId="0" fillId="9" borderId="0" xfId="0" applyFill="1"/>
    <xf numFmtId="164" fontId="0" fillId="9" borderId="0" xfId="3" applyNumberFormat="1" applyFont="1" applyFill="1"/>
    <xf numFmtId="0" fontId="40" fillId="4" borderId="0" xfId="0" applyFont="1" applyFill="1"/>
    <xf numFmtId="0" fontId="39" fillId="4" borderId="0" xfId="0" applyFont="1" applyFill="1"/>
    <xf numFmtId="0" fontId="42" fillId="0" borderId="0" xfId="0" applyFont="1"/>
    <xf numFmtId="0" fontId="0" fillId="10" borderId="25" xfId="0" applyFill="1" applyBorder="1"/>
    <xf numFmtId="164" fontId="0" fillId="10" borderId="25" xfId="3" applyNumberFormat="1" applyFont="1" applyFill="1" applyBorder="1"/>
    <xf numFmtId="0" fontId="4" fillId="9" borderId="0" xfId="0" applyFont="1" applyFill="1"/>
    <xf numFmtId="0" fontId="0" fillId="10" borderId="31" xfId="0" applyFill="1" applyBorder="1" applyAlignment="1">
      <alignment horizontal="center"/>
    </xf>
    <xf numFmtId="6" fontId="0" fillId="0" borderId="3" xfId="0" applyNumberFormat="1" applyBorder="1"/>
    <xf numFmtId="10" fontId="4" fillId="0" borderId="3" xfId="4" applyNumberFormat="1" applyFont="1" applyFill="1" applyBorder="1"/>
    <xf numFmtId="0" fontId="43" fillId="0" borderId="0" xfId="0" applyFont="1"/>
    <xf numFmtId="10" fontId="43" fillId="0" borderId="0" xfId="4" applyNumberFormat="1" applyFont="1" applyFill="1"/>
    <xf numFmtId="0" fontId="9" fillId="0" borderId="0" xfId="0" applyFont="1"/>
    <xf numFmtId="0" fontId="8" fillId="0" borderId="0" xfId="0" applyFont="1"/>
    <xf numFmtId="0" fontId="6" fillId="0" borderId="21" xfId="0" applyFont="1" applyBorder="1"/>
    <xf numFmtId="17" fontId="6" fillId="0" borderId="21" xfId="0" applyNumberFormat="1" applyFont="1" applyBorder="1" applyAlignment="1">
      <alignment horizontal="right"/>
    </xf>
    <xf numFmtId="0" fontId="6" fillId="0" borderId="2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1" applyFont="1" applyFill="1" applyAlignment="1">
      <alignment horizontal="center"/>
    </xf>
    <xf numFmtId="0" fontId="34" fillId="0" borderId="4" xfId="5" applyFont="1" applyBorder="1" applyAlignment="1">
      <alignment horizontal="center" vertical="center"/>
    </xf>
    <xf numFmtId="0" fontId="34" fillId="0" borderId="5" xfId="5" applyFont="1" applyBorder="1" applyAlignment="1">
      <alignment horizontal="center" vertical="center"/>
    </xf>
    <xf numFmtId="0" fontId="34" fillId="0" borderId="6" xfId="5" applyFont="1" applyBorder="1" applyAlignment="1">
      <alignment horizontal="center" vertical="center"/>
    </xf>
    <xf numFmtId="10" fontId="12" fillId="0" borderId="9" xfId="8" applyNumberFormat="1" applyFont="1" applyFill="1" applyBorder="1" applyAlignment="1">
      <alignment horizontal="center"/>
    </xf>
    <xf numFmtId="10" fontId="12" fillId="0" borderId="10" xfId="8" applyNumberFormat="1" applyFont="1" applyFill="1" applyBorder="1" applyAlignment="1">
      <alignment horizontal="center"/>
    </xf>
    <xf numFmtId="10" fontId="12" fillId="0" borderId="11" xfId="8" applyNumberFormat="1" applyFont="1" applyFill="1" applyBorder="1" applyAlignment="1">
      <alignment horizontal="center"/>
    </xf>
    <xf numFmtId="9" fontId="12" fillId="0" borderId="9" xfId="4" applyFont="1" applyFill="1" applyBorder="1" applyAlignment="1">
      <alignment horizontal="center"/>
    </xf>
    <xf numFmtId="9" fontId="12" fillId="0" borderId="10" xfId="4" applyFont="1" applyFill="1" applyBorder="1" applyAlignment="1">
      <alignment horizontal="center"/>
    </xf>
    <xf numFmtId="9" fontId="12" fillId="0" borderId="11" xfId="4" applyFont="1" applyFill="1" applyBorder="1" applyAlignment="1">
      <alignment horizontal="center"/>
    </xf>
    <xf numFmtId="0" fontId="34" fillId="0" borderId="4" xfId="5" applyFont="1" applyBorder="1" applyAlignment="1">
      <alignment horizontal="center"/>
    </xf>
    <xf numFmtId="0" fontId="34" fillId="0" borderId="5" xfId="5" applyFont="1" applyBorder="1" applyAlignment="1">
      <alignment horizontal="center"/>
    </xf>
    <xf numFmtId="0" fontId="34" fillId="0" borderId="6" xfId="5" applyFont="1" applyBorder="1" applyAlignment="1">
      <alignment horizontal="center"/>
    </xf>
    <xf numFmtId="0" fontId="34" fillId="5" borderId="4" xfId="0" applyFont="1" applyFill="1" applyBorder="1" applyAlignment="1">
      <alignment horizontal="center"/>
    </xf>
    <xf numFmtId="0" fontId="34" fillId="5" borderId="5" xfId="0" applyFont="1" applyFill="1" applyBorder="1" applyAlignment="1">
      <alignment horizontal="center"/>
    </xf>
    <xf numFmtId="0" fontId="34" fillId="5" borderId="6" xfId="0" applyFont="1" applyFill="1" applyBorder="1" applyAlignment="1">
      <alignment horizontal="center"/>
    </xf>
    <xf numFmtId="0" fontId="28" fillId="0" borderId="0" xfId="5" applyFont="1" applyAlignment="1">
      <alignment horizontal="center"/>
    </xf>
    <xf numFmtId="0" fontId="35" fillId="4" borderId="7" xfId="6" applyFont="1" applyFill="1" applyBorder="1" applyAlignment="1">
      <alignment horizontal="center" wrapText="1"/>
    </xf>
    <xf numFmtId="0" fontId="35" fillId="4" borderId="0" xfId="6" applyFont="1" applyFill="1" applyBorder="1" applyAlignment="1">
      <alignment horizontal="center" wrapText="1"/>
    </xf>
    <xf numFmtId="0" fontId="35" fillId="4" borderId="8" xfId="6" applyFont="1" applyFill="1" applyBorder="1" applyAlignment="1">
      <alignment horizontal="center" wrapText="1"/>
    </xf>
    <xf numFmtId="1" fontId="12" fillId="2" borderId="9" xfId="7" applyNumberFormat="1" applyFont="1" applyFill="1" applyBorder="1" applyAlignment="1">
      <alignment horizontal="center"/>
    </xf>
    <xf numFmtId="1" fontId="12" fillId="2" borderId="10" xfId="7" applyNumberFormat="1" applyFont="1" applyFill="1" applyBorder="1" applyAlignment="1">
      <alignment horizontal="center"/>
    </xf>
    <xf numFmtId="1" fontId="12" fillId="2" borderId="11" xfId="7" applyNumberFormat="1" applyFont="1" applyFill="1" applyBorder="1" applyAlignment="1">
      <alignment horizontal="center"/>
    </xf>
    <xf numFmtId="2" fontId="12" fillId="2" borderId="9" xfId="7" applyNumberFormat="1" applyFont="1" applyFill="1" applyBorder="1" applyAlignment="1">
      <alignment horizontal="center"/>
    </xf>
    <xf numFmtId="2" fontId="12" fillId="2" borderId="10" xfId="7" applyNumberFormat="1" applyFont="1" applyFill="1" applyBorder="1" applyAlignment="1">
      <alignment horizontal="center"/>
    </xf>
    <xf numFmtId="2" fontId="12" fillId="2" borderId="11" xfId="7" applyNumberFormat="1" applyFont="1" applyFill="1" applyBorder="1" applyAlignment="1">
      <alignment horizontal="center"/>
    </xf>
    <xf numFmtId="170" fontId="12" fillId="2" borderId="9" xfId="7" applyNumberFormat="1" applyFont="1" applyFill="1" applyBorder="1" applyAlignment="1">
      <alignment horizontal="center"/>
    </xf>
    <xf numFmtId="170" fontId="12" fillId="2" borderId="10" xfId="7" applyNumberFormat="1" applyFont="1" applyFill="1" applyBorder="1" applyAlignment="1">
      <alignment horizontal="center"/>
    </xf>
    <xf numFmtId="170" fontId="12" fillId="2" borderId="11" xfId="7" applyNumberFormat="1" applyFont="1" applyFill="1" applyBorder="1" applyAlignment="1">
      <alignment horizontal="center"/>
    </xf>
    <xf numFmtId="170" fontId="12" fillId="0" borderId="9" xfId="8" applyNumberFormat="1" applyFont="1" applyFill="1" applyBorder="1" applyAlignment="1">
      <alignment horizontal="center"/>
    </xf>
    <xf numFmtId="170" fontId="12" fillId="0" borderId="10" xfId="8" applyNumberFormat="1" applyFont="1" applyFill="1" applyBorder="1" applyAlignment="1">
      <alignment horizontal="center"/>
    </xf>
    <xf numFmtId="170" fontId="12" fillId="0" borderId="11" xfId="8" applyNumberFormat="1" applyFont="1" applyFill="1" applyBorder="1" applyAlignment="1">
      <alignment horizontal="center"/>
    </xf>
    <xf numFmtId="0" fontId="15" fillId="4" borderId="7" xfId="6" applyFont="1" applyFill="1" applyBorder="1" applyAlignment="1">
      <alignment horizontal="center" wrapText="1"/>
    </xf>
    <xf numFmtId="0" fontId="15" fillId="4" borderId="0" xfId="6" applyFont="1" applyFill="1" applyBorder="1" applyAlignment="1">
      <alignment horizontal="center" wrapText="1"/>
    </xf>
    <xf numFmtId="0" fontId="15" fillId="4" borderId="8" xfId="6" applyFont="1" applyFill="1" applyBorder="1" applyAlignment="1">
      <alignment horizontal="center" wrapText="1"/>
    </xf>
    <xf numFmtId="170" fontId="12" fillId="0" borderId="9" xfId="7" applyNumberFormat="1" applyFont="1" applyFill="1" applyBorder="1" applyAlignment="1">
      <alignment horizontal="center" vertical="center"/>
    </xf>
    <xf numFmtId="170" fontId="12" fillId="0" borderId="10" xfId="7" applyNumberFormat="1" applyFont="1" applyFill="1" applyBorder="1" applyAlignment="1">
      <alignment horizontal="center" vertical="center"/>
    </xf>
    <xf numFmtId="170" fontId="12" fillId="0" borderId="11" xfId="7" applyNumberFormat="1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/>
    </xf>
    <xf numFmtId="0" fontId="40" fillId="6" borderId="0" xfId="0" applyFont="1" applyFill="1" applyAlignment="1">
      <alignment horizontal="center"/>
    </xf>
    <xf numFmtId="0" fontId="38" fillId="6" borderId="0" xfId="0" applyFont="1" applyFill="1" applyAlignment="1">
      <alignment horizontal="center"/>
    </xf>
    <xf numFmtId="0" fontId="41" fillId="6" borderId="0" xfId="0" applyFont="1" applyFill="1" applyAlignment="1">
      <alignment horizontal="center"/>
    </xf>
    <xf numFmtId="0" fontId="5" fillId="0" borderId="0" xfId="0" applyFont="1" applyAlignment="1">
      <alignment horizontal="center" vertical="center" textRotation="90"/>
    </xf>
    <xf numFmtId="0" fontId="4" fillId="3" borderId="17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</cellXfs>
  <cellStyles count="11">
    <cellStyle name="Comma" xfId="10" builtinId="3"/>
    <cellStyle name="Comma 2" xfId="9" xr:uid="{EEB51614-5110-42D7-B882-AB558948A326}"/>
    <cellStyle name="Currency" xfId="3" builtinId="4"/>
    <cellStyle name="Currency 2" xfId="7" xr:uid="{9D5C998E-8EA9-4937-A6B8-CBEEE78B723E}"/>
    <cellStyle name="Explanatory Text" xfId="1" builtinId="53"/>
    <cellStyle name="Hyperlink 2" xfId="6" xr:uid="{5FAA00F6-7102-492C-87B1-204DBE4DD1E8}"/>
    <cellStyle name="Normal" xfId="0" builtinId="0"/>
    <cellStyle name="Normal 2" xfId="2" xr:uid="{00000000-0005-0000-0000-000002000000}"/>
    <cellStyle name="Normal 3" xfId="5" xr:uid="{5CC8A41C-C382-4B23-997A-1E8C449A19F9}"/>
    <cellStyle name="Percent" xfId="4" builtinId="5"/>
    <cellStyle name="Percent 2" xfId="8" xr:uid="{A5D6E845-C3FB-450E-AB67-27202A8ABAF3}"/>
  </cellStyles>
  <dxfs count="16">
    <dxf>
      <font>
        <color rgb="FF006100"/>
      </font>
      <fill>
        <patternFill patternType="solid">
          <fgColor rgb="FFB7E1CD"/>
          <bgColor rgb="FFB7E1CD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B7E1CD"/>
          <bgColor rgb="FFB7E1CD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0000"/>
      </font>
      <fill>
        <patternFill patternType="solid">
          <fgColor rgb="FFF4C7C3"/>
          <bgColor rgb="FFF4C7C3"/>
        </patternFill>
      </fill>
    </dxf>
    <dxf>
      <font>
        <color rgb="FF006100"/>
      </font>
      <fill>
        <patternFill patternType="solid">
          <fgColor rgb="FFB7E1CD"/>
          <bgColor rgb="FFB7E1CD"/>
        </patternFill>
      </fill>
    </dxf>
    <dxf>
      <font>
        <color rgb="FFFF0000"/>
      </font>
      <fill>
        <patternFill patternType="solid">
          <fgColor rgb="FFF4C7C3"/>
          <bgColor rgb="FFF4C7C3"/>
        </patternFill>
      </fill>
    </dxf>
    <dxf>
      <font>
        <color rgb="FF006100"/>
      </font>
      <fill>
        <patternFill patternType="solid">
          <fgColor rgb="FFB7E1CD"/>
          <bgColor rgb="FFB7E1CD"/>
        </patternFill>
      </fill>
    </dxf>
    <dxf>
      <font>
        <color rgb="FF006100"/>
      </font>
      <fill>
        <patternFill patternType="solid">
          <fgColor rgb="FFB7E1CD"/>
          <bgColor rgb="FFB7E1CD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0000"/>
      </font>
      <fill>
        <patternFill patternType="solid">
          <fgColor rgb="FFF4C7C3"/>
          <bgColor rgb="FFF4C7C3"/>
        </patternFill>
      </fill>
    </dxf>
    <dxf>
      <font>
        <color rgb="FF006100"/>
      </font>
      <fill>
        <patternFill patternType="solid">
          <fgColor rgb="FFB7E1CD"/>
          <bgColor rgb="FFB7E1CD"/>
        </patternFill>
      </fill>
    </dxf>
    <dxf>
      <font>
        <color rgb="FF006100"/>
      </font>
      <fill>
        <patternFill patternType="solid">
          <fgColor rgb="FFB7E1CD"/>
          <bgColor rgb="FFB7E1CD"/>
        </patternFill>
      </fill>
    </dxf>
    <dxf>
      <font>
        <color rgb="FFFF0000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66"/>
      <color rgb="FF006100"/>
      <color rgb="FF1BB5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velarde/Downloads/Skydiving%20District%20Inc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velarde/AppData/Local/Microsoft/Windows/INetCache/Content.Outlook/9S8B8HX9/Skydiving%20District%20Inc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ummary of Income Statements"/>
      <sheetName val="2022"/>
      <sheetName val="2023"/>
      <sheetName val="2024"/>
      <sheetName val="Balance Sheets"/>
      <sheetName val="Cash Flow Statements"/>
    </sheetNames>
    <sheetDataSet>
      <sheetData sheetId="0"/>
      <sheetData sheetId="1"/>
      <sheetData sheetId="2">
        <row r="6">
          <cell r="C6">
            <v>11441.4</v>
          </cell>
        </row>
        <row r="7">
          <cell r="B7">
            <v>1152.9785714285715</v>
          </cell>
          <cell r="C7">
            <v>1041.4000000000001</v>
          </cell>
          <cell r="D7">
            <v>2127.2642857142855</v>
          </cell>
          <cell r="E7">
            <v>2058.6428571428569</v>
          </cell>
          <cell r="F7">
            <v>2127.2642857142855</v>
          </cell>
          <cell r="G7">
            <v>3858.6428571428578</v>
          </cell>
          <cell r="H7">
            <v>3987.2642857142864</v>
          </cell>
          <cell r="I7">
            <v>3987.2642857142864</v>
          </cell>
          <cell r="J7">
            <v>2058.6428571428569</v>
          </cell>
          <cell r="K7">
            <v>2127.2642857142855</v>
          </cell>
          <cell r="L7">
            <v>2058.6428571428569</v>
          </cell>
          <cell r="M7">
            <v>1152.9785714285715</v>
          </cell>
        </row>
        <row r="8">
          <cell r="B8">
            <v>1210.6275000000001</v>
          </cell>
          <cell r="C8">
            <v>1093.4700000000003</v>
          </cell>
          <cell r="D8">
            <v>2233.6275000000001</v>
          </cell>
          <cell r="E8">
            <v>2161.5749999999998</v>
          </cell>
          <cell r="F8">
            <v>2233.6275000000001</v>
          </cell>
          <cell r="G8">
            <v>4051.5750000000007</v>
          </cell>
          <cell r="H8">
            <v>4186.6275000000005</v>
          </cell>
          <cell r="I8">
            <v>4186.6275000000005</v>
          </cell>
          <cell r="J8">
            <v>2161.5749999999998</v>
          </cell>
          <cell r="K8">
            <v>2233.6275000000001</v>
          </cell>
          <cell r="L8">
            <v>2161.5749999999998</v>
          </cell>
          <cell r="M8">
            <v>1210.6275000000001</v>
          </cell>
        </row>
        <row r="14">
          <cell r="B14">
            <v>5000</v>
          </cell>
          <cell r="C14">
            <v>5000</v>
          </cell>
          <cell r="D14">
            <v>5000</v>
          </cell>
          <cell r="E14">
            <v>5000</v>
          </cell>
          <cell r="F14">
            <v>5000</v>
          </cell>
          <cell r="G14">
            <v>5000</v>
          </cell>
          <cell r="H14">
            <v>5000</v>
          </cell>
          <cell r="I14">
            <v>5000</v>
          </cell>
          <cell r="J14">
            <v>5000</v>
          </cell>
          <cell r="K14">
            <v>5000</v>
          </cell>
          <cell r="L14">
            <v>5000</v>
          </cell>
          <cell r="M14">
            <v>5000</v>
          </cell>
        </row>
        <row r="15">
          <cell r="B15">
            <v>500</v>
          </cell>
          <cell r="C15">
            <v>500</v>
          </cell>
          <cell r="D15">
            <v>800</v>
          </cell>
          <cell r="E15">
            <v>800</v>
          </cell>
          <cell r="F15">
            <v>800</v>
          </cell>
          <cell r="G15">
            <v>1000</v>
          </cell>
          <cell r="H15">
            <v>1000</v>
          </cell>
          <cell r="I15">
            <v>1000</v>
          </cell>
          <cell r="J15">
            <v>800</v>
          </cell>
          <cell r="K15">
            <v>800</v>
          </cell>
          <cell r="L15">
            <v>800</v>
          </cell>
          <cell r="M15">
            <v>500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ummary of Income Statements"/>
      <sheetName val="Assumptions - Season"/>
      <sheetName val="2022"/>
      <sheetName val="2023"/>
      <sheetName val="2024"/>
      <sheetName val="Balance Sheets"/>
      <sheetName val="Cash Flow Statements"/>
    </sheetNames>
    <sheetDataSet>
      <sheetData sheetId="0"/>
      <sheetData sheetId="1">
        <row r="9">
          <cell r="C9">
            <v>332676.5</v>
          </cell>
          <cell r="D9">
            <v>514596.5</v>
          </cell>
          <cell r="E9">
            <v>687019.35714285716</v>
          </cell>
        </row>
        <row r="29">
          <cell r="C29">
            <v>27375.246965669925</v>
          </cell>
          <cell r="D29">
            <v>27375.246965669925</v>
          </cell>
          <cell r="E29">
            <v>27375.246965669925</v>
          </cell>
        </row>
        <row r="36">
          <cell r="C36">
            <v>-125842.29710287922</v>
          </cell>
          <cell r="D36">
            <v>65460.942897120724</v>
          </cell>
          <cell r="E36">
            <v>158424.53146854936</v>
          </cell>
        </row>
      </sheetData>
      <sheetData sheetId="2"/>
      <sheetData sheetId="3">
        <row r="14">
          <cell r="B14">
            <v>461.19142857142862</v>
          </cell>
        </row>
      </sheetData>
      <sheetData sheetId="4"/>
      <sheetData sheetId="5"/>
      <sheetData sheetId="6">
        <row r="7">
          <cell r="D7">
            <v>159000</v>
          </cell>
        </row>
      </sheetData>
      <sheetData sheetId="7">
        <row r="23">
          <cell r="C23">
            <v>-144328.93916854914</v>
          </cell>
          <cell r="D23">
            <v>34651.286178515234</v>
          </cell>
          <cell r="E23">
            <v>128228.18670287635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E6B6-FDB9-42EE-89BC-E1DE0E668DB2}">
  <sheetPr>
    <outlinePr summaryBelow="0" summaryRight="0"/>
  </sheetPr>
  <dimension ref="A1:X989"/>
  <sheetViews>
    <sheetView showGridLines="0" tabSelected="1" zoomScale="55" zoomScaleNormal="55" workbookViewId="0">
      <selection activeCell="M15" sqref="M15"/>
    </sheetView>
  </sheetViews>
  <sheetFormatPr defaultColWidth="0" defaultRowHeight="15.75" customHeight="1" zeroHeight="1" x14ac:dyDescent="0.3"/>
  <cols>
    <col min="1" max="1" width="6.85546875" style="19" customWidth="1"/>
    <col min="2" max="2" width="21.140625" style="19" bestFit="1" customWidth="1"/>
    <col min="3" max="3" width="23.42578125" style="19" customWidth="1"/>
    <col min="4" max="4" width="19.140625" style="19" bestFit="1" customWidth="1"/>
    <col min="5" max="5" width="19.85546875" style="19" bestFit="1" customWidth="1"/>
    <col min="6" max="6" width="24.5703125" style="19" bestFit="1" customWidth="1"/>
    <col min="7" max="7" width="33" style="19" customWidth="1"/>
    <col min="8" max="8" width="16.140625" style="19" customWidth="1"/>
    <col min="9" max="9" width="19.28515625" style="19" customWidth="1"/>
    <col min="10" max="10" width="20.42578125" style="19" customWidth="1"/>
    <col min="11" max="11" width="14.42578125" style="19" customWidth="1"/>
    <col min="12" max="13" width="40.140625" style="19" customWidth="1"/>
    <col min="14" max="14" width="19.140625" style="19" customWidth="1"/>
    <col min="15" max="15" width="20.28515625" style="19" customWidth="1"/>
    <col min="16" max="16" width="5.7109375" style="19" customWidth="1"/>
    <col min="17" max="17" width="14.42578125" style="19" customWidth="1"/>
    <col min="18" max="18" width="28.42578125" style="19" hidden="1" customWidth="1"/>
    <col min="19" max="19" width="0" style="19" hidden="1" customWidth="1"/>
    <col min="20" max="20" width="29.140625" style="19" hidden="1" customWidth="1"/>
    <col min="21" max="24" width="0" style="19" hidden="1" customWidth="1"/>
    <col min="25" max="16384" width="14.42578125" style="19" hidden="1"/>
  </cols>
  <sheetData>
    <row r="1" spans="1:24" ht="57" customHeight="1" x14ac:dyDescent="0.7">
      <c r="A1" s="169" t="s">
        <v>37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8"/>
      <c r="S1" s="18"/>
      <c r="T1" s="18"/>
      <c r="U1" s="18"/>
      <c r="V1" s="18"/>
      <c r="W1" s="18"/>
      <c r="X1" s="18"/>
    </row>
    <row r="2" spans="1:24" ht="32.25" customHeight="1" x14ac:dyDescent="0.4">
      <c r="A2" s="18"/>
      <c r="B2" s="45" t="s">
        <v>39</v>
      </c>
      <c r="C2" s="116">
        <v>44896</v>
      </c>
      <c r="F2" s="46"/>
      <c r="P2" s="18"/>
      <c r="Q2" s="18"/>
      <c r="R2" s="18"/>
      <c r="S2" s="18"/>
      <c r="T2" s="18"/>
      <c r="U2" s="18"/>
      <c r="V2" s="18"/>
      <c r="W2" s="18"/>
      <c r="X2" s="18"/>
    </row>
    <row r="3" spans="1:24" ht="30" customHeight="1" thickBot="1" x14ac:dyDescent="0.35">
      <c r="A3" s="18"/>
      <c r="B3" s="20"/>
      <c r="C3" s="21"/>
      <c r="D3" s="22"/>
      <c r="E3" s="23"/>
      <c r="F3" s="24"/>
      <c r="G3" s="24"/>
      <c r="H3" s="25"/>
      <c r="I3" s="26"/>
      <c r="J3" s="26"/>
      <c r="K3" s="26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 ht="51.75" customHeight="1" x14ac:dyDescent="0.55000000000000004">
      <c r="A4" s="18"/>
      <c r="B4" s="163" t="s">
        <v>4</v>
      </c>
      <c r="C4" s="164"/>
      <c r="D4" s="164"/>
      <c r="E4" s="165"/>
      <c r="F4" s="24"/>
      <c r="G4" s="163" t="s">
        <v>30</v>
      </c>
      <c r="H4" s="164"/>
      <c r="I4" s="164"/>
      <c r="J4" s="165"/>
      <c r="K4" s="27"/>
      <c r="L4" s="163" t="s">
        <v>43</v>
      </c>
      <c r="M4" s="164"/>
      <c r="N4" s="164"/>
      <c r="O4" s="165"/>
      <c r="P4" s="18"/>
      <c r="Q4" s="18"/>
      <c r="R4" s="18"/>
      <c r="S4" s="18"/>
      <c r="T4" s="18"/>
      <c r="U4" s="18"/>
      <c r="V4" s="18"/>
      <c r="W4" s="18"/>
      <c r="X4" s="18"/>
    </row>
    <row r="5" spans="1:24" ht="27" customHeight="1" x14ac:dyDescent="0.35">
      <c r="A5" s="18"/>
      <c r="B5" s="185" t="s">
        <v>31</v>
      </c>
      <c r="C5" s="186"/>
      <c r="D5" s="186"/>
      <c r="E5" s="187"/>
      <c r="F5" s="24"/>
      <c r="G5" s="170" t="s">
        <v>145</v>
      </c>
      <c r="H5" s="171"/>
      <c r="I5" s="171"/>
      <c r="J5" s="172"/>
      <c r="K5" s="28"/>
      <c r="L5" s="170" t="s">
        <v>34</v>
      </c>
      <c r="M5" s="171"/>
      <c r="N5" s="171"/>
      <c r="O5" s="172"/>
      <c r="P5" s="27"/>
      <c r="Q5" s="18"/>
      <c r="R5" s="18"/>
      <c r="S5" s="18"/>
      <c r="T5" s="18"/>
      <c r="U5" s="18"/>
      <c r="V5" s="18"/>
      <c r="W5" s="18"/>
      <c r="X5" s="18"/>
    </row>
    <row r="6" spans="1:24" ht="72" customHeight="1" x14ac:dyDescent="0.9">
      <c r="A6" s="18"/>
      <c r="B6" s="188">
        <f>_xlfn.XLOOKUP(C2,'Rolling Budget and Forecast'!C7:N7,'Rolling Budget and Forecast'!C11:N11)</f>
        <v>13300.627500000001</v>
      </c>
      <c r="C6" s="189"/>
      <c r="D6" s="189"/>
      <c r="E6" s="190"/>
      <c r="F6" s="24"/>
      <c r="G6" s="157">
        <f>(_xlfn.XLOOKUP(C2,'Rolling Budget and Forecast'!C7:N7,'Rolling Budget and Forecast'!C11:N11)-_xlfn.XLOOKUP(Dashboard!C2,'Rolling Budget and Forecast'!C7:N7,'Rolling Budget and Forecast'!C17:N17))/_xlfn.XLOOKUP(Dashboard!C2,'Rolling Budget and Forecast'!C7:N7,'Rolling Budget and Forecast'!C11:N11)</f>
        <v>0.96240778865508414</v>
      </c>
      <c r="H6" s="158"/>
      <c r="I6" s="158"/>
      <c r="J6" s="159"/>
      <c r="K6" s="29"/>
      <c r="L6" s="157">
        <f>_xlfn.XLOOKUP(C2,'Rolling Budget and Forecast'!C7:N7,'Rolling Budget and Forecast'!C31:N31)/_xlfn.XLOOKUP(C2,'Rolling Budget and Forecast'!C7:N7,'Rolling Budget and Forecast'!C11:N11)</f>
        <v>0.14154426172750123</v>
      </c>
      <c r="M6" s="158"/>
      <c r="N6" s="158"/>
      <c r="O6" s="159"/>
      <c r="P6" s="27"/>
      <c r="Q6" s="18"/>
      <c r="R6" s="18"/>
      <c r="S6" s="18"/>
      <c r="T6" s="18"/>
      <c r="U6" s="18"/>
      <c r="V6" s="18"/>
      <c r="W6" s="18"/>
      <c r="X6" s="18"/>
    </row>
    <row r="7" spans="1:24" ht="53.1" customHeight="1" thickBot="1" x14ac:dyDescent="0.45">
      <c r="A7" s="18"/>
      <c r="B7" s="113" t="s">
        <v>40</v>
      </c>
      <c r="C7" s="118">
        <f>_xlfn.XLOOKUP(C2,'Rolling Budget and Forecast'!C7:N7,'Rolling Budget and Forecast'!C10:N10)</f>
        <v>12667.264285714286</v>
      </c>
      <c r="D7" s="114" t="s">
        <v>32</v>
      </c>
      <c r="E7" s="119">
        <f>_xlfn.XLOOKUP((EDATE(C2,-1)),'Rolling Budget and Forecast'!C7:N7,'Rolling Budget and Forecast'!C11:N11)</f>
        <v>23761.575000000001</v>
      </c>
      <c r="F7" s="33"/>
      <c r="G7" s="47" t="s">
        <v>41</v>
      </c>
      <c r="H7" s="48">
        <f>(_xlfn.XLOOKUP(C2,'Rolling Budget and Forecast'!C7:N7,'Rolling Budget and Forecast'!C10:N10)-_xlfn.XLOOKUP(Dashboard!C2,'Rolling Budget and Forecast'!C7:N7,'Rolling Budget and Forecast'!C16:N16))/_xlfn.XLOOKUP(Dashboard!C2,'Rolling Budget and Forecast'!C7:N7,'Rolling Budget and Forecast'!C10:N10)</f>
        <v>0.56887364900640969</v>
      </c>
      <c r="I7" s="31" t="s">
        <v>32</v>
      </c>
      <c r="J7" s="115">
        <f>(_xlfn.XLOOKUP(EDATE(C2,-1),'Rolling Budget and Forecast'!C7:N7,'Rolling Budget and Forecast'!C11:N11)-_xlfn.XLOOKUP(EDATE(C2,-1),'Rolling Budget and Forecast'!C7:N7,'Rolling Budget and Forecast'!C17:N17))/_xlfn.XLOOKUP(EDATE(C2,-1),'Rolling Budget and Forecast'!C7:N7,'Rolling Budget and Forecast'!C11:N11)</f>
        <v>0.96633219809713788</v>
      </c>
      <c r="K7" s="33"/>
      <c r="L7" s="47" t="s">
        <v>42</v>
      </c>
      <c r="M7" s="49" cm="1">
        <f t="array" ref="M7">(_xlfn.XLOOKUP(Dashboard!C2,'Rolling Budget and Forecast'!C7:N7,'Rolling Budget and Forecast'!C30:N30/_xlfn.XLOOKUP(Dashboard!C2,'Rolling Budget and Forecast'!C7:N7,'Rolling Budget and Forecast'!C10:N10)))</f>
        <v>-0.99923826902151802</v>
      </c>
      <c r="N7" s="31" t="s">
        <v>32</v>
      </c>
      <c r="O7" s="50">
        <f>_xlfn.XLOOKUP(EDATE(C2,-1),'Rolling Budget and Forecast'!C7:N7,'Rolling Budget and Forecast'!C31:N31)/_xlfn.XLOOKUP(EDATE(C2,-1),'Rolling Budget and Forecast'!C7:N7,'Rolling Budget and Forecast'!C11:N11)</f>
        <v>0.49384668314284724</v>
      </c>
      <c r="P7" s="18"/>
      <c r="Q7" s="18"/>
      <c r="R7" s="18"/>
      <c r="S7" s="18"/>
      <c r="T7" s="18"/>
      <c r="U7" s="18"/>
      <c r="V7" s="18"/>
      <c r="W7" s="18"/>
      <c r="X7" s="18"/>
    </row>
    <row r="8" spans="1:24" ht="27" customHeight="1" thickBot="1" x14ac:dyDescent="0.35">
      <c r="A8" s="18"/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27"/>
      <c r="Q8" s="18"/>
      <c r="R8" s="18"/>
      <c r="S8" s="18"/>
      <c r="T8" s="18"/>
      <c r="U8" s="18"/>
      <c r="V8" s="18"/>
      <c r="W8" s="18"/>
      <c r="X8" s="18"/>
    </row>
    <row r="9" spans="1:24" ht="45.95" customHeight="1" x14ac:dyDescent="0.55000000000000004">
      <c r="A9" s="18"/>
      <c r="B9" s="166" t="s">
        <v>21</v>
      </c>
      <c r="C9" s="167"/>
      <c r="D9" s="167"/>
      <c r="E9" s="168"/>
      <c r="F9" s="35"/>
      <c r="G9" s="163" t="s">
        <v>38</v>
      </c>
      <c r="H9" s="164"/>
      <c r="I9" s="164"/>
      <c r="J9" s="165"/>
      <c r="K9" s="35"/>
      <c r="L9" s="163" t="s">
        <v>33</v>
      </c>
      <c r="M9" s="164"/>
      <c r="N9" s="164"/>
      <c r="O9" s="165"/>
      <c r="P9" s="27"/>
      <c r="Q9" s="18"/>
      <c r="R9" s="18"/>
      <c r="S9" s="18"/>
      <c r="T9" s="18"/>
      <c r="U9" s="18"/>
      <c r="V9" s="18"/>
      <c r="W9" s="18"/>
      <c r="X9" s="18"/>
    </row>
    <row r="10" spans="1:24" ht="24" customHeight="1" x14ac:dyDescent="0.35">
      <c r="A10" s="18"/>
      <c r="B10" s="170" t="s">
        <v>34</v>
      </c>
      <c r="C10" s="171"/>
      <c r="D10" s="171"/>
      <c r="E10" s="172"/>
      <c r="F10" s="18"/>
      <c r="G10" s="170" t="s">
        <v>45</v>
      </c>
      <c r="H10" s="171"/>
      <c r="I10" s="171"/>
      <c r="J10" s="172"/>
      <c r="K10" s="18"/>
      <c r="L10" s="170" t="s">
        <v>148</v>
      </c>
      <c r="M10" s="171"/>
      <c r="N10" s="171"/>
      <c r="O10" s="172"/>
      <c r="P10" s="27"/>
      <c r="Q10" s="18"/>
      <c r="R10" s="18"/>
      <c r="S10" s="18"/>
      <c r="T10" s="18"/>
      <c r="U10" s="18"/>
      <c r="V10" s="18"/>
      <c r="W10" s="18"/>
      <c r="X10" s="18"/>
    </row>
    <row r="11" spans="1:24" ht="66" customHeight="1" x14ac:dyDescent="0.9">
      <c r="A11" s="18"/>
      <c r="B11" s="179">
        <f>_xlfn.XLOOKUP(C2,'Rolling Budget and Forecast'!C7:S7,'Rolling Budget and Forecast'!C24:S24)</f>
        <v>10918</v>
      </c>
      <c r="C11" s="180"/>
      <c r="D11" s="180"/>
      <c r="E11" s="181"/>
      <c r="F11" s="33"/>
      <c r="G11" s="160">
        <f>((_xlfn.XLOOKUP(C2,'Rolling Budget and Forecast'!C7:S7,'Rolling Budget and Forecast'!C47:S47)+_xlfn.XLOOKUP(Dashboard!C2,'Rolling Budget and Forecast'!C7:S7,'Rolling Budget and Forecast'!C61:S61))/_xlfn.XLOOKUP(Dashboard!C2,'Rolling Budget and Forecast'!C7:S7,'Rolling Budget and Forecast'!C75:S75))</f>
        <v>2.9279028223664354</v>
      </c>
      <c r="H11" s="161"/>
      <c r="I11" s="161"/>
      <c r="J11" s="162"/>
      <c r="K11" s="18"/>
      <c r="L11" s="182">
        <f>_xlfn.XLOOKUP(C2,'Rolling Budget and Forecast'!C7:S7,'Rolling Budget and Forecast'!C38:S38)</f>
        <v>-731.97641380582672</v>
      </c>
      <c r="M11" s="183"/>
      <c r="N11" s="183"/>
      <c r="O11" s="184"/>
      <c r="P11" s="27"/>
      <c r="Q11" s="18"/>
      <c r="R11" s="18"/>
      <c r="S11" s="18"/>
      <c r="T11" s="18"/>
      <c r="U11" s="18"/>
      <c r="V11" s="18"/>
      <c r="W11" s="18"/>
      <c r="X11" s="18"/>
    </row>
    <row r="12" spans="1:24" ht="54" customHeight="1" thickBot="1" x14ac:dyDescent="0.45">
      <c r="A12" s="18"/>
      <c r="B12" s="113" t="s">
        <v>44</v>
      </c>
      <c r="C12" s="118">
        <f>_xlfn.XLOOKUP(C2,'Rolling Budget and Forecast'!C7:S7,'Rolling Budget and Forecast'!C23:S23)</f>
        <v>10600</v>
      </c>
      <c r="D12" s="114" t="s">
        <v>32</v>
      </c>
      <c r="E12" s="119">
        <f>_xlfn.XLOOKUP(EDATE(C2,-1),'Rolling Budget and Forecast'!C7:S7,'Rolling Budget and Forecast'!C24:S24)</f>
        <v>11227</v>
      </c>
      <c r="F12" s="112"/>
      <c r="G12" s="37" t="s">
        <v>46</v>
      </c>
      <c r="H12" s="38">
        <f>((_xlfn.XLOOKUP(C2,'Rolling Budget and Forecast'!C7:S7,'Rolling Budget and Forecast'!C46:S46)+_xlfn.XLOOKUP(Dashboard!C2,'Rolling Budget and Forecast'!C7:S7,'Rolling Budget and Forecast'!C60:S60))/_xlfn.XLOOKUP(Dashboard!C2,'Rolling Budget and Forecast'!C7:S7,'Rolling Budget and Forecast'!C74:S74))</f>
        <v>3.0244372616358399</v>
      </c>
      <c r="I12" s="31" t="s">
        <v>32</v>
      </c>
      <c r="J12" s="32">
        <f>((_xlfn.XLOOKUP(EDATE(C2,-1),'Rolling Budget and Forecast'!C7:S7,'Rolling Budget and Forecast'!C47:S47)+_xlfn.XLOOKUP(EDATE(C2,-1),'Rolling Budget and Forecast'!C7:S7,'Rolling Budget and Forecast'!C61:S61))/_xlfn.XLOOKUP(EDATE(C2,-1),'Rolling Budget and Forecast'!C7:S7,'Rolling Budget and Forecast'!C75:S75))</f>
        <v>3.7301316844650194</v>
      </c>
      <c r="K12" s="18"/>
      <c r="L12" s="37" t="s">
        <v>47</v>
      </c>
      <c r="M12" s="51">
        <f>_xlfn.XLOOKUP(C2,'Rolling Budget and Forecast'!C7:S7,'Rolling Budget and Forecast'!C37:S37)</f>
        <v>-12065.053130001843</v>
      </c>
      <c r="N12" s="31" t="s">
        <v>32</v>
      </c>
      <c r="O12" s="117">
        <f>_xlfn.XLOOKUP(EDATE(C2,-1),'Rolling Budget and Forecast'!C7:S7,'Rolling Budget and Forecast'!C38:S38)</f>
        <v>9119.971086194173</v>
      </c>
      <c r="P12" s="27"/>
      <c r="Q12" s="18"/>
      <c r="R12" s="18"/>
      <c r="S12" s="18"/>
      <c r="T12" s="18"/>
      <c r="U12" s="18"/>
      <c r="V12" s="18"/>
      <c r="W12" s="18"/>
      <c r="X12" s="18"/>
    </row>
    <row r="13" spans="1:24" ht="60.95" customHeight="1" thickBot="1" x14ac:dyDescent="0.35">
      <c r="A13" s="18"/>
      <c r="F13" s="39"/>
      <c r="K13" s="40"/>
      <c r="P13" s="27"/>
      <c r="Q13" s="18"/>
      <c r="R13" s="18"/>
      <c r="S13" s="18"/>
      <c r="T13" s="18"/>
      <c r="U13" s="18"/>
      <c r="V13" s="18"/>
      <c r="W13" s="18"/>
      <c r="X13" s="18"/>
    </row>
    <row r="14" spans="1:24" ht="36.75" customHeight="1" x14ac:dyDescent="0.3">
      <c r="A14" s="18"/>
      <c r="B14" s="17"/>
      <c r="C14" s="41"/>
      <c r="D14" s="154" t="s">
        <v>149</v>
      </c>
      <c r="E14" s="155"/>
      <c r="F14" s="155"/>
      <c r="G14" s="156"/>
      <c r="H14" s="41"/>
      <c r="I14" s="154" t="s">
        <v>35</v>
      </c>
      <c r="J14" s="155"/>
      <c r="K14" s="155"/>
      <c r="L14" s="156"/>
      <c r="M14" s="43"/>
      <c r="N14" s="42"/>
      <c r="O14" s="41"/>
      <c r="P14" s="27"/>
      <c r="Q14" s="18"/>
      <c r="R14" s="18"/>
      <c r="S14" s="18"/>
      <c r="T14" s="18"/>
      <c r="U14" s="18"/>
      <c r="V14" s="18"/>
      <c r="W14" s="18"/>
      <c r="X14" s="18"/>
    </row>
    <row r="15" spans="1:24" ht="17.25" customHeight="1" x14ac:dyDescent="0.35">
      <c r="A15" s="18"/>
      <c r="B15" s="52"/>
      <c r="C15" s="52"/>
      <c r="D15" s="170" t="s">
        <v>146</v>
      </c>
      <c r="E15" s="171"/>
      <c r="F15" s="171"/>
      <c r="G15" s="172"/>
      <c r="H15" s="52"/>
      <c r="I15" s="170" t="s">
        <v>147</v>
      </c>
      <c r="J15" s="171"/>
      <c r="K15" s="171"/>
      <c r="L15" s="172"/>
      <c r="M15" s="52"/>
      <c r="N15" s="52"/>
      <c r="O15" s="52"/>
      <c r="P15" s="52"/>
      <c r="Q15" s="52"/>
      <c r="R15" s="52"/>
      <c r="S15" s="52"/>
      <c r="T15" s="52"/>
      <c r="U15" s="18"/>
      <c r="V15" s="18"/>
      <c r="W15" s="18"/>
      <c r="X15" s="18"/>
    </row>
    <row r="16" spans="1:24" ht="60.75" customHeight="1" x14ac:dyDescent="0.9">
      <c r="A16" s="18"/>
      <c r="B16" s="18"/>
      <c r="C16" s="18"/>
      <c r="D16" s="173">
        <f>(_xlfn.XLOOKUP(Dashboard!C2,'Rolling Budget and Forecast'!C7:S7,'Rolling Budget and Forecast'!C61:S61)/_xlfn.XLOOKUP(Dashboard!C2,'Rolling Budget and Forecast'!C7:S7,'Rolling Budget and Forecast'!C11:S11))*365</f>
        <v>171.95354128968725</v>
      </c>
      <c r="E16" s="174"/>
      <c r="F16" s="174"/>
      <c r="G16" s="175"/>
      <c r="H16" s="18"/>
      <c r="I16" s="176">
        <f>(_xlfn.XLOOKUP(Dashboard!C2,'Rolling Budget and Forecast'!C7:S7,'Rolling Budget and Forecast'!C75:S75)/_xlfn.XLOOKUP(Dashboard!C2,'Rolling Budget and Forecast'!C7:S7,'Rolling Budget and Forecast'!C17:S17))*365</f>
        <v>5263.3</v>
      </c>
      <c r="J16" s="177"/>
      <c r="K16" s="177"/>
      <c r="L16" s="17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ht="58.5" customHeight="1" thickBot="1" x14ac:dyDescent="0.35">
      <c r="A17" s="18"/>
      <c r="D17" s="30" t="s">
        <v>36</v>
      </c>
      <c r="E17" s="120">
        <f>(_xlfn.XLOOKUP(Dashboard!C2,'Rolling Budget and Forecast'!C7:S7,'Rolling Budget and Forecast'!C60:S60)/_xlfn.XLOOKUP(Dashboard!C2,'Rolling Budget and Forecast'!C7:S7,'Rolling Budget and Forecast'!C10:S10))*365</f>
        <v>187.2937949732071</v>
      </c>
      <c r="F17" s="31" t="s">
        <v>32</v>
      </c>
      <c r="G17" s="44">
        <f>(_xlfn.XLOOKUP(EDATE(C2,-1),'Rolling Budget and Forecast'!C7:S7,'Rolling Budget and Forecast'!C61:S61)/_xlfn.XLOOKUP(EDATE(C2,-1),'Rolling Budget and Forecast'!C7:S7,'Rolling Budget and Forecast'!C11:S11))*365</f>
        <v>92.268344181590834</v>
      </c>
      <c r="I17" s="30" t="s">
        <v>36</v>
      </c>
      <c r="J17" s="120">
        <f>(_xlfn.XLOOKUP(Dashboard!C2,'Rolling Budget and Forecast'!C7:S7,'Rolling Budget and Forecast'!C74:S74)/_xlfn.XLOOKUP(Dashboard!C2,'Rolling Budget and Forecast'!C7:S7,'Rolling Budget and Forecast'!C16:S16))*365</f>
        <v>467.84662896688684</v>
      </c>
      <c r="K17" s="31" t="s">
        <v>32</v>
      </c>
      <c r="L17" s="44">
        <f>(_xlfn.XLOOKUP(EDATE(C2,-1),'Rolling Budget and Forecast'!C7:S7,'Rolling Budget and Forecast'!C75:S75)/_xlfn.XLOOKUP(EDATE(C2,-1),'Rolling Budget and Forecast'!C7:S7,'Rolling Budget and Forecast'!C17:S17))*365</f>
        <v>3289.5624999999995</v>
      </c>
      <c r="Q17" s="18"/>
      <c r="R17" s="18"/>
      <c r="S17" s="18"/>
      <c r="T17" s="18"/>
    </row>
    <row r="18" spans="1:24" ht="17.100000000000001" customHeight="1" x14ac:dyDescent="0.3">
      <c r="A18" s="18"/>
      <c r="F18" s="18"/>
      <c r="K18" s="18"/>
      <c r="L18" s="18"/>
      <c r="Q18" s="18"/>
      <c r="R18" s="18"/>
      <c r="S18" s="18"/>
      <c r="T18" s="18"/>
    </row>
    <row r="19" spans="1:24" ht="54.95" customHeight="1" x14ac:dyDescent="0.3">
      <c r="A19" s="36"/>
      <c r="F19" s="36"/>
      <c r="K19" s="36"/>
      <c r="L19" s="36"/>
      <c r="Q19" s="36"/>
      <c r="R19" s="36"/>
      <c r="S19" s="36"/>
      <c r="T19" s="36"/>
    </row>
    <row r="20" spans="1:24" ht="18.75" hidden="1" x14ac:dyDescent="0.3">
      <c r="A20" s="40"/>
      <c r="F20" s="39"/>
      <c r="K20" s="40"/>
      <c r="L20" s="40"/>
      <c r="Q20" s="40"/>
      <c r="R20" s="40"/>
      <c r="S20" s="40"/>
      <c r="T20" s="40"/>
    </row>
    <row r="21" spans="1:24" ht="15.75" hidden="1" customHeight="1" x14ac:dyDescent="0.3">
      <c r="A21" s="18"/>
      <c r="B21" s="18"/>
      <c r="C21" s="18"/>
      <c r="D21" s="18"/>
      <c r="E21" s="18"/>
      <c r="F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ht="18.75" hidden="1" x14ac:dyDescent="0.3">
      <c r="A22" s="18"/>
      <c r="B22" s="18"/>
      <c r="C22" s="18"/>
      <c r="D22" s="18"/>
      <c r="E22" s="18"/>
      <c r="F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4" ht="15.75" hidden="1" customHeight="1" x14ac:dyDescent="0.3">
      <c r="A23" s="18"/>
      <c r="B23" s="18"/>
      <c r="C23" s="18"/>
      <c r="D23" s="18"/>
      <c r="E23" s="18"/>
      <c r="F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ht="15.75" hidden="1" customHeight="1" x14ac:dyDescent="0.3">
      <c r="A24" s="18"/>
      <c r="B24" s="18"/>
      <c r="C24" s="18"/>
      <c r="D24" s="18"/>
      <c r="E24" s="18"/>
      <c r="F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ht="15.75" hidden="1" customHeight="1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ht="15.75" hidden="1" customHeight="1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ht="15.75" hidden="1" customHeight="1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ht="15.75" hidden="1" customHeight="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ht="15.75" hidden="1" customHeight="1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ht="15.75" hidden="1" customHeight="1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4" ht="15.75" hidden="1" customHeight="1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ht="15.75" hidden="1" customHeight="1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ht="15.75" hidden="1" customHeight="1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ht="15.75" hidden="1" customHeight="1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ht="15.75" hidden="1" customHeight="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ht="15.75" hidden="1" customHeigh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ht="15.75" hidden="1" customHeight="1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ht="15.75" hidden="1" customHeight="1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ht="15.75" hidden="1" customHeight="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ht="15.75" hidden="1" customHeight="1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ht="15.75" hidden="1" customHeight="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ht="15.75" hidden="1" customHeight="1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ht="15.75" hidden="1" customHeight="1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ht="15.75" hidden="1" customHeight="1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ht="15.75" hidden="1" customHeight="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ht="15.75" hidden="1" customHeight="1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ht="15.75" hidden="1" customHeight="1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ht="15.75" hidden="1" customHeight="1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8.75" hidden="1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8.75" hidden="1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8.75" hidden="1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8.75" hidden="1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8.75" hidden="1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ht="18.75" hidden="1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ht="18.75" hidden="1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1:24" ht="18.75" hidden="1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pans="1:24" ht="18.75" hidden="1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spans="1:24" ht="18.75" hidden="1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spans="1:24" ht="18.75" hidden="1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spans="1:24" ht="18.75" hidden="1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pans="1:24" ht="18.75" hidden="1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pans="1:24" ht="18.75" hidden="1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spans="1:24" ht="18.75" hidden="1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ht="18.75" hidden="1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ht="18.75" hidden="1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ht="18.75" hidden="1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spans="1:24" ht="18.75" hidden="1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pans="1:24" ht="18.75" hidden="1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ht="18.75" hidden="1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1:24" ht="18.75" hidden="1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pans="1:24" ht="18.75" hidden="1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1:24" ht="18.75" hidden="1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1:24" ht="18.75" hidden="1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spans="1:24" ht="18.75" hidden="1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spans="1:24" ht="18.75" hidden="1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pans="1:24" ht="18.75" hidden="1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spans="1:24" ht="18.75" hidden="1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spans="1:24" ht="18.75" hidden="1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spans="1:24" ht="18.75" hidden="1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spans="1:24" ht="18.75" hidden="1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spans="1:24" ht="18.75" hidden="1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spans="1:24" ht="18.75" hidden="1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spans="1:24" ht="18.75" hidden="1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spans="1:24" ht="18.75" hidden="1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spans="1:24" ht="18.75" hidden="1" x14ac:dyDescent="0.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spans="1:24" ht="18.75" hidden="1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spans="1:24" ht="18.75" hidden="1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spans="1:24" ht="18.75" hidden="1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spans="1:24" ht="18.75" hidden="1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spans="1:24" ht="18.75" hidden="1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spans="1:24" ht="18.75" hidden="1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spans="1:24" ht="18.75" hidden="1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spans="1:24" ht="18.75" hidden="1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spans="1:24" ht="18.75" hidden="1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spans="1:24" ht="18.75" hidden="1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spans="1:24" ht="18.75" hidden="1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spans="1:24" ht="18.75" hidden="1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spans="1:24" ht="18.75" hidden="1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spans="1:24" ht="18.75" hidden="1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spans="1:24" ht="18.75" hidden="1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spans="1:24" ht="18.75" hidden="1" x14ac:dyDescent="0.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spans="1:24" ht="18.75" hidden="1" x14ac:dyDescent="0.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spans="1:24" ht="18.75" hidden="1" x14ac:dyDescent="0.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spans="1:24" ht="18.75" hidden="1" x14ac:dyDescent="0.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spans="1:24" ht="18.75" hidden="1" x14ac:dyDescent="0.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spans="1:24" ht="18.75" hidden="1" x14ac:dyDescent="0.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spans="1:24" ht="18.75" hidden="1" x14ac:dyDescent="0.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spans="1:24" ht="18.75" hidden="1" x14ac:dyDescent="0.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spans="1:24" ht="18.75" hidden="1" x14ac:dyDescent="0.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spans="1:24" ht="18.75" hidden="1" x14ac:dyDescent="0.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spans="1:24" ht="18.75" hidden="1" x14ac:dyDescent="0.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spans="1:24" ht="18.75" hidden="1" x14ac:dyDescent="0.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spans="1:24" ht="18.75" hidden="1" x14ac:dyDescent="0.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spans="1:24" ht="18.75" hidden="1" x14ac:dyDescent="0.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spans="1:24" ht="18.75" hidden="1" x14ac:dyDescent="0.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spans="1:24" ht="18.75" hidden="1" x14ac:dyDescent="0.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spans="1:24" ht="18.75" hidden="1" x14ac:dyDescent="0.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spans="1:24" ht="18.75" hidden="1" x14ac:dyDescent="0.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spans="1:24" ht="18.75" hidden="1" x14ac:dyDescent="0.3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spans="1:24" ht="18.75" hidden="1" x14ac:dyDescent="0.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spans="1:24" ht="18.75" hidden="1" x14ac:dyDescent="0.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spans="1:24" ht="18.75" hidden="1" x14ac:dyDescent="0.3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spans="1:24" ht="18.75" hidden="1" x14ac:dyDescent="0.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spans="1:24" ht="18.75" hidden="1" x14ac:dyDescent="0.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spans="1:24" ht="18.75" hidden="1" x14ac:dyDescent="0.3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spans="1:24" ht="18.75" hidden="1" x14ac:dyDescent="0.3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spans="1:24" ht="18.75" hidden="1" x14ac:dyDescent="0.3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spans="1:24" ht="18.75" hidden="1" x14ac:dyDescent="0.3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spans="1:24" ht="18.75" hidden="1" x14ac:dyDescent="0.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spans="1:24" ht="18.75" hidden="1" x14ac:dyDescent="0.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spans="1:24" ht="18.75" hidden="1" x14ac:dyDescent="0.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spans="1:24" ht="18.75" hidden="1" x14ac:dyDescent="0.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spans="1:24" ht="18.75" hidden="1" x14ac:dyDescent="0.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spans="1:24" ht="18.75" hidden="1" x14ac:dyDescent="0.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spans="1:24" ht="18.75" hidden="1" x14ac:dyDescent="0.3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spans="1:24" ht="18.75" hidden="1" x14ac:dyDescent="0.3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spans="1:24" ht="18.75" hidden="1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spans="1:24" ht="18.75" hidden="1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spans="1:24" ht="18.75" hidden="1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spans="1:24" ht="18.75" hidden="1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spans="1:24" ht="18.75" hidden="1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spans="1:24" ht="18.75" hidden="1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 ht="18.75" hidden="1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 ht="18.75" hidden="1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 ht="18.75" hidden="1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 ht="18.75" hidden="1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 ht="18.75" hidden="1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spans="1:24" ht="18.75" hidden="1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spans="1:24" ht="18.75" hidden="1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spans="1:24" ht="18.75" hidden="1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spans="1:24" ht="18.75" hidden="1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spans="1:24" ht="18.75" hidden="1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spans="1:24" ht="18.75" hidden="1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spans="1:24" ht="18.75" hidden="1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spans="1:24" ht="18.75" hidden="1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spans="1:24" ht="18.75" hidden="1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spans="1:24" ht="18.75" hidden="1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spans="1:24" ht="18.75" hidden="1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spans="1:24" ht="18.75" hidden="1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spans="1:24" ht="18.75" hidden="1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spans="1:24" ht="18.75" hidden="1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spans="1:24" ht="18.75" hidden="1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spans="1:24" ht="18.75" hidden="1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spans="1:24" ht="18.75" hidden="1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spans="1:24" ht="18.75" hidden="1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spans="1:24" ht="18.75" hidden="1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spans="1:24" ht="18.75" hidden="1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spans="1:24" ht="18.75" hidden="1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spans="1:24" ht="18.75" hidden="1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spans="1:24" ht="18.75" hidden="1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spans="1:24" ht="18.75" hidden="1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spans="1:24" ht="18.75" hidden="1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spans="1:24" ht="18.75" hidden="1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spans="1:24" ht="18.75" hidden="1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spans="1:24" ht="18.75" hidden="1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spans="1:24" ht="18.75" hidden="1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spans="1:24" ht="18.75" hidden="1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spans="1:24" ht="18.75" hidden="1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spans="1:24" ht="18.75" hidden="1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spans="1:24" ht="18.75" hidden="1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spans="1:24" ht="18.75" hidden="1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spans="1:24" ht="18.75" hidden="1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spans="1:24" ht="18.75" hidden="1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spans="1:24" ht="18.75" hidden="1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spans="1:24" ht="18.75" hidden="1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spans="1:24" ht="18.75" hidden="1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spans="1:24" ht="18.75" hidden="1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spans="1:24" ht="18.75" hidden="1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spans="1:24" ht="18.75" hidden="1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spans="1:24" ht="18.75" hidden="1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spans="1:24" ht="18.75" hidden="1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spans="1:24" ht="18.75" hidden="1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spans="1:24" ht="18.75" hidden="1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spans="1:24" ht="18.75" hidden="1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spans="1:24" ht="18.75" hidden="1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spans="1:24" ht="18.75" hidden="1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spans="1:24" ht="18.75" hidden="1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spans="1:24" ht="18.75" hidden="1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spans="1:24" ht="18.75" hidden="1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spans="1:24" ht="18.75" hidden="1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spans="1:24" ht="18.75" hidden="1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spans="1:24" ht="18.75" hidden="1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spans="1:24" ht="18.75" hidden="1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spans="1:24" ht="18.75" hidden="1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spans="1:24" ht="18.75" hidden="1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spans="1:24" ht="18.75" hidden="1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spans="1:24" ht="18.75" hidden="1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spans="1:24" ht="18.75" hidden="1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spans="1:24" ht="18.75" hidden="1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spans="1:24" ht="18.75" hidden="1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spans="1:24" ht="18.75" hidden="1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spans="1:24" ht="18.75" hidden="1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spans="1:24" ht="18.75" hidden="1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spans="1:24" ht="18.75" hidden="1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spans="1:24" ht="18.75" hidden="1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spans="1:24" ht="18.75" hidden="1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spans="1:24" ht="18.75" hidden="1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spans="1:24" ht="18.75" hidden="1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spans="1:24" ht="18.75" hidden="1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spans="1:24" ht="18.75" hidden="1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spans="1:24" ht="18.75" hidden="1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 spans="1:24" ht="18.75" hidden="1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 spans="1:24" ht="18.75" hidden="1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 spans="1:24" ht="18.75" hidden="1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 spans="1:24" ht="18.75" hidden="1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 spans="1:24" ht="18.75" hidden="1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 spans="1:24" ht="18.75" hidden="1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 spans="1:24" ht="18.75" hidden="1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 spans="1:24" ht="18.75" hidden="1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 spans="1:24" ht="18.75" hidden="1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 spans="1:24" ht="18.75" hidden="1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 spans="1:24" ht="18.75" hidden="1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 spans="1:24" ht="18.75" hidden="1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 spans="1:24" ht="18.75" hidden="1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 spans="1:24" ht="18.75" hidden="1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 spans="1:24" ht="18.75" hidden="1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 spans="1:24" ht="18.75" hidden="1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 spans="1:24" ht="18.75" hidden="1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 spans="1:24" ht="18.75" hidden="1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 spans="1:24" ht="18.75" hidden="1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 spans="1:24" ht="18.75" hidden="1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 spans="1:24" ht="18.75" hidden="1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 spans="1:24" ht="18.75" hidden="1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 spans="1:24" ht="18.75" hidden="1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 spans="1:24" ht="18.75" hidden="1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 spans="1:24" ht="18.75" hidden="1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 spans="1:24" ht="18.75" hidden="1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 spans="1:24" ht="18.75" hidden="1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 spans="1:24" ht="18.75" hidden="1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 spans="1:24" ht="18.75" hidden="1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 spans="1:24" ht="18.75" hidden="1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 spans="1:24" ht="18.75" hidden="1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 spans="1:24" ht="18.75" hidden="1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 spans="1:24" ht="18.75" hidden="1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 spans="1:24" ht="18.75" hidden="1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 spans="1:24" ht="18.75" hidden="1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spans="1:24" ht="18.75" hidden="1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 spans="1:24" ht="18.75" hidden="1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 spans="1:24" ht="18.75" hidden="1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 spans="1:24" ht="18.75" hidden="1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 spans="1:24" ht="18.75" hidden="1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 spans="1:24" ht="18.75" hidden="1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 spans="1:24" ht="18.75" hidden="1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 spans="1:24" ht="18.75" hidden="1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 spans="1:24" ht="18.75" hidden="1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 spans="1:24" ht="18.75" hidden="1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 spans="1:24" ht="18.75" hidden="1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 spans="1:24" ht="18.75" hidden="1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 spans="1:24" ht="18.75" hidden="1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 spans="1:24" ht="18.75" hidden="1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 spans="1:24" ht="18.75" hidden="1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 spans="1:24" ht="18.75" hidden="1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 spans="1:24" ht="18.75" hidden="1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 spans="1:24" ht="18.75" hidden="1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 spans="1:24" ht="18.75" hidden="1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 spans="1:24" ht="18.75" hidden="1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 spans="1:24" ht="18.75" hidden="1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 spans="1:24" ht="18.75" hidden="1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 spans="1:24" ht="18.75" hidden="1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 spans="1:24" ht="18.75" hidden="1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 spans="1:24" ht="18.75" hidden="1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 spans="1:24" ht="18.75" hidden="1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 spans="1:24" ht="18.75" hidden="1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 spans="1:24" ht="18.75" hidden="1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 spans="1:24" ht="18.75" hidden="1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 spans="1:24" ht="18.75" hidden="1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 spans="1:24" ht="18.75" hidden="1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 spans="1:24" ht="18.75" hidden="1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 spans="1:24" ht="18.75" hidden="1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 spans="1:24" ht="18.75" hidden="1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 spans="1:24" ht="18.75" hidden="1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 spans="1:24" ht="18.75" hidden="1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 spans="1:24" ht="18.75" hidden="1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 spans="1:24" ht="18.75" hidden="1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 spans="1:24" ht="18.75" hidden="1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 spans="1:24" ht="18.75" hidden="1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 spans="1:24" ht="18.75" hidden="1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 spans="1:24" ht="18.75" hidden="1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 spans="1:24" ht="18.75" hidden="1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 spans="1:24" ht="18.75" hidden="1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 spans="1:24" ht="18.75" hidden="1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 spans="1:24" ht="18.75" hidden="1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 spans="1:24" ht="18.75" hidden="1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 spans="1:24" ht="18.75" hidden="1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 spans="1:24" ht="18.75" hidden="1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 spans="1:24" ht="18.75" hidden="1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 spans="1:24" ht="18.75" hidden="1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 spans="1:24" ht="18.75" hidden="1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 spans="1:24" ht="18.75" hidden="1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 spans="1:24" ht="18.75" hidden="1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 spans="1:24" ht="18.75" hidden="1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 spans="1:24" ht="18.75" hidden="1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 spans="1:24" ht="18.75" hidden="1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 spans="1:24" ht="18.75" hidden="1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 spans="1:24" ht="18.75" hidden="1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 spans="1:24" ht="18.75" hidden="1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 spans="1:24" ht="18.75" hidden="1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 spans="1:24" ht="18.75" hidden="1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 spans="1:24" ht="18.75" hidden="1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 spans="1:24" ht="18.75" hidden="1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 spans="1:24" ht="18.75" hidden="1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spans="1:24" ht="18.75" hidden="1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 spans="1:24" ht="18.75" hidden="1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 spans="1:24" ht="18.75" hidden="1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 spans="1:24" ht="18.75" hidden="1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spans="1:24" ht="18.75" hidden="1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 spans="1:24" ht="18.75" hidden="1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 spans="1:24" ht="18.75" hidden="1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 spans="1:24" ht="18.75" hidden="1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 spans="1:24" ht="18.75" hidden="1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 spans="1:24" ht="18.75" hidden="1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 spans="1:24" ht="18.75" hidden="1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 spans="1:24" ht="18.75" hidden="1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 spans="1:24" ht="18.75" hidden="1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 spans="1:24" ht="18.75" hidden="1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 spans="1:24" ht="18.75" hidden="1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 spans="1:24" ht="18.75" hidden="1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spans="1:24" ht="18.75" hidden="1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 spans="1:24" ht="18.75" hidden="1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 spans="1:24" ht="18.75" hidden="1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 spans="1:24" ht="18.75" hidden="1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 spans="1:24" ht="18.75" hidden="1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 spans="1:24" ht="18.75" hidden="1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 spans="1:24" ht="18.75" hidden="1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 spans="1:24" ht="18.75" hidden="1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 spans="1:24" ht="18.75" hidden="1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 spans="1:24" ht="18.75" hidden="1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 spans="1:24" ht="18.75" hidden="1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 spans="1:24" ht="18.75" hidden="1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 spans="1:24" ht="18.75" hidden="1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 spans="1:24" ht="18.75" hidden="1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 spans="1:24" ht="18.75" hidden="1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 spans="1:24" ht="18.75" hidden="1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 spans="1:24" ht="18.75" hidden="1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 spans="1:24" ht="18.75" hidden="1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 spans="1:24" ht="18.75" hidden="1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 spans="1:24" ht="18.75" hidden="1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 spans="1:24" ht="18.75" hidden="1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 spans="1:24" ht="18.75" hidden="1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 spans="1:24" ht="18.75" hidden="1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 spans="1:24" ht="18.75" hidden="1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 spans="1:24" ht="18.75" hidden="1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 spans="1:24" ht="18.75" hidden="1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 spans="1:24" ht="18.75" hidden="1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 spans="1:24" ht="18.75" hidden="1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 spans="1:24" ht="18.75" hidden="1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 spans="1:24" ht="18.75" hidden="1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 spans="1:24" ht="18.75" hidden="1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 spans="1:24" ht="18.75" hidden="1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 spans="1:24" ht="18.75" hidden="1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 spans="1:24" ht="18.75" hidden="1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 spans="1:24" ht="18.75" hidden="1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 spans="1:24" ht="18.75" hidden="1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 spans="1:24" ht="18.75" hidden="1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 spans="1:24" ht="18.75" hidden="1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 spans="1:24" ht="18.75" hidden="1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 spans="1:24" ht="18.75" hidden="1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 spans="1:24" ht="18.75" hidden="1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 spans="1:24" ht="18.75" hidden="1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 spans="1:24" ht="18.75" hidden="1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 spans="1:24" ht="18.75" hidden="1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 spans="1:24" ht="18.75" hidden="1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 spans="1:24" ht="18.75" hidden="1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 spans="1:24" ht="18.75" hidden="1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 spans="1:24" ht="18.75" hidden="1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 spans="1:24" ht="18.75" hidden="1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 spans="1:24" ht="18.75" hidden="1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 spans="1:24" ht="18.75" hidden="1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 spans="1:24" ht="18.75" hidden="1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 spans="1:24" ht="18.75" hidden="1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 spans="1:24" ht="18.75" hidden="1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 spans="1:24" ht="18.75" hidden="1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 spans="1:24" ht="18.75" hidden="1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 spans="1:24" ht="18.75" hidden="1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 spans="1:24" ht="18.75" hidden="1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 spans="1:24" ht="18.75" hidden="1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 spans="1:24" ht="18.75" hidden="1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 spans="1:24" ht="18.75" hidden="1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 spans="1:24" ht="18.75" hidden="1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 spans="1:24" ht="18.75" hidden="1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 spans="1:24" ht="18.75" hidden="1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 spans="1:24" ht="18.75" hidden="1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 spans="1:24" ht="18.75" hidden="1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 spans="1:24" ht="18.75" hidden="1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 spans="1:24" ht="18.75" hidden="1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 spans="1:24" ht="18.75" hidden="1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 spans="1:24" ht="18.75" hidden="1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 spans="1:24" ht="18.75" hidden="1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 spans="1:24" ht="18.75" hidden="1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 spans="1:24" ht="18.75" hidden="1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 spans="1:24" ht="18.75" hidden="1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 spans="1:24" ht="18.75" hidden="1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 spans="1:24" ht="18.75" hidden="1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 spans="1:24" ht="18.75" hidden="1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 spans="1:24" ht="18.75" hidden="1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 spans="1:24" ht="18.75" hidden="1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 spans="1:24" ht="18.75" hidden="1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 spans="1:24" ht="18.75" hidden="1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 spans="1:24" ht="18.75" hidden="1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 spans="1:24" ht="18.75" hidden="1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 spans="1:24" ht="18.75" hidden="1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 spans="1:24" ht="18.75" hidden="1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 spans="1:24" ht="18.75" hidden="1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 spans="1:24" ht="18.75" hidden="1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 spans="1:24" ht="18.75" hidden="1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 spans="1:24" ht="18.75" hidden="1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 spans="1:24" ht="18.75" hidden="1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 spans="1:24" ht="18.75" hidden="1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 spans="1:24" ht="18.75" hidden="1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 spans="1:24" ht="18.75" hidden="1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 spans="1:24" ht="18.75" hidden="1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 spans="1:24" ht="18.75" hidden="1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 spans="1:24" ht="18.75" hidden="1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 spans="1:24" ht="18.75" hidden="1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 spans="1:24" ht="18.75" hidden="1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 spans="1:24" ht="18.75" hidden="1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 spans="1:24" ht="18.75" hidden="1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 spans="1:24" ht="18.75" hidden="1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 spans="1:24" ht="18.75" hidden="1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 spans="1:24" ht="18.75" hidden="1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 spans="1:24" ht="18.75" hidden="1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 spans="1:24" ht="18.75" hidden="1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 spans="1:24" ht="18.75" hidden="1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 spans="1:24" ht="18.75" hidden="1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 spans="1:24" ht="18.75" hidden="1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 spans="1:24" ht="18.75" hidden="1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 spans="1:24" ht="18.75" hidden="1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 spans="1:24" ht="18.75" hidden="1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 spans="1:24" ht="18.75" hidden="1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 spans="1:24" ht="18.75" hidden="1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 spans="1:24" ht="18.75" hidden="1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 spans="1:24" ht="18.75" hidden="1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 spans="1:24" ht="18.75" hidden="1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 spans="1:24" ht="18.75" hidden="1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 spans="1:24" ht="18.75" hidden="1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 spans="1:24" ht="18.75" hidden="1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 spans="1:24" ht="18.75" hidden="1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 spans="1:24" ht="18.75" hidden="1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 spans="1:24" ht="18.75" hidden="1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 spans="1:24" ht="18.75" hidden="1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 spans="1:24" ht="18.75" hidden="1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 spans="1:24" ht="18.75" hidden="1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 spans="1:24" ht="18.75" hidden="1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 spans="1:24" ht="18.75" hidden="1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 spans="1:24" ht="18.75" hidden="1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 spans="1:24" ht="18.75" hidden="1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 spans="1:24" ht="18.75" hidden="1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 spans="1:24" ht="18.75" hidden="1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 spans="1:24" ht="18.75" hidden="1" x14ac:dyDescent="0.3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 spans="1:24" ht="18.75" hidden="1" x14ac:dyDescent="0.3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 spans="1:24" ht="18.75" hidden="1" x14ac:dyDescent="0.3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 spans="1:24" ht="18.75" hidden="1" x14ac:dyDescent="0.3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 spans="1:24" ht="18.75" hidden="1" x14ac:dyDescent="0.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 spans="1:24" ht="18.75" hidden="1" x14ac:dyDescent="0.3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 spans="1:24" ht="18.75" hidden="1" x14ac:dyDescent="0.3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 spans="1:24" ht="18.75" hidden="1" x14ac:dyDescent="0.3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 spans="1:24" ht="18.75" hidden="1" x14ac:dyDescent="0.3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 spans="1:24" ht="18.75" hidden="1" x14ac:dyDescent="0.3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 spans="1:24" ht="18.75" hidden="1" x14ac:dyDescent="0.3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 spans="1:24" ht="18.75" hidden="1" x14ac:dyDescent="0.3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 spans="1:24" ht="18.75" hidden="1" x14ac:dyDescent="0.3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 spans="1:24" ht="18.75" hidden="1" x14ac:dyDescent="0.3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 spans="1:24" ht="18.75" hidden="1" x14ac:dyDescent="0.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 spans="1:24" ht="18.75" hidden="1" x14ac:dyDescent="0.3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 spans="1:24" ht="18.75" hidden="1" x14ac:dyDescent="0.3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 spans="1:24" ht="18.75" hidden="1" x14ac:dyDescent="0.3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 spans="1:24" ht="18.75" hidden="1" x14ac:dyDescent="0.3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 spans="1:24" ht="18.75" hidden="1" x14ac:dyDescent="0.3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 spans="1:24" ht="18.75" hidden="1" x14ac:dyDescent="0.3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 spans="1:24" ht="18.75" hidden="1" x14ac:dyDescent="0.3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 spans="1:24" ht="18.75" hidden="1" x14ac:dyDescent="0.3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 spans="1:24" ht="18.75" hidden="1" x14ac:dyDescent="0.3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 spans="1:24" ht="18.75" hidden="1" x14ac:dyDescent="0.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 spans="1:24" ht="18.75" hidden="1" x14ac:dyDescent="0.3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 spans="1:24" ht="18.75" hidden="1" x14ac:dyDescent="0.3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 spans="1:24" ht="18.75" hidden="1" x14ac:dyDescent="0.3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 spans="1:24" ht="18.75" hidden="1" x14ac:dyDescent="0.3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 spans="1:24" ht="18.75" hidden="1" x14ac:dyDescent="0.3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 spans="1:24" ht="18.75" hidden="1" x14ac:dyDescent="0.3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 spans="1:24" ht="18.75" hidden="1" x14ac:dyDescent="0.3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 spans="1:24" ht="18.75" hidden="1" x14ac:dyDescent="0.3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 spans="1:24" ht="18.75" hidden="1" x14ac:dyDescent="0.3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 spans="1:24" ht="18.75" hidden="1" x14ac:dyDescent="0.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 spans="1:24" ht="18.75" hidden="1" x14ac:dyDescent="0.3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 spans="1:24" ht="18.75" hidden="1" x14ac:dyDescent="0.3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 spans="1:24" ht="18.75" hidden="1" x14ac:dyDescent="0.3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 spans="1:24" ht="18.75" hidden="1" x14ac:dyDescent="0.3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 spans="1:24" ht="18.75" hidden="1" x14ac:dyDescent="0.3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 spans="1:24" ht="18.75" hidden="1" x14ac:dyDescent="0.3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 spans="1:24" ht="18.75" hidden="1" x14ac:dyDescent="0.3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 spans="1:24" ht="18.75" hidden="1" x14ac:dyDescent="0.3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 spans="1:24" ht="18.75" hidden="1" x14ac:dyDescent="0.3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 spans="1:24" ht="18.75" hidden="1" x14ac:dyDescent="0.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 spans="1:24" ht="18.75" hidden="1" x14ac:dyDescent="0.3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 spans="1:24" ht="18.75" hidden="1" x14ac:dyDescent="0.3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 spans="1:24" ht="18.75" hidden="1" x14ac:dyDescent="0.3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 spans="1:24" ht="18.75" hidden="1" x14ac:dyDescent="0.3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 spans="1:24" ht="18.75" hidden="1" x14ac:dyDescent="0.3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 spans="1:24" ht="18.75" hidden="1" x14ac:dyDescent="0.3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 spans="1:24" ht="18.75" hidden="1" x14ac:dyDescent="0.3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 spans="1:24" ht="18.75" hidden="1" x14ac:dyDescent="0.3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 spans="1:24" ht="18.75" hidden="1" x14ac:dyDescent="0.3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 spans="1:24" ht="18.75" hidden="1" x14ac:dyDescent="0.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 spans="1:24" ht="18.75" hidden="1" x14ac:dyDescent="0.3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 spans="1:24" ht="18.75" hidden="1" x14ac:dyDescent="0.3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 spans="1:24" ht="18.75" hidden="1" x14ac:dyDescent="0.3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 spans="1:24" ht="18.75" hidden="1" x14ac:dyDescent="0.3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 spans="1:24" ht="18.75" hidden="1" x14ac:dyDescent="0.3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 spans="1:24" ht="18.75" hidden="1" x14ac:dyDescent="0.3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 spans="1:24" ht="18.75" hidden="1" x14ac:dyDescent="0.3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 spans="1:24" ht="18.75" hidden="1" x14ac:dyDescent="0.3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 spans="1:24" ht="18.75" hidden="1" x14ac:dyDescent="0.3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 spans="1:24" ht="18.75" hidden="1" x14ac:dyDescent="0.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 spans="1:24" ht="18.75" hidden="1" x14ac:dyDescent="0.3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 spans="1:24" ht="18.75" hidden="1" x14ac:dyDescent="0.3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 spans="1:24" ht="18.75" hidden="1" x14ac:dyDescent="0.3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 spans="1:24" ht="18.75" hidden="1" x14ac:dyDescent="0.3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 spans="1:24" ht="18.75" hidden="1" x14ac:dyDescent="0.3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 spans="1:24" ht="18.75" hidden="1" x14ac:dyDescent="0.3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 spans="1:24" ht="18.75" hidden="1" x14ac:dyDescent="0.3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 spans="1:24" ht="18.75" hidden="1" x14ac:dyDescent="0.3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 spans="1:24" ht="18.75" hidden="1" x14ac:dyDescent="0.3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 spans="1:24" ht="18.75" hidden="1" x14ac:dyDescent="0.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 spans="1:24" ht="18.75" hidden="1" x14ac:dyDescent="0.3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 spans="1:24" ht="18.75" hidden="1" x14ac:dyDescent="0.3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 spans="1:24" ht="18.75" hidden="1" x14ac:dyDescent="0.3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 spans="1:24" ht="18.75" hidden="1" x14ac:dyDescent="0.3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 spans="1:24" ht="18.75" hidden="1" x14ac:dyDescent="0.3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 spans="1:24" ht="18.75" hidden="1" x14ac:dyDescent="0.3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 spans="1:24" ht="18.75" hidden="1" x14ac:dyDescent="0.3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 spans="1:24" ht="18.75" hidden="1" x14ac:dyDescent="0.3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 spans="1:24" ht="18.75" hidden="1" x14ac:dyDescent="0.3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 spans="1:24" ht="18.75" hidden="1" x14ac:dyDescent="0.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 spans="1:24" ht="18.75" hidden="1" x14ac:dyDescent="0.3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 spans="1:24" ht="18.75" hidden="1" x14ac:dyDescent="0.3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 spans="1:24" ht="18.75" hidden="1" x14ac:dyDescent="0.3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 spans="1:24" ht="18.75" hidden="1" x14ac:dyDescent="0.3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 spans="1:24" ht="18.75" hidden="1" x14ac:dyDescent="0.3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 spans="1:24" ht="18.75" hidden="1" x14ac:dyDescent="0.3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 spans="1:24" ht="18.75" hidden="1" x14ac:dyDescent="0.3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 spans="1:24" ht="18.75" hidden="1" x14ac:dyDescent="0.3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 spans="1:24" ht="18.75" hidden="1" x14ac:dyDescent="0.3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 spans="1:24" ht="18.75" hidden="1" x14ac:dyDescent="0.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 spans="1:24" ht="18.75" hidden="1" x14ac:dyDescent="0.3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 spans="1:24" ht="18.75" hidden="1" x14ac:dyDescent="0.3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 spans="1:24" ht="18.75" hidden="1" x14ac:dyDescent="0.3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 spans="1:24" ht="18.75" hidden="1" x14ac:dyDescent="0.3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 spans="1:24" ht="18.75" hidden="1" x14ac:dyDescent="0.3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 spans="1:24" ht="18.75" hidden="1" x14ac:dyDescent="0.3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 spans="1:24" ht="18.75" hidden="1" x14ac:dyDescent="0.3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 spans="1:24" ht="18.75" hidden="1" x14ac:dyDescent="0.3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 spans="1:24" ht="18.75" hidden="1" x14ac:dyDescent="0.3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 spans="1:24" ht="18.75" hidden="1" x14ac:dyDescent="0.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 spans="1:24" ht="18.75" hidden="1" x14ac:dyDescent="0.3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 spans="1:24" ht="18.75" hidden="1" x14ac:dyDescent="0.3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 spans="1:24" ht="18.75" hidden="1" x14ac:dyDescent="0.3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 spans="1:24" ht="18.75" hidden="1" x14ac:dyDescent="0.3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 spans="1:24" ht="18.75" hidden="1" x14ac:dyDescent="0.3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 spans="1:24" ht="18.75" hidden="1" x14ac:dyDescent="0.3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 spans="1:24" ht="18.75" hidden="1" x14ac:dyDescent="0.3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 spans="1:24" ht="18.75" hidden="1" x14ac:dyDescent="0.3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 spans="1:24" ht="18.75" hidden="1" x14ac:dyDescent="0.3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 spans="1:24" ht="18.75" hidden="1" x14ac:dyDescent="0.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 spans="1:24" ht="18.75" hidden="1" x14ac:dyDescent="0.3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 spans="1:24" ht="18.75" hidden="1" x14ac:dyDescent="0.3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 spans="1:24" ht="18.75" hidden="1" x14ac:dyDescent="0.3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 spans="1:24" ht="18.75" hidden="1" x14ac:dyDescent="0.3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 spans="1:24" ht="18.75" hidden="1" x14ac:dyDescent="0.3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 spans="1:24" ht="18.75" hidden="1" x14ac:dyDescent="0.3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 spans="1:24" ht="18.75" hidden="1" x14ac:dyDescent="0.3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 spans="1:24" ht="18.75" hidden="1" x14ac:dyDescent="0.3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 spans="1:24" ht="18.75" hidden="1" x14ac:dyDescent="0.3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 spans="1:24" ht="18.75" hidden="1" x14ac:dyDescent="0.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 spans="1:24" ht="18.75" hidden="1" x14ac:dyDescent="0.3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 spans="1:24" ht="18.75" hidden="1" x14ac:dyDescent="0.3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 spans="1:24" ht="18.75" hidden="1" x14ac:dyDescent="0.3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 spans="1:24" ht="18.75" hidden="1" x14ac:dyDescent="0.3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 spans="1:24" ht="18.75" hidden="1" x14ac:dyDescent="0.3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 spans="1:24" ht="18.75" hidden="1" x14ac:dyDescent="0.3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 spans="1:24" ht="18.75" hidden="1" x14ac:dyDescent="0.3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 spans="1:24" ht="18.75" hidden="1" x14ac:dyDescent="0.3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 spans="1:24" ht="18.75" hidden="1" x14ac:dyDescent="0.3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 spans="1:24" ht="18.75" hidden="1" x14ac:dyDescent="0.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 spans="1:24" ht="18.75" hidden="1" x14ac:dyDescent="0.3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 spans="1:24" ht="18.75" hidden="1" x14ac:dyDescent="0.3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 spans="1:24" ht="18.75" hidden="1" x14ac:dyDescent="0.3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 spans="1:24" ht="18.75" hidden="1" x14ac:dyDescent="0.3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 spans="1:24" ht="18.75" hidden="1" x14ac:dyDescent="0.3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 spans="1:24" ht="18.75" hidden="1" x14ac:dyDescent="0.3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 spans="1:24" ht="18.75" hidden="1" x14ac:dyDescent="0.3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 spans="1:24" ht="18.75" hidden="1" x14ac:dyDescent="0.3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 spans="1:24" ht="18.75" hidden="1" x14ac:dyDescent="0.3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 spans="1:24" ht="18.75" hidden="1" x14ac:dyDescent="0.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 spans="1:24" ht="18.75" hidden="1" x14ac:dyDescent="0.3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 spans="1:24" ht="18.75" hidden="1" x14ac:dyDescent="0.3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 spans="1:24" ht="18.75" hidden="1" x14ac:dyDescent="0.3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 spans="1:24" ht="18.75" hidden="1" x14ac:dyDescent="0.3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 spans="1:24" ht="18.75" hidden="1" x14ac:dyDescent="0.3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 spans="1:24" ht="18.75" hidden="1" x14ac:dyDescent="0.3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 spans="1:24" ht="18.75" hidden="1" x14ac:dyDescent="0.3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 spans="1:24" ht="18.75" hidden="1" x14ac:dyDescent="0.3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 spans="1:24" ht="18.75" hidden="1" x14ac:dyDescent="0.3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 spans="1:24" ht="18.75" hidden="1" x14ac:dyDescent="0.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 spans="1:24" ht="18.75" hidden="1" x14ac:dyDescent="0.3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 spans="1:24" ht="18.75" hidden="1" x14ac:dyDescent="0.3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 spans="1:24" ht="18.75" hidden="1" x14ac:dyDescent="0.3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 spans="1:24" ht="18.75" hidden="1" x14ac:dyDescent="0.3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 spans="1:24" ht="18.75" hidden="1" x14ac:dyDescent="0.3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 spans="1:24" ht="18.75" hidden="1" x14ac:dyDescent="0.3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 spans="1:24" ht="18.75" hidden="1" x14ac:dyDescent="0.3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 spans="1:24" ht="18.75" hidden="1" x14ac:dyDescent="0.3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 spans="1:24" ht="18.75" hidden="1" x14ac:dyDescent="0.3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 spans="1:24" ht="18.75" hidden="1" x14ac:dyDescent="0.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 spans="1:24" ht="18.75" hidden="1" x14ac:dyDescent="0.3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 spans="1:24" ht="18.75" hidden="1" x14ac:dyDescent="0.3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 spans="1:24" ht="18.75" hidden="1" x14ac:dyDescent="0.3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 spans="1:24" ht="18.75" hidden="1" x14ac:dyDescent="0.3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 spans="1:24" ht="18.75" hidden="1" x14ac:dyDescent="0.3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 spans="1:24" ht="18.75" hidden="1" x14ac:dyDescent="0.3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 spans="1:24" ht="18.75" hidden="1" x14ac:dyDescent="0.3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 spans="1:24" ht="18.75" hidden="1" x14ac:dyDescent="0.3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 spans="1:24" ht="18.75" hidden="1" x14ac:dyDescent="0.3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 spans="1:24" ht="18.75" hidden="1" x14ac:dyDescent="0.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 spans="1:24" ht="18.75" hidden="1" x14ac:dyDescent="0.3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 spans="1:24" ht="18.75" hidden="1" x14ac:dyDescent="0.3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 spans="1:24" ht="18.75" hidden="1" x14ac:dyDescent="0.3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 spans="1:24" ht="18.75" hidden="1" x14ac:dyDescent="0.3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 spans="1:24" ht="18.75" hidden="1" x14ac:dyDescent="0.3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 spans="1:24" ht="18.75" hidden="1" x14ac:dyDescent="0.3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 spans="1:24" ht="18.75" hidden="1" x14ac:dyDescent="0.3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 spans="1:24" ht="18.75" hidden="1" x14ac:dyDescent="0.3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 spans="1:24" ht="18.75" hidden="1" x14ac:dyDescent="0.3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 spans="1:24" ht="18.75" hidden="1" x14ac:dyDescent="0.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 spans="1:24" ht="18.75" hidden="1" x14ac:dyDescent="0.3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 spans="1:24" ht="18.75" hidden="1" x14ac:dyDescent="0.3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 spans="1:24" ht="18.75" hidden="1" x14ac:dyDescent="0.3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 spans="1:24" ht="18.75" hidden="1" x14ac:dyDescent="0.3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 spans="1:24" ht="18.75" hidden="1" x14ac:dyDescent="0.3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 spans="1:24" ht="18.75" hidden="1" x14ac:dyDescent="0.3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 spans="1:24" ht="18.75" hidden="1" x14ac:dyDescent="0.3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 spans="1:24" ht="18.75" hidden="1" x14ac:dyDescent="0.3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 spans="1:24" ht="18.75" hidden="1" x14ac:dyDescent="0.3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 spans="1:24" ht="18.75" hidden="1" x14ac:dyDescent="0.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 spans="1:24" ht="18.75" hidden="1" x14ac:dyDescent="0.3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 spans="1:24" ht="18.75" hidden="1" x14ac:dyDescent="0.3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 spans="1:24" ht="18.75" hidden="1" x14ac:dyDescent="0.3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 spans="1:24" ht="18.75" hidden="1" x14ac:dyDescent="0.3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 spans="1:24" ht="18.75" hidden="1" x14ac:dyDescent="0.3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 spans="1:24" ht="18.75" hidden="1" x14ac:dyDescent="0.3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 spans="1:24" ht="18.75" hidden="1" x14ac:dyDescent="0.3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 spans="1:24" ht="18.75" hidden="1" x14ac:dyDescent="0.3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 spans="1:24" ht="18.75" hidden="1" x14ac:dyDescent="0.3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 spans="1:24" ht="18.75" hidden="1" x14ac:dyDescent="0.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 spans="1:24" ht="18.75" hidden="1" x14ac:dyDescent="0.3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 spans="1:24" ht="18.75" hidden="1" x14ac:dyDescent="0.3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 spans="1:24" ht="18.75" hidden="1" x14ac:dyDescent="0.3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 spans="1:24" ht="18.75" hidden="1" x14ac:dyDescent="0.3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 spans="1:24" ht="18.75" hidden="1" x14ac:dyDescent="0.3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 spans="1:24" ht="18.75" hidden="1" x14ac:dyDescent="0.3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 spans="1:24" ht="18.75" hidden="1" x14ac:dyDescent="0.3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 spans="1:24" ht="18.75" hidden="1" x14ac:dyDescent="0.3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 spans="1:24" ht="18.75" hidden="1" x14ac:dyDescent="0.3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 spans="1:24" ht="18.75" hidden="1" x14ac:dyDescent="0.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 spans="1:24" ht="18.75" hidden="1" x14ac:dyDescent="0.3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 spans="1:24" ht="18.75" hidden="1" x14ac:dyDescent="0.3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 spans="1:24" ht="18.75" hidden="1" x14ac:dyDescent="0.3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 spans="1:24" ht="18.75" hidden="1" x14ac:dyDescent="0.3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 spans="1:24" ht="18.75" hidden="1" x14ac:dyDescent="0.3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 spans="1:24" ht="18.75" hidden="1" x14ac:dyDescent="0.3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 spans="1:24" ht="18.75" hidden="1" x14ac:dyDescent="0.3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</row>
    <row r="691" spans="1:24" ht="18.75" hidden="1" x14ac:dyDescent="0.3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 spans="1:24" ht="18.75" hidden="1" x14ac:dyDescent="0.3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 spans="1:24" ht="18.75" hidden="1" x14ac:dyDescent="0.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 spans="1:24" ht="18.75" hidden="1" x14ac:dyDescent="0.3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 spans="1:24" ht="18.75" hidden="1" x14ac:dyDescent="0.3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 spans="1:24" ht="18.75" hidden="1" x14ac:dyDescent="0.3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 spans="1:24" ht="18.75" hidden="1" x14ac:dyDescent="0.3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</row>
    <row r="698" spans="1:24" ht="18.75" hidden="1" x14ac:dyDescent="0.3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 spans="1:24" ht="18.75" hidden="1" x14ac:dyDescent="0.3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 spans="1:24" ht="18.75" hidden="1" x14ac:dyDescent="0.3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 spans="1:24" ht="18.75" hidden="1" x14ac:dyDescent="0.3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 spans="1:24" ht="18.75" hidden="1" x14ac:dyDescent="0.3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 spans="1:24" ht="18.75" hidden="1" x14ac:dyDescent="0.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 spans="1:24" ht="18.75" hidden="1" x14ac:dyDescent="0.3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 spans="1:24" ht="18.75" hidden="1" x14ac:dyDescent="0.3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 spans="1:24" ht="18.75" hidden="1" x14ac:dyDescent="0.3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 spans="1:24" ht="18.75" hidden="1" x14ac:dyDescent="0.3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 spans="1:24" ht="18.75" hidden="1" x14ac:dyDescent="0.3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 spans="1:24" ht="18.75" hidden="1" x14ac:dyDescent="0.3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 spans="1:24" ht="18.75" hidden="1" x14ac:dyDescent="0.3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 spans="1:24" ht="18.75" hidden="1" x14ac:dyDescent="0.3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 spans="1:24" ht="18.75" hidden="1" x14ac:dyDescent="0.3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 spans="1:24" ht="18.75" hidden="1" x14ac:dyDescent="0.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 spans="1:24" ht="18.75" hidden="1" x14ac:dyDescent="0.3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 spans="1:24" ht="18.75" hidden="1" x14ac:dyDescent="0.3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 spans="1:24" ht="18.75" hidden="1" x14ac:dyDescent="0.3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 spans="1:24" ht="18.75" hidden="1" x14ac:dyDescent="0.3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 spans="1:24" ht="18.75" hidden="1" x14ac:dyDescent="0.3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 spans="1:24" ht="18.75" hidden="1" x14ac:dyDescent="0.3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 spans="1:24" ht="18.75" hidden="1" x14ac:dyDescent="0.3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 spans="1:24" ht="18.75" hidden="1" x14ac:dyDescent="0.3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 spans="1:24" ht="18.75" hidden="1" x14ac:dyDescent="0.3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 spans="1:24" ht="18.75" hidden="1" x14ac:dyDescent="0.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 spans="1:24" ht="18.75" hidden="1" x14ac:dyDescent="0.3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 spans="1:24" ht="18.75" hidden="1" x14ac:dyDescent="0.3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 spans="1:24" ht="18.75" hidden="1" x14ac:dyDescent="0.3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 spans="1:24" ht="18.75" hidden="1" x14ac:dyDescent="0.3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 spans="1:24" ht="18.75" hidden="1" x14ac:dyDescent="0.3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 spans="1:24" ht="18.75" hidden="1" x14ac:dyDescent="0.3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 spans="1:24" ht="18.75" hidden="1" x14ac:dyDescent="0.3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 spans="1:24" ht="18.75" hidden="1" x14ac:dyDescent="0.3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 spans="1:24" ht="18.75" hidden="1" x14ac:dyDescent="0.3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 spans="1:24" ht="18.75" hidden="1" x14ac:dyDescent="0.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 spans="1:24" ht="18.75" hidden="1" x14ac:dyDescent="0.3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 spans="1:24" ht="18.75" hidden="1" x14ac:dyDescent="0.3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 spans="1:24" ht="18.75" hidden="1" x14ac:dyDescent="0.3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 spans="1:24" ht="18.75" hidden="1" x14ac:dyDescent="0.3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 spans="1:24" ht="18.75" hidden="1" x14ac:dyDescent="0.3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 spans="1:24" ht="18.75" hidden="1" x14ac:dyDescent="0.3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 spans="1:24" ht="18.75" hidden="1" x14ac:dyDescent="0.3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 spans="1:24" ht="18.75" hidden="1" x14ac:dyDescent="0.3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 spans="1:24" ht="18.75" hidden="1" x14ac:dyDescent="0.3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 spans="1:24" ht="18.75" hidden="1" x14ac:dyDescent="0.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 spans="1:24" ht="18.75" hidden="1" x14ac:dyDescent="0.3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 spans="1:24" ht="18.75" hidden="1" x14ac:dyDescent="0.3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 spans="1:24" ht="18.75" hidden="1" x14ac:dyDescent="0.3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 spans="1:24" ht="18.75" hidden="1" x14ac:dyDescent="0.3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 spans="1:24" ht="18.75" hidden="1" x14ac:dyDescent="0.3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 spans="1:24" ht="18.75" hidden="1" x14ac:dyDescent="0.3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 spans="1:24" ht="18.75" hidden="1" x14ac:dyDescent="0.3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 spans="1:24" ht="18.75" hidden="1" x14ac:dyDescent="0.3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 spans="1:24" ht="18.75" hidden="1" x14ac:dyDescent="0.3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 spans="1:24" ht="18.75" hidden="1" x14ac:dyDescent="0.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 spans="1:24" ht="18.75" hidden="1" x14ac:dyDescent="0.3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 spans="1:24" ht="18.75" hidden="1" x14ac:dyDescent="0.3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 spans="1:24" ht="18.75" hidden="1" x14ac:dyDescent="0.3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 spans="1:24" ht="18.75" hidden="1" x14ac:dyDescent="0.3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 spans="1:24" ht="18.75" hidden="1" x14ac:dyDescent="0.3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 spans="1:24" ht="18.75" hidden="1" x14ac:dyDescent="0.3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 spans="1:24" ht="18.75" hidden="1" x14ac:dyDescent="0.3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 spans="1:24" ht="18.75" hidden="1" x14ac:dyDescent="0.3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 spans="1:24" ht="18.75" hidden="1" x14ac:dyDescent="0.3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 spans="1:24" ht="18.75" hidden="1" x14ac:dyDescent="0.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 spans="1:24" ht="18.75" hidden="1" x14ac:dyDescent="0.3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 spans="1:24" ht="18.75" hidden="1" x14ac:dyDescent="0.3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 spans="1:24" ht="18.75" hidden="1" x14ac:dyDescent="0.3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 spans="1:24" ht="18.75" hidden="1" x14ac:dyDescent="0.3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 spans="1:24" ht="18.75" hidden="1" x14ac:dyDescent="0.3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 spans="1:24" ht="18.75" hidden="1" x14ac:dyDescent="0.3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 spans="1:24" ht="18.75" hidden="1" x14ac:dyDescent="0.3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 spans="1:24" ht="18.75" hidden="1" x14ac:dyDescent="0.3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 spans="1:24" ht="18.75" hidden="1" x14ac:dyDescent="0.3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 spans="1:24" ht="18.75" hidden="1" x14ac:dyDescent="0.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 spans="1:24" ht="18.75" hidden="1" x14ac:dyDescent="0.3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 spans="1:24" ht="18.75" hidden="1" x14ac:dyDescent="0.3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 spans="1:24" ht="18.75" hidden="1" x14ac:dyDescent="0.3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 spans="1:24" ht="18.75" hidden="1" x14ac:dyDescent="0.3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 spans="1:24" ht="18.75" hidden="1" x14ac:dyDescent="0.3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 spans="1:24" ht="18.75" hidden="1" x14ac:dyDescent="0.3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 spans="1:24" ht="18.75" hidden="1" x14ac:dyDescent="0.3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 spans="1:24" ht="18.75" hidden="1" x14ac:dyDescent="0.3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 spans="1:24" ht="18.75" hidden="1" x14ac:dyDescent="0.3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 spans="1:24" ht="18.75" hidden="1" x14ac:dyDescent="0.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 spans="1:24" ht="18.75" hidden="1" x14ac:dyDescent="0.3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 spans="1:24" ht="18.75" hidden="1" x14ac:dyDescent="0.3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 spans="1:24" ht="18.75" hidden="1" x14ac:dyDescent="0.3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 spans="1:24" ht="18.75" hidden="1" x14ac:dyDescent="0.3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 spans="1:24" ht="18.75" hidden="1" x14ac:dyDescent="0.3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 spans="1:24" ht="18.75" hidden="1" x14ac:dyDescent="0.3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</row>
    <row r="790" spans="1:24" ht="18.75" hidden="1" x14ac:dyDescent="0.3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</row>
    <row r="791" spans="1:24" ht="18.75" hidden="1" x14ac:dyDescent="0.3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 spans="1:24" ht="18.75" hidden="1" x14ac:dyDescent="0.3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 spans="1:24" ht="18.75" hidden="1" x14ac:dyDescent="0.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 spans="1:24" ht="18.75" hidden="1" x14ac:dyDescent="0.3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 spans="1:24" ht="18.75" hidden="1" x14ac:dyDescent="0.3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 spans="1:24" ht="18.75" hidden="1" x14ac:dyDescent="0.3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 spans="1:24" ht="18.75" hidden="1" x14ac:dyDescent="0.3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 spans="1:24" ht="18.75" hidden="1" x14ac:dyDescent="0.3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 spans="1:24" ht="18.75" hidden="1" x14ac:dyDescent="0.3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 spans="1:24" ht="18.75" hidden="1" x14ac:dyDescent="0.3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 spans="1:24" ht="18.75" hidden="1" x14ac:dyDescent="0.3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 spans="1:24" ht="18.75" hidden="1" x14ac:dyDescent="0.3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 spans="1:24" ht="18.75" hidden="1" x14ac:dyDescent="0.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 spans="1:24" ht="18.75" hidden="1" x14ac:dyDescent="0.3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 spans="1:24" ht="18.75" hidden="1" x14ac:dyDescent="0.3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 spans="1:24" ht="18.75" hidden="1" x14ac:dyDescent="0.3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 spans="1:24" ht="18.75" hidden="1" x14ac:dyDescent="0.3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 spans="1:24" ht="18.75" hidden="1" x14ac:dyDescent="0.3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 spans="1:24" ht="18.75" hidden="1" x14ac:dyDescent="0.3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 spans="1:24" ht="18.75" hidden="1" x14ac:dyDescent="0.3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 spans="1:24" ht="18.75" hidden="1" x14ac:dyDescent="0.3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 spans="1:24" ht="18.75" hidden="1" x14ac:dyDescent="0.3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 spans="1:24" ht="18.75" hidden="1" x14ac:dyDescent="0.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 spans="1:24" ht="18.75" hidden="1" x14ac:dyDescent="0.3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 spans="1:24" ht="18.75" hidden="1" x14ac:dyDescent="0.3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 spans="1:24" ht="18.75" hidden="1" x14ac:dyDescent="0.3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 spans="1:24" ht="18.75" hidden="1" x14ac:dyDescent="0.3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 spans="1:24" ht="18.75" hidden="1" x14ac:dyDescent="0.3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 spans="1:24" ht="18.75" hidden="1" x14ac:dyDescent="0.3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 spans="1:24" ht="18.75" hidden="1" x14ac:dyDescent="0.3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 spans="1:24" ht="18.75" hidden="1" x14ac:dyDescent="0.3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 spans="1:24" ht="18.75" hidden="1" x14ac:dyDescent="0.3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 spans="1:24" ht="18.75" hidden="1" x14ac:dyDescent="0.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 spans="1:24" ht="18.75" hidden="1" x14ac:dyDescent="0.3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</row>
    <row r="825" spans="1:24" ht="18.75" hidden="1" x14ac:dyDescent="0.3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 spans="1:24" ht="18.75" hidden="1" x14ac:dyDescent="0.3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 spans="1:24" ht="18.75" hidden="1" x14ac:dyDescent="0.3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 spans="1:24" ht="18.75" hidden="1" x14ac:dyDescent="0.3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 spans="1:24" ht="18.75" hidden="1" x14ac:dyDescent="0.3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 spans="1:24" ht="18.75" hidden="1" x14ac:dyDescent="0.3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 spans="1:24" ht="18.75" hidden="1" x14ac:dyDescent="0.3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 spans="1:24" ht="18.75" hidden="1" x14ac:dyDescent="0.3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 spans="1:24" ht="18.75" hidden="1" x14ac:dyDescent="0.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 spans="1:24" ht="18.75" hidden="1" x14ac:dyDescent="0.3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 spans="1:24" ht="18.75" hidden="1" x14ac:dyDescent="0.3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 spans="1:24" ht="18.75" hidden="1" x14ac:dyDescent="0.3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 spans="1:24" ht="18.75" hidden="1" x14ac:dyDescent="0.3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 spans="1:24" ht="18.75" hidden="1" x14ac:dyDescent="0.3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 spans="1:24" ht="18.75" hidden="1" x14ac:dyDescent="0.3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 spans="1:24" ht="18.75" hidden="1" x14ac:dyDescent="0.3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 spans="1:24" ht="18.75" hidden="1" x14ac:dyDescent="0.3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 spans="1:24" ht="18.75" hidden="1" x14ac:dyDescent="0.3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 spans="1:24" ht="18.75" hidden="1" x14ac:dyDescent="0.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 spans="1:24" ht="18.75" hidden="1" x14ac:dyDescent="0.3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 spans="1:24" ht="18.75" hidden="1" x14ac:dyDescent="0.3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 spans="1:24" ht="18.75" hidden="1" x14ac:dyDescent="0.3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 spans="1:24" ht="18.75" hidden="1" x14ac:dyDescent="0.3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 spans="1:24" ht="18.75" hidden="1" x14ac:dyDescent="0.3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 spans="1:24" ht="18.75" hidden="1" x14ac:dyDescent="0.3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 spans="1:24" ht="18.75" hidden="1" x14ac:dyDescent="0.3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 spans="1:24" ht="18.75" hidden="1" x14ac:dyDescent="0.3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 spans="1:24" ht="18.75" hidden="1" x14ac:dyDescent="0.3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 spans="1:24" ht="18.75" hidden="1" x14ac:dyDescent="0.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 spans="1:24" ht="18.75" hidden="1" x14ac:dyDescent="0.3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 spans="1:24" ht="18.75" hidden="1" x14ac:dyDescent="0.3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 spans="1:24" ht="18.75" hidden="1" x14ac:dyDescent="0.3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 spans="1:24" ht="18.75" hidden="1" x14ac:dyDescent="0.3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 spans="1:24" ht="18.75" hidden="1" x14ac:dyDescent="0.3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 spans="1:24" ht="18.75" hidden="1" x14ac:dyDescent="0.3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 spans="1:24" ht="18.75" hidden="1" x14ac:dyDescent="0.3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 spans="1:24" ht="18.75" hidden="1" x14ac:dyDescent="0.3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 spans="1:24" ht="18.75" hidden="1" x14ac:dyDescent="0.3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 spans="1:24" ht="18.75" hidden="1" x14ac:dyDescent="0.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 spans="1:24" ht="18.75" hidden="1" x14ac:dyDescent="0.3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 spans="1:24" ht="18.75" hidden="1" x14ac:dyDescent="0.3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 spans="1:24" ht="18.75" hidden="1" x14ac:dyDescent="0.3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 spans="1:24" ht="18.75" hidden="1" x14ac:dyDescent="0.3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 spans="1:24" ht="18.75" hidden="1" x14ac:dyDescent="0.3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 spans="1:24" ht="18.75" hidden="1" x14ac:dyDescent="0.3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 spans="1:24" ht="18.75" hidden="1" x14ac:dyDescent="0.3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 spans="1:24" ht="18.75" hidden="1" x14ac:dyDescent="0.3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 spans="1:24" ht="18.75" hidden="1" x14ac:dyDescent="0.3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 spans="1:24" ht="18.75" hidden="1" x14ac:dyDescent="0.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 spans="1:24" ht="18.75" hidden="1" x14ac:dyDescent="0.3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 spans="1:24" ht="18.75" hidden="1" x14ac:dyDescent="0.3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 spans="1:24" ht="18.75" hidden="1" x14ac:dyDescent="0.3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 spans="1:24" ht="18.75" hidden="1" x14ac:dyDescent="0.3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 spans="1:24" ht="18.75" hidden="1" x14ac:dyDescent="0.3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 spans="1:24" ht="18.75" hidden="1" x14ac:dyDescent="0.3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 spans="1:24" ht="18.75" hidden="1" x14ac:dyDescent="0.3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 spans="1:24" ht="18.75" hidden="1" x14ac:dyDescent="0.3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 spans="1:24" ht="18.75" hidden="1" x14ac:dyDescent="0.3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 spans="1:24" ht="18.75" hidden="1" x14ac:dyDescent="0.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 spans="1:24" ht="18.75" hidden="1" x14ac:dyDescent="0.3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 spans="1:24" ht="18.75" hidden="1" x14ac:dyDescent="0.3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 spans="1:24" ht="18.75" hidden="1" x14ac:dyDescent="0.3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 spans="1:24" ht="18.75" hidden="1" x14ac:dyDescent="0.3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 spans="1:24" ht="18.75" hidden="1" x14ac:dyDescent="0.3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 spans="1:24" ht="18.75" hidden="1" x14ac:dyDescent="0.3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 spans="1:24" ht="18.75" hidden="1" x14ac:dyDescent="0.3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 spans="1:24" ht="18.75" hidden="1" x14ac:dyDescent="0.3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 spans="1:24" ht="18.75" hidden="1" x14ac:dyDescent="0.3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 spans="1:24" ht="18.75" hidden="1" x14ac:dyDescent="0.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 spans="1:24" ht="18.75" hidden="1" x14ac:dyDescent="0.3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 spans="1:24" ht="18.75" hidden="1" x14ac:dyDescent="0.3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 spans="1:24" ht="18.75" hidden="1" x14ac:dyDescent="0.3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 spans="1:24" ht="18.75" hidden="1" x14ac:dyDescent="0.3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 spans="1:24" ht="18.75" hidden="1" x14ac:dyDescent="0.3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 spans="1:24" ht="18.75" hidden="1" x14ac:dyDescent="0.3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 spans="1:24" ht="18.75" hidden="1" x14ac:dyDescent="0.3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 spans="1:24" ht="18.75" hidden="1" x14ac:dyDescent="0.3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 spans="1:24" ht="18.75" hidden="1" x14ac:dyDescent="0.3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 spans="1:24" ht="18.75" hidden="1" x14ac:dyDescent="0.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 spans="1:24" ht="18.75" hidden="1" x14ac:dyDescent="0.3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 spans="1:24" ht="18.75" hidden="1" x14ac:dyDescent="0.3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 spans="1:24" ht="18.75" hidden="1" x14ac:dyDescent="0.3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 spans="1:24" ht="18.75" hidden="1" x14ac:dyDescent="0.3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 spans="1:24" ht="18.75" hidden="1" x14ac:dyDescent="0.3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 spans="1:24" ht="18.75" hidden="1" x14ac:dyDescent="0.3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 spans="1:24" ht="18.75" hidden="1" x14ac:dyDescent="0.3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 spans="1:24" ht="18.75" hidden="1" x14ac:dyDescent="0.3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 spans="1:24" ht="18.75" hidden="1" x14ac:dyDescent="0.3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 spans="1:24" ht="18.75" hidden="1" x14ac:dyDescent="0.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 spans="1:24" ht="18.75" hidden="1" x14ac:dyDescent="0.3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 spans="1:24" ht="18.75" hidden="1" x14ac:dyDescent="0.3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 spans="1:24" ht="18.75" hidden="1" x14ac:dyDescent="0.3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 spans="1:24" ht="18.75" hidden="1" x14ac:dyDescent="0.3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 spans="1:24" ht="18.75" hidden="1" x14ac:dyDescent="0.3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 spans="1:24" ht="18.75" hidden="1" x14ac:dyDescent="0.3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 spans="1:24" ht="18.75" hidden="1" x14ac:dyDescent="0.3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 spans="1:24" ht="18.75" hidden="1" x14ac:dyDescent="0.3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 spans="1:24" ht="18.75" hidden="1" x14ac:dyDescent="0.3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 spans="1:24" ht="18.75" hidden="1" x14ac:dyDescent="0.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 spans="1:24" ht="18.75" hidden="1" x14ac:dyDescent="0.3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 spans="1:24" ht="18.75" hidden="1" x14ac:dyDescent="0.3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 spans="1:24" ht="18.75" hidden="1" x14ac:dyDescent="0.3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 spans="1:24" ht="18.75" hidden="1" x14ac:dyDescent="0.3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 spans="1:24" ht="18.75" hidden="1" x14ac:dyDescent="0.3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 spans="1:24" ht="18.75" hidden="1" x14ac:dyDescent="0.3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 spans="1:24" ht="18.75" hidden="1" x14ac:dyDescent="0.3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 spans="1:24" ht="18.75" hidden="1" x14ac:dyDescent="0.3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 spans="1:24" ht="18.75" hidden="1" x14ac:dyDescent="0.3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 spans="1:24" ht="18.75" hidden="1" x14ac:dyDescent="0.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 spans="1:24" ht="18.75" hidden="1" x14ac:dyDescent="0.3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 spans="1:24" ht="18.75" hidden="1" x14ac:dyDescent="0.3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 spans="1:24" ht="18.75" hidden="1" x14ac:dyDescent="0.3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 spans="1:24" ht="18.75" hidden="1" x14ac:dyDescent="0.3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 spans="1:24" ht="18.75" hidden="1" x14ac:dyDescent="0.3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 spans="1:24" ht="18.75" hidden="1" x14ac:dyDescent="0.3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 spans="1:24" ht="18.75" hidden="1" x14ac:dyDescent="0.3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 spans="1:24" ht="18.75" hidden="1" x14ac:dyDescent="0.3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 spans="1:24" ht="18.75" hidden="1" x14ac:dyDescent="0.3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 spans="1:24" ht="18.75" hidden="1" x14ac:dyDescent="0.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 spans="1:24" ht="18.75" hidden="1" x14ac:dyDescent="0.3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 spans="1:24" ht="18.75" hidden="1" x14ac:dyDescent="0.3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 spans="1:24" ht="18.75" hidden="1" x14ac:dyDescent="0.3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 spans="1:24" ht="18.75" hidden="1" x14ac:dyDescent="0.3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 spans="1:24" ht="18.75" hidden="1" x14ac:dyDescent="0.3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 spans="1:24" ht="18.75" hidden="1" x14ac:dyDescent="0.3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 spans="1:24" ht="18.75" hidden="1" x14ac:dyDescent="0.3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 spans="1:24" ht="18.75" hidden="1" x14ac:dyDescent="0.3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 spans="1:24" ht="18.75" hidden="1" x14ac:dyDescent="0.3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 spans="1:24" ht="18.75" hidden="1" x14ac:dyDescent="0.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 spans="1:24" ht="18.75" hidden="1" x14ac:dyDescent="0.3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  <row r="955" spans="1:24" ht="18.75" hidden="1" x14ac:dyDescent="0.3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</row>
    <row r="956" spans="1:24" ht="18.75" hidden="1" x14ac:dyDescent="0.3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</row>
    <row r="957" spans="1:24" ht="18.75" hidden="1" x14ac:dyDescent="0.3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</row>
    <row r="958" spans="1:24" ht="18.75" hidden="1" x14ac:dyDescent="0.3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</row>
    <row r="959" spans="1:24" ht="18.75" hidden="1" x14ac:dyDescent="0.3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</row>
    <row r="960" spans="1:24" ht="18.75" hidden="1" x14ac:dyDescent="0.3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</row>
    <row r="961" spans="1:24" ht="18.75" hidden="1" x14ac:dyDescent="0.3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</row>
    <row r="962" spans="1:24" ht="18.75" hidden="1" x14ac:dyDescent="0.3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</row>
    <row r="963" spans="1:24" ht="18.75" hidden="1" x14ac:dyDescent="0.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</row>
    <row r="964" spans="1:24" ht="18.75" hidden="1" x14ac:dyDescent="0.3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</row>
    <row r="965" spans="1:24" ht="18.75" hidden="1" x14ac:dyDescent="0.3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</row>
    <row r="966" spans="1:24" ht="18.75" hidden="1" x14ac:dyDescent="0.3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</row>
    <row r="967" spans="1:24" ht="18.75" hidden="1" x14ac:dyDescent="0.3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</row>
    <row r="968" spans="1:24" ht="18.75" hidden="1" x14ac:dyDescent="0.3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</row>
    <row r="969" spans="1:24" ht="18.75" hidden="1" x14ac:dyDescent="0.3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</row>
    <row r="970" spans="1:24" ht="18.75" hidden="1" x14ac:dyDescent="0.3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</row>
    <row r="971" spans="1:24" ht="18.75" hidden="1" x14ac:dyDescent="0.3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</row>
    <row r="972" spans="1:24" ht="18.75" hidden="1" x14ac:dyDescent="0.3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</row>
    <row r="973" spans="1:24" ht="18.75" hidden="1" x14ac:dyDescent="0.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</row>
    <row r="974" spans="1:24" ht="18.75" hidden="1" x14ac:dyDescent="0.3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</row>
    <row r="975" spans="1:24" ht="18.75" hidden="1" x14ac:dyDescent="0.3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</row>
    <row r="976" spans="1:24" ht="18.75" hidden="1" x14ac:dyDescent="0.3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</row>
    <row r="977" spans="1:24" ht="18.75" hidden="1" x14ac:dyDescent="0.3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</row>
    <row r="978" spans="1:24" ht="18.75" hidden="1" x14ac:dyDescent="0.3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</row>
    <row r="979" spans="1:24" ht="18.75" hidden="1" x14ac:dyDescent="0.3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</row>
    <row r="980" spans="1:24" ht="18.75" hidden="1" x14ac:dyDescent="0.3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</row>
    <row r="981" spans="1:24" ht="18.75" hidden="1" x14ac:dyDescent="0.3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</row>
    <row r="982" spans="1:24" ht="18.75" hidden="1" x14ac:dyDescent="0.3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</row>
    <row r="983" spans="1:24" ht="18.75" hidden="1" x14ac:dyDescent="0.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</row>
    <row r="984" spans="1:24" ht="18.75" hidden="1" x14ac:dyDescent="0.3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</row>
    <row r="985" spans="1:24" ht="18.75" hidden="1" x14ac:dyDescent="0.3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</row>
    <row r="986" spans="1:24" ht="18.75" hidden="1" x14ac:dyDescent="0.3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</row>
    <row r="987" spans="1:24" ht="18.75" hidden="1" x14ac:dyDescent="0.3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</row>
    <row r="988" spans="1:24" ht="18.75" hidden="1" x14ac:dyDescent="0.3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</row>
    <row r="989" spans="1:24" ht="18.75" hidden="1" x14ac:dyDescent="0.3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</row>
  </sheetData>
  <mergeCells count="25">
    <mergeCell ref="A1:Q1"/>
    <mergeCell ref="D15:G15"/>
    <mergeCell ref="I15:L15"/>
    <mergeCell ref="D16:G16"/>
    <mergeCell ref="I16:L16"/>
    <mergeCell ref="B4:E4"/>
    <mergeCell ref="B11:E11"/>
    <mergeCell ref="B10:E10"/>
    <mergeCell ref="G6:J6"/>
    <mergeCell ref="L5:O5"/>
    <mergeCell ref="L10:O10"/>
    <mergeCell ref="L11:O11"/>
    <mergeCell ref="B5:E5"/>
    <mergeCell ref="G5:J5"/>
    <mergeCell ref="G10:J10"/>
    <mergeCell ref="B6:E6"/>
    <mergeCell ref="D14:G14"/>
    <mergeCell ref="I14:L14"/>
    <mergeCell ref="L6:O6"/>
    <mergeCell ref="G11:J11"/>
    <mergeCell ref="G4:J4"/>
    <mergeCell ref="L4:O4"/>
    <mergeCell ref="B9:E9"/>
    <mergeCell ref="G9:J9"/>
    <mergeCell ref="L9:O9"/>
  </mergeCells>
  <conditionalFormatting sqref="L6:O6">
    <cfRule type="cellIs" dxfId="15" priority="27" operator="lessThan">
      <formula>$H$7</formula>
    </cfRule>
    <cfRule type="cellIs" dxfId="14" priority="30" operator="greaterThanOrEqual">
      <formula>$H$7</formula>
    </cfRule>
  </conditionalFormatting>
  <conditionalFormatting sqref="B11">
    <cfRule type="cellIs" dxfId="13" priority="23" operator="lessThanOrEqual">
      <formula>$M$12</formula>
    </cfRule>
  </conditionalFormatting>
  <conditionalFormatting sqref="B11">
    <cfRule type="cellIs" dxfId="12" priority="24" operator="greaterThan">
      <formula>$M$12</formula>
    </cfRule>
  </conditionalFormatting>
  <conditionalFormatting sqref="B6">
    <cfRule type="cellIs" dxfId="11" priority="19" operator="lessThan">
      <formula>$C$7</formula>
    </cfRule>
    <cfRule type="cellIs" dxfId="10" priority="20" operator="greaterThanOrEqual">
      <formula>$C$7</formula>
    </cfRule>
  </conditionalFormatting>
  <conditionalFormatting sqref="G6:J6">
    <cfRule type="cellIs" dxfId="9" priority="13" operator="lessThan">
      <formula>$H$7</formula>
    </cfRule>
    <cfRule type="cellIs" dxfId="8" priority="14" operator="greaterThanOrEqual">
      <formula>$H$7</formula>
    </cfRule>
  </conditionalFormatting>
  <conditionalFormatting sqref="D16">
    <cfRule type="cellIs" dxfId="7" priority="7" operator="greaterThanOrEqual">
      <formula>$M$12</formula>
    </cfRule>
  </conditionalFormatting>
  <conditionalFormatting sqref="D16">
    <cfRule type="cellIs" dxfId="6" priority="8" operator="lessThan">
      <formula>$M$12</formula>
    </cfRule>
  </conditionalFormatting>
  <conditionalFormatting sqref="I16">
    <cfRule type="cellIs" dxfId="5" priority="5" operator="greaterThanOrEqual">
      <formula>$M$12</formula>
    </cfRule>
  </conditionalFormatting>
  <conditionalFormatting sqref="I16">
    <cfRule type="cellIs" dxfId="4" priority="6" operator="lessThan">
      <formula>$M$12</formula>
    </cfRule>
  </conditionalFormatting>
  <conditionalFormatting sqref="L11:O11">
    <cfRule type="cellIs" dxfId="3" priority="3" operator="lessThan">
      <formula>$H$7</formula>
    </cfRule>
    <cfRule type="cellIs" dxfId="2" priority="4" operator="greaterThanOrEqual">
      <formula>$H$7</formula>
    </cfRule>
  </conditionalFormatting>
  <conditionalFormatting sqref="G11:J11">
    <cfRule type="cellIs" dxfId="1" priority="1" operator="lessThan">
      <formula>$H$12</formula>
    </cfRule>
    <cfRule type="cellIs" dxfId="0" priority="2" operator="greaterThanOrEqual">
      <formula>$H$7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E2E6C8-1BFA-4FD0-AE9E-9720420CEB48}">
          <x14:formula1>
            <xm:f>'Rolling Budget and Forecast'!$C$7:$N$7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N114"/>
  <sheetViews>
    <sheetView showGridLines="0" topLeftCell="A12" zoomScale="70" zoomScaleNormal="70" workbookViewId="0">
      <selection activeCell="X60" sqref="X60"/>
    </sheetView>
  </sheetViews>
  <sheetFormatPr defaultColWidth="0" defaultRowHeight="15" customHeight="1" zeroHeight="1" outlineLevelRow="1" outlineLevelCol="1" x14ac:dyDescent="0.25"/>
  <cols>
    <col min="1" max="1" width="39.5703125" customWidth="1"/>
    <col min="2" max="2" width="16" customWidth="1"/>
    <col min="3" max="3" width="12.7109375" hidden="1" customWidth="1" outlineLevel="1"/>
    <col min="4" max="4" width="12.140625" hidden="1" customWidth="1" outlineLevel="1"/>
    <col min="5" max="5" width="12.7109375" hidden="1" customWidth="1" outlineLevel="1"/>
    <col min="6" max="6" width="12.28515625" hidden="1" customWidth="1" outlineLevel="1"/>
    <col min="7" max="10" width="11" hidden="1" customWidth="1" outlineLevel="1"/>
    <col min="11" max="12" width="12" hidden="1" customWidth="1" outlineLevel="1"/>
    <col min="13" max="13" width="15.28515625" hidden="1" customWidth="1" outlineLevel="1"/>
    <col min="14" max="14" width="12" hidden="1" customWidth="1" outlineLevel="1"/>
    <col min="15" max="15" width="13.42578125" hidden="1" customWidth="1" outlineLevel="1"/>
    <col min="16" max="16" width="15" hidden="1" customWidth="1" outlineLevel="1"/>
    <col min="17" max="17" width="16" hidden="1" customWidth="1" outlineLevel="1"/>
    <col min="18" max="18" width="12" hidden="1" customWidth="1" outlineLevel="1"/>
    <col min="19" max="19" width="13.7109375" hidden="1" customWidth="1" outlineLevel="1"/>
    <col min="20" max="20" width="9.140625" customWidth="1" collapsed="1"/>
    <col min="21" max="21" width="16.28515625" customWidth="1" outlineLevel="1"/>
    <col min="22" max="22" width="11.7109375" customWidth="1" outlineLevel="1"/>
    <col min="23" max="29" width="11.42578125" customWidth="1" outlineLevel="1"/>
    <col min="30" max="31" width="11.140625" customWidth="1" outlineLevel="1"/>
    <col min="32" max="37" width="11.42578125" customWidth="1" outlineLevel="1"/>
    <col min="38" max="38" width="12.5703125" customWidth="1" outlineLevel="1"/>
    <col min="39" max="40" width="9.140625" customWidth="1"/>
    <col min="41" max="16384" width="9.140625" hidden="1"/>
  </cols>
  <sheetData>
    <row r="3" spans="1:39" ht="15.75" x14ac:dyDescent="0.25">
      <c r="B3" s="151" t="s">
        <v>29</v>
      </c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22"/>
      <c r="V3" s="151" t="s">
        <v>29</v>
      </c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</row>
    <row r="4" spans="1:39" x14ac:dyDescent="0.25">
      <c r="B4" s="152" t="s">
        <v>0</v>
      </c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"/>
      <c r="V4" s="152" t="s">
        <v>0</v>
      </c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</row>
    <row r="5" spans="1:39" x14ac:dyDescent="0.25">
      <c r="B5" s="153" t="s">
        <v>20</v>
      </c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21"/>
      <c r="V5" s="153" t="s">
        <v>163</v>
      </c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</row>
    <row r="7" spans="1:39" x14ac:dyDescent="0.25">
      <c r="A7" s="2" t="s">
        <v>1</v>
      </c>
      <c r="B7" s="148"/>
      <c r="C7" s="149">
        <v>44562</v>
      </c>
      <c r="D7" s="149">
        <v>44593</v>
      </c>
      <c r="E7" s="149">
        <v>44621</v>
      </c>
      <c r="F7" s="149">
        <v>44652</v>
      </c>
      <c r="G7" s="149">
        <v>44682</v>
      </c>
      <c r="H7" s="149">
        <v>44713</v>
      </c>
      <c r="I7" s="149">
        <v>44743</v>
      </c>
      <c r="J7" s="149">
        <v>44774</v>
      </c>
      <c r="K7" s="149">
        <v>44805</v>
      </c>
      <c r="L7" s="149">
        <v>44835</v>
      </c>
      <c r="M7" s="149">
        <v>44866</v>
      </c>
      <c r="N7" s="149">
        <v>44896</v>
      </c>
      <c r="O7" s="149" t="s">
        <v>25</v>
      </c>
      <c r="P7" s="149" t="s">
        <v>26</v>
      </c>
      <c r="Q7" s="149" t="s">
        <v>27</v>
      </c>
      <c r="R7" s="150" t="s">
        <v>28</v>
      </c>
      <c r="S7" s="150" t="s">
        <v>2</v>
      </c>
      <c r="T7" s="125"/>
      <c r="U7" s="148"/>
      <c r="V7" s="3">
        <v>44927</v>
      </c>
      <c r="W7" s="3">
        <v>44958</v>
      </c>
      <c r="X7" s="3">
        <v>44986</v>
      </c>
      <c r="Y7" s="3">
        <v>45017</v>
      </c>
      <c r="Z7" s="3">
        <v>45047</v>
      </c>
      <c r="AA7" s="3">
        <v>45078</v>
      </c>
      <c r="AB7" s="3">
        <v>45108</v>
      </c>
      <c r="AC7" s="3">
        <v>45139</v>
      </c>
      <c r="AD7" s="3">
        <v>45170</v>
      </c>
      <c r="AE7" s="3">
        <v>45200</v>
      </c>
      <c r="AF7" s="3">
        <v>45231</v>
      </c>
      <c r="AG7" s="3">
        <v>45261</v>
      </c>
      <c r="AH7" s="3" t="s">
        <v>25</v>
      </c>
      <c r="AI7" s="3" t="s">
        <v>26</v>
      </c>
      <c r="AJ7" s="3" t="s">
        <v>27</v>
      </c>
      <c r="AK7" s="4" t="s">
        <v>28</v>
      </c>
      <c r="AL7" s="4" t="s">
        <v>2</v>
      </c>
    </row>
    <row r="8" spans="1:39" x14ac:dyDescent="0.25">
      <c r="A8" s="5" t="s">
        <v>3</v>
      </c>
      <c r="B8" s="13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U8" s="13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9" s="8" customFormat="1" x14ac:dyDescent="0.25">
      <c r="A9" s="7" t="s">
        <v>4</v>
      </c>
      <c r="B9" s="7"/>
      <c r="U9" s="7"/>
    </row>
    <row r="10" spans="1:39" x14ac:dyDescent="0.25">
      <c r="A10" t="s">
        <v>5</v>
      </c>
      <c r="C10" s="9">
        <f>'2022'!B7</f>
        <v>12667.264285714286</v>
      </c>
      <c r="D10" s="9">
        <f>'2022'!C7</f>
        <v>11441.4</v>
      </c>
      <c r="E10" s="9">
        <f>'2022'!D7</f>
        <v>23384.407142857144</v>
      </c>
      <c r="F10" s="9">
        <f>'2022'!E7</f>
        <v>22630.071428571428</v>
      </c>
      <c r="G10" s="9">
        <f>'2022'!F7</f>
        <v>23384.407142857144</v>
      </c>
      <c r="H10" s="9">
        <f>'2022'!G7</f>
        <v>42430.071428571428</v>
      </c>
      <c r="I10" s="9">
        <f>'2022'!H7</f>
        <v>43844.407142857141</v>
      </c>
      <c r="J10" s="9">
        <f>'2022'!I7</f>
        <v>43844.407142857141</v>
      </c>
      <c r="K10" s="9">
        <f>'2022'!J7</f>
        <v>22630.071428571428</v>
      </c>
      <c r="L10" s="9">
        <f>'2022'!K7</f>
        <v>23384.407142857144</v>
      </c>
      <c r="M10" s="9">
        <f>'2022'!L7</f>
        <v>22630.071428571428</v>
      </c>
      <c r="N10" s="9">
        <f>'2022'!M7</f>
        <v>12667.264285714286</v>
      </c>
      <c r="O10" s="16">
        <f>SUM(C10:E10)</f>
        <v>47493.071428571435</v>
      </c>
      <c r="P10" s="16">
        <f>SUM(F10:H10)</f>
        <v>88444.549999999988</v>
      </c>
      <c r="Q10" s="16">
        <f>SUM(I10:K10)</f>
        <v>110318.88571428572</v>
      </c>
      <c r="R10" s="16">
        <f>SUM(L10:N10)</f>
        <v>58681.742857142854</v>
      </c>
      <c r="S10" s="16">
        <f>SUM(O10:R10)</f>
        <v>304938.25</v>
      </c>
      <c r="V10" s="9">
        <f>FORECAST(V7,$C$11:$N$11,$C$7:$N$7)*$W103</f>
        <v>15213.380626523287</v>
      </c>
      <c r="W10" s="9">
        <f>FORECAST(W7,$C$11:$N$11,$C$7:$N$7)*$W104</f>
        <v>14010.926990499465</v>
      </c>
      <c r="X10" s="9">
        <f>FORECAST(X7,$C$11:$N$11,$C$7:$N$7)*$W105</f>
        <v>29134.193815287399</v>
      </c>
      <c r="Y10" s="9">
        <f>FORECAST(Y7,$C$11:$N$11,$C$7:$N$7)*$W106</f>
        <v>28728.039323058296</v>
      </c>
      <c r="Z10" s="9">
        <f>FORECAST(Z7,$C$11:$N$11,$C$7:$N$7)*$W107</f>
        <v>30219.298845316636</v>
      </c>
      <c r="AA10" s="9">
        <f>FORECAST(AA7,$C$11:$N$11,$C$7:$N$7)*$W108</f>
        <v>55832.287235326497</v>
      </c>
      <c r="AB10" s="9">
        <f>FORECAST(AB7,$C$11:$N$11,$C$7:$N$7)*$W109</f>
        <v>58693.941671912187</v>
      </c>
      <c r="AC10" s="9">
        <f>FORECAST(AC7,$C$11:$N$11,$C$7:$N$7)*$W110</f>
        <v>59727.872473833762</v>
      </c>
      <c r="AD10" s="9">
        <f>FORECAST(AD7,$C$11:$N$11,$C$7:$N$7)*$W111</f>
        <v>31361.900818475697</v>
      </c>
      <c r="AE10" s="9">
        <f>FORECAST(AE7,$C$11:$N$11,$C$7:$N$7)*$W112</f>
        <v>32940.955723914616</v>
      </c>
      <c r="AF10" s="9">
        <f>FORECAST(AF7,$C$11:$N$11,$C$7:$N$7)*$W113</f>
        <v>32412.002460439471</v>
      </c>
      <c r="AG10" s="9">
        <f>FORECAST(AG7,$C$11:$N$11,$C$7:$N$7)*$W114</f>
        <v>18431.816617751341</v>
      </c>
      <c r="AH10" s="16">
        <f>SUM(V10:X10)</f>
        <v>58358.50143231015</v>
      </c>
      <c r="AI10" s="16">
        <f>SUM(Y10:AA10)</f>
        <v>114779.62540370143</v>
      </c>
      <c r="AJ10" s="16">
        <f>SUM(AB10:AD10)</f>
        <v>149783.71496422164</v>
      </c>
      <c r="AK10" s="16">
        <f>SUM(AE10:AG10)</f>
        <v>83784.774802105429</v>
      </c>
      <c r="AL10" s="16">
        <f>SUM(AH10:AK10)</f>
        <v>406706.61660233868</v>
      </c>
    </row>
    <row r="11" spans="1:39" x14ac:dyDescent="0.25">
      <c r="A11" t="s">
        <v>6</v>
      </c>
      <c r="C11" s="10">
        <f>C10*1.05</f>
        <v>13300.627500000001</v>
      </c>
      <c r="D11" s="10">
        <f>D10*1.05</f>
        <v>12013.47</v>
      </c>
      <c r="E11" s="10">
        <f t="shared" ref="E11:M11" si="0">E10*1.05</f>
        <v>24553.627500000002</v>
      </c>
      <c r="F11" s="10">
        <f t="shared" si="0"/>
        <v>23761.575000000001</v>
      </c>
      <c r="G11" s="10">
        <f t="shared" si="0"/>
        <v>24553.627500000002</v>
      </c>
      <c r="H11" s="10">
        <f t="shared" si="0"/>
        <v>44551.575000000004</v>
      </c>
      <c r="I11" s="10">
        <f t="shared" si="0"/>
        <v>46036.627500000002</v>
      </c>
      <c r="J11" s="10">
        <f t="shared" si="0"/>
        <v>46036.627500000002</v>
      </c>
      <c r="K11" s="10">
        <f t="shared" si="0"/>
        <v>23761.575000000001</v>
      </c>
      <c r="L11" s="10">
        <f t="shared" si="0"/>
        <v>24553.627500000002</v>
      </c>
      <c r="M11" s="10">
        <f t="shared" si="0"/>
        <v>23761.575000000001</v>
      </c>
      <c r="N11" s="10">
        <f>N10*1.05</f>
        <v>13300.627500000001</v>
      </c>
      <c r="O11" s="16">
        <f>SUM(C11:E11)</f>
        <v>49867.725000000006</v>
      </c>
      <c r="P11" s="16">
        <f>SUM(F11:H11)</f>
        <v>92866.777499999997</v>
      </c>
      <c r="Q11" s="16">
        <f>SUM(I11:K11)</f>
        <v>115834.83</v>
      </c>
      <c r="R11" s="16">
        <f>SUM(L11:N11)</f>
        <v>61615.83</v>
      </c>
      <c r="S11" s="16">
        <f t="shared" ref="S11:S12" si="1">SUM(O11:R11)</f>
        <v>320185.16250000003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6">
        <f>SUM(V11:X11)</f>
        <v>0</v>
      </c>
      <c r="AI11" s="16">
        <f>SUM(Y11:AA11)</f>
        <v>0</v>
      </c>
      <c r="AJ11" s="16">
        <f>SUM(AB11:AD11)</f>
        <v>0</v>
      </c>
      <c r="AK11" s="16">
        <f>SUM(AE11:AG11)</f>
        <v>0</v>
      </c>
      <c r="AL11" s="16">
        <f t="shared" ref="AL11:AL12" si="2">SUM(AH11:AK11)</f>
        <v>0</v>
      </c>
    </row>
    <row r="12" spans="1:39" x14ac:dyDescent="0.25">
      <c r="A12" t="s">
        <v>7</v>
      </c>
      <c r="C12" s="10">
        <f>C11-C10</f>
        <v>633.363214285715</v>
      </c>
      <c r="D12" s="10">
        <f t="shared" ref="D12:N12" si="3">D11-D10</f>
        <v>572.06999999999971</v>
      </c>
      <c r="E12" s="10">
        <f t="shared" si="3"/>
        <v>1169.2203571428581</v>
      </c>
      <c r="F12" s="10">
        <f t="shared" si="3"/>
        <v>1131.5035714285732</v>
      </c>
      <c r="G12" s="10">
        <f t="shared" si="3"/>
        <v>1169.2203571428581</v>
      </c>
      <c r="H12" s="10">
        <f t="shared" si="3"/>
        <v>2121.5035714285768</v>
      </c>
      <c r="I12" s="10">
        <f t="shared" si="3"/>
        <v>2192.2203571428618</v>
      </c>
      <c r="J12" s="10">
        <f t="shared" si="3"/>
        <v>2192.2203571428618</v>
      </c>
      <c r="K12" s="10">
        <f t="shared" si="3"/>
        <v>1131.5035714285732</v>
      </c>
      <c r="L12" s="10">
        <f t="shared" si="3"/>
        <v>1169.2203571428581</v>
      </c>
      <c r="M12" s="10">
        <f t="shared" si="3"/>
        <v>1131.5035714285732</v>
      </c>
      <c r="N12" s="10">
        <f t="shared" si="3"/>
        <v>633.363214285715</v>
      </c>
      <c r="O12" s="10">
        <f t="shared" ref="O12:R12" si="4">O11-O10</f>
        <v>2374.653571428571</v>
      </c>
      <c r="P12" s="10">
        <f t="shared" si="4"/>
        <v>4422.2275000000081</v>
      </c>
      <c r="Q12" s="10">
        <f t="shared" si="4"/>
        <v>5515.9442857142858</v>
      </c>
      <c r="R12" s="10">
        <f t="shared" si="4"/>
        <v>2934.0871428571481</v>
      </c>
      <c r="S12" s="16">
        <f t="shared" si="1"/>
        <v>15246.912500000013</v>
      </c>
      <c r="V12" s="10">
        <f t="shared" ref="V12:AG12" si="5">V11-V10</f>
        <v>-15213.380626523287</v>
      </c>
      <c r="W12" s="10">
        <f t="shared" si="5"/>
        <v>-14010.926990499465</v>
      </c>
      <c r="X12" s="10">
        <f t="shared" si="5"/>
        <v>-29134.193815287399</v>
      </c>
      <c r="Y12" s="10">
        <f t="shared" si="5"/>
        <v>-28728.039323058296</v>
      </c>
      <c r="Z12" s="10">
        <f t="shared" si="5"/>
        <v>-30219.298845316636</v>
      </c>
      <c r="AA12" s="10">
        <f t="shared" si="5"/>
        <v>-55832.287235326497</v>
      </c>
      <c r="AB12" s="10">
        <f t="shared" si="5"/>
        <v>-58693.941671912187</v>
      </c>
      <c r="AC12" s="10">
        <f t="shared" si="5"/>
        <v>-59727.872473833762</v>
      </c>
      <c r="AD12" s="10">
        <f t="shared" si="5"/>
        <v>-31361.900818475697</v>
      </c>
      <c r="AE12" s="10">
        <f t="shared" si="5"/>
        <v>-32940.955723914616</v>
      </c>
      <c r="AF12" s="10">
        <f t="shared" si="5"/>
        <v>-32412.002460439471</v>
      </c>
      <c r="AG12" s="10">
        <f t="shared" si="5"/>
        <v>-18431.816617751341</v>
      </c>
      <c r="AH12" s="10">
        <f t="shared" ref="AH12:AK12" si="6">AH11-AH10</f>
        <v>-58358.50143231015</v>
      </c>
      <c r="AI12" s="10">
        <f t="shared" si="6"/>
        <v>-114779.62540370143</v>
      </c>
      <c r="AJ12" s="10">
        <f t="shared" si="6"/>
        <v>-149783.71496422164</v>
      </c>
      <c r="AK12" s="10">
        <f t="shared" si="6"/>
        <v>-83784.774802105429</v>
      </c>
      <c r="AL12" s="16">
        <f t="shared" si="2"/>
        <v>-406706.61660233868</v>
      </c>
    </row>
    <row r="13" spans="1:39" hidden="1" x14ac:dyDescent="0.25">
      <c r="A13" t="s">
        <v>8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</row>
    <row r="14" spans="1:39" hidden="1" x14ac:dyDescent="0.25">
      <c r="A14" t="s">
        <v>9</v>
      </c>
      <c r="C14" s="10">
        <f>C11-C13</f>
        <v>13300.627500000001</v>
      </c>
      <c r="D14" s="10">
        <f t="shared" ref="D14:R14" si="7">D11-D13</f>
        <v>12013.47</v>
      </c>
      <c r="E14" s="10">
        <f t="shared" si="7"/>
        <v>24553.627500000002</v>
      </c>
      <c r="F14" s="10">
        <f t="shared" si="7"/>
        <v>23761.575000000001</v>
      </c>
      <c r="G14" s="10">
        <f t="shared" si="7"/>
        <v>24553.627500000002</v>
      </c>
      <c r="H14" s="10">
        <f t="shared" si="7"/>
        <v>44551.575000000004</v>
      </c>
      <c r="I14" s="10">
        <f t="shared" si="7"/>
        <v>46036.627500000002</v>
      </c>
      <c r="J14" s="10">
        <f t="shared" si="7"/>
        <v>46036.627500000002</v>
      </c>
      <c r="K14" s="10">
        <f t="shared" si="7"/>
        <v>23761.575000000001</v>
      </c>
      <c r="L14" s="10">
        <f t="shared" si="7"/>
        <v>24553.627500000002</v>
      </c>
      <c r="M14" s="10">
        <f t="shared" si="7"/>
        <v>23761.575000000001</v>
      </c>
      <c r="N14" s="10">
        <f t="shared" si="7"/>
        <v>13300.627500000001</v>
      </c>
      <c r="O14" s="10">
        <f t="shared" si="7"/>
        <v>49867.725000000006</v>
      </c>
      <c r="P14" s="10">
        <f t="shared" si="7"/>
        <v>92866.777499999997</v>
      </c>
      <c r="Q14" s="10">
        <f t="shared" si="7"/>
        <v>115834.83</v>
      </c>
      <c r="R14" s="10">
        <f t="shared" si="7"/>
        <v>61615.83</v>
      </c>
      <c r="S14" s="10">
        <f>SUM('Rolling Budget and Forecast'!$R14+'Rolling Budget and Forecast'!$N14+'Rolling Budget and Forecast'!$J14+'Rolling Budget and Forecast'!$F14)</f>
        <v>144714.66</v>
      </c>
      <c r="V14" s="10">
        <f t="shared" ref="V14:AG14" si="8">V11-V13</f>
        <v>0</v>
      </c>
      <c r="W14" s="10">
        <f t="shared" si="8"/>
        <v>0</v>
      </c>
      <c r="X14" s="10">
        <f t="shared" si="8"/>
        <v>0</v>
      </c>
      <c r="Y14" s="10">
        <f t="shared" si="8"/>
        <v>0</v>
      </c>
      <c r="Z14" s="10">
        <f t="shared" si="8"/>
        <v>0</v>
      </c>
      <c r="AA14" s="10">
        <f t="shared" si="8"/>
        <v>0</v>
      </c>
      <c r="AB14" s="10">
        <f t="shared" si="8"/>
        <v>0</v>
      </c>
      <c r="AC14" s="10">
        <f t="shared" si="8"/>
        <v>0</v>
      </c>
      <c r="AD14" s="10">
        <f t="shared" si="8"/>
        <v>0</v>
      </c>
      <c r="AE14" s="10">
        <f t="shared" si="8"/>
        <v>0</v>
      </c>
      <c r="AF14" s="10">
        <f t="shared" si="8"/>
        <v>0</v>
      </c>
      <c r="AG14" s="10">
        <f t="shared" si="8"/>
        <v>0</v>
      </c>
      <c r="AH14" s="10">
        <f t="shared" ref="AH14:AK14" si="9">AH11-AH13</f>
        <v>0</v>
      </c>
      <c r="AI14" s="10">
        <f t="shared" si="9"/>
        <v>0</v>
      </c>
      <c r="AJ14" s="10">
        <f t="shared" si="9"/>
        <v>0</v>
      </c>
      <c r="AK14" s="10">
        <f t="shared" si="9"/>
        <v>0</v>
      </c>
      <c r="AL14" s="10">
        <f>SUM('Rolling Budget and Forecast'!$R14+'Rolling Budget and Forecast'!$N14+'Rolling Budget and Forecast'!$J14+'Rolling Budget and Forecast'!$F14)</f>
        <v>144714.66</v>
      </c>
    </row>
    <row r="15" spans="1:39" s="12" customFormat="1" x14ac:dyDescent="0.25">
      <c r="A15" s="11" t="s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9" x14ac:dyDescent="0.25">
      <c r="A16" t="s">
        <v>5</v>
      </c>
      <c r="C16" s="10">
        <f>'[1]2022'!B$7*0.4+'[1]2022'!B$14</f>
        <v>5461.1914285714283</v>
      </c>
      <c r="D16" s="10">
        <f>'[1]2022'!C$7*0.4+'[1]2022'!C$14</f>
        <v>5416.56</v>
      </c>
      <c r="E16" s="10">
        <f>'[1]2022'!D$7*0.4+'[1]2022'!D$14</f>
        <v>5850.9057142857146</v>
      </c>
      <c r="F16" s="10">
        <f>'[1]2022'!E$7*0.4+'[1]2022'!E$14</f>
        <v>5823.4571428571426</v>
      </c>
      <c r="G16" s="10">
        <f>'[1]2022'!F$7*0.4+'[1]2022'!F$14</f>
        <v>5850.9057142857146</v>
      </c>
      <c r="H16" s="10">
        <f>'[1]2022'!G$7*0.4+'[1]2022'!G$14</f>
        <v>6543.4571428571435</v>
      </c>
      <c r="I16" s="10">
        <f>'[1]2022'!H$7*0.4+'[1]2022'!H$14</f>
        <v>6594.9057142857146</v>
      </c>
      <c r="J16" s="10">
        <f>'[1]2022'!I$7*0.4+'[1]2022'!I$14</f>
        <v>6594.9057142857146</v>
      </c>
      <c r="K16" s="10">
        <f>'[1]2022'!J$7*0.4+'[1]2022'!J$14</f>
        <v>5823.4571428571426</v>
      </c>
      <c r="L16" s="10">
        <f>'[1]2022'!K$7*0.4+'[1]2022'!K$14</f>
        <v>5850.9057142857146</v>
      </c>
      <c r="M16" s="10">
        <f>'[1]2022'!L$7*0.4+'[1]2022'!L$14</f>
        <v>5823.4571428571426</v>
      </c>
      <c r="N16" s="10">
        <f>'[1]2022'!M$7*0.4+'[1]2022'!M$14</f>
        <v>5461.1914285714283</v>
      </c>
      <c r="O16" s="10">
        <f>SUM(C16:E16)</f>
        <v>16728.657142857141</v>
      </c>
      <c r="P16" s="10">
        <f>SUM(F16:H16)</f>
        <v>18217.82</v>
      </c>
      <c r="Q16" s="10">
        <f>SUM(I16:K16)</f>
        <v>19013.268571428573</v>
      </c>
      <c r="R16" s="10">
        <f>SUM(L16:N16)</f>
        <v>17135.554285714286</v>
      </c>
      <c r="S16" s="10">
        <f>SUM(O16:R16)</f>
        <v>71095.3</v>
      </c>
      <c r="V16" s="9">
        <f>FORECAST(V$7,$C$16:$N$16,$C$7:$N$7)*W103</f>
        <v>3019.5753270463965</v>
      </c>
      <c r="W16" s="9">
        <f>FORECAST(W$7,$C$16:$N$16,$C$7:$N$7)*$W$104</f>
        <v>2736.7029403190686</v>
      </c>
      <c r="X16" s="9">
        <f>FORECAST(X$7,$C$16:$N$16,$C$7:$N$7)*$W105</f>
        <v>5610.6373700829236</v>
      </c>
      <c r="Y16" s="9">
        <f>FORECAST(Y$7,$C$16:$N$16,$C$7:$N$7)*$W$106</f>
        <v>5448.131816617105</v>
      </c>
      <c r="Z16" s="9">
        <f>FORECAST(Z$7,$C$16:$N$16,$C$7:$N$7)*$W$107</f>
        <v>5648.2189592992627</v>
      </c>
      <c r="AA16" s="9">
        <f>FORECAST(AA$7,$C$16:$N$16,$C$7:$N$7)*$W$108</f>
        <v>10283.12146557941</v>
      </c>
      <c r="AB16" s="9">
        <f>FORECAST(AB$7,$C$16:$N$16,$C$7:$N$7)*$W$109</f>
        <v>10660.546263125823</v>
      </c>
      <c r="AC16" s="9">
        <f>FORECAST(AC$7,$C$16:$N$16,$C$7:$N$7)*$W$110</f>
        <v>10696.355481220486</v>
      </c>
      <c r="AD16" s="9">
        <f>FORECAST(AD$7,$C$16:$N$16,$C$7:$N$7)*$W$111</f>
        <v>5539.3531251855829</v>
      </c>
      <c r="AE16" s="9">
        <f>FORECAST(AE$7,$C$16:$N$16,$C$7:$N$7)*$W$112</f>
        <v>5742.4809781533568</v>
      </c>
      <c r="AF16" s="9">
        <f>FORECAST(AF$7,$C$16:$N$16,$C$7:$N$7)*$W$113</f>
        <v>5575.7224050723626</v>
      </c>
      <c r="AG16" s="9">
        <f>FORECAST(AG$7,$C$16:$N$16,$C$7:$N$7)*$W$114</f>
        <v>3131.0428218917132</v>
      </c>
      <c r="AH16" s="10">
        <f>SUM(V16:X16)</f>
        <v>11366.91563744839</v>
      </c>
      <c r="AI16" s="10">
        <f>SUM(Y16:AA16)</f>
        <v>21379.47224149578</v>
      </c>
      <c r="AJ16" s="10">
        <f>SUM(AB16:AD16)</f>
        <v>26896.254869531891</v>
      </c>
      <c r="AK16" s="10">
        <f>SUM(AE16:AG16)</f>
        <v>14449.246205117432</v>
      </c>
      <c r="AL16" s="10">
        <f>SUM(AH16:AK16)</f>
        <v>74091.888953593501</v>
      </c>
    </row>
    <row r="17" spans="1:38" x14ac:dyDescent="0.25">
      <c r="A17" t="s">
        <v>6</v>
      </c>
      <c r="C17" s="10">
        <f>'[1]2022'!B$8*0.4+'[1]2022'!B$15</f>
        <v>500</v>
      </c>
      <c r="D17" s="10">
        <f>'[1]2022'!C$8*0.4+'[1]2022'!C$15</f>
        <v>500</v>
      </c>
      <c r="E17" s="10">
        <f>'[1]2022'!D$8*0.4+'[1]2022'!D$15</f>
        <v>800</v>
      </c>
      <c r="F17" s="10">
        <f>'[1]2022'!E$8*0.4+'[1]2022'!E$15</f>
        <v>800</v>
      </c>
      <c r="G17" s="10">
        <f>'[1]2022'!F$8*0.4+'[1]2022'!F$15</f>
        <v>800</v>
      </c>
      <c r="H17" s="10">
        <f>'[1]2022'!G$8*0.4+'[1]2022'!G$15</f>
        <v>1000</v>
      </c>
      <c r="I17" s="10">
        <f>'[1]2022'!H$8*0.4+'[1]2022'!H$15</f>
        <v>1000</v>
      </c>
      <c r="J17" s="10">
        <f>'[1]2022'!I$8*0.4+'[1]2022'!I$15</f>
        <v>1000</v>
      </c>
      <c r="K17" s="10">
        <f>'[1]2022'!J$8*0.4+'[1]2022'!J$15</f>
        <v>800</v>
      </c>
      <c r="L17" s="10">
        <f>'[1]2022'!K$8*0.4+'[1]2022'!K$15</f>
        <v>800</v>
      </c>
      <c r="M17" s="10">
        <f>'[1]2022'!L$8*0.4+'[1]2022'!L$15</f>
        <v>800</v>
      </c>
      <c r="N17" s="10">
        <f>'[1]2022'!M$8*0.4+'[1]2022'!M$15</f>
        <v>500</v>
      </c>
      <c r="O17" s="10">
        <f>SUM(C17:E17)</f>
        <v>1800</v>
      </c>
      <c r="P17" s="10">
        <f>SUM(F17:H17)</f>
        <v>2600</v>
      </c>
      <c r="Q17" s="10">
        <f>SUM(I17:K17)</f>
        <v>2800</v>
      </c>
      <c r="R17" s="10">
        <f>SUM(L17:N17)</f>
        <v>2100</v>
      </c>
      <c r="S17" s="10">
        <f t="shared" ref="S17:S18" si="10">SUM(O17:R17)</f>
        <v>9300</v>
      </c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>
        <f>SUM(V17:X17)</f>
        <v>0</v>
      </c>
      <c r="AI17" s="10">
        <f>SUM(Y17:AA17)</f>
        <v>0</v>
      </c>
      <c r="AJ17" s="10">
        <f>SUM(AB17:AD17)</f>
        <v>0</v>
      </c>
      <c r="AK17" s="10">
        <f>SUM(AE17:AG17)</f>
        <v>0</v>
      </c>
      <c r="AL17" s="10">
        <f t="shared" ref="AL17:AL18" si="11">SUM(AH17:AK17)</f>
        <v>0</v>
      </c>
    </row>
    <row r="18" spans="1:38" x14ac:dyDescent="0.25">
      <c r="A18" t="s">
        <v>11</v>
      </c>
      <c r="C18" s="10">
        <f>C16-C17</f>
        <v>4961.1914285714283</v>
      </c>
      <c r="D18" s="10">
        <f t="shared" ref="D18:N18" si="12">D16-D17</f>
        <v>4916.5600000000004</v>
      </c>
      <c r="E18" s="10">
        <f t="shared" si="12"/>
        <v>5050.9057142857146</v>
      </c>
      <c r="F18" s="10">
        <f t="shared" si="12"/>
        <v>5023.4571428571426</v>
      </c>
      <c r="G18" s="10">
        <f t="shared" si="12"/>
        <v>5050.9057142857146</v>
      </c>
      <c r="H18" s="10">
        <f t="shared" si="12"/>
        <v>5543.4571428571435</v>
      </c>
      <c r="I18" s="10">
        <f t="shared" si="12"/>
        <v>5594.9057142857146</v>
      </c>
      <c r="J18" s="10">
        <f t="shared" si="12"/>
        <v>5594.9057142857146</v>
      </c>
      <c r="K18" s="10">
        <f t="shared" si="12"/>
        <v>5023.4571428571426</v>
      </c>
      <c r="L18" s="10">
        <f t="shared" si="12"/>
        <v>5050.9057142857146</v>
      </c>
      <c r="M18" s="10">
        <f t="shared" si="12"/>
        <v>5023.4571428571426</v>
      </c>
      <c r="N18" s="10">
        <f t="shared" si="12"/>
        <v>4961.1914285714283</v>
      </c>
      <c r="O18" s="10">
        <f t="shared" ref="O18:R18" si="13">O17-O16</f>
        <v>-14928.657142857141</v>
      </c>
      <c r="P18" s="10">
        <f t="shared" si="13"/>
        <v>-15617.82</v>
      </c>
      <c r="Q18" s="10">
        <f t="shared" si="13"/>
        <v>-16213.268571428573</v>
      </c>
      <c r="R18" s="10">
        <f t="shared" si="13"/>
        <v>-15035.554285714286</v>
      </c>
      <c r="S18" s="10">
        <f t="shared" si="10"/>
        <v>-61795.3</v>
      </c>
      <c r="V18" s="10">
        <f>V16-V17</f>
        <v>3019.5753270463965</v>
      </c>
      <c r="W18" s="10">
        <f t="shared" ref="W18:AG18" si="14">W16-W17</f>
        <v>2736.7029403190686</v>
      </c>
      <c r="X18" s="10">
        <f t="shared" si="14"/>
        <v>5610.6373700829236</v>
      </c>
      <c r="Y18" s="10">
        <f t="shared" si="14"/>
        <v>5448.131816617105</v>
      </c>
      <c r="Z18" s="10">
        <f t="shared" si="14"/>
        <v>5648.2189592992627</v>
      </c>
      <c r="AA18" s="10">
        <f t="shared" si="14"/>
        <v>10283.12146557941</v>
      </c>
      <c r="AB18" s="10">
        <f t="shared" si="14"/>
        <v>10660.546263125823</v>
      </c>
      <c r="AC18" s="10">
        <f t="shared" si="14"/>
        <v>10696.355481220486</v>
      </c>
      <c r="AD18" s="10">
        <f t="shared" si="14"/>
        <v>5539.3531251855829</v>
      </c>
      <c r="AE18" s="10">
        <f t="shared" si="14"/>
        <v>5742.4809781533568</v>
      </c>
      <c r="AF18" s="10">
        <f t="shared" si="14"/>
        <v>5575.7224050723626</v>
      </c>
      <c r="AG18" s="10">
        <f t="shared" si="14"/>
        <v>3131.0428218917132</v>
      </c>
      <c r="AH18" s="10">
        <f t="shared" ref="AH18:AK18" si="15">AH17-AH16</f>
        <v>-11366.91563744839</v>
      </c>
      <c r="AI18" s="10">
        <f t="shared" si="15"/>
        <v>-21379.47224149578</v>
      </c>
      <c r="AJ18" s="10">
        <f t="shared" si="15"/>
        <v>-26896.254869531891</v>
      </c>
      <c r="AK18" s="10">
        <f t="shared" si="15"/>
        <v>-14449.246205117432</v>
      </c>
      <c r="AL18" s="10">
        <f t="shared" si="11"/>
        <v>-74091.888953593501</v>
      </c>
    </row>
    <row r="19" spans="1:38" hidden="1" x14ac:dyDescent="0.25">
      <c r="A19" t="s">
        <v>8</v>
      </c>
      <c r="C19" s="10">
        <v>45000</v>
      </c>
      <c r="D19" s="10">
        <v>48000</v>
      </c>
      <c r="E19" s="10">
        <v>54000</v>
      </c>
      <c r="F19" s="10">
        <v>147000</v>
      </c>
      <c r="G19" s="10">
        <v>49000</v>
      </c>
      <c r="H19" s="10">
        <v>51000</v>
      </c>
      <c r="I19" s="10">
        <v>56000</v>
      </c>
      <c r="J19" s="10">
        <v>156000</v>
      </c>
      <c r="K19" s="10">
        <v>70000</v>
      </c>
      <c r="L19" s="10">
        <v>80000</v>
      </c>
      <c r="M19" s="10">
        <v>85000</v>
      </c>
      <c r="N19" s="10">
        <v>235000</v>
      </c>
      <c r="O19" s="10">
        <v>95000</v>
      </c>
      <c r="P19" s="10">
        <v>105000</v>
      </c>
      <c r="Q19" s="10">
        <v>115000</v>
      </c>
      <c r="R19" s="10">
        <v>315000</v>
      </c>
      <c r="S19" s="10">
        <v>853000</v>
      </c>
      <c r="V19" s="10">
        <v>45000</v>
      </c>
      <c r="W19" s="10">
        <v>48000</v>
      </c>
      <c r="X19" s="10">
        <v>54000</v>
      </c>
      <c r="Y19" s="10">
        <v>147000</v>
      </c>
      <c r="Z19" s="10">
        <v>49000</v>
      </c>
      <c r="AA19" s="10">
        <v>51000</v>
      </c>
      <c r="AB19" s="10">
        <v>56000</v>
      </c>
      <c r="AC19" s="10">
        <v>156000</v>
      </c>
      <c r="AD19" s="10">
        <v>70000</v>
      </c>
      <c r="AE19" s="10">
        <v>80000</v>
      </c>
      <c r="AF19" s="10">
        <v>85000</v>
      </c>
      <c r="AG19" s="10">
        <v>235000</v>
      </c>
      <c r="AH19" s="10">
        <v>95000</v>
      </c>
      <c r="AI19" s="10">
        <v>105000</v>
      </c>
      <c r="AJ19" s="10">
        <v>115000</v>
      </c>
      <c r="AK19" s="10">
        <v>315000</v>
      </c>
      <c r="AL19" s="10">
        <v>853000</v>
      </c>
    </row>
    <row r="20" spans="1:38" hidden="1" x14ac:dyDescent="0.25">
      <c r="A20" t="s">
        <v>12</v>
      </c>
      <c r="C20" s="10">
        <f>C19-C17</f>
        <v>44500</v>
      </c>
      <c r="D20" s="10">
        <f t="shared" ref="D20:S20" si="16">D19-D17</f>
        <v>47500</v>
      </c>
      <c r="E20" s="10">
        <f t="shared" si="16"/>
        <v>53200</v>
      </c>
      <c r="F20" s="10">
        <f t="shared" si="16"/>
        <v>146200</v>
      </c>
      <c r="G20" s="10">
        <f t="shared" si="16"/>
        <v>48200</v>
      </c>
      <c r="H20" s="10">
        <f t="shared" si="16"/>
        <v>50000</v>
      </c>
      <c r="I20" s="10">
        <f t="shared" si="16"/>
        <v>55000</v>
      </c>
      <c r="J20" s="10">
        <f t="shared" si="16"/>
        <v>155000</v>
      </c>
      <c r="K20" s="10">
        <f t="shared" si="16"/>
        <v>69200</v>
      </c>
      <c r="L20" s="10">
        <f t="shared" si="16"/>
        <v>79200</v>
      </c>
      <c r="M20" s="10">
        <f t="shared" si="16"/>
        <v>84200</v>
      </c>
      <c r="N20" s="10">
        <f t="shared" si="16"/>
        <v>234500</v>
      </c>
      <c r="O20" s="10">
        <f t="shared" si="16"/>
        <v>93200</v>
      </c>
      <c r="P20" s="10">
        <f t="shared" si="16"/>
        <v>102400</v>
      </c>
      <c r="Q20" s="10">
        <f t="shared" si="16"/>
        <v>112200</v>
      </c>
      <c r="R20" s="10">
        <f t="shared" si="16"/>
        <v>312900</v>
      </c>
      <c r="S20" s="10">
        <f t="shared" si="16"/>
        <v>843700</v>
      </c>
      <c r="V20" s="10">
        <f>V19-V17</f>
        <v>45000</v>
      </c>
      <c r="W20" s="10">
        <f t="shared" ref="W20:AL20" si="17">W19-W17</f>
        <v>48000</v>
      </c>
      <c r="X20" s="10">
        <f t="shared" si="17"/>
        <v>54000</v>
      </c>
      <c r="Y20" s="10">
        <f t="shared" si="17"/>
        <v>147000</v>
      </c>
      <c r="Z20" s="10">
        <f t="shared" si="17"/>
        <v>49000</v>
      </c>
      <c r="AA20" s="10">
        <f t="shared" si="17"/>
        <v>51000</v>
      </c>
      <c r="AB20" s="10">
        <f t="shared" si="17"/>
        <v>56000</v>
      </c>
      <c r="AC20" s="10">
        <f t="shared" si="17"/>
        <v>156000</v>
      </c>
      <c r="AD20" s="10">
        <f t="shared" si="17"/>
        <v>70000</v>
      </c>
      <c r="AE20" s="10">
        <f t="shared" si="17"/>
        <v>80000</v>
      </c>
      <c r="AF20" s="10">
        <f t="shared" si="17"/>
        <v>85000</v>
      </c>
      <c r="AG20" s="10">
        <f t="shared" si="17"/>
        <v>235000</v>
      </c>
      <c r="AH20" s="10">
        <f t="shared" si="17"/>
        <v>95000</v>
      </c>
      <c r="AI20" s="10">
        <f t="shared" si="17"/>
        <v>105000</v>
      </c>
      <c r="AJ20" s="10">
        <f t="shared" si="17"/>
        <v>115000</v>
      </c>
      <c r="AK20" s="10">
        <f t="shared" si="17"/>
        <v>315000</v>
      </c>
      <c r="AL20" s="10">
        <f t="shared" si="17"/>
        <v>853000</v>
      </c>
    </row>
    <row r="21" spans="1:38" x14ac:dyDescent="0.25">
      <c r="O21" s="10"/>
      <c r="P21" s="10"/>
      <c r="Q21" s="10"/>
      <c r="R21" s="10"/>
      <c r="S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s="12" customFormat="1" x14ac:dyDescent="0.25">
      <c r="A22" s="11" t="s">
        <v>21</v>
      </c>
      <c r="B22" s="11"/>
      <c r="O22" s="11"/>
      <c r="P22" s="11"/>
      <c r="Q22" s="11"/>
      <c r="R22" s="11"/>
      <c r="S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x14ac:dyDescent="0.25">
      <c r="A23" t="s">
        <v>5</v>
      </c>
      <c r="C23" s="10">
        <f>'2022'!B$29</f>
        <v>128600</v>
      </c>
      <c r="D23" s="10">
        <f>'2022'!C$29</f>
        <v>10600</v>
      </c>
      <c r="E23" s="10">
        <f>'2022'!D$29</f>
        <v>12400</v>
      </c>
      <c r="F23" s="10">
        <f>'2022'!E$29</f>
        <v>12400</v>
      </c>
      <c r="G23" s="10">
        <f>'2022'!F$29</f>
        <v>12400</v>
      </c>
      <c r="H23" s="10">
        <f>'2022'!G$29</f>
        <v>14100</v>
      </c>
      <c r="I23" s="10">
        <f>'2022'!H$29</f>
        <v>14100</v>
      </c>
      <c r="J23" s="10">
        <f>'2022'!I$29</f>
        <v>14100</v>
      </c>
      <c r="K23" s="10">
        <f>'2022'!J$29</f>
        <v>12400</v>
      </c>
      <c r="L23" s="10">
        <f>'2022'!K$29</f>
        <v>11900</v>
      </c>
      <c r="M23" s="10">
        <f>'2022'!L$29</f>
        <v>10900</v>
      </c>
      <c r="N23" s="10">
        <f>'2022'!M$29</f>
        <v>10600</v>
      </c>
      <c r="O23" s="10">
        <f>SUM(C23:E23)</f>
        <v>151600</v>
      </c>
      <c r="P23" s="10">
        <f>SUM(F23:H23)</f>
        <v>38900</v>
      </c>
      <c r="Q23" s="10">
        <f>SUM(I23:K23)</f>
        <v>40600</v>
      </c>
      <c r="R23" s="10">
        <f>SUM(L23:N23)</f>
        <v>33400</v>
      </c>
      <c r="S23" s="10">
        <f>SUM(O23:R23)</f>
        <v>264500</v>
      </c>
      <c r="V23" s="10">
        <f>FORECAST(V7,$D$24:$N$24,$D$7:$N$7)*C28</f>
        <v>5911.5532825459859</v>
      </c>
      <c r="W23" s="10">
        <f>FORECAST(W7,$D$24:$N$24,$D$7:$N$7)*D28</f>
        <v>10609.563664295101</v>
      </c>
      <c r="X23" s="10">
        <f t="shared" ref="X23:AG23" si="18">FORECAST(X7,$D$24:$N$24,$D$7:$N$7)*E28</f>
        <v>12344.078800128558</v>
      </c>
      <c r="Y23" s="10">
        <f t="shared" si="18"/>
        <v>12269.779680071977</v>
      </c>
      <c r="Z23" s="10">
        <f t="shared" si="18"/>
        <v>12197.877305823673</v>
      </c>
      <c r="AA23" s="10">
        <f t="shared" si="18"/>
        <v>13785.681646719033</v>
      </c>
      <c r="AB23" s="10">
        <f t="shared" si="18"/>
        <v>13703.921688904429</v>
      </c>
      <c r="AC23" s="10">
        <f t="shared" si="18"/>
        <v>13619.436399162689</v>
      </c>
      <c r="AD23" s="10">
        <f t="shared" si="18"/>
        <v>11903.07757140564</v>
      </c>
      <c r="AE23" s="10">
        <f t="shared" si="18"/>
        <v>11354.111681142927</v>
      </c>
      <c r="AF23" s="10">
        <f t="shared" si="18"/>
        <v>10334.673325838567</v>
      </c>
      <c r="AG23" s="10">
        <f t="shared" si="18"/>
        <v>9988.7678427609662</v>
      </c>
      <c r="AH23" s="10">
        <f>SUM(V23:X23)</f>
        <v>28865.195746969646</v>
      </c>
      <c r="AI23" s="10">
        <f>SUM(Y23:AA23)</f>
        <v>38253.338632614687</v>
      </c>
      <c r="AJ23" s="10">
        <f>SUM(AB23:AD23)</f>
        <v>39226.435659472758</v>
      </c>
      <c r="AK23" s="10">
        <f>SUM(AE23:AG23)</f>
        <v>31677.55284974246</v>
      </c>
      <c r="AL23" s="10">
        <f>SUM(AH23:AK23)</f>
        <v>138022.52288879955</v>
      </c>
    </row>
    <row r="24" spans="1:38" x14ac:dyDescent="0.25">
      <c r="A24" t="s">
        <v>6</v>
      </c>
      <c r="C24" s="10">
        <f>C23*1.03</f>
        <v>132458</v>
      </c>
      <c r="D24" s="10">
        <f t="shared" ref="D24:N24" si="19">D23*1.03</f>
        <v>10918</v>
      </c>
      <c r="E24" s="10">
        <f t="shared" si="19"/>
        <v>12772</v>
      </c>
      <c r="F24" s="10">
        <f t="shared" si="19"/>
        <v>12772</v>
      </c>
      <c r="G24" s="10">
        <f t="shared" si="19"/>
        <v>12772</v>
      </c>
      <c r="H24" s="10">
        <f t="shared" si="19"/>
        <v>14523</v>
      </c>
      <c r="I24" s="10">
        <f t="shared" si="19"/>
        <v>14523</v>
      </c>
      <c r="J24" s="10">
        <f t="shared" si="19"/>
        <v>14523</v>
      </c>
      <c r="K24" s="10">
        <f t="shared" si="19"/>
        <v>12772</v>
      </c>
      <c r="L24" s="10">
        <f t="shared" si="19"/>
        <v>12257</v>
      </c>
      <c r="M24" s="10">
        <f t="shared" si="19"/>
        <v>11227</v>
      </c>
      <c r="N24" s="10">
        <f t="shared" si="19"/>
        <v>10918</v>
      </c>
      <c r="O24" s="10">
        <f>SUM(C24:E24)</f>
        <v>156148</v>
      </c>
      <c r="P24" s="10">
        <f>SUM(F24:H24)</f>
        <v>40067</v>
      </c>
      <c r="Q24" s="10">
        <f>SUM(I24:K24)</f>
        <v>41818</v>
      </c>
      <c r="R24" s="10">
        <f>SUM(L24:N24)</f>
        <v>34402</v>
      </c>
      <c r="S24" s="10">
        <f t="shared" ref="S24:S25" si="20">SUM(O24:R24)</f>
        <v>272435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>
        <f>SUM(V24:X24)</f>
        <v>0</v>
      </c>
      <c r="AI24" s="10">
        <f>SUM(Y24:AA24)</f>
        <v>0</v>
      </c>
      <c r="AJ24" s="10">
        <f>SUM(AB24:AD24)</f>
        <v>0</v>
      </c>
      <c r="AK24" s="10">
        <f>SUM(AE24:AG24)</f>
        <v>0</v>
      </c>
      <c r="AL24" s="10">
        <f t="shared" ref="AL24:AL25" si="21">SUM(AH24:AK24)</f>
        <v>0</v>
      </c>
    </row>
    <row r="25" spans="1:38" x14ac:dyDescent="0.25">
      <c r="A25" t="s">
        <v>11</v>
      </c>
      <c r="C25" s="10">
        <f>C23-C24</f>
        <v>-3858</v>
      </c>
      <c r="D25" s="10">
        <f t="shared" ref="D25:N25" si="22">D23-D24</f>
        <v>-318</v>
      </c>
      <c r="E25" s="10">
        <f t="shared" si="22"/>
        <v>-372</v>
      </c>
      <c r="F25" s="10">
        <f t="shared" si="22"/>
        <v>-372</v>
      </c>
      <c r="G25" s="10">
        <f t="shared" si="22"/>
        <v>-372</v>
      </c>
      <c r="H25" s="10">
        <f t="shared" si="22"/>
        <v>-423</v>
      </c>
      <c r="I25" s="10">
        <f t="shared" si="22"/>
        <v>-423</v>
      </c>
      <c r="J25" s="10">
        <f t="shared" si="22"/>
        <v>-423</v>
      </c>
      <c r="K25" s="10">
        <f t="shared" si="22"/>
        <v>-372</v>
      </c>
      <c r="L25" s="10">
        <f t="shared" si="22"/>
        <v>-357</v>
      </c>
      <c r="M25" s="10">
        <f t="shared" si="22"/>
        <v>-327</v>
      </c>
      <c r="N25" s="10">
        <f t="shared" si="22"/>
        <v>-318</v>
      </c>
      <c r="O25" s="10">
        <f t="shared" ref="O25:R25" si="23">O24-O23</f>
        <v>4548</v>
      </c>
      <c r="P25" s="10">
        <f t="shared" si="23"/>
        <v>1167</v>
      </c>
      <c r="Q25" s="10">
        <f t="shared" si="23"/>
        <v>1218</v>
      </c>
      <c r="R25" s="10">
        <f t="shared" si="23"/>
        <v>1002</v>
      </c>
      <c r="S25" s="10">
        <f t="shared" si="20"/>
        <v>7935</v>
      </c>
      <c r="V25" s="10">
        <f>V23-V24</f>
        <v>5911.5532825459859</v>
      </c>
      <c r="W25" s="10">
        <f t="shared" ref="W25:AG25" si="24">W23-W24</f>
        <v>10609.563664295101</v>
      </c>
      <c r="X25" s="10">
        <f t="shared" si="24"/>
        <v>12344.078800128558</v>
      </c>
      <c r="Y25" s="10">
        <f t="shared" si="24"/>
        <v>12269.779680071977</v>
      </c>
      <c r="Z25" s="10">
        <f t="shared" si="24"/>
        <v>12197.877305823673</v>
      </c>
      <c r="AA25" s="10">
        <f t="shared" si="24"/>
        <v>13785.681646719033</v>
      </c>
      <c r="AB25" s="10">
        <f t="shared" si="24"/>
        <v>13703.921688904429</v>
      </c>
      <c r="AC25" s="10">
        <f t="shared" si="24"/>
        <v>13619.436399162689</v>
      </c>
      <c r="AD25" s="10">
        <f t="shared" si="24"/>
        <v>11903.07757140564</v>
      </c>
      <c r="AE25" s="10">
        <f t="shared" si="24"/>
        <v>11354.111681142927</v>
      </c>
      <c r="AF25" s="10">
        <f t="shared" si="24"/>
        <v>10334.673325838567</v>
      </c>
      <c r="AG25" s="10">
        <f t="shared" si="24"/>
        <v>9988.7678427609662</v>
      </c>
      <c r="AH25" s="10">
        <f t="shared" ref="AH25:AK25" si="25">AH24-AH23</f>
        <v>-28865.195746969646</v>
      </c>
      <c r="AI25" s="10">
        <f t="shared" si="25"/>
        <v>-38253.338632614687</v>
      </c>
      <c r="AJ25" s="10">
        <f t="shared" si="25"/>
        <v>-39226.435659472758</v>
      </c>
      <c r="AK25" s="10">
        <f t="shared" si="25"/>
        <v>-31677.55284974246</v>
      </c>
      <c r="AL25" s="10">
        <f t="shared" si="21"/>
        <v>-138022.52288879955</v>
      </c>
    </row>
    <row r="26" spans="1:38" hidden="1" x14ac:dyDescent="0.25">
      <c r="A26" t="s">
        <v>8</v>
      </c>
      <c r="C26" s="10">
        <v>7000</v>
      </c>
      <c r="D26" s="10">
        <v>6000</v>
      </c>
      <c r="E26" s="10">
        <v>5000</v>
      </c>
      <c r="F26" s="10">
        <v>18000</v>
      </c>
      <c r="G26" s="10">
        <v>5000</v>
      </c>
      <c r="H26" s="10">
        <v>6000</v>
      </c>
      <c r="I26" s="10">
        <v>7000</v>
      </c>
      <c r="J26" s="10">
        <v>18000</v>
      </c>
      <c r="K26" s="10">
        <v>7000</v>
      </c>
      <c r="L26" s="10">
        <v>8000</v>
      </c>
      <c r="M26" s="10">
        <v>8000</v>
      </c>
      <c r="N26" s="10">
        <v>23000</v>
      </c>
      <c r="O26" s="10">
        <v>8000</v>
      </c>
      <c r="P26" s="10">
        <v>9000</v>
      </c>
      <c r="Q26" s="10">
        <v>7000</v>
      </c>
      <c r="R26" s="10">
        <v>24000</v>
      </c>
      <c r="S26" s="10">
        <v>83000</v>
      </c>
      <c r="V26" s="10">
        <v>7000</v>
      </c>
      <c r="W26" s="10">
        <v>6000</v>
      </c>
      <c r="X26" s="10">
        <v>5000</v>
      </c>
      <c r="Y26" s="10">
        <v>18000</v>
      </c>
      <c r="Z26" s="10">
        <v>5000</v>
      </c>
      <c r="AA26" s="10">
        <v>6000</v>
      </c>
      <c r="AB26" s="10">
        <v>7000</v>
      </c>
      <c r="AC26" s="10">
        <v>18000</v>
      </c>
      <c r="AD26" s="10">
        <v>7000</v>
      </c>
      <c r="AE26" s="10">
        <v>8000</v>
      </c>
      <c r="AF26" s="10">
        <v>8000</v>
      </c>
      <c r="AG26" s="10">
        <v>23000</v>
      </c>
      <c r="AH26" s="10">
        <v>8000</v>
      </c>
      <c r="AI26" s="10">
        <v>9000</v>
      </c>
      <c r="AJ26" s="10">
        <v>7000</v>
      </c>
      <c r="AK26" s="10">
        <v>24000</v>
      </c>
      <c r="AL26" s="10">
        <v>83000</v>
      </c>
    </row>
    <row r="27" spans="1:38" hidden="1" x14ac:dyDescent="0.25">
      <c r="A27" t="s">
        <v>12</v>
      </c>
      <c r="C27" s="10">
        <f>C26-C24</f>
        <v>-125458</v>
      </c>
      <c r="D27" s="10">
        <f t="shared" ref="D27:S27" si="26">D26-D24</f>
        <v>-4918</v>
      </c>
      <c r="E27" s="10">
        <f t="shared" si="26"/>
        <v>-7772</v>
      </c>
      <c r="F27" s="10">
        <f t="shared" si="26"/>
        <v>5228</v>
      </c>
      <c r="G27" s="10">
        <f t="shared" si="26"/>
        <v>-7772</v>
      </c>
      <c r="H27" s="10">
        <f t="shared" si="26"/>
        <v>-8523</v>
      </c>
      <c r="I27" s="10">
        <f t="shared" si="26"/>
        <v>-7523</v>
      </c>
      <c r="J27" s="10">
        <f t="shared" si="26"/>
        <v>3477</v>
      </c>
      <c r="K27" s="10">
        <f t="shared" si="26"/>
        <v>-5772</v>
      </c>
      <c r="L27" s="10">
        <f t="shared" si="26"/>
        <v>-4257</v>
      </c>
      <c r="M27" s="10">
        <f t="shared" si="26"/>
        <v>-3227</v>
      </c>
      <c r="N27" s="10">
        <f t="shared" si="26"/>
        <v>12082</v>
      </c>
      <c r="O27" s="10">
        <f t="shared" si="26"/>
        <v>-148148</v>
      </c>
      <c r="P27" s="10">
        <f t="shared" si="26"/>
        <v>-31067</v>
      </c>
      <c r="Q27" s="10">
        <f t="shared" si="26"/>
        <v>-34818</v>
      </c>
      <c r="R27" s="10">
        <f t="shared" si="26"/>
        <v>-10402</v>
      </c>
      <c r="S27" s="10">
        <f t="shared" si="26"/>
        <v>-189435</v>
      </c>
      <c r="V27" s="10">
        <f>V26-V24</f>
        <v>7000</v>
      </c>
      <c r="W27" s="10">
        <f t="shared" ref="W27:AL27" si="27">W26-W24</f>
        <v>6000</v>
      </c>
      <c r="X27" s="10">
        <f t="shared" si="27"/>
        <v>5000</v>
      </c>
      <c r="Y27" s="10">
        <f t="shared" si="27"/>
        <v>18000</v>
      </c>
      <c r="Z27" s="10">
        <f t="shared" si="27"/>
        <v>5000</v>
      </c>
      <c r="AA27" s="10">
        <f t="shared" si="27"/>
        <v>6000</v>
      </c>
      <c r="AB27" s="10">
        <f t="shared" si="27"/>
        <v>7000</v>
      </c>
      <c r="AC27" s="10">
        <f t="shared" si="27"/>
        <v>18000</v>
      </c>
      <c r="AD27" s="10">
        <f t="shared" si="27"/>
        <v>7000</v>
      </c>
      <c r="AE27" s="10">
        <f t="shared" si="27"/>
        <v>8000</v>
      </c>
      <c r="AF27" s="10">
        <f t="shared" si="27"/>
        <v>8000</v>
      </c>
      <c r="AG27" s="10">
        <f t="shared" si="27"/>
        <v>23000</v>
      </c>
      <c r="AH27" s="10">
        <f t="shared" si="27"/>
        <v>8000</v>
      </c>
      <c r="AI27" s="10">
        <f t="shared" si="27"/>
        <v>9000</v>
      </c>
      <c r="AJ27" s="10">
        <f t="shared" si="27"/>
        <v>7000</v>
      </c>
      <c r="AK27" s="10">
        <f t="shared" si="27"/>
        <v>24000</v>
      </c>
      <c r="AL27" s="10">
        <f t="shared" si="27"/>
        <v>83000</v>
      </c>
    </row>
    <row r="28" spans="1:38" hidden="1" x14ac:dyDescent="0.25">
      <c r="C28" s="1">
        <f>(C23-118000)/AVERAGE($C$23:$N$23)</f>
        <v>0.48090737240075609</v>
      </c>
      <c r="D28" s="1">
        <f t="shared" ref="D28:N28" si="28">D23/(AVERAGE($D$23:$N$23,10600))</f>
        <v>0.86825938566552896</v>
      </c>
      <c r="E28" s="1">
        <f t="shared" si="28"/>
        <v>1.0156996587030716</v>
      </c>
      <c r="F28" s="1">
        <f t="shared" si="28"/>
        <v>1.0156996587030716</v>
      </c>
      <c r="G28" s="1">
        <f t="shared" si="28"/>
        <v>1.0156996587030716</v>
      </c>
      <c r="H28" s="1">
        <f t="shared" si="28"/>
        <v>1.1549488054607508</v>
      </c>
      <c r="I28" s="1">
        <f t="shared" si="28"/>
        <v>1.1549488054607508</v>
      </c>
      <c r="J28" s="1">
        <f t="shared" si="28"/>
        <v>1.1549488054607508</v>
      </c>
      <c r="K28" s="1">
        <f t="shared" si="28"/>
        <v>1.0156996587030716</v>
      </c>
      <c r="L28" s="1">
        <f t="shared" si="28"/>
        <v>0.9747440273037542</v>
      </c>
      <c r="M28" s="1">
        <f t="shared" si="28"/>
        <v>0.89283276450511939</v>
      </c>
      <c r="N28" s="1">
        <f t="shared" si="28"/>
        <v>0.86825938566552896</v>
      </c>
      <c r="O28" s="10"/>
      <c r="P28" s="10"/>
      <c r="Q28" s="10"/>
      <c r="R28" s="10"/>
      <c r="S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s="12" customFormat="1" x14ac:dyDescent="0.25">
      <c r="A29" s="11" t="s">
        <v>22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5</v>
      </c>
      <c r="C30" s="10">
        <f>'2022'!B$31</f>
        <v>-130657.61523809524</v>
      </c>
      <c r="D30" s="10">
        <f>'2022'!C$31</f>
        <v>-13950.426666666668</v>
      </c>
      <c r="E30" s="10">
        <f>'2022'!D$31</f>
        <v>-3155.9009523809527</v>
      </c>
      <c r="F30" s="10">
        <f>'2022'!E$31</f>
        <v>-3951.4095238095288</v>
      </c>
      <c r="G30" s="10">
        <f>'2022'!F$31</f>
        <v>-3155.9009523809527</v>
      </c>
      <c r="H30" s="10">
        <f>'2022'!G$31</f>
        <v>15228.590476190471</v>
      </c>
      <c r="I30" s="10">
        <f>'2022'!H$31</f>
        <v>16720.099047619042</v>
      </c>
      <c r="J30" s="10">
        <f>'2022'!I$31</f>
        <v>16720.099047619042</v>
      </c>
      <c r="K30" s="10">
        <f>'2022'!J$31</f>
        <v>-3951.4095238095288</v>
      </c>
      <c r="L30" s="10">
        <f>'2022'!K$31</f>
        <v>-2655.9009523809527</v>
      </c>
      <c r="M30" s="10">
        <f>'2022'!L$31</f>
        <v>-2451.4095238095288</v>
      </c>
      <c r="N30" s="10">
        <f>'2022'!M$31</f>
        <v>-12657.615238095239</v>
      </c>
      <c r="O30" s="10">
        <f>SUM(C30:E30)</f>
        <v>-147763.94285714289</v>
      </c>
      <c r="P30" s="10">
        <f>SUM(F30:H30)</f>
        <v>8121.2799999999897</v>
      </c>
      <c r="Q30" s="10">
        <f>SUM(I30:K30)</f>
        <v>29488.788571428555</v>
      </c>
      <c r="R30" s="10">
        <f>SUM(L30:N30)</f>
        <v>-17764.92571428572</v>
      </c>
      <c r="S30" s="10">
        <f>SUM(O30:R30)</f>
        <v>-127918.80000000006</v>
      </c>
      <c r="V30" s="10">
        <f>FORECAST(V7,$D$31:$N$31,$D$7:$N$7)*C35</f>
        <v>7231.0796072540643</v>
      </c>
      <c r="W30" s="10">
        <f t="shared" ref="W30:AG30" si="29">FORECAST(W7,$D$31:$N$31,$D$7:$N$7)*D35</f>
        <v>13152.739730434283</v>
      </c>
      <c r="X30" s="10">
        <f t="shared" si="29"/>
        <v>15489.041223178596</v>
      </c>
      <c r="Y30" s="10">
        <f t="shared" si="29"/>
        <v>15602.874759423739</v>
      </c>
      <c r="Z30" s="10">
        <f t="shared" si="29"/>
        <v>15713.036246112568</v>
      </c>
      <c r="AA30" s="10">
        <f t="shared" si="29"/>
        <v>17996.682575100269</v>
      </c>
      <c r="AB30" s="10">
        <f t="shared" si="29"/>
        <v>18121.946846254505</v>
      </c>
      <c r="AC30" s="10">
        <f t="shared" si="29"/>
        <v>18251.386593113868</v>
      </c>
      <c r="AD30" s="10">
        <f t="shared" si="29"/>
        <v>16164.698341536769</v>
      </c>
      <c r="AE30" s="10">
        <f t="shared" si="29"/>
        <v>15618.615480313276</v>
      </c>
      <c r="AF30" s="10">
        <f t="shared" si="29"/>
        <v>14406.190134897643</v>
      </c>
      <c r="AG30" s="10">
        <f t="shared" si="29"/>
        <v>14103.859792120253</v>
      </c>
      <c r="AH30" s="10">
        <f>SUM(V30:X30)</f>
        <v>35872.860560866946</v>
      </c>
      <c r="AI30" s="10">
        <f>SUM(Y30:AA30)</f>
        <v>49312.593580636574</v>
      </c>
      <c r="AJ30" s="10">
        <f>SUM(AB30:AD30)</f>
        <v>52538.031780905148</v>
      </c>
      <c r="AK30" s="10">
        <f>SUM(AE30:AG30)</f>
        <v>44128.665407331173</v>
      </c>
      <c r="AL30" s="10">
        <f>SUM(AH30:AK30)</f>
        <v>181852.15132973983</v>
      </c>
    </row>
    <row r="31" spans="1:38" x14ac:dyDescent="0.25">
      <c r="A31" t="s">
        <v>6</v>
      </c>
      <c r="C31" s="10">
        <f>C11-(C17+C24)</f>
        <v>-119657.3725</v>
      </c>
      <c r="D31" s="10">
        <f t="shared" ref="D31:N31" si="30">D11-(D17+D24)</f>
        <v>595.46999999999935</v>
      </c>
      <c r="E31" s="10">
        <f t="shared" si="30"/>
        <v>10981.627500000002</v>
      </c>
      <c r="F31" s="10">
        <f t="shared" si="30"/>
        <v>10189.575000000001</v>
      </c>
      <c r="G31" s="10">
        <f t="shared" si="30"/>
        <v>10981.627500000002</v>
      </c>
      <c r="H31" s="10">
        <f t="shared" si="30"/>
        <v>29028.575000000004</v>
      </c>
      <c r="I31" s="10">
        <f t="shared" si="30"/>
        <v>30513.627500000002</v>
      </c>
      <c r="J31" s="10">
        <f t="shared" si="30"/>
        <v>30513.627500000002</v>
      </c>
      <c r="K31" s="10">
        <f t="shared" si="30"/>
        <v>10189.575000000001</v>
      </c>
      <c r="L31" s="10">
        <f t="shared" si="30"/>
        <v>11496.627500000002</v>
      </c>
      <c r="M31" s="10">
        <f t="shared" si="30"/>
        <v>11734.575000000001</v>
      </c>
      <c r="N31" s="10">
        <f t="shared" si="30"/>
        <v>1882.6275000000005</v>
      </c>
      <c r="O31" s="10">
        <f>SUM(C31:E31)</f>
        <v>-108080.27499999999</v>
      </c>
      <c r="P31" s="10">
        <f>SUM(F31:H31)</f>
        <v>50199.777500000011</v>
      </c>
      <c r="Q31" s="10">
        <f>SUM(I31:K31)</f>
        <v>71216.83</v>
      </c>
      <c r="R31" s="10">
        <f>SUM(L31:N31)</f>
        <v>25113.83</v>
      </c>
      <c r="S31" s="10">
        <f t="shared" ref="S31:S32" si="31">SUM(O31:R31)</f>
        <v>38450.16250000002</v>
      </c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>
        <f>SUM(V31:X31)</f>
        <v>0</v>
      </c>
      <c r="AI31" s="10">
        <f>SUM(Y31:AA31)</f>
        <v>0</v>
      </c>
      <c r="AJ31" s="10">
        <f>SUM(AB31:AD31)</f>
        <v>0</v>
      </c>
      <c r="AK31" s="10">
        <f>SUM(AE31:AG31)</f>
        <v>0</v>
      </c>
      <c r="AL31" s="10">
        <f t="shared" ref="AL31:AL32" si="32">SUM(AH31:AK31)</f>
        <v>0</v>
      </c>
    </row>
    <row r="32" spans="1:38" x14ac:dyDescent="0.25">
      <c r="A32" t="s">
        <v>7</v>
      </c>
      <c r="C32" s="10">
        <f>C31-C30</f>
        <v>11000.242738095243</v>
      </c>
      <c r="D32" s="10">
        <f t="shared" ref="D32:R32" si="33">D31-D30</f>
        <v>14545.896666666667</v>
      </c>
      <c r="E32" s="10">
        <f t="shared" si="33"/>
        <v>14137.528452380955</v>
      </c>
      <c r="F32" s="10">
        <f t="shared" si="33"/>
        <v>14140.984523809529</v>
      </c>
      <c r="G32" s="10">
        <f t="shared" si="33"/>
        <v>14137.528452380955</v>
      </c>
      <c r="H32" s="10">
        <f t="shared" si="33"/>
        <v>13799.984523809533</v>
      </c>
      <c r="I32" s="10">
        <f t="shared" si="33"/>
        <v>13793.528452380961</v>
      </c>
      <c r="J32" s="10">
        <f t="shared" si="33"/>
        <v>13793.528452380961</v>
      </c>
      <c r="K32" s="10">
        <f t="shared" si="33"/>
        <v>14140.984523809529</v>
      </c>
      <c r="L32" s="10">
        <f t="shared" si="33"/>
        <v>14152.528452380955</v>
      </c>
      <c r="M32" s="10">
        <f t="shared" si="33"/>
        <v>14185.984523809529</v>
      </c>
      <c r="N32" s="10">
        <f t="shared" si="33"/>
        <v>14540.242738095239</v>
      </c>
      <c r="O32" s="10">
        <f t="shared" si="33"/>
        <v>39683.667857142893</v>
      </c>
      <c r="P32" s="10">
        <f t="shared" si="33"/>
        <v>42078.497500000019</v>
      </c>
      <c r="Q32" s="10">
        <f t="shared" si="33"/>
        <v>41728.041428571451</v>
      </c>
      <c r="R32" s="10">
        <f t="shared" si="33"/>
        <v>42878.755714285726</v>
      </c>
      <c r="S32" s="10">
        <f t="shared" si="31"/>
        <v>166368.96250000008</v>
      </c>
      <c r="V32" s="10">
        <f>V31-V30</f>
        <v>-7231.0796072540643</v>
      </c>
      <c r="W32" s="10">
        <f t="shared" ref="W32:AK32" si="34">W31-W30</f>
        <v>-13152.739730434283</v>
      </c>
      <c r="X32" s="10">
        <f t="shared" si="34"/>
        <v>-15489.041223178596</v>
      </c>
      <c r="Y32" s="10">
        <f t="shared" si="34"/>
        <v>-15602.874759423739</v>
      </c>
      <c r="Z32" s="10">
        <f t="shared" si="34"/>
        <v>-15713.036246112568</v>
      </c>
      <c r="AA32" s="10">
        <f t="shared" si="34"/>
        <v>-17996.682575100269</v>
      </c>
      <c r="AB32" s="10">
        <f t="shared" si="34"/>
        <v>-18121.946846254505</v>
      </c>
      <c r="AC32" s="10">
        <f t="shared" si="34"/>
        <v>-18251.386593113868</v>
      </c>
      <c r="AD32" s="10">
        <f t="shared" si="34"/>
        <v>-16164.698341536769</v>
      </c>
      <c r="AE32" s="10">
        <f t="shared" si="34"/>
        <v>-15618.615480313276</v>
      </c>
      <c r="AF32" s="10">
        <f t="shared" si="34"/>
        <v>-14406.190134897643</v>
      </c>
      <c r="AG32" s="10">
        <f t="shared" si="34"/>
        <v>-14103.859792120253</v>
      </c>
      <c r="AH32" s="10">
        <f t="shared" si="34"/>
        <v>-35872.860560866946</v>
      </c>
      <c r="AI32" s="10">
        <f t="shared" si="34"/>
        <v>-49312.593580636574</v>
      </c>
      <c r="AJ32" s="10">
        <f t="shared" si="34"/>
        <v>-52538.031780905148</v>
      </c>
      <c r="AK32" s="10">
        <f t="shared" si="34"/>
        <v>-44128.665407331173</v>
      </c>
      <c r="AL32" s="10">
        <f t="shared" si="32"/>
        <v>-181852.15132973983</v>
      </c>
    </row>
    <row r="33" spans="1:38" hidden="1" x14ac:dyDescent="0.25">
      <c r="A33" t="s">
        <v>8</v>
      </c>
      <c r="C33" s="10">
        <v>-5000</v>
      </c>
      <c r="D33" s="10">
        <v>-25000</v>
      </c>
      <c r="E33" s="10">
        <v>-27000</v>
      </c>
      <c r="F33" s="10">
        <v>-57000</v>
      </c>
      <c r="G33" s="10">
        <v>-15000</v>
      </c>
      <c r="H33" s="10">
        <v>-15000</v>
      </c>
      <c r="I33" s="10">
        <v>-15000</v>
      </c>
      <c r="J33" s="10">
        <v>-45000</v>
      </c>
      <c r="K33" s="10">
        <v>-33000</v>
      </c>
      <c r="L33" s="10">
        <v>-25000</v>
      </c>
      <c r="M33" s="10">
        <v>-25000</v>
      </c>
      <c r="N33" s="10">
        <v>-83000</v>
      </c>
      <c r="O33" s="10">
        <v>-30000</v>
      </c>
      <c r="P33" s="10">
        <v>-20000</v>
      </c>
      <c r="Q33" s="10">
        <v>-20000</v>
      </c>
      <c r="R33" s="10">
        <v>-70000</v>
      </c>
      <c r="S33" s="10">
        <v>-255000</v>
      </c>
      <c r="V33" s="10">
        <v>-5000</v>
      </c>
      <c r="W33" s="10">
        <v>-25000</v>
      </c>
      <c r="X33" s="10">
        <v>-27000</v>
      </c>
      <c r="Y33" s="10">
        <v>-57000</v>
      </c>
      <c r="Z33" s="10">
        <v>-15000</v>
      </c>
      <c r="AA33" s="10">
        <v>-15000</v>
      </c>
      <c r="AB33" s="10">
        <v>-15000</v>
      </c>
      <c r="AC33" s="10">
        <v>-45000</v>
      </c>
      <c r="AD33" s="10">
        <v>-33000</v>
      </c>
      <c r="AE33" s="10">
        <v>-25000</v>
      </c>
      <c r="AF33" s="10">
        <v>-25000</v>
      </c>
      <c r="AG33" s="10">
        <v>-83000</v>
      </c>
      <c r="AH33" s="10">
        <v>-30000</v>
      </c>
      <c r="AI33" s="10">
        <v>-20000</v>
      </c>
      <c r="AJ33" s="10">
        <v>-20000</v>
      </c>
      <c r="AK33" s="10">
        <v>-70000</v>
      </c>
      <c r="AL33" s="10">
        <v>-255000</v>
      </c>
    </row>
    <row r="34" spans="1:38" hidden="1" x14ac:dyDescent="0.25">
      <c r="A34" t="s">
        <v>9</v>
      </c>
      <c r="C34" s="10">
        <f>C31-C33</f>
        <v>-114657.3725</v>
      </c>
      <c r="D34" s="10">
        <f t="shared" ref="D34:S34" si="35">D31-D33</f>
        <v>25595.47</v>
      </c>
      <c r="E34" s="10">
        <f t="shared" si="35"/>
        <v>37981.627500000002</v>
      </c>
      <c r="F34" s="10">
        <f t="shared" si="35"/>
        <v>67189.574999999997</v>
      </c>
      <c r="G34" s="10">
        <f t="shared" si="35"/>
        <v>25981.627500000002</v>
      </c>
      <c r="H34" s="10">
        <f t="shared" si="35"/>
        <v>44028.575000000004</v>
      </c>
      <c r="I34" s="10">
        <f t="shared" si="35"/>
        <v>45513.627500000002</v>
      </c>
      <c r="J34" s="10">
        <f t="shared" si="35"/>
        <v>75513.627500000002</v>
      </c>
      <c r="K34" s="10">
        <f t="shared" si="35"/>
        <v>43189.574999999997</v>
      </c>
      <c r="L34" s="10">
        <f t="shared" si="35"/>
        <v>36496.627500000002</v>
      </c>
      <c r="M34" s="10">
        <f t="shared" si="35"/>
        <v>36734.574999999997</v>
      </c>
      <c r="N34" s="10">
        <f t="shared" si="35"/>
        <v>84882.627500000002</v>
      </c>
      <c r="O34" s="10">
        <f t="shared" si="35"/>
        <v>-78080.274999999994</v>
      </c>
      <c r="P34" s="10">
        <f t="shared" si="35"/>
        <v>70199.777500000011</v>
      </c>
      <c r="Q34" s="10">
        <f t="shared" si="35"/>
        <v>91216.83</v>
      </c>
      <c r="R34" s="10">
        <f t="shared" si="35"/>
        <v>95113.83</v>
      </c>
      <c r="S34" s="10">
        <f t="shared" si="35"/>
        <v>293450.16250000003</v>
      </c>
      <c r="V34" s="10">
        <f>V31-V33</f>
        <v>5000</v>
      </c>
      <c r="W34" s="10">
        <f t="shared" ref="W34:AL34" si="36">W31-W33</f>
        <v>25000</v>
      </c>
      <c r="X34" s="10">
        <f t="shared" si="36"/>
        <v>27000</v>
      </c>
      <c r="Y34" s="10">
        <f t="shared" si="36"/>
        <v>57000</v>
      </c>
      <c r="Z34" s="10">
        <f t="shared" si="36"/>
        <v>15000</v>
      </c>
      <c r="AA34" s="10">
        <f t="shared" si="36"/>
        <v>15000</v>
      </c>
      <c r="AB34" s="10">
        <f t="shared" si="36"/>
        <v>15000</v>
      </c>
      <c r="AC34" s="10">
        <f t="shared" si="36"/>
        <v>45000</v>
      </c>
      <c r="AD34" s="10">
        <f t="shared" si="36"/>
        <v>33000</v>
      </c>
      <c r="AE34" s="10">
        <f t="shared" si="36"/>
        <v>25000</v>
      </c>
      <c r="AF34" s="10">
        <f t="shared" si="36"/>
        <v>25000</v>
      </c>
      <c r="AG34" s="10">
        <f t="shared" si="36"/>
        <v>83000</v>
      </c>
      <c r="AH34" s="10">
        <f t="shared" si="36"/>
        <v>30000</v>
      </c>
      <c r="AI34" s="10">
        <f t="shared" si="36"/>
        <v>20000</v>
      </c>
      <c r="AJ34" s="10">
        <f t="shared" si="36"/>
        <v>20000</v>
      </c>
      <c r="AK34" s="10">
        <f t="shared" si="36"/>
        <v>70000</v>
      </c>
      <c r="AL34" s="10">
        <f t="shared" si="36"/>
        <v>255000</v>
      </c>
    </row>
    <row r="35" spans="1:38" hidden="1" x14ac:dyDescent="0.25">
      <c r="C35" s="88">
        <v>0.48090737240075609</v>
      </c>
      <c r="D35" s="1">
        <v>0.86825938566552896</v>
      </c>
      <c r="E35" s="1">
        <v>1.0156996587030716</v>
      </c>
      <c r="F35" s="1">
        <v>1.0156996587030716</v>
      </c>
      <c r="G35" s="1">
        <v>1.0156996587030716</v>
      </c>
      <c r="H35" s="1">
        <v>1.1549488054607508</v>
      </c>
      <c r="I35" s="1">
        <v>1.1549488054607508</v>
      </c>
      <c r="J35" s="1">
        <v>1.1549488054607508</v>
      </c>
      <c r="K35" s="1">
        <v>1.0156996587030716</v>
      </c>
      <c r="L35" s="1">
        <v>0.9747440273037542</v>
      </c>
      <c r="M35" s="1">
        <v>0.89283276450511939</v>
      </c>
      <c r="N35" s="1">
        <v>0.86825938566552896</v>
      </c>
      <c r="O35" s="10"/>
      <c r="P35" s="10"/>
      <c r="Q35" s="10"/>
      <c r="R35" s="10"/>
      <c r="S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s="12" customFormat="1" ht="15" customHeight="1" x14ac:dyDescent="0.25">
      <c r="A36" s="11" t="s">
        <v>33</v>
      </c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V36" s="142"/>
      <c r="W36" s="142"/>
      <c r="X36" s="142"/>
      <c r="Y36" s="142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</row>
    <row r="37" spans="1:38" ht="15" customHeight="1" x14ac:dyDescent="0.25">
      <c r="A37" t="s">
        <v>5</v>
      </c>
      <c r="C37" s="10">
        <f>'2022'!B$44</f>
        <v>-105285.05313000185</v>
      </c>
      <c r="D37" s="10">
        <f>'2022'!C$44</f>
        <v>-13086.374158573271</v>
      </c>
      <c r="E37" s="10">
        <f>'2022'!D$44</f>
        <v>-4558.6988442875563</v>
      </c>
      <c r="F37" s="10">
        <f>'2022'!E$44</f>
        <v>-5187.1506157161311</v>
      </c>
      <c r="G37" s="10">
        <f>'2022'!F$44</f>
        <v>-4558.6988442875563</v>
      </c>
      <c r="H37" s="10">
        <f>'2022'!G$44</f>
        <v>9965.0493842838696</v>
      </c>
      <c r="I37" s="10">
        <f>'2022'!H$44</f>
        <v>11143.341155712438</v>
      </c>
      <c r="J37" s="10">
        <f>'2022'!I$44</f>
        <v>11143.341155712438</v>
      </c>
      <c r="K37" s="10">
        <f>'2022'!J$44</f>
        <v>-5187.1506157161311</v>
      </c>
      <c r="L37" s="10">
        <f>'2022'!K$44</f>
        <v>-4163.6988442875563</v>
      </c>
      <c r="M37" s="10">
        <f>'2022'!L$44</f>
        <v>-4002.1506157161316</v>
      </c>
      <c r="N37" s="10">
        <f>'2022'!M$44</f>
        <v>-12065.053130001843</v>
      </c>
      <c r="O37" s="10">
        <f>SUM(C37:E37)</f>
        <v>-122930.12613286269</v>
      </c>
      <c r="P37" s="10">
        <f>SUM(F37:H37)</f>
        <v>219.19992428018304</v>
      </c>
      <c r="Q37" s="10">
        <f>SUM(I37:K37)</f>
        <v>17099.531695708745</v>
      </c>
      <c r="R37" s="10">
        <f>SUM(L37:N37)</f>
        <v>-20230.902590005531</v>
      </c>
      <c r="S37" s="10">
        <f>SUM(O37:R37)</f>
        <v>-125842.29710287928</v>
      </c>
      <c r="V37" s="10">
        <f>FORECAST(V7,$D$38:$N$38,$D$7:$N$7)*C42</f>
        <v>5973.6973091969576</v>
      </c>
      <c r="W37" s="10">
        <f>FORECAST(W7,$D$38:$N$38,$D$7:$N$7)*D42</f>
        <v>10882.585342474549</v>
      </c>
      <c r="X37" s="10">
        <f t="shared" ref="X37:AG37" si="37">FORECAST(X7,$D$38:$N$38,$D$7:$N$7)*E42</f>
        <v>12833.388920282303</v>
      </c>
      <c r="Y37" s="10">
        <f t="shared" si="37"/>
        <v>12947.222456527417</v>
      </c>
      <c r="Z37" s="10">
        <f t="shared" si="37"/>
        <v>13057.383943216246</v>
      </c>
      <c r="AA37" s="10">
        <f t="shared" si="37"/>
        <v>14976.948908097227</v>
      </c>
      <c r="AB37" s="10">
        <f t="shared" si="37"/>
        <v>15102.213179251461</v>
      </c>
      <c r="AC37" s="10">
        <f t="shared" si="37"/>
        <v>15231.652926110824</v>
      </c>
      <c r="AD37" s="10">
        <f t="shared" si="37"/>
        <v>13509.046038640447</v>
      </c>
      <c r="AE37" s="10">
        <f t="shared" si="37"/>
        <v>13070.045931565999</v>
      </c>
      <c r="AF37" s="10">
        <f t="shared" si="37"/>
        <v>12071.786094448456</v>
      </c>
      <c r="AG37" s="10">
        <f t="shared" si="37"/>
        <v>11833.705404160493</v>
      </c>
      <c r="AH37" s="10">
        <f>SUM(V37:X37)</f>
        <v>29689.671571953812</v>
      </c>
      <c r="AI37" s="10">
        <f>SUM(Y37:AA37)</f>
        <v>40981.555307840892</v>
      </c>
      <c r="AJ37" s="10">
        <f>SUM(AB37:AD37)</f>
        <v>43842.91214400273</v>
      </c>
      <c r="AK37" s="10">
        <f>SUM(AE37:AG37)</f>
        <v>36975.537430174947</v>
      </c>
      <c r="AL37" s="10">
        <f>SUM(AH37:AK37)</f>
        <v>151489.67645397238</v>
      </c>
    </row>
    <row r="38" spans="1:38" ht="15" customHeight="1" x14ac:dyDescent="0.25">
      <c r="A38" t="s">
        <v>6</v>
      </c>
      <c r="C38" s="10">
        <f>C11-C17-C24-'2022'!B$41</f>
        <v>-122271.97641380582</v>
      </c>
      <c r="D38" s="10">
        <f>D11-D17-D24-'2022'!C$41</f>
        <v>-2019.1339138058279</v>
      </c>
      <c r="E38" s="10">
        <f>E11-E17-E24-'2022'!D$41</f>
        <v>8367.0235861941746</v>
      </c>
      <c r="F38" s="10">
        <f>F11-F17-F24-'2022'!E$41</f>
        <v>7574.971086194173</v>
      </c>
      <c r="G38" s="10">
        <f>G11-G17-G24-'2022'!F$41</f>
        <v>8367.0235861941746</v>
      </c>
      <c r="H38" s="10">
        <f>H11-H17-H24-'2022'!G$41</f>
        <v>26413.971086194178</v>
      </c>
      <c r="I38" s="10">
        <f>I11-I17-I24-'2022'!H$41</f>
        <v>27899.023586194176</v>
      </c>
      <c r="J38" s="10">
        <f>J11-J17-J24-'2022'!I$41</f>
        <v>27899.023586194176</v>
      </c>
      <c r="K38" s="10">
        <f>K11-K17-K24-'2022'!J$41</f>
        <v>7574.971086194173</v>
      </c>
      <c r="L38" s="10">
        <f>L11-L17-L24-'2022'!K$41</f>
        <v>8882.0235861941746</v>
      </c>
      <c r="M38" s="10">
        <f>M11-M17-M24-'2022'!L$41</f>
        <v>9119.971086194173</v>
      </c>
      <c r="N38" s="10">
        <f>N11-N17-N24-'2022'!M$41</f>
        <v>-731.97641380582672</v>
      </c>
      <c r="O38" s="10">
        <f>SUM(C38:E38)</f>
        <v>-115924.08674141747</v>
      </c>
      <c r="P38" s="10">
        <f>SUM(F38:H38)</f>
        <v>42355.965758582526</v>
      </c>
      <c r="Q38" s="10">
        <f>SUM(I38:K38)</f>
        <v>63373.018258582524</v>
      </c>
      <c r="R38" s="10">
        <f>SUM(L38:N38)</f>
        <v>17270.018258582521</v>
      </c>
      <c r="S38" s="10">
        <f t="shared" ref="S38:S39" si="38">SUM(O38:R38)</f>
        <v>7074.9155343300918</v>
      </c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>
        <f>SUM(V38:X38)</f>
        <v>0</v>
      </c>
      <c r="AI38" s="10">
        <f>SUM(Y38:AA38)</f>
        <v>0</v>
      </c>
      <c r="AJ38" s="10">
        <f>SUM(AB38:AD38)</f>
        <v>0</v>
      </c>
      <c r="AK38" s="10">
        <f>SUM(AE38:AG38)</f>
        <v>0</v>
      </c>
      <c r="AL38" s="10">
        <f t="shared" ref="AL38:AL39" si="39">SUM(AH38:AK38)</f>
        <v>0</v>
      </c>
    </row>
    <row r="39" spans="1:38" ht="15" customHeight="1" x14ac:dyDescent="0.25">
      <c r="A39" t="s">
        <v>7</v>
      </c>
      <c r="C39" s="10">
        <f>C38-C37</f>
        <v>-16986.923283803975</v>
      </c>
      <c r="D39" s="10">
        <f t="shared" ref="D39:R39" si="40">D38-D37</f>
        <v>11067.240244767443</v>
      </c>
      <c r="E39" s="10">
        <f t="shared" si="40"/>
        <v>12925.722430481732</v>
      </c>
      <c r="F39" s="10">
        <f t="shared" si="40"/>
        <v>12762.121701910304</v>
      </c>
      <c r="G39" s="10">
        <f t="shared" si="40"/>
        <v>12925.722430481732</v>
      </c>
      <c r="H39" s="10">
        <f t="shared" si="40"/>
        <v>16448.921701910309</v>
      </c>
      <c r="I39" s="10">
        <f t="shared" si="40"/>
        <v>16755.682430481738</v>
      </c>
      <c r="J39" s="10">
        <f t="shared" si="40"/>
        <v>16755.682430481738</v>
      </c>
      <c r="K39" s="10">
        <f t="shared" si="40"/>
        <v>12762.121701910304</v>
      </c>
      <c r="L39" s="10">
        <f t="shared" si="40"/>
        <v>13045.722430481732</v>
      </c>
      <c r="M39" s="10">
        <f t="shared" si="40"/>
        <v>13122.121701910304</v>
      </c>
      <c r="N39" s="10">
        <f t="shared" si="40"/>
        <v>11333.076716196016</v>
      </c>
      <c r="O39" s="10">
        <f t="shared" si="40"/>
        <v>7006.0393914452143</v>
      </c>
      <c r="P39" s="10">
        <f t="shared" si="40"/>
        <v>42136.765834302343</v>
      </c>
      <c r="Q39" s="10">
        <f t="shared" si="40"/>
        <v>46273.486562873775</v>
      </c>
      <c r="R39" s="10">
        <f t="shared" si="40"/>
        <v>37500.920848588052</v>
      </c>
      <c r="S39" s="10">
        <f t="shared" si="38"/>
        <v>132917.21263720939</v>
      </c>
      <c r="V39" s="10">
        <f>V38-V37</f>
        <v>-5973.6973091969576</v>
      </c>
      <c r="W39" s="10">
        <f t="shared" ref="W39:AK39" si="41">W38-W37</f>
        <v>-10882.585342474549</v>
      </c>
      <c r="X39" s="10">
        <f t="shared" si="41"/>
        <v>-12833.388920282303</v>
      </c>
      <c r="Y39" s="10">
        <f t="shared" si="41"/>
        <v>-12947.222456527417</v>
      </c>
      <c r="Z39" s="10">
        <f t="shared" si="41"/>
        <v>-13057.383943216246</v>
      </c>
      <c r="AA39" s="10">
        <f t="shared" si="41"/>
        <v>-14976.948908097227</v>
      </c>
      <c r="AB39" s="10">
        <f t="shared" si="41"/>
        <v>-15102.213179251461</v>
      </c>
      <c r="AC39" s="10">
        <f t="shared" si="41"/>
        <v>-15231.652926110824</v>
      </c>
      <c r="AD39" s="10">
        <f t="shared" si="41"/>
        <v>-13509.046038640447</v>
      </c>
      <c r="AE39" s="10">
        <f t="shared" si="41"/>
        <v>-13070.045931565999</v>
      </c>
      <c r="AF39" s="10">
        <f t="shared" si="41"/>
        <v>-12071.786094448456</v>
      </c>
      <c r="AG39" s="10">
        <f t="shared" si="41"/>
        <v>-11833.705404160493</v>
      </c>
      <c r="AH39" s="10">
        <f t="shared" si="41"/>
        <v>-29689.671571953812</v>
      </c>
      <c r="AI39" s="10">
        <f t="shared" si="41"/>
        <v>-40981.555307840892</v>
      </c>
      <c r="AJ39" s="10">
        <f t="shared" si="41"/>
        <v>-43842.91214400273</v>
      </c>
      <c r="AK39" s="10">
        <f t="shared" si="41"/>
        <v>-36975.537430174947</v>
      </c>
      <c r="AL39" s="10">
        <f t="shared" si="39"/>
        <v>-151489.67645397238</v>
      </c>
    </row>
    <row r="40" spans="1:38" ht="15" hidden="1" customHeight="1" x14ac:dyDescent="0.25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38" hidden="1" x14ac:dyDescent="0.2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hidden="1" x14ac:dyDescent="0.25">
      <c r="C42" s="88">
        <v>0.48090737240075609</v>
      </c>
      <c r="D42" s="1">
        <v>0.86825938566552896</v>
      </c>
      <c r="E42" s="1">
        <v>1.0156996587030716</v>
      </c>
      <c r="F42" s="1">
        <v>1.0156996587030716</v>
      </c>
      <c r="G42" s="1">
        <v>1.0156996587030716</v>
      </c>
      <c r="H42" s="1">
        <v>1.1549488054607508</v>
      </c>
      <c r="I42" s="1">
        <v>1.1549488054607508</v>
      </c>
      <c r="J42" s="1">
        <v>1.1549488054607508</v>
      </c>
      <c r="K42" s="1">
        <v>1.0156996587030716</v>
      </c>
      <c r="L42" s="1">
        <v>0.9747440273037542</v>
      </c>
      <c r="M42" s="1">
        <v>0.89283276450511939</v>
      </c>
      <c r="N42" s="1">
        <v>0.86825938566552896</v>
      </c>
      <c r="O42" s="10"/>
      <c r="P42" s="10"/>
      <c r="Q42" s="10"/>
      <c r="R42" s="10"/>
      <c r="S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1:38" x14ac:dyDescent="0.25">
      <c r="C43" s="8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0"/>
      <c r="P43" s="10"/>
      <c r="Q43" s="10"/>
      <c r="R43" s="10"/>
      <c r="S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8" outlineLevel="1" x14ac:dyDescent="0.25">
      <c r="A44" s="13" t="s">
        <v>13</v>
      </c>
      <c r="B44" s="1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U44" s="13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s="12" customFormat="1" outlineLevel="1" x14ac:dyDescent="0.25">
      <c r="A45" s="11" t="s">
        <v>14</v>
      </c>
      <c r="B45" s="11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1"/>
      <c r="P45" s="11"/>
      <c r="Q45" s="11"/>
      <c r="R45" s="11"/>
      <c r="S45" s="11"/>
      <c r="U45" s="11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1"/>
      <c r="AI45" s="11"/>
      <c r="AJ45" s="11"/>
      <c r="AK45" s="11"/>
      <c r="AL45" s="11"/>
    </row>
    <row r="46" spans="1:38" outlineLevel="1" x14ac:dyDescent="0.25">
      <c r="A46" t="s">
        <v>5</v>
      </c>
      <c r="C46" s="10">
        <v>152483.442828687</v>
      </c>
      <c r="D46" s="10">
        <v>147088.5638825963</v>
      </c>
      <c r="E46" s="10">
        <v>136062.28687437938</v>
      </c>
      <c r="F46" s="10">
        <v>125391.69622126623</v>
      </c>
      <c r="G46" s="10">
        <v>114365.4192130493</v>
      </c>
      <c r="H46" s="10">
        <v>94358.680611905671</v>
      </c>
      <c r="I46" s="10">
        <v>73685.050724057248</v>
      </c>
      <c r="J46" s="10">
        <v>53011.420836208825</v>
      </c>
      <c r="K46" s="10">
        <v>42340.83018309567</v>
      </c>
      <c r="L46" s="10">
        <v>31314.553174878743</v>
      </c>
      <c r="M46" s="10">
        <v>20643.962521765588</v>
      </c>
      <c r="N46" s="10">
        <v>14671.060831450877</v>
      </c>
      <c r="O46" s="10">
        <f>SUM(C46:E46)</f>
        <v>435634.29358566267</v>
      </c>
      <c r="P46" s="10">
        <f>SUM(F46:H46)</f>
        <v>334115.79604622116</v>
      </c>
      <c r="Q46" s="10">
        <f>SUM(I46:K46)</f>
        <v>169037.30174336175</v>
      </c>
      <c r="R46" s="10">
        <f>SUM(L46:N46)</f>
        <v>66629.576528095204</v>
      </c>
      <c r="S46" s="10">
        <f>SUM(O46:R46)</f>
        <v>1005416.9679033408</v>
      </c>
      <c r="V46" s="10">
        <f>FORECAST(V7,$C$47:$N$47,$C$7:$N$7)</f>
        <v>-7759.7098351791501</v>
      </c>
      <c r="W46" s="10">
        <f t="shared" ref="W46:AG46" si="42">FORECAST(W7,$C$47:$N$47,$C$7:$N$7)</f>
        <v>-22210.725616265088</v>
      </c>
      <c r="X46" s="10">
        <f t="shared" si="42"/>
        <v>-35263.25599918142</v>
      </c>
      <c r="Y46" s="10">
        <f t="shared" si="42"/>
        <v>-49714.271780267358</v>
      </c>
      <c r="Z46" s="10">
        <f t="shared" si="42"/>
        <v>-63699.125761963427</v>
      </c>
      <c r="AA46" s="10">
        <f t="shared" si="42"/>
        <v>-78150.141543053091</v>
      </c>
      <c r="AB46" s="10">
        <f t="shared" si="42"/>
        <v>-92134.99552474916</v>
      </c>
      <c r="AC46" s="10">
        <f t="shared" si="42"/>
        <v>-106586.0113058351</v>
      </c>
      <c r="AD46" s="10">
        <f t="shared" si="42"/>
        <v>-121037.02708692104</v>
      </c>
      <c r="AE46" s="10">
        <f t="shared" si="42"/>
        <v>-135021.88106862083</v>
      </c>
      <c r="AF46" s="10">
        <f t="shared" si="42"/>
        <v>-149472.89684970677</v>
      </c>
      <c r="AG46" s="10">
        <f t="shared" si="42"/>
        <v>-163457.75083140284</v>
      </c>
      <c r="AH46" s="10">
        <f>SUM(V46:X46)</f>
        <v>-65233.691450625658</v>
      </c>
      <c r="AI46" s="10">
        <f>SUM(Y46:AA46)</f>
        <v>-191563.53908528388</v>
      </c>
      <c r="AJ46" s="10">
        <f>SUM(AB46:AD46)</f>
        <v>-319758.03391750529</v>
      </c>
      <c r="AK46" s="10">
        <f>SUM(AE46:AG46)</f>
        <v>-447952.52874973044</v>
      </c>
      <c r="AL46" s="10">
        <f>SUM(AH46:AK46)</f>
        <v>-1024507.7932031453</v>
      </c>
    </row>
    <row r="47" spans="1:38" outlineLevel="1" x14ac:dyDescent="0.25">
      <c r="A47" t="s">
        <v>6</v>
      </c>
      <c r="C47" s="10">
        <v>154282.74745406551</v>
      </c>
      <c r="D47" s="10">
        <v>148824.20893641093</v>
      </c>
      <c r="E47" s="10">
        <v>137667.82185949705</v>
      </c>
      <c r="F47" s="10">
        <v>126871.31823667718</v>
      </c>
      <c r="G47" s="10">
        <v>115714.93115976329</v>
      </c>
      <c r="H47" s="10">
        <v>95472.113043126155</v>
      </c>
      <c r="I47" s="10">
        <v>74554.534322601132</v>
      </c>
      <c r="J47" s="10">
        <v>53636.955602076094</v>
      </c>
      <c r="K47" s="10">
        <v>42840.451979256199</v>
      </c>
      <c r="L47" s="10">
        <v>31684.064902342314</v>
      </c>
      <c r="M47" s="10">
        <v>20887.561279522422</v>
      </c>
      <c r="N47" s="10">
        <v>14844.179349261998</v>
      </c>
      <c r="O47" s="10">
        <f>SUM(C47:E47)</f>
        <v>440774.77824997349</v>
      </c>
      <c r="P47" s="10">
        <f>SUM(F47:H47)</f>
        <v>338058.36243956664</v>
      </c>
      <c r="Q47" s="10">
        <f>SUM(I47:K47)</f>
        <v>171031.94190393342</v>
      </c>
      <c r="R47" s="10">
        <f>SUM(L47:N47)</f>
        <v>67415.805531126738</v>
      </c>
      <c r="S47" s="10">
        <f t="shared" ref="S47:S48" si="43">SUM(O47:R47)</f>
        <v>1017280.8881246003</v>
      </c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>
        <f>SUM(V47:X47)</f>
        <v>0</v>
      </c>
      <c r="AI47" s="10">
        <f>SUM(Y47:AA47)</f>
        <v>0</v>
      </c>
      <c r="AJ47" s="10">
        <f>SUM(AB47:AD47)</f>
        <v>0</v>
      </c>
      <c r="AK47" s="10">
        <f>SUM(AE47:AG47)</f>
        <v>0</v>
      </c>
      <c r="AL47" s="10">
        <f t="shared" ref="AL47:AL48" si="44">SUM(AH47:AK47)</f>
        <v>0</v>
      </c>
    </row>
    <row r="48" spans="1:38" outlineLevel="1" x14ac:dyDescent="0.25">
      <c r="A48" t="s">
        <v>7</v>
      </c>
      <c r="C48" s="10">
        <f>C47-C46</f>
        <v>1799.3046253785142</v>
      </c>
      <c r="D48" s="10">
        <f>D47-D46</f>
        <v>1735.645053814631</v>
      </c>
      <c r="E48" s="10">
        <f t="shared" ref="E48:R48" si="45">E47-E46</f>
        <v>1605.5349851176725</v>
      </c>
      <c r="F48" s="10">
        <f t="shared" si="45"/>
        <v>1479.6220154109469</v>
      </c>
      <c r="G48" s="10">
        <f t="shared" si="45"/>
        <v>1349.5119467139884</v>
      </c>
      <c r="H48" s="10">
        <f t="shared" si="45"/>
        <v>1113.4324312204844</v>
      </c>
      <c r="I48" s="10">
        <f t="shared" si="45"/>
        <v>869.483598543884</v>
      </c>
      <c r="J48" s="10">
        <f t="shared" si="45"/>
        <v>625.53476586726902</v>
      </c>
      <c r="K48" s="10">
        <f t="shared" si="45"/>
        <v>499.6217961605289</v>
      </c>
      <c r="L48" s="10">
        <f t="shared" si="45"/>
        <v>369.51172746357042</v>
      </c>
      <c r="M48" s="10">
        <f t="shared" si="45"/>
        <v>243.59875775683395</v>
      </c>
      <c r="N48" s="10">
        <f t="shared" si="45"/>
        <v>173.11851781112091</v>
      </c>
      <c r="O48" s="10">
        <f t="shared" si="45"/>
        <v>5140.4846643108176</v>
      </c>
      <c r="P48" s="10">
        <f t="shared" si="45"/>
        <v>3942.566393345478</v>
      </c>
      <c r="Q48" s="10">
        <f t="shared" si="45"/>
        <v>1994.6401605716674</v>
      </c>
      <c r="R48" s="10">
        <f t="shared" si="45"/>
        <v>786.22900303153438</v>
      </c>
      <c r="S48" s="10">
        <f t="shared" si="43"/>
        <v>11863.920221259497</v>
      </c>
      <c r="V48" s="10">
        <f>V47-V46</f>
        <v>7759.7098351791501</v>
      </c>
      <c r="W48" s="10">
        <f>W47-W46</f>
        <v>22210.725616265088</v>
      </c>
      <c r="X48" s="10">
        <f t="shared" ref="X48:AK48" si="46">X47-X46</f>
        <v>35263.25599918142</v>
      </c>
      <c r="Y48" s="10">
        <f t="shared" si="46"/>
        <v>49714.271780267358</v>
      </c>
      <c r="Z48" s="10">
        <f t="shared" si="46"/>
        <v>63699.125761963427</v>
      </c>
      <c r="AA48" s="10">
        <f t="shared" si="46"/>
        <v>78150.141543053091</v>
      </c>
      <c r="AB48" s="10">
        <f t="shared" si="46"/>
        <v>92134.99552474916</v>
      </c>
      <c r="AC48" s="10">
        <f t="shared" si="46"/>
        <v>106586.0113058351</v>
      </c>
      <c r="AD48" s="10">
        <f t="shared" si="46"/>
        <v>121037.02708692104</v>
      </c>
      <c r="AE48" s="10">
        <f t="shared" si="46"/>
        <v>135021.88106862083</v>
      </c>
      <c r="AF48" s="10">
        <f t="shared" si="46"/>
        <v>149472.89684970677</v>
      </c>
      <c r="AG48" s="10">
        <f t="shared" si="46"/>
        <v>163457.75083140284</v>
      </c>
      <c r="AH48" s="10">
        <f t="shared" si="46"/>
        <v>65233.691450625658</v>
      </c>
      <c r="AI48" s="10">
        <f t="shared" si="46"/>
        <v>191563.53908528388</v>
      </c>
      <c r="AJ48" s="10">
        <f t="shared" si="46"/>
        <v>319758.03391750529</v>
      </c>
      <c r="AK48" s="10">
        <f t="shared" si="46"/>
        <v>447952.52874973044</v>
      </c>
      <c r="AL48" s="10">
        <f t="shared" si="44"/>
        <v>1024507.7932031453</v>
      </c>
    </row>
    <row r="49" spans="1:38" hidden="1" outlineLevel="1" x14ac:dyDescent="0.25">
      <c r="A49" t="s">
        <v>8</v>
      </c>
      <c r="C49" s="10">
        <v>125000</v>
      </c>
      <c r="D49" s="10">
        <v>110000</v>
      </c>
      <c r="E49" s="10">
        <v>95000</v>
      </c>
      <c r="F49" s="10">
        <v>95000</v>
      </c>
      <c r="G49" s="10">
        <v>85000</v>
      </c>
      <c r="H49" s="10">
        <v>75000</v>
      </c>
      <c r="I49" s="10">
        <v>65000</v>
      </c>
      <c r="J49" s="10">
        <v>65000</v>
      </c>
      <c r="K49" s="10">
        <v>60000</v>
      </c>
      <c r="L49" s="10">
        <v>50000</v>
      </c>
      <c r="M49" s="10">
        <v>40000</v>
      </c>
      <c r="N49" s="10">
        <v>40000</v>
      </c>
      <c r="O49" s="10">
        <v>35000</v>
      </c>
      <c r="P49" s="10">
        <v>30000</v>
      </c>
      <c r="Q49" s="10">
        <v>25000</v>
      </c>
      <c r="R49" s="10">
        <v>25000</v>
      </c>
      <c r="S49" s="10">
        <v>25000</v>
      </c>
      <c r="V49" s="10">
        <v>125000</v>
      </c>
      <c r="W49" s="10">
        <v>110000</v>
      </c>
      <c r="X49" s="10">
        <v>95000</v>
      </c>
      <c r="Y49" s="10">
        <v>95000</v>
      </c>
      <c r="Z49" s="10">
        <v>85000</v>
      </c>
      <c r="AA49" s="10">
        <v>75000</v>
      </c>
      <c r="AB49" s="10">
        <v>65000</v>
      </c>
      <c r="AC49" s="10">
        <v>65000</v>
      </c>
      <c r="AD49" s="10">
        <v>60000</v>
      </c>
      <c r="AE49" s="10">
        <v>50000</v>
      </c>
      <c r="AF49" s="10">
        <v>40000</v>
      </c>
      <c r="AG49" s="10">
        <v>40000</v>
      </c>
      <c r="AH49" s="10">
        <v>35000</v>
      </c>
      <c r="AI49" s="10">
        <v>30000</v>
      </c>
      <c r="AJ49" s="10">
        <v>25000</v>
      </c>
      <c r="AK49" s="10">
        <v>25000</v>
      </c>
      <c r="AL49" s="10">
        <v>25000</v>
      </c>
    </row>
    <row r="50" spans="1:38" hidden="1" outlineLevel="1" x14ac:dyDescent="0.25">
      <c r="A50" t="s">
        <v>9</v>
      </c>
      <c r="C50" s="10">
        <f>C47-C49</f>
        <v>29282.747454065509</v>
      </c>
      <c r="D50" s="10">
        <f t="shared" ref="D50:S50" si="47">D47-D49</f>
        <v>38824.208936410927</v>
      </c>
      <c r="E50" s="10">
        <f t="shared" si="47"/>
        <v>42667.821859497053</v>
      </c>
      <c r="F50" s="10">
        <f t="shared" si="47"/>
        <v>31871.31823667718</v>
      </c>
      <c r="G50" s="10">
        <f t="shared" si="47"/>
        <v>30714.931159763291</v>
      </c>
      <c r="H50" s="10">
        <f t="shared" si="47"/>
        <v>20472.113043126155</v>
      </c>
      <c r="I50" s="10">
        <f t="shared" si="47"/>
        <v>9554.5343226011319</v>
      </c>
      <c r="J50" s="10">
        <f t="shared" si="47"/>
        <v>-11363.044397923906</v>
      </c>
      <c r="K50" s="10">
        <f t="shared" si="47"/>
        <v>-17159.548020743801</v>
      </c>
      <c r="L50" s="10">
        <f t="shared" si="47"/>
        <v>-18315.935097657686</v>
      </c>
      <c r="M50" s="10">
        <f t="shared" si="47"/>
        <v>-19112.438720477578</v>
      </c>
      <c r="N50" s="10">
        <f t="shared" si="47"/>
        <v>-25155.820650738002</v>
      </c>
      <c r="O50" s="10">
        <f t="shared" si="47"/>
        <v>405774.77824997349</v>
      </c>
      <c r="P50" s="10">
        <f t="shared" si="47"/>
        <v>308058.36243956664</v>
      </c>
      <c r="Q50" s="10">
        <f t="shared" si="47"/>
        <v>146031.94190393342</v>
      </c>
      <c r="R50" s="10">
        <f t="shared" si="47"/>
        <v>42415.805531126738</v>
      </c>
      <c r="S50" s="10">
        <f t="shared" si="47"/>
        <v>992280.88812460029</v>
      </c>
      <c r="V50" s="10">
        <f>V47-V49</f>
        <v>-125000</v>
      </c>
      <c r="W50" s="10">
        <f t="shared" ref="W50:AL50" si="48">W47-W49</f>
        <v>-110000</v>
      </c>
      <c r="X50" s="10">
        <f t="shared" si="48"/>
        <v>-95000</v>
      </c>
      <c r="Y50" s="10">
        <f t="shared" si="48"/>
        <v>-95000</v>
      </c>
      <c r="Z50" s="10">
        <f t="shared" si="48"/>
        <v>-85000</v>
      </c>
      <c r="AA50" s="10">
        <f t="shared" si="48"/>
        <v>-75000</v>
      </c>
      <c r="AB50" s="10">
        <f t="shared" si="48"/>
        <v>-65000</v>
      </c>
      <c r="AC50" s="10">
        <f t="shared" si="48"/>
        <v>-65000</v>
      </c>
      <c r="AD50" s="10">
        <f t="shared" si="48"/>
        <v>-60000</v>
      </c>
      <c r="AE50" s="10">
        <f t="shared" si="48"/>
        <v>-50000</v>
      </c>
      <c r="AF50" s="10">
        <f t="shared" si="48"/>
        <v>-40000</v>
      </c>
      <c r="AG50" s="10">
        <f t="shared" si="48"/>
        <v>-40000</v>
      </c>
      <c r="AH50" s="10">
        <f t="shared" si="48"/>
        <v>-35000</v>
      </c>
      <c r="AI50" s="10">
        <f t="shared" si="48"/>
        <v>-30000</v>
      </c>
      <c r="AJ50" s="10">
        <f t="shared" si="48"/>
        <v>-25000</v>
      </c>
      <c r="AK50" s="10">
        <f t="shared" si="48"/>
        <v>-25000</v>
      </c>
      <c r="AL50" s="10">
        <f t="shared" si="48"/>
        <v>-25000</v>
      </c>
    </row>
    <row r="51" spans="1:38" outlineLevel="1" x14ac:dyDescent="0.25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1:38" s="146" customFormat="1" outlineLevel="1" x14ac:dyDescent="0.25">
      <c r="A52" s="144" t="s">
        <v>15</v>
      </c>
      <c r="B52" s="144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4"/>
      <c r="P52" s="144"/>
      <c r="Q52" s="144"/>
      <c r="R52" s="144"/>
      <c r="S52" s="144"/>
      <c r="U52" s="144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4"/>
      <c r="AI52" s="144"/>
      <c r="AJ52" s="144"/>
      <c r="AK52" s="144"/>
      <c r="AL52" s="144"/>
    </row>
    <row r="53" spans="1:38" outlineLevel="1" x14ac:dyDescent="0.25">
      <c r="A53" t="s">
        <v>5</v>
      </c>
      <c r="C53" s="10">
        <v>461.19142857142862</v>
      </c>
      <c r="D53" s="10">
        <v>416.56000000000006</v>
      </c>
      <c r="E53" s="10">
        <v>850.90571428571423</v>
      </c>
      <c r="F53" s="10">
        <v>823.4571428571428</v>
      </c>
      <c r="G53" s="10">
        <v>850.90571428571423</v>
      </c>
      <c r="H53" s="10">
        <v>1543.4571428571433</v>
      </c>
      <c r="I53" s="10">
        <v>1594.9057142857146</v>
      </c>
      <c r="J53" s="10">
        <v>1594.9057142857146</v>
      </c>
      <c r="K53" s="10">
        <v>823.4571428571428</v>
      </c>
      <c r="L53" s="10">
        <v>850.90571428571423</v>
      </c>
      <c r="M53" s="10">
        <v>823.4571428571428</v>
      </c>
      <c r="N53" s="10">
        <v>461.19142857142862</v>
      </c>
      <c r="O53" s="10">
        <f>SUM(C53:E53)</f>
        <v>1728.6571428571428</v>
      </c>
      <c r="P53" s="10">
        <f>SUM(F53:H53)</f>
        <v>3217.8200000000006</v>
      </c>
      <c r="Q53" s="10">
        <f>SUM(I53:K53)</f>
        <v>4013.2685714285717</v>
      </c>
      <c r="R53" s="10">
        <f>SUM(L53:N53)</f>
        <v>2135.5542857142859</v>
      </c>
      <c r="S53" s="10">
        <f>SUM(O53:R53)</f>
        <v>11095.300000000003</v>
      </c>
      <c r="V53" s="10">
        <f>FORECAST(V7,$C$54:$N$54,$C$7:$N$7)</f>
        <v>1086.0887593558291</v>
      </c>
      <c r="W53" s="10">
        <f t="shared" ref="W53:AG53" si="49">FORECAST(W7,$C$54:$N$54,$C$7:$N$7)</f>
        <v>1107.6382652950524</v>
      </c>
      <c r="X53" s="10">
        <f t="shared" si="49"/>
        <v>1127.1023351756376</v>
      </c>
      <c r="Y53" s="10">
        <f t="shared" si="49"/>
        <v>1148.6518411148609</v>
      </c>
      <c r="Z53" s="10">
        <f t="shared" si="49"/>
        <v>1169.506201701206</v>
      </c>
      <c r="AA53" s="10">
        <f t="shared" si="49"/>
        <v>1191.0557076404257</v>
      </c>
      <c r="AB53" s="10">
        <f t="shared" si="49"/>
        <v>1211.9100682267708</v>
      </c>
      <c r="AC53" s="10">
        <f t="shared" si="49"/>
        <v>1233.4595741659905</v>
      </c>
      <c r="AD53" s="10">
        <f t="shared" si="49"/>
        <v>1255.0090801052138</v>
      </c>
      <c r="AE53" s="10">
        <f t="shared" si="49"/>
        <v>1275.8634406915553</v>
      </c>
      <c r="AF53" s="10">
        <f t="shared" si="49"/>
        <v>1297.4129466307786</v>
      </c>
      <c r="AG53" s="10">
        <f t="shared" si="49"/>
        <v>1318.2673072171201</v>
      </c>
      <c r="AH53" s="10">
        <f>SUM(V53:X53)</f>
        <v>3320.8293598265191</v>
      </c>
      <c r="AI53" s="10">
        <f>SUM(Y53:AA53)</f>
        <v>3509.2137504564926</v>
      </c>
      <c r="AJ53" s="10">
        <f>SUM(AB53:AD53)</f>
        <v>3700.3787224979751</v>
      </c>
      <c r="AK53" s="10">
        <f>SUM(AE53:AG53)</f>
        <v>3891.543694539454</v>
      </c>
      <c r="AL53" s="10">
        <f>SUM(AH53:AK53)</f>
        <v>14421.965527320441</v>
      </c>
    </row>
    <row r="54" spans="1:38" outlineLevel="1" x14ac:dyDescent="0.25">
      <c r="A54" t="s">
        <v>6</v>
      </c>
      <c r="C54" s="10">
        <v>466.63348742857147</v>
      </c>
      <c r="D54" s="10">
        <v>427.39056000000005</v>
      </c>
      <c r="E54" s="10">
        <v>873.02926285714284</v>
      </c>
      <c r="F54" s="10">
        <v>844.86702857142848</v>
      </c>
      <c r="G54" s="10">
        <v>873.02926285714284</v>
      </c>
      <c r="H54" s="10">
        <v>1583.5870285714291</v>
      </c>
      <c r="I54" s="10">
        <v>1636.3732628571431</v>
      </c>
      <c r="J54" s="10">
        <v>1636.3732628571431</v>
      </c>
      <c r="K54" s="10">
        <v>844.86702857142848</v>
      </c>
      <c r="L54" s="10">
        <v>873.02926285714284</v>
      </c>
      <c r="M54" s="10">
        <v>844.86702857142848</v>
      </c>
      <c r="N54" s="10">
        <v>473.18240571428578</v>
      </c>
      <c r="O54" s="10">
        <f>SUM(C54:E54)</f>
        <v>1767.0533102857144</v>
      </c>
      <c r="P54" s="10">
        <f>SUM(F54:H54)</f>
        <v>3301.4833200000003</v>
      </c>
      <c r="Q54" s="10">
        <f>SUM(I54:K54)</f>
        <v>4117.6135542857146</v>
      </c>
      <c r="R54" s="10">
        <f>SUM(L54:N54)</f>
        <v>2191.078697142857</v>
      </c>
      <c r="S54" s="10">
        <f t="shared" ref="S54:S55" si="50">SUM(O54:R54)</f>
        <v>11377.228881714287</v>
      </c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>
        <f>SUM(V54:X54)</f>
        <v>0</v>
      </c>
      <c r="AI54" s="10">
        <f>SUM(Y54:AA54)</f>
        <v>0</v>
      </c>
      <c r="AJ54" s="10">
        <f>SUM(AB54:AD54)</f>
        <v>0</v>
      </c>
      <c r="AK54" s="10">
        <f>SUM(AE54:AG54)</f>
        <v>0</v>
      </c>
      <c r="AL54" s="10">
        <f t="shared" ref="AL54:AL55" si="51">SUM(AH54:AK54)</f>
        <v>0</v>
      </c>
    </row>
    <row r="55" spans="1:38" outlineLevel="1" x14ac:dyDescent="0.25">
      <c r="A55" t="s">
        <v>7</v>
      </c>
      <c r="C55" s="10">
        <f>C54-C53</f>
        <v>5.4420588571428539</v>
      </c>
      <c r="D55" s="10">
        <f t="shared" ref="D55:R55" si="52">D54-D53</f>
        <v>10.830559999999991</v>
      </c>
      <c r="E55" s="10">
        <f t="shared" si="52"/>
        <v>22.123548571428614</v>
      </c>
      <c r="F55" s="10">
        <f t="shared" si="52"/>
        <v>21.409885714285679</v>
      </c>
      <c r="G55" s="10">
        <f t="shared" si="52"/>
        <v>22.123548571428614</v>
      </c>
      <c r="H55" s="10">
        <f t="shared" si="52"/>
        <v>40.12988571428582</v>
      </c>
      <c r="I55" s="10">
        <f t="shared" si="52"/>
        <v>41.467548571428551</v>
      </c>
      <c r="J55" s="10">
        <f t="shared" si="52"/>
        <v>41.467548571428551</v>
      </c>
      <c r="K55" s="10">
        <f t="shared" si="52"/>
        <v>21.409885714285679</v>
      </c>
      <c r="L55" s="10">
        <f t="shared" si="52"/>
        <v>22.123548571428614</v>
      </c>
      <c r="M55" s="10">
        <f t="shared" si="52"/>
        <v>21.409885714285679</v>
      </c>
      <c r="N55" s="10">
        <f t="shared" si="52"/>
        <v>11.990977142857162</v>
      </c>
      <c r="O55" s="10">
        <f t="shared" si="52"/>
        <v>38.396167428571516</v>
      </c>
      <c r="P55" s="10">
        <f t="shared" si="52"/>
        <v>83.663319999999658</v>
      </c>
      <c r="Q55" s="10">
        <f t="shared" si="52"/>
        <v>104.3449828571429</v>
      </c>
      <c r="R55" s="10">
        <f t="shared" si="52"/>
        <v>55.524411428571057</v>
      </c>
      <c r="S55" s="10">
        <f t="shared" si="50"/>
        <v>281.92888171428513</v>
      </c>
      <c r="V55" s="10">
        <f>V54-V53</f>
        <v>-1086.0887593558291</v>
      </c>
      <c r="W55" s="10">
        <f t="shared" ref="W55:AK55" si="53">W54-W53</f>
        <v>-1107.6382652950524</v>
      </c>
      <c r="X55" s="10">
        <f t="shared" si="53"/>
        <v>-1127.1023351756376</v>
      </c>
      <c r="Y55" s="10">
        <f t="shared" si="53"/>
        <v>-1148.6518411148609</v>
      </c>
      <c r="Z55" s="10">
        <f t="shared" si="53"/>
        <v>-1169.506201701206</v>
      </c>
      <c r="AA55" s="10">
        <f t="shared" si="53"/>
        <v>-1191.0557076404257</v>
      </c>
      <c r="AB55" s="10">
        <f t="shared" si="53"/>
        <v>-1211.9100682267708</v>
      </c>
      <c r="AC55" s="10">
        <f t="shared" si="53"/>
        <v>-1233.4595741659905</v>
      </c>
      <c r="AD55" s="10">
        <f t="shared" si="53"/>
        <v>-1255.0090801052138</v>
      </c>
      <c r="AE55" s="10">
        <f t="shared" si="53"/>
        <v>-1275.8634406915553</v>
      </c>
      <c r="AF55" s="10">
        <f t="shared" si="53"/>
        <v>-1297.4129466307786</v>
      </c>
      <c r="AG55" s="10">
        <f t="shared" si="53"/>
        <v>-1318.2673072171201</v>
      </c>
      <c r="AH55" s="10">
        <f t="shared" si="53"/>
        <v>-3320.8293598265191</v>
      </c>
      <c r="AI55" s="10">
        <f t="shared" si="53"/>
        <v>-3509.2137504564926</v>
      </c>
      <c r="AJ55" s="10">
        <f t="shared" si="53"/>
        <v>-3700.3787224979751</v>
      </c>
      <c r="AK55" s="10">
        <f t="shared" si="53"/>
        <v>-3891.543694539454</v>
      </c>
      <c r="AL55" s="10">
        <f t="shared" si="51"/>
        <v>-14421.965527320441</v>
      </c>
    </row>
    <row r="56" spans="1:38" hidden="1" outlineLevel="1" x14ac:dyDescent="0.25">
      <c r="A56" t="s">
        <v>8</v>
      </c>
      <c r="C56" s="10">
        <v>80000</v>
      </c>
      <c r="D56" s="10">
        <v>85000</v>
      </c>
      <c r="E56" s="10">
        <v>90000</v>
      </c>
      <c r="F56" s="10">
        <v>90000</v>
      </c>
      <c r="G56" s="10">
        <v>90000</v>
      </c>
      <c r="H56" s="10">
        <v>100000</v>
      </c>
      <c r="I56" s="10">
        <v>110000</v>
      </c>
      <c r="J56" s="10">
        <v>110000</v>
      </c>
      <c r="K56" s="10">
        <v>115000</v>
      </c>
      <c r="L56" s="10">
        <v>105000</v>
      </c>
      <c r="M56" s="10">
        <v>110000</v>
      </c>
      <c r="N56" s="10">
        <v>110000</v>
      </c>
      <c r="O56" s="10">
        <v>105000</v>
      </c>
      <c r="P56" s="10">
        <v>95000</v>
      </c>
      <c r="Q56" s="10">
        <v>90000</v>
      </c>
      <c r="R56" s="10">
        <v>90000</v>
      </c>
      <c r="S56" s="10">
        <v>90000</v>
      </c>
      <c r="V56" s="10">
        <v>80000</v>
      </c>
      <c r="W56" s="10">
        <v>85000</v>
      </c>
      <c r="X56" s="10">
        <v>90000</v>
      </c>
      <c r="Y56" s="10">
        <v>90000</v>
      </c>
      <c r="Z56" s="10">
        <v>90000</v>
      </c>
      <c r="AA56" s="10">
        <v>100000</v>
      </c>
      <c r="AB56" s="10">
        <v>110000</v>
      </c>
      <c r="AC56" s="10">
        <v>110000</v>
      </c>
      <c r="AD56" s="10">
        <v>115000</v>
      </c>
      <c r="AE56" s="10">
        <v>105000</v>
      </c>
      <c r="AF56" s="10">
        <v>110000</v>
      </c>
      <c r="AG56" s="10">
        <v>110000</v>
      </c>
      <c r="AH56" s="10">
        <v>105000</v>
      </c>
      <c r="AI56" s="10">
        <v>95000</v>
      </c>
      <c r="AJ56" s="10">
        <v>90000</v>
      </c>
      <c r="AK56" s="10">
        <v>90000</v>
      </c>
      <c r="AL56" s="10">
        <v>90000</v>
      </c>
    </row>
    <row r="57" spans="1:38" hidden="1" outlineLevel="1" x14ac:dyDescent="0.25">
      <c r="A57" t="s">
        <v>9</v>
      </c>
      <c r="C57" s="10">
        <f>C54-C56</f>
        <v>-79533.366512571432</v>
      </c>
      <c r="D57" s="10">
        <f t="shared" ref="D57:S57" si="54">D54-D56</f>
        <v>-84572.60944</v>
      </c>
      <c r="E57" s="10">
        <f t="shared" si="54"/>
        <v>-89126.970737142852</v>
      </c>
      <c r="F57" s="10">
        <f t="shared" si="54"/>
        <v>-89155.132971428568</v>
      </c>
      <c r="G57" s="10">
        <f t="shared" si="54"/>
        <v>-89126.970737142852</v>
      </c>
      <c r="H57" s="10">
        <f t="shared" si="54"/>
        <v>-98416.412971428566</v>
      </c>
      <c r="I57" s="10">
        <f t="shared" si="54"/>
        <v>-108363.62673714285</v>
      </c>
      <c r="J57" s="10">
        <f t="shared" si="54"/>
        <v>-108363.62673714285</v>
      </c>
      <c r="K57" s="10">
        <f t="shared" si="54"/>
        <v>-114155.13297142857</v>
      </c>
      <c r="L57" s="10">
        <f t="shared" si="54"/>
        <v>-104126.97073714285</v>
      </c>
      <c r="M57" s="10">
        <f t="shared" si="54"/>
        <v>-109155.13297142857</v>
      </c>
      <c r="N57" s="10">
        <f t="shared" si="54"/>
        <v>-109526.81759428572</v>
      </c>
      <c r="O57" s="10">
        <f t="shared" si="54"/>
        <v>-103232.94668971428</v>
      </c>
      <c r="P57" s="10">
        <f t="shared" si="54"/>
        <v>-91698.516680000001</v>
      </c>
      <c r="Q57" s="10">
        <f t="shared" si="54"/>
        <v>-85882.386445714292</v>
      </c>
      <c r="R57" s="10">
        <f t="shared" si="54"/>
        <v>-87808.921302857139</v>
      </c>
      <c r="S57" s="10">
        <f t="shared" si="54"/>
        <v>-78622.771118285717</v>
      </c>
      <c r="V57" s="10">
        <f>V54-V56</f>
        <v>-80000</v>
      </c>
      <c r="W57" s="10">
        <f t="shared" ref="W57:AL57" si="55">W54-W56</f>
        <v>-85000</v>
      </c>
      <c r="X57" s="10">
        <f t="shared" si="55"/>
        <v>-90000</v>
      </c>
      <c r="Y57" s="10">
        <f t="shared" si="55"/>
        <v>-90000</v>
      </c>
      <c r="Z57" s="10">
        <f t="shared" si="55"/>
        <v>-90000</v>
      </c>
      <c r="AA57" s="10">
        <f t="shared" si="55"/>
        <v>-100000</v>
      </c>
      <c r="AB57" s="10">
        <f t="shared" si="55"/>
        <v>-110000</v>
      </c>
      <c r="AC57" s="10">
        <f t="shared" si="55"/>
        <v>-110000</v>
      </c>
      <c r="AD57" s="10">
        <f t="shared" si="55"/>
        <v>-115000</v>
      </c>
      <c r="AE57" s="10">
        <f t="shared" si="55"/>
        <v>-105000</v>
      </c>
      <c r="AF57" s="10">
        <f t="shared" si="55"/>
        <v>-110000</v>
      </c>
      <c r="AG57" s="10">
        <f t="shared" si="55"/>
        <v>-110000</v>
      </c>
      <c r="AH57" s="10">
        <f t="shared" si="55"/>
        <v>-105000</v>
      </c>
      <c r="AI57" s="10">
        <f t="shared" si="55"/>
        <v>-95000</v>
      </c>
      <c r="AJ57" s="10">
        <f t="shared" si="55"/>
        <v>-90000</v>
      </c>
      <c r="AK57" s="10">
        <f t="shared" si="55"/>
        <v>-90000</v>
      </c>
      <c r="AL57" s="10">
        <f t="shared" si="55"/>
        <v>-90000</v>
      </c>
    </row>
    <row r="58" spans="1:38" outlineLevel="1" x14ac:dyDescent="0.25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spans="1:38" s="12" customFormat="1" outlineLevel="1" x14ac:dyDescent="0.25">
      <c r="A59" s="11" t="s">
        <v>16</v>
      </c>
      <c r="B59" s="11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1"/>
      <c r="P59" s="11"/>
      <c r="Q59" s="11"/>
      <c r="R59" s="11"/>
      <c r="S59" s="11"/>
      <c r="U59" s="11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1"/>
      <c r="AI59" s="11"/>
      <c r="AJ59" s="11"/>
      <c r="AK59" s="11"/>
      <c r="AL59" s="11"/>
    </row>
    <row r="60" spans="1:38" outlineLevel="1" x14ac:dyDescent="0.25">
      <c r="A60" t="s">
        <v>5</v>
      </c>
      <c r="C60" s="10">
        <v>293.4797543552142</v>
      </c>
      <c r="D60" s="10">
        <v>536.44359342728171</v>
      </c>
      <c r="E60" s="10">
        <v>1033.023149587616</v>
      </c>
      <c r="F60" s="10">
        <v>1513.5840103879395</v>
      </c>
      <c r="G60" s="10">
        <v>2010.1635665482738</v>
      </c>
      <c r="H60" s="10">
        <v>2911.1873089563496</v>
      </c>
      <c r="I60" s="10">
        <v>3842.2451761113612</v>
      </c>
      <c r="J60" s="10">
        <v>4773.3030432663727</v>
      </c>
      <c r="K60" s="10">
        <v>5253.8639040666958</v>
      </c>
      <c r="L60" s="10">
        <v>5750.4434602270303</v>
      </c>
      <c r="M60" s="10">
        <v>6231.0043210273534</v>
      </c>
      <c r="N60" s="10">
        <v>6500</v>
      </c>
      <c r="O60" s="10">
        <f>SUM(C60:E60)</f>
        <v>1862.946497370112</v>
      </c>
      <c r="P60" s="10">
        <f>SUM(F60:H60)</f>
        <v>6434.9348858925632</v>
      </c>
      <c r="Q60" s="10">
        <f>SUM(I60:K60)</f>
        <v>13869.412123444428</v>
      </c>
      <c r="R60" s="10">
        <f>SUM(L60:N60)</f>
        <v>18481.447781254385</v>
      </c>
      <c r="S60" s="10">
        <f>SUM(O60:R60)</f>
        <v>40648.741287961486</v>
      </c>
      <c r="V60" s="10">
        <f>FORECAST(V7,$C$61:$N$61,$C$7:$N$7)</f>
        <v>7233.5620536789065</v>
      </c>
      <c r="W60" s="10">
        <f t="shared" ref="W60:AG60" si="56">FORECAST(W7,$C$61:$N$61,$C$7:$N$7)</f>
        <v>7853.0848164912313</v>
      </c>
      <c r="X60" s="10">
        <f t="shared" si="56"/>
        <v>8412.6537635475397</v>
      </c>
      <c r="Y60" s="10">
        <f t="shared" si="56"/>
        <v>9032.1765263599809</v>
      </c>
      <c r="Z60" s="10">
        <f t="shared" si="56"/>
        <v>9631.7146839203779</v>
      </c>
      <c r="AA60" s="10">
        <f t="shared" si="56"/>
        <v>10251.237446732703</v>
      </c>
      <c r="AB60" s="10">
        <f t="shared" si="56"/>
        <v>10850.7756042931</v>
      </c>
      <c r="AC60" s="10">
        <f t="shared" si="56"/>
        <v>11470.298367105424</v>
      </c>
      <c r="AD60" s="10">
        <f t="shared" si="56"/>
        <v>12089.821129917866</v>
      </c>
      <c r="AE60" s="10">
        <f t="shared" si="56"/>
        <v>12689.359287478263</v>
      </c>
      <c r="AF60" s="10">
        <f t="shared" si="56"/>
        <v>13308.882050290587</v>
      </c>
      <c r="AG60" s="10">
        <f t="shared" si="56"/>
        <v>13908.420207850984</v>
      </c>
      <c r="AH60" s="10">
        <f>SUM(V60:X60)</f>
        <v>23499.300633717678</v>
      </c>
      <c r="AI60" s="10">
        <f>SUM(Y60:AA60)</f>
        <v>28915.128657013061</v>
      </c>
      <c r="AJ60" s="10">
        <f>SUM(AB60:AD60)</f>
        <v>34410.89510131639</v>
      </c>
      <c r="AK60" s="10">
        <f>SUM(AE60:AG60)</f>
        <v>39906.661545619834</v>
      </c>
      <c r="AL60" s="10">
        <f>SUM(AH60:AK60)</f>
        <v>126731.98593766696</v>
      </c>
    </row>
    <row r="61" spans="1:38" outlineLevel="1" x14ac:dyDescent="0.25">
      <c r="A61" t="s">
        <v>6</v>
      </c>
      <c r="C61" s="10">
        <v>296.94281545660573</v>
      </c>
      <c r="D61" s="10">
        <v>517.13162406389961</v>
      </c>
      <c r="E61" s="10">
        <v>995.83431620246176</v>
      </c>
      <c r="F61" s="10">
        <v>1459.0949860139738</v>
      </c>
      <c r="G61" s="10">
        <v>1937.7976781525358</v>
      </c>
      <c r="H61" s="10">
        <v>2806.384565833921</v>
      </c>
      <c r="I61" s="10">
        <v>3703.9243497713519</v>
      </c>
      <c r="J61" s="10">
        <v>4601.4641337087833</v>
      </c>
      <c r="K61" s="10">
        <v>5064.7248035202947</v>
      </c>
      <c r="L61" s="10">
        <v>5543.427495658857</v>
      </c>
      <c r="M61" s="10">
        <v>6006.6881654703684</v>
      </c>
      <c r="N61" s="10">
        <v>6266</v>
      </c>
      <c r="O61" s="10">
        <f>SUM(C61:E61)</f>
        <v>1809.9087557229673</v>
      </c>
      <c r="P61" s="10">
        <f>SUM(F61:H61)</f>
        <v>6203.2772300004308</v>
      </c>
      <c r="Q61" s="10">
        <f>SUM(I61:K61)</f>
        <v>13370.113287000429</v>
      </c>
      <c r="R61" s="10">
        <f>SUM(L61:N61)</f>
        <v>17816.115661129224</v>
      </c>
      <c r="S61" s="10">
        <f t="shared" ref="S61:S62" si="57">SUM(O61:R61)</f>
        <v>39199.414933853055</v>
      </c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>
        <f>SUM(V61:X61)</f>
        <v>0</v>
      </c>
      <c r="AI61" s="10">
        <f>SUM(Y61:AA61)</f>
        <v>0</v>
      </c>
      <c r="AJ61" s="10">
        <f>SUM(AB61:AD61)</f>
        <v>0</v>
      </c>
      <c r="AK61" s="10">
        <f>SUM(AE61:AG61)</f>
        <v>0</v>
      </c>
      <c r="AL61" s="10">
        <f t="shared" ref="AL61:AL62" si="58">SUM(AH61:AK61)</f>
        <v>0</v>
      </c>
    </row>
    <row r="62" spans="1:38" outlineLevel="1" x14ac:dyDescent="0.25">
      <c r="A62" t="s">
        <v>7</v>
      </c>
      <c r="C62" s="10">
        <f>C61-C60</f>
        <v>3.4630611013915313</v>
      </c>
      <c r="D62" s="10">
        <f t="shared" ref="D62:R62" si="59">D61-D60</f>
        <v>-19.311969363382104</v>
      </c>
      <c r="E62" s="10">
        <f t="shared" si="59"/>
        <v>-37.188833385154226</v>
      </c>
      <c r="F62" s="10">
        <f t="shared" si="59"/>
        <v>-54.489024373965776</v>
      </c>
      <c r="G62" s="10">
        <f t="shared" si="59"/>
        <v>-72.365888395738011</v>
      </c>
      <c r="H62" s="10">
        <f t="shared" si="59"/>
        <v>-104.80274312242864</v>
      </c>
      <c r="I62" s="10">
        <f t="shared" si="59"/>
        <v>-138.32082634000926</v>
      </c>
      <c r="J62" s="10">
        <f t="shared" si="59"/>
        <v>-171.83890955758943</v>
      </c>
      <c r="K62" s="10">
        <f t="shared" si="59"/>
        <v>-189.1391005464011</v>
      </c>
      <c r="L62" s="10">
        <f t="shared" si="59"/>
        <v>-207.01596456817333</v>
      </c>
      <c r="M62" s="10">
        <f t="shared" si="59"/>
        <v>-224.316155556985</v>
      </c>
      <c r="N62" s="10">
        <f t="shared" si="59"/>
        <v>-234</v>
      </c>
      <c r="O62" s="10">
        <f t="shared" si="59"/>
        <v>-53.037741647144685</v>
      </c>
      <c r="P62" s="10">
        <f t="shared" si="59"/>
        <v>-231.65765589213242</v>
      </c>
      <c r="Q62" s="10">
        <f t="shared" si="59"/>
        <v>-499.29883644399888</v>
      </c>
      <c r="R62" s="10">
        <f t="shared" si="59"/>
        <v>-665.33212012516015</v>
      </c>
      <c r="S62" s="10">
        <f t="shared" si="57"/>
        <v>-1449.3263541084361</v>
      </c>
      <c r="V62" s="10">
        <f>V61-V60</f>
        <v>-7233.5620536789065</v>
      </c>
      <c r="W62" s="10">
        <f t="shared" ref="W62:AK62" si="60">W61-W60</f>
        <v>-7853.0848164912313</v>
      </c>
      <c r="X62" s="10">
        <f t="shared" si="60"/>
        <v>-8412.6537635475397</v>
      </c>
      <c r="Y62" s="10">
        <f t="shared" si="60"/>
        <v>-9032.1765263599809</v>
      </c>
      <c r="Z62" s="10">
        <f t="shared" si="60"/>
        <v>-9631.7146839203779</v>
      </c>
      <c r="AA62" s="10">
        <f t="shared" si="60"/>
        <v>-10251.237446732703</v>
      </c>
      <c r="AB62" s="10">
        <f t="shared" si="60"/>
        <v>-10850.7756042931</v>
      </c>
      <c r="AC62" s="10">
        <f t="shared" si="60"/>
        <v>-11470.298367105424</v>
      </c>
      <c r="AD62" s="10">
        <f t="shared" si="60"/>
        <v>-12089.821129917866</v>
      </c>
      <c r="AE62" s="10">
        <f t="shared" si="60"/>
        <v>-12689.359287478263</v>
      </c>
      <c r="AF62" s="10">
        <f t="shared" si="60"/>
        <v>-13308.882050290587</v>
      </c>
      <c r="AG62" s="10">
        <f t="shared" si="60"/>
        <v>-13908.420207850984</v>
      </c>
      <c r="AH62" s="10">
        <f t="shared" si="60"/>
        <v>-23499.300633717678</v>
      </c>
      <c r="AI62" s="10">
        <f t="shared" si="60"/>
        <v>-28915.128657013061</v>
      </c>
      <c r="AJ62" s="10">
        <f t="shared" si="60"/>
        <v>-34410.89510131639</v>
      </c>
      <c r="AK62" s="10">
        <f t="shared" si="60"/>
        <v>-39906.661545619834</v>
      </c>
      <c r="AL62" s="10">
        <f t="shared" si="58"/>
        <v>-126731.98593766696</v>
      </c>
    </row>
    <row r="63" spans="1:38" hidden="1" outlineLevel="1" x14ac:dyDescent="0.25">
      <c r="A63" t="s">
        <v>8</v>
      </c>
      <c r="C63" s="10">
        <v>65000</v>
      </c>
      <c r="D63" s="10">
        <v>63000</v>
      </c>
      <c r="E63" s="10">
        <v>61000</v>
      </c>
      <c r="F63" s="10">
        <v>61000</v>
      </c>
      <c r="G63" s="10">
        <v>60000</v>
      </c>
      <c r="H63" s="10">
        <v>58000</v>
      </c>
      <c r="I63" s="10">
        <v>55000</v>
      </c>
      <c r="J63" s="10">
        <v>55000</v>
      </c>
      <c r="K63" s="10">
        <v>48000</v>
      </c>
      <c r="L63" s="10">
        <v>45000</v>
      </c>
      <c r="M63" s="10">
        <v>45000</v>
      </c>
      <c r="N63" s="10">
        <v>45000</v>
      </c>
      <c r="O63" s="10">
        <v>47000</v>
      </c>
      <c r="P63" s="10">
        <v>43000</v>
      </c>
      <c r="Q63" s="10">
        <v>42000</v>
      </c>
      <c r="R63" s="10">
        <v>42000</v>
      </c>
      <c r="S63" s="10">
        <v>42000</v>
      </c>
      <c r="V63" s="10">
        <v>65000</v>
      </c>
      <c r="W63" s="10">
        <v>63000</v>
      </c>
      <c r="X63" s="10">
        <v>61000</v>
      </c>
      <c r="Y63" s="10">
        <v>61000</v>
      </c>
      <c r="Z63" s="10">
        <v>60000</v>
      </c>
      <c r="AA63" s="10">
        <v>58000</v>
      </c>
      <c r="AB63" s="10">
        <v>55000</v>
      </c>
      <c r="AC63" s="10">
        <v>55000</v>
      </c>
      <c r="AD63" s="10">
        <v>48000</v>
      </c>
      <c r="AE63" s="10">
        <v>45000</v>
      </c>
      <c r="AF63" s="10">
        <v>45000</v>
      </c>
      <c r="AG63" s="10">
        <v>45000</v>
      </c>
      <c r="AH63" s="10">
        <v>47000</v>
      </c>
      <c r="AI63" s="10">
        <v>43000</v>
      </c>
      <c r="AJ63" s="10">
        <v>42000</v>
      </c>
      <c r="AK63" s="10">
        <v>42000</v>
      </c>
      <c r="AL63" s="10">
        <v>42000</v>
      </c>
    </row>
    <row r="64" spans="1:38" hidden="1" outlineLevel="1" x14ac:dyDescent="0.25">
      <c r="A64" t="s">
        <v>9</v>
      </c>
      <c r="C64" s="10">
        <f>C61-C63</f>
        <v>-64703.057184543395</v>
      </c>
      <c r="D64" s="10">
        <f t="shared" ref="D64:S64" si="61">D61-D63</f>
        <v>-62482.868375936101</v>
      </c>
      <c r="E64" s="10">
        <f t="shared" si="61"/>
        <v>-60004.165683797539</v>
      </c>
      <c r="F64" s="10">
        <f t="shared" si="61"/>
        <v>-59540.905013986026</v>
      </c>
      <c r="G64" s="10">
        <f t="shared" si="61"/>
        <v>-58062.202321847464</v>
      </c>
      <c r="H64" s="10">
        <f t="shared" si="61"/>
        <v>-55193.61543416608</v>
      </c>
      <c r="I64" s="10">
        <f t="shared" si="61"/>
        <v>-51296.075650228646</v>
      </c>
      <c r="J64" s="10">
        <f t="shared" si="61"/>
        <v>-50398.535866291219</v>
      </c>
      <c r="K64" s="10">
        <f t="shared" si="61"/>
        <v>-42935.275196479706</v>
      </c>
      <c r="L64" s="10">
        <f t="shared" si="61"/>
        <v>-39456.572504341144</v>
      </c>
      <c r="M64" s="10">
        <f t="shared" si="61"/>
        <v>-38993.311834529632</v>
      </c>
      <c r="N64" s="10">
        <f t="shared" si="61"/>
        <v>-38734</v>
      </c>
      <c r="O64" s="10">
        <f t="shared" si="61"/>
        <v>-45190.091244277035</v>
      </c>
      <c r="P64" s="10">
        <f t="shared" si="61"/>
        <v>-36796.722769999571</v>
      </c>
      <c r="Q64" s="10">
        <f t="shared" si="61"/>
        <v>-28629.886712999571</v>
      </c>
      <c r="R64" s="10">
        <f t="shared" si="61"/>
        <v>-24183.884338870776</v>
      </c>
      <c r="S64" s="10">
        <f t="shared" si="61"/>
        <v>-2800.5850661469449</v>
      </c>
      <c r="V64" s="10">
        <f>V61-V63</f>
        <v>-65000</v>
      </c>
      <c r="W64" s="10">
        <f t="shared" ref="W64:AL64" si="62">W61-W63</f>
        <v>-63000</v>
      </c>
      <c r="X64" s="10">
        <f t="shared" si="62"/>
        <v>-61000</v>
      </c>
      <c r="Y64" s="10">
        <f t="shared" si="62"/>
        <v>-61000</v>
      </c>
      <c r="Z64" s="10">
        <f t="shared" si="62"/>
        <v>-60000</v>
      </c>
      <c r="AA64" s="10">
        <f t="shared" si="62"/>
        <v>-58000</v>
      </c>
      <c r="AB64" s="10">
        <f t="shared" si="62"/>
        <v>-55000</v>
      </c>
      <c r="AC64" s="10">
        <f t="shared" si="62"/>
        <v>-55000</v>
      </c>
      <c r="AD64" s="10">
        <f t="shared" si="62"/>
        <v>-48000</v>
      </c>
      <c r="AE64" s="10">
        <f t="shared" si="62"/>
        <v>-45000</v>
      </c>
      <c r="AF64" s="10">
        <f t="shared" si="62"/>
        <v>-45000</v>
      </c>
      <c r="AG64" s="10">
        <f t="shared" si="62"/>
        <v>-45000</v>
      </c>
      <c r="AH64" s="10">
        <f t="shared" si="62"/>
        <v>-47000</v>
      </c>
      <c r="AI64" s="10">
        <f t="shared" si="62"/>
        <v>-43000</v>
      </c>
      <c r="AJ64" s="10">
        <f t="shared" si="62"/>
        <v>-42000</v>
      </c>
      <c r="AK64" s="10">
        <f t="shared" si="62"/>
        <v>-42000</v>
      </c>
      <c r="AL64" s="10">
        <f t="shared" si="62"/>
        <v>-42000</v>
      </c>
    </row>
    <row r="65" spans="1:38" outlineLevel="1" x14ac:dyDescent="0.25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1:38" s="12" customFormat="1" outlineLevel="1" x14ac:dyDescent="0.25">
      <c r="A66" s="11" t="s">
        <v>17</v>
      </c>
      <c r="B66" s="11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1"/>
      <c r="P66" s="11"/>
      <c r="Q66" s="11"/>
      <c r="R66" s="11"/>
      <c r="S66" s="11"/>
      <c r="U66" s="11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1"/>
      <c r="AI66" s="11"/>
      <c r="AJ66" s="11"/>
      <c r="AK66" s="11"/>
      <c r="AL66" s="11"/>
    </row>
    <row r="67" spans="1:38" outlineLevel="1" x14ac:dyDescent="0.25">
      <c r="A67" t="s">
        <v>5</v>
      </c>
      <c r="C67" s="10">
        <v>59819.397074242945</v>
      </c>
      <c r="D67" s="10">
        <v>59669.880865583211</v>
      </c>
      <c r="E67" s="10">
        <v>59364.293446407617</v>
      </c>
      <c r="F67" s="10">
        <v>59068.563685915113</v>
      </c>
      <c r="G67" s="10">
        <v>58762.976266739519</v>
      </c>
      <c r="H67" s="10">
        <v>58208.500117565316</v>
      </c>
      <c r="I67" s="10">
        <v>57635.541430085308</v>
      </c>
      <c r="J67" s="10">
        <v>57062.5827426053</v>
      </c>
      <c r="K67" s="10">
        <v>56766.852982112796</v>
      </c>
      <c r="L67" s="10">
        <v>56461.265562937202</v>
      </c>
      <c r="M67" s="10">
        <v>56165.535802444698</v>
      </c>
      <c r="N67" s="10">
        <v>55999.999999999993</v>
      </c>
      <c r="O67" s="10">
        <f>SUM(C67:E67)</f>
        <v>178853.57138623379</v>
      </c>
      <c r="P67" s="10">
        <f>SUM(F67:H67)</f>
        <v>176040.04007021995</v>
      </c>
      <c r="Q67" s="10">
        <f>SUM(I67:K67)</f>
        <v>171464.9771548034</v>
      </c>
      <c r="R67" s="10">
        <f>SUM(L67:N67)</f>
        <v>168626.80136538189</v>
      </c>
      <c r="S67" s="10">
        <f>SUM(O67:R67)</f>
        <v>694985.38997663907</v>
      </c>
      <c r="V67" s="10">
        <f>_xlfn.FORECAST.ETS(V7,$C$68:$N$68,$C$7:$N$7)</f>
        <v>57071.114136799959</v>
      </c>
      <c r="W67" s="10">
        <f t="shared" ref="W67:AG67" si="63">_xlfn.FORECAST.ETS(W7,$C$68:$N$68,$C$7:$N$7)</f>
        <v>56706.406058821667</v>
      </c>
      <c r="X67" s="10">
        <f t="shared" si="63"/>
        <v>56341.697980843383</v>
      </c>
      <c r="Y67" s="10">
        <f t="shared" si="63"/>
        <v>55976.989902865098</v>
      </c>
      <c r="Z67" s="10">
        <f t="shared" si="63"/>
        <v>55612.281824886806</v>
      </c>
      <c r="AA67" s="10">
        <f t="shared" si="63"/>
        <v>55247.573746908522</v>
      </c>
      <c r="AB67" s="10">
        <f t="shared" si="63"/>
        <v>54882.86566893023</v>
      </c>
      <c r="AC67" s="10">
        <f t="shared" si="63"/>
        <v>54518.157590951945</v>
      </c>
      <c r="AD67" s="10">
        <f t="shared" si="63"/>
        <v>54153.449512973661</v>
      </c>
      <c r="AE67" s="10">
        <f t="shared" si="63"/>
        <v>53788.741434995369</v>
      </c>
      <c r="AF67" s="10">
        <f t="shared" si="63"/>
        <v>53424.033357017084</v>
      </c>
      <c r="AG67" s="10">
        <f t="shared" si="63"/>
        <v>53059.325279038792</v>
      </c>
      <c r="AH67" s="10">
        <f>SUM(V67:X67)</f>
        <v>170119.21817646502</v>
      </c>
      <c r="AI67" s="10">
        <f>SUM(Y67:AA67)</f>
        <v>166836.84547466043</v>
      </c>
      <c r="AJ67" s="10">
        <f>SUM(AB67:AD67)</f>
        <v>163554.47277285584</v>
      </c>
      <c r="AK67" s="10">
        <f>SUM(AE67:AG67)</f>
        <v>160272.10007105125</v>
      </c>
      <c r="AL67" s="10">
        <f>SUM(AH67:AK67)</f>
        <v>660782.63649503246</v>
      </c>
    </row>
    <row r="68" spans="1:38" outlineLevel="1" x14ac:dyDescent="0.25">
      <c r="A68" t="s">
        <v>6</v>
      </c>
      <c r="C68" s="10">
        <v>60525.265959719014</v>
      </c>
      <c r="D68" s="10">
        <v>61221.297768088378</v>
      </c>
      <c r="E68" s="10">
        <v>60907.765076014213</v>
      </c>
      <c r="F68" s="10">
        <v>60604.346341748904</v>
      </c>
      <c r="G68" s="10">
        <v>60290.813649674747</v>
      </c>
      <c r="H68" s="10">
        <v>59721.921120622013</v>
      </c>
      <c r="I68" s="10">
        <v>59134.065507267529</v>
      </c>
      <c r="J68" s="10">
        <v>58546.209893913037</v>
      </c>
      <c r="K68" s="10">
        <v>58242.791159647728</v>
      </c>
      <c r="L68" s="10">
        <v>57929.258467573571</v>
      </c>
      <c r="M68" s="10">
        <v>57625.839733308261</v>
      </c>
      <c r="N68" s="10">
        <v>57455.999999999993</v>
      </c>
      <c r="O68" s="10">
        <f>SUM(C68:E68)</f>
        <v>182654.32880382161</v>
      </c>
      <c r="P68" s="10">
        <f>SUM(F68:H68)</f>
        <v>180617.08111204568</v>
      </c>
      <c r="Q68" s="10">
        <f>SUM(I68:K68)</f>
        <v>175923.0665608283</v>
      </c>
      <c r="R68" s="10">
        <f>SUM(L68:N68)</f>
        <v>173011.09820088182</v>
      </c>
      <c r="S68" s="10">
        <f t="shared" ref="S68:S69" si="64">SUM(O68:R68)</f>
        <v>712205.57467757748</v>
      </c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>
        <f>SUM(V68:X68)</f>
        <v>0</v>
      </c>
      <c r="AI68" s="10">
        <f>SUM(Y68:AA68)</f>
        <v>0</v>
      </c>
      <c r="AJ68" s="10">
        <f>SUM(AB68:AD68)</f>
        <v>0</v>
      </c>
      <c r="AK68" s="10">
        <f>SUM(AE68:AG68)</f>
        <v>0</v>
      </c>
      <c r="AL68" s="10">
        <f t="shared" ref="AL68:AL69" si="65">SUM(AH68:AK68)</f>
        <v>0</v>
      </c>
    </row>
    <row r="69" spans="1:38" outlineLevel="1" x14ac:dyDescent="0.25">
      <c r="A69" t="s">
        <v>7</v>
      </c>
      <c r="C69" s="10">
        <f>C68-C67</f>
        <v>705.86888547606941</v>
      </c>
      <c r="D69" s="10">
        <f t="shared" ref="D69:R69" si="66">D68-D67</f>
        <v>1551.4169025051669</v>
      </c>
      <c r="E69" s="10">
        <f t="shared" si="66"/>
        <v>1543.4716296065963</v>
      </c>
      <c r="F69" s="10">
        <f t="shared" si="66"/>
        <v>1535.7826558337911</v>
      </c>
      <c r="G69" s="10">
        <f t="shared" si="66"/>
        <v>1527.8373829352277</v>
      </c>
      <c r="H69" s="10">
        <f t="shared" si="66"/>
        <v>1513.4210030566974</v>
      </c>
      <c r="I69" s="10">
        <f t="shared" si="66"/>
        <v>1498.5240771822209</v>
      </c>
      <c r="J69" s="10">
        <f t="shared" si="66"/>
        <v>1483.6271513077372</v>
      </c>
      <c r="K69" s="10">
        <f t="shared" si="66"/>
        <v>1475.938177534932</v>
      </c>
      <c r="L69" s="10">
        <f t="shared" si="66"/>
        <v>1467.9929046363686</v>
      </c>
      <c r="M69" s="10">
        <f t="shared" si="66"/>
        <v>1460.3039308635634</v>
      </c>
      <c r="N69" s="10">
        <f t="shared" si="66"/>
        <v>1456</v>
      </c>
      <c r="O69" s="10">
        <f t="shared" si="66"/>
        <v>3800.7574175878253</v>
      </c>
      <c r="P69" s="10">
        <f t="shared" si="66"/>
        <v>4577.0410418257234</v>
      </c>
      <c r="Q69" s="10">
        <f t="shared" si="66"/>
        <v>4458.0894060248975</v>
      </c>
      <c r="R69" s="10">
        <f t="shared" si="66"/>
        <v>4384.2968354999321</v>
      </c>
      <c r="S69" s="10">
        <f t="shared" si="64"/>
        <v>17220.184700938378</v>
      </c>
      <c r="V69" s="10">
        <f>V68-V67</f>
        <v>-57071.114136799959</v>
      </c>
      <c r="W69" s="10">
        <f t="shared" ref="W69:AK69" si="67">W68-W67</f>
        <v>-56706.406058821667</v>
      </c>
      <c r="X69" s="10">
        <f t="shared" si="67"/>
        <v>-56341.697980843383</v>
      </c>
      <c r="Y69" s="10">
        <f t="shared" si="67"/>
        <v>-55976.989902865098</v>
      </c>
      <c r="Z69" s="10">
        <f t="shared" si="67"/>
        <v>-55612.281824886806</v>
      </c>
      <c r="AA69" s="10">
        <f t="shared" si="67"/>
        <v>-55247.573746908522</v>
      </c>
      <c r="AB69" s="10">
        <f t="shared" si="67"/>
        <v>-54882.86566893023</v>
      </c>
      <c r="AC69" s="10">
        <f t="shared" si="67"/>
        <v>-54518.157590951945</v>
      </c>
      <c r="AD69" s="10">
        <f t="shared" si="67"/>
        <v>-54153.449512973661</v>
      </c>
      <c r="AE69" s="10">
        <f t="shared" si="67"/>
        <v>-53788.741434995369</v>
      </c>
      <c r="AF69" s="10">
        <f t="shared" si="67"/>
        <v>-53424.033357017084</v>
      </c>
      <c r="AG69" s="10">
        <f t="shared" si="67"/>
        <v>-53059.325279038792</v>
      </c>
      <c r="AH69" s="10">
        <f t="shared" si="67"/>
        <v>-170119.21817646502</v>
      </c>
      <c r="AI69" s="10">
        <f t="shared" si="67"/>
        <v>-166836.84547466043</v>
      </c>
      <c r="AJ69" s="10">
        <f t="shared" si="67"/>
        <v>-163554.47277285584</v>
      </c>
      <c r="AK69" s="10">
        <f t="shared" si="67"/>
        <v>-160272.10007105125</v>
      </c>
      <c r="AL69" s="10">
        <f t="shared" si="65"/>
        <v>-660782.63649503246</v>
      </c>
    </row>
    <row r="70" spans="1:38" hidden="1" outlineLevel="1" x14ac:dyDescent="0.25">
      <c r="A70" t="s">
        <v>8</v>
      </c>
      <c r="C70" s="10">
        <v>230000</v>
      </c>
      <c r="D70" s="10">
        <v>230000</v>
      </c>
      <c r="E70" s="10">
        <v>231000</v>
      </c>
      <c r="F70" s="10">
        <v>231000</v>
      </c>
      <c r="G70" s="10">
        <v>234000</v>
      </c>
      <c r="H70" s="10">
        <v>235000</v>
      </c>
      <c r="I70" s="10">
        <v>235000</v>
      </c>
      <c r="J70" s="10">
        <v>235000</v>
      </c>
      <c r="K70" s="10">
        <v>240000</v>
      </c>
      <c r="L70" s="10">
        <v>240000</v>
      </c>
      <c r="M70" s="10">
        <v>242000</v>
      </c>
      <c r="N70" s="10">
        <v>242000</v>
      </c>
      <c r="O70" s="10">
        <v>244000</v>
      </c>
      <c r="P70" s="10">
        <v>245000</v>
      </c>
      <c r="Q70" s="10">
        <v>248000</v>
      </c>
      <c r="R70" s="10">
        <v>248000</v>
      </c>
      <c r="S70" s="10">
        <v>248000</v>
      </c>
      <c r="V70" s="10">
        <v>230000</v>
      </c>
      <c r="W70" s="10">
        <v>230000</v>
      </c>
      <c r="X70" s="10">
        <v>231000</v>
      </c>
      <c r="Y70" s="10">
        <v>231000</v>
      </c>
      <c r="Z70" s="10">
        <v>234000</v>
      </c>
      <c r="AA70" s="10">
        <v>235000</v>
      </c>
      <c r="AB70" s="10">
        <v>235000</v>
      </c>
      <c r="AC70" s="10">
        <v>235000</v>
      </c>
      <c r="AD70" s="10">
        <v>240000</v>
      </c>
      <c r="AE70" s="10">
        <v>240000</v>
      </c>
      <c r="AF70" s="10">
        <v>242000</v>
      </c>
      <c r="AG70" s="10">
        <v>242000</v>
      </c>
      <c r="AH70" s="10">
        <v>244000</v>
      </c>
      <c r="AI70" s="10">
        <v>245000</v>
      </c>
      <c r="AJ70" s="10">
        <v>248000</v>
      </c>
      <c r="AK70" s="10">
        <v>248000</v>
      </c>
      <c r="AL70" s="10">
        <v>248000</v>
      </c>
    </row>
    <row r="71" spans="1:38" hidden="1" outlineLevel="1" x14ac:dyDescent="0.25">
      <c r="A71" t="s">
        <v>9</v>
      </c>
      <c r="C71" s="10">
        <f>C68-C70</f>
        <v>-169474.73404028098</v>
      </c>
      <c r="D71" s="10">
        <f t="shared" ref="D71:S71" si="68">D68-D70</f>
        <v>-168778.70223191162</v>
      </c>
      <c r="E71" s="10">
        <f t="shared" si="68"/>
        <v>-170092.23492398579</v>
      </c>
      <c r="F71" s="10">
        <f t="shared" si="68"/>
        <v>-170395.6536582511</v>
      </c>
      <c r="G71" s="10">
        <f t="shared" si="68"/>
        <v>-173709.18635032524</v>
      </c>
      <c r="H71" s="10">
        <f t="shared" si="68"/>
        <v>-175278.07887937798</v>
      </c>
      <c r="I71" s="10">
        <f t="shared" si="68"/>
        <v>-175865.93449273246</v>
      </c>
      <c r="J71" s="10">
        <f t="shared" si="68"/>
        <v>-176453.79010608696</v>
      </c>
      <c r="K71" s="10">
        <f t="shared" si="68"/>
        <v>-181757.20884035228</v>
      </c>
      <c r="L71" s="10">
        <f t="shared" si="68"/>
        <v>-182070.74153242644</v>
      </c>
      <c r="M71" s="10">
        <f t="shared" si="68"/>
        <v>-184374.16026669173</v>
      </c>
      <c r="N71" s="10">
        <f t="shared" si="68"/>
        <v>-184544</v>
      </c>
      <c r="O71" s="10">
        <f t="shared" si="68"/>
        <v>-61345.671196178388</v>
      </c>
      <c r="P71" s="10">
        <f t="shared" si="68"/>
        <v>-64382.918887954322</v>
      </c>
      <c r="Q71" s="10">
        <f t="shared" si="68"/>
        <v>-72076.933439171698</v>
      </c>
      <c r="R71" s="10">
        <f t="shared" si="68"/>
        <v>-74988.901799118175</v>
      </c>
      <c r="S71" s="10">
        <f t="shared" si="68"/>
        <v>464205.57467757748</v>
      </c>
      <c r="V71" s="10">
        <f>V68-V70</f>
        <v>-230000</v>
      </c>
      <c r="W71" s="10">
        <f t="shared" ref="W71:AL71" si="69">W68-W70</f>
        <v>-230000</v>
      </c>
      <c r="X71" s="10">
        <f t="shared" si="69"/>
        <v>-231000</v>
      </c>
      <c r="Y71" s="10">
        <f t="shared" si="69"/>
        <v>-231000</v>
      </c>
      <c r="Z71" s="10">
        <f t="shared" si="69"/>
        <v>-234000</v>
      </c>
      <c r="AA71" s="10">
        <f t="shared" si="69"/>
        <v>-235000</v>
      </c>
      <c r="AB71" s="10">
        <f t="shared" si="69"/>
        <v>-235000</v>
      </c>
      <c r="AC71" s="10">
        <f t="shared" si="69"/>
        <v>-235000</v>
      </c>
      <c r="AD71" s="10">
        <f t="shared" si="69"/>
        <v>-240000</v>
      </c>
      <c r="AE71" s="10">
        <f t="shared" si="69"/>
        <v>-240000</v>
      </c>
      <c r="AF71" s="10">
        <f t="shared" si="69"/>
        <v>-242000</v>
      </c>
      <c r="AG71" s="10">
        <f t="shared" si="69"/>
        <v>-242000</v>
      </c>
      <c r="AH71" s="10">
        <f t="shared" si="69"/>
        <v>-244000</v>
      </c>
      <c r="AI71" s="10">
        <f t="shared" si="69"/>
        <v>-245000</v>
      </c>
      <c r="AJ71" s="10">
        <f t="shared" si="69"/>
        <v>-248000</v>
      </c>
      <c r="AK71" s="10">
        <f t="shared" si="69"/>
        <v>-248000</v>
      </c>
      <c r="AL71" s="10">
        <f t="shared" si="69"/>
        <v>-248000</v>
      </c>
    </row>
    <row r="72" spans="1:38" outlineLevel="1" x14ac:dyDescent="0.25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1:38" s="12" customFormat="1" outlineLevel="1" x14ac:dyDescent="0.25">
      <c r="A73" s="11" t="s">
        <v>18</v>
      </c>
      <c r="B73" s="11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1"/>
      <c r="Q73" s="11"/>
      <c r="R73" s="11"/>
      <c r="S73" s="11"/>
      <c r="U73" s="11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1"/>
      <c r="AJ73" s="11"/>
      <c r="AK73" s="11"/>
      <c r="AL73" s="11"/>
    </row>
    <row r="74" spans="1:38" outlineLevel="1" x14ac:dyDescent="0.25">
      <c r="A74" t="s">
        <v>5</v>
      </c>
      <c r="C74" s="10">
        <v>7000</v>
      </c>
      <c r="D74" s="10">
        <v>7000</v>
      </c>
      <c r="E74" s="10">
        <v>7000</v>
      </c>
      <c r="F74" s="10">
        <v>7000</v>
      </c>
      <c r="G74" s="10">
        <v>7000</v>
      </c>
      <c r="H74" s="10">
        <v>7000</v>
      </c>
      <c r="I74" s="10">
        <v>7000</v>
      </c>
      <c r="J74" s="10">
        <v>7000</v>
      </c>
      <c r="K74" s="10">
        <v>7000</v>
      </c>
      <c r="L74" s="10">
        <v>7000</v>
      </c>
      <c r="M74" s="10">
        <v>7000</v>
      </c>
      <c r="N74" s="10">
        <v>7000</v>
      </c>
      <c r="O74" s="10">
        <f>SUM(C74:E74)</f>
        <v>21000</v>
      </c>
      <c r="P74" s="10">
        <f>SUM(F74:H74)</f>
        <v>21000</v>
      </c>
      <c r="Q74" s="10">
        <f>SUM(I74:K74)</f>
        <v>21000</v>
      </c>
      <c r="R74" s="10">
        <f>SUM(L74:N74)</f>
        <v>21000</v>
      </c>
      <c r="S74" s="10">
        <f>SUM(O74:R74)</f>
        <v>84000</v>
      </c>
      <c r="V74" s="10">
        <f>_xlfn.FORECAST.ETS(V$7,$C$75:$N$75,$C$7:$N$7)</f>
        <v>7215.5351947969302</v>
      </c>
      <c r="W74" s="10">
        <f t="shared" ref="W74:AG74" si="70">_xlfn.FORECAST.ETS(W$7,$C$75:$N$75,$C$7:$N$7)</f>
        <v>7220.5162543333709</v>
      </c>
      <c r="X74" s="10">
        <f t="shared" si="70"/>
        <v>7225.4973138698115</v>
      </c>
      <c r="Y74" s="10">
        <f t="shared" si="70"/>
        <v>7230.4783734062512</v>
      </c>
      <c r="Z74" s="10">
        <f t="shared" si="70"/>
        <v>7235.4594329426918</v>
      </c>
      <c r="AA74" s="10">
        <f t="shared" si="70"/>
        <v>7240.4404924791324</v>
      </c>
      <c r="AB74" s="10">
        <f t="shared" si="70"/>
        <v>7245.4215520155731</v>
      </c>
      <c r="AC74" s="10">
        <f t="shared" si="70"/>
        <v>7250.4026115520137</v>
      </c>
      <c r="AD74" s="10">
        <f t="shared" si="70"/>
        <v>7255.3836710884543</v>
      </c>
      <c r="AE74" s="10">
        <f t="shared" si="70"/>
        <v>7260.3647306248949</v>
      </c>
      <c r="AF74" s="10">
        <f t="shared" si="70"/>
        <v>7265.3457901613347</v>
      </c>
      <c r="AG74" s="10">
        <f t="shared" si="70"/>
        <v>7270.3268496977753</v>
      </c>
      <c r="AH74" s="10">
        <f>SUM(V74:X74)</f>
        <v>21661.548763000112</v>
      </c>
      <c r="AI74" s="10">
        <f>SUM(Y74:AA74)</f>
        <v>21706.378298828073</v>
      </c>
      <c r="AJ74" s="10">
        <f>SUM(AB74:AD74)</f>
        <v>21751.207834656041</v>
      </c>
      <c r="AK74" s="10">
        <f>SUM(AE74:AG74)</f>
        <v>21796.037370484006</v>
      </c>
      <c r="AL74" s="10">
        <f>SUM(AH74:AK74)</f>
        <v>86915.172266968235</v>
      </c>
    </row>
    <row r="75" spans="1:38" outlineLevel="1" x14ac:dyDescent="0.25">
      <c r="A75" t="s">
        <v>6</v>
      </c>
      <c r="C75" s="10">
        <v>7082.6</v>
      </c>
      <c r="D75" s="10">
        <v>7210</v>
      </c>
      <c r="E75" s="10">
        <v>7210</v>
      </c>
      <c r="F75" s="10">
        <v>7210</v>
      </c>
      <c r="G75" s="10">
        <v>7210</v>
      </c>
      <c r="H75" s="10">
        <v>7210</v>
      </c>
      <c r="I75" s="10">
        <v>7210</v>
      </c>
      <c r="J75" s="10">
        <v>7210</v>
      </c>
      <c r="K75" s="10">
        <v>7210</v>
      </c>
      <c r="L75" s="10">
        <v>7210</v>
      </c>
      <c r="M75" s="10">
        <v>7210</v>
      </c>
      <c r="N75" s="10">
        <v>7210</v>
      </c>
      <c r="O75" s="10">
        <f>SUM(C75:E75)</f>
        <v>21502.6</v>
      </c>
      <c r="P75" s="10">
        <f>SUM(F75:H75)</f>
        <v>21630</v>
      </c>
      <c r="Q75" s="10">
        <f>SUM(I75:K75)</f>
        <v>21630</v>
      </c>
      <c r="R75" s="10">
        <f>SUM(L75:N75)</f>
        <v>21630</v>
      </c>
      <c r="S75" s="10">
        <f t="shared" ref="S75:S76" si="71">SUM(O75:R75)</f>
        <v>86392.6</v>
      </c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>
        <f>SUM(V75:X75)</f>
        <v>0</v>
      </c>
      <c r="AI75" s="10">
        <f>SUM(Y75:AA75)</f>
        <v>0</v>
      </c>
      <c r="AJ75" s="10">
        <f>SUM(AB75:AD75)</f>
        <v>0</v>
      </c>
      <c r="AK75" s="10">
        <f>SUM(AE75:AG75)</f>
        <v>0</v>
      </c>
      <c r="AL75" s="10">
        <f t="shared" ref="AL75:AL76" si="72">SUM(AH75:AK75)</f>
        <v>0</v>
      </c>
    </row>
    <row r="76" spans="1:38" outlineLevel="1" x14ac:dyDescent="0.25">
      <c r="A76" t="s">
        <v>7</v>
      </c>
      <c r="C76" s="10">
        <f>C75-C74</f>
        <v>82.600000000000364</v>
      </c>
      <c r="D76" s="10">
        <f t="shared" ref="D76:R76" si="73">D75-D74</f>
        <v>210</v>
      </c>
      <c r="E76" s="10">
        <f t="shared" si="73"/>
        <v>210</v>
      </c>
      <c r="F76" s="10">
        <f t="shared" si="73"/>
        <v>210</v>
      </c>
      <c r="G76" s="10">
        <f t="shared" si="73"/>
        <v>210</v>
      </c>
      <c r="H76" s="10">
        <f t="shared" si="73"/>
        <v>210</v>
      </c>
      <c r="I76" s="10">
        <f t="shared" si="73"/>
        <v>210</v>
      </c>
      <c r="J76" s="10">
        <f t="shared" si="73"/>
        <v>210</v>
      </c>
      <c r="K76" s="10">
        <f t="shared" si="73"/>
        <v>210</v>
      </c>
      <c r="L76" s="10">
        <f t="shared" si="73"/>
        <v>210</v>
      </c>
      <c r="M76" s="10">
        <f t="shared" si="73"/>
        <v>210</v>
      </c>
      <c r="N76" s="10">
        <f t="shared" si="73"/>
        <v>210</v>
      </c>
      <c r="O76" s="10">
        <f t="shared" si="73"/>
        <v>502.59999999999854</v>
      </c>
      <c r="P76" s="10">
        <f t="shared" si="73"/>
        <v>630</v>
      </c>
      <c r="Q76" s="10">
        <f t="shared" si="73"/>
        <v>630</v>
      </c>
      <c r="R76" s="10">
        <f t="shared" si="73"/>
        <v>630</v>
      </c>
      <c r="S76" s="10">
        <f t="shared" si="71"/>
        <v>2392.5999999999985</v>
      </c>
      <c r="V76" s="10">
        <f>V75-V74</f>
        <v>-7215.5351947969302</v>
      </c>
      <c r="W76" s="10">
        <f t="shared" ref="W76:AK76" si="74">W75-W74</f>
        <v>-7220.5162543333709</v>
      </c>
      <c r="X76" s="10">
        <f t="shared" si="74"/>
        <v>-7225.4973138698115</v>
      </c>
      <c r="Y76" s="10">
        <f t="shared" si="74"/>
        <v>-7230.4783734062512</v>
      </c>
      <c r="Z76" s="10">
        <f t="shared" si="74"/>
        <v>-7235.4594329426918</v>
      </c>
      <c r="AA76" s="10">
        <f t="shared" si="74"/>
        <v>-7240.4404924791324</v>
      </c>
      <c r="AB76" s="10">
        <f t="shared" si="74"/>
        <v>-7245.4215520155731</v>
      </c>
      <c r="AC76" s="10">
        <f t="shared" si="74"/>
        <v>-7250.4026115520137</v>
      </c>
      <c r="AD76" s="10">
        <f t="shared" si="74"/>
        <v>-7255.3836710884543</v>
      </c>
      <c r="AE76" s="10">
        <f t="shared" si="74"/>
        <v>-7260.3647306248949</v>
      </c>
      <c r="AF76" s="10">
        <f t="shared" si="74"/>
        <v>-7265.3457901613347</v>
      </c>
      <c r="AG76" s="10">
        <f t="shared" si="74"/>
        <v>-7270.3268496977753</v>
      </c>
      <c r="AH76" s="10">
        <f t="shared" si="74"/>
        <v>-21661.548763000112</v>
      </c>
      <c r="AI76" s="10">
        <f t="shared" si="74"/>
        <v>-21706.378298828073</v>
      </c>
      <c r="AJ76" s="10">
        <f t="shared" si="74"/>
        <v>-21751.207834656041</v>
      </c>
      <c r="AK76" s="10">
        <f t="shared" si="74"/>
        <v>-21796.037370484006</v>
      </c>
      <c r="AL76" s="10">
        <f t="shared" si="72"/>
        <v>-86915.172266968235</v>
      </c>
    </row>
    <row r="77" spans="1:38" hidden="1" outlineLevel="1" x14ac:dyDescent="0.25">
      <c r="A77" t="s">
        <v>8</v>
      </c>
      <c r="C77" s="10">
        <v>18000</v>
      </c>
      <c r="D77" s="10">
        <v>20000</v>
      </c>
      <c r="E77" s="10">
        <v>24000</v>
      </c>
      <c r="F77" s="10">
        <v>24000</v>
      </c>
      <c r="G77" s="10">
        <v>25000</v>
      </c>
      <c r="H77" s="10">
        <v>26000</v>
      </c>
      <c r="I77" s="10">
        <v>26000</v>
      </c>
      <c r="J77" s="10">
        <v>26000</v>
      </c>
      <c r="K77" s="10">
        <v>27000</v>
      </c>
      <c r="L77" s="10">
        <v>28000</v>
      </c>
      <c r="M77" s="10">
        <v>27000</v>
      </c>
      <c r="N77" s="10">
        <v>27000</v>
      </c>
      <c r="O77" s="10">
        <v>28000</v>
      </c>
      <c r="P77" s="10">
        <v>29000</v>
      </c>
      <c r="Q77" s="10">
        <v>28000</v>
      </c>
      <c r="R77" s="10">
        <v>28000</v>
      </c>
      <c r="S77" s="10">
        <v>28000</v>
      </c>
      <c r="V77" s="10">
        <v>18000</v>
      </c>
      <c r="W77" s="10">
        <v>20000</v>
      </c>
      <c r="X77" s="10">
        <v>24000</v>
      </c>
      <c r="Y77" s="10">
        <v>24000</v>
      </c>
      <c r="Z77" s="10">
        <v>25000</v>
      </c>
      <c r="AA77" s="10">
        <v>26000</v>
      </c>
      <c r="AB77" s="10">
        <v>26000</v>
      </c>
      <c r="AC77" s="10">
        <v>26000</v>
      </c>
      <c r="AD77" s="10">
        <v>27000</v>
      </c>
      <c r="AE77" s="10">
        <v>28000</v>
      </c>
      <c r="AF77" s="10">
        <v>27000</v>
      </c>
      <c r="AG77" s="10">
        <v>27000</v>
      </c>
      <c r="AH77" s="10">
        <v>28000</v>
      </c>
      <c r="AI77" s="10">
        <v>29000</v>
      </c>
      <c r="AJ77" s="10">
        <v>28000</v>
      </c>
      <c r="AK77" s="10">
        <v>28000</v>
      </c>
      <c r="AL77" s="10">
        <v>28000</v>
      </c>
    </row>
    <row r="78" spans="1:38" hidden="1" outlineLevel="1" x14ac:dyDescent="0.25">
      <c r="A78" t="s">
        <v>9</v>
      </c>
      <c r="C78" s="10">
        <f>C75-C77</f>
        <v>-10917.4</v>
      </c>
      <c r="D78" s="10">
        <f t="shared" ref="D78:S78" si="75">D75-D77</f>
        <v>-12790</v>
      </c>
      <c r="E78" s="10">
        <f t="shared" si="75"/>
        <v>-16790</v>
      </c>
      <c r="F78" s="10">
        <f t="shared" si="75"/>
        <v>-16790</v>
      </c>
      <c r="G78" s="10">
        <f t="shared" si="75"/>
        <v>-17790</v>
      </c>
      <c r="H78" s="10">
        <f t="shared" si="75"/>
        <v>-18790</v>
      </c>
      <c r="I78" s="10">
        <f t="shared" si="75"/>
        <v>-18790</v>
      </c>
      <c r="J78" s="10">
        <f t="shared" si="75"/>
        <v>-18790</v>
      </c>
      <c r="K78" s="10">
        <f t="shared" si="75"/>
        <v>-19790</v>
      </c>
      <c r="L78" s="10">
        <f t="shared" si="75"/>
        <v>-20790</v>
      </c>
      <c r="M78" s="10">
        <f t="shared" si="75"/>
        <v>-19790</v>
      </c>
      <c r="N78" s="10">
        <f t="shared" si="75"/>
        <v>-19790</v>
      </c>
      <c r="O78" s="10">
        <f t="shared" si="75"/>
        <v>-6497.4000000000015</v>
      </c>
      <c r="P78" s="10">
        <f t="shared" si="75"/>
        <v>-7370</v>
      </c>
      <c r="Q78" s="10">
        <f t="shared" si="75"/>
        <v>-6370</v>
      </c>
      <c r="R78" s="10">
        <f t="shared" si="75"/>
        <v>-6370</v>
      </c>
      <c r="S78" s="10">
        <f t="shared" si="75"/>
        <v>58392.600000000006</v>
      </c>
      <c r="V78" s="10">
        <f>V75-V77</f>
        <v>-18000</v>
      </c>
      <c r="W78" s="10">
        <f t="shared" ref="W78:AL78" si="76">W75-W77</f>
        <v>-20000</v>
      </c>
      <c r="X78" s="10">
        <f t="shared" si="76"/>
        <v>-24000</v>
      </c>
      <c r="Y78" s="10">
        <f t="shared" si="76"/>
        <v>-24000</v>
      </c>
      <c r="Z78" s="10">
        <f t="shared" si="76"/>
        <v>-25000</v>
      </c>
      <c r="AA78" s="10">
        <f t="shared" si="76"/>
        <v>-26000</v>
      </c>
      <c r="AB78" s="10">
        <f t="shared" si="76"/>
        <v>-26000</v>
      </c>
      <c r="AC78" s="10">
        <f t="shared" si="76"/>
        <v>-26000</v>
      </c>
      <c r="AD78" s="10">
        <f t="shared" si="76"/>
        <v>-27000</v>
      </c>
      <c r="AE78" s="10">
        <f t="shared" si="76"/>
        <v>-28000</v>
      </c>
      <c r="AF78" s="10">
        <f t="shared" si="76"/>
        <v>-27000</v>
      </c>
      <c r="AG78" s="10">
        <f t="shared" si="76"/>
        <v>-27000</v>
      </c>
      <c r="AH78" s="10">
        <f t="shared" si="76"/>
        <v>-28000</v>
      </c>
      <c r="AI78" s="10">
        <f t="shared" si="76"/>
        <v>-29000</v>
      </c>
      <c r="AJ78" s="10">
        <f t="shared" si="76"/>
        <v>-28000</v>
      </c>
      <c r="AK78" s="10">
        <f t="shared" si="76"/>
        <v>-28000</v>
      </c>
      <c r="AL78" s="10">
        <f t="shared" si="76"/>
        <v>-28000</v>
      </c>
    </row>
    <row r="79" spans="1:38" outlineLevel="1" x14ac:dyDescent="0.25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1:38" s="12" customFormat="1" outlineLevel="1" x14ac:dyDescent="0.25">
      <c r="A80" s="11" t="s">
        <v>19</v>
      </c>
      <c r="B80" s="11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1"/>
      <c r="P80" s="11"/>
      <c r="Q80" s="11"/>
      <c r="R80" s="11"/>
      <c r="S80" s="11"/>
      <c r="U80" s="11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1"/>
      <c r="AI80" s="11"/>
      <c r="AJ80" s="11"/>
      <c r="AK80" s="11"/>
      <c r="AL80" s="11"/>
    </row>
    <row r="81" spans="1:38" outlineLevel="1" x14ac:dyDescent="0.25">
      <c r="A81" t="s">
        <v>5</v>
      </c>
      <c r="C81" s="10">
        <v>116763.99872685016</v>
      </c>
      <c r="D81" s="10">
        <v>115740.7471738351</v>
      </c>
      <c r="E81" s="10">
        <v>113649.38327385216</v>
      </c>
      <c r="F81" s="10">
        <v>111625.48272548156</v>
      </c>
      <c r="G81" s="10">
        <v>109534.11882549862</v>
      </c>
      <c r="H81" s="10">
        <v>105739.42267958769</v>
      </c>
      <c r="I81" s="10">
        <v>101818.23666214639</v>
      </c>
      <c r="J81" s="10">
        <v>97897.050644705087</v>
      </c>
      <c r="K81" s="10">
        <v>95873.150096334488</v>
      </c>
      <c r="L81" s="10">
        <v>93781.786196351546</v>
      </c>
      <c r="M81" s="10">
        <v>91757.885647980947</v>
      </c>
      <c r="N81" s="10">
        <v>90625</v>
      </c>
      <c r="O81" s="10">
        <f>SUM(C81:E81)</f>
        <v>346154.12917453743</v>
      </c>
      <c r="P81" s="10">
        <f>SUM(F81:H81)</f>
        <v>326899.02423056785</v>
      </c>
      <c r="Q81" s="10">
        <f>SUM(I81:K81)</f>
        <v>295588.43740318599</v>
      </c>
      <c r="R81" s="10">
        <f>SUM(L81:N81)</f>
        <v>276164.67184433248</v>
      </c>
      <c r="S81" s="10">
        <f>SUM(O81:R81)</f>
        <v>1244806.2626526237</v>
      </c>
      <c r="V81" s="10">
        <f>_xlfn.FORECAST.ETS(V$7,$C$82:$N$82,$C$7:$N$7)</f>
        <v>88436.7623032353</v>
      </c>
      <c r="W81" s="10">
        <f t="shared" ref="W81:AG81" si="77">_xlfn.FORECAST.ETS(W$7,$C$82:$N$82,$C$7:$N$7)</f>
        <v>85760.469009057459</v>
      </c>
      <c r="X81" s="10">
        <f t="shared" si="77"/>
        <v>83084.175714879602</v>
      </c>
      <c r="Y81" s="10">
        <f t="shared" si="77"/>
        <v>80407.882420701761</v>
      </c>
      <c r="Z81" s="10">
        <f t="shared" si="77"/>
        <v>77731.589126523904</v>
      </c>
      <c r="AA81" s="10">
        <f t="shared" si="77"/>
        <v>75055.295832346063</v>
      </c>
      <c r="AB81" s="10">
        <f t="shared" si="77"/>
        <v>72379.002538168206</v>
      </c>
      <c r="AC81" s="10">
        <f t="shared" si="77"/>
        <v>69702.709243990364</v>
      </c>
      <c r="AD81" s="10">
        <f t="shared" si="77"/>
        <v>67026.415949812508</v>
      </c>
      <c r="AE81" s="10">
        <f t="shared" si="77"/>
        <v>64350.122655634659</v>
      </c>
      <c r="AF81" s="10">
        <f t="shared" si="77"/>
        <v>61673.82936145681</v>
      </c>
      <c r="AG81" s="10">
        <f t="shared" si="77"/>
        <v>58997.536067278954</v>
      </c>
      <c r="AH81" s="10">
        <f>SUM(V81:X81)</f>
        <v>257281.40702717233</v>
      </c>
      <c r="AI81" s="10">
        <f>SUM(Y81:AA81)</f>
        <v>233194.76737957174</v>
      </c>
      <c r="AJ81" s="10">
        <f>SUM(AB81:AD81)</f>
        <v>209108.12773197109</v>
      </c>
      <c r="AK81" s="10">
        <f>SUM(AE81:AG81)</f>
        <v>185021.48808437044</v>
      </c>
      <c r="AL81" s="10">
        <f>SUM(AH81:AK81)</f>
        <v>884605.79022308555</v>
      </c>
    </row>
    <row r="82" spans="1:38" outlineLevel="1" x14ac:dyDescent="0.25">
      <c r="A82" t="s">
        <v>6</v>
      </c>
      <c r="C82" s="10">
        <v>118141.81391182699</v>
      </c>
      <c r="D82" s="10">
        <v>117592.59912861646</v>
      </c>
      <c r="E82" s="10">
        <v>115467.7734062338</v>
      </c>
      <c r="F82" s="10">
        <v>113411.49044908927</v>
      </c>
      <c r="G82" s="10">
        <v>111286.6647267066</v>
      </c>
      <c r="H82" s="10">
        <v>107431.25344246109</v>
      </c>
      <c r="I82" s="10">
        <v>103447.32844874074</v>
      </c>
      <c r="J82" s="10">
        <v>99463.403455020365</v>
      </c>
      <c r="K82" s="10">
        <v>97407.120497875847</v>
      </c>
      <c r="L82" s="10">
        <v>95282.294775493167</v>
      </c>
      <c r="M82" s="10">
        <v>93226.011818348648</v>
      </c>
      <c r="N82" s="10">
        <v>92075</v>
      </c>
      <c r="O82" s="10">
        <f>SUM(C82:E82)</f>
        <v>351202.18644667725</v>
      </c>
      <c r="P82" s="10">
        <f>SUM(F82:H82)</f>
        <v>332129.40861825697</v>
      </c>
      <c r="Q82" s="10">
        <f>SUM(I82:K82)</f>
        <v>300317.85240163695</v>
      </c>
      <c r="R82" s="10">
        <f>SUM(L82:N82)</f>
        <v>280583.30659384181</v>
      </c>
      <c r="S82" s="10">
        <f t="shared" ref="S82:S83" si="78">SUM(O82:R82)</f>
        <v>1264232.754060413</v>
      </c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>
        <f>SUM(V82:X82)</f>
        <v>0</v>
      </c>
      <c r="AI82" s="10">
        <f>SUM(Y82:AA82)</f>
        <v>0</v>
      </c>
      <c r="AJ82" s="10">
        <f>SUM(AB82:AD82)</f>
        <v>0</v>
      </c>
      <c r="AK82" s="10">
        <f>SUM(AE82:AG82)</f>
        <v>0</v>
      </c>
      <c r="AL82" s="10">
        <f t="shared" ref="AL82:AL83" si="79">SUM(AH82:AK82)</f>
        <v>0</v>
      </c>
    </row>
    <row r="83" spans="1:38" outlineLevel="1" x14ac:dyDescent="0.25">
      <c r="A83" t="s">
        <v>7</v>
      </c>
      <c r="C83" s="10">
        <f>C82-C81</f>
        <v>1377.8151849768328</v>
      </c>
      <c r="D83" s="10">
        <f t="shared" ref="D83:R83" si="80">D82-D81</f>
        <v>1851.851954781363</v>
      </c>
      <c r="E83" s="10">
        <f t="shared" si="80"/>
        <v>1818.390132381639</v>
      </c>
      <c r="F83" s="10">
        <f t="shared" si="80"/>
        <v>1786.007723607705</v>
      </c>
      <c r="G83" s="10">
        <f t="shared" si="80"/>
        <v>1752.5459012079809</v>
      </c>
      <c r="H83" s="10">
        <f t="shared" si="80"/>
        <v>1691.8307628734037</v>
      </c>
      <c r="I83" s="10">
        <f t="shared" si="80"/>
        <v>1629.0917865943484</v>
      </c>
      <c r="J83" s="10">
        <f t="shared" si="80"/>
        <v>1566.3528103152785</v>
      </c>
      <c r="K83" s="10">
        <f t="shared" si="80"/>
        <v>1533.970401541359</v>
      </c>
      <c r="L83" s="10">
        <f t="shared" si="80"/>
        <v>1500.5085791416204</v>
      </c>
      <c r="M83" s="10">
        <f t="shared" si="80"/>
        <v>1468.126170367701</v>
      </c>
      <c r="N83" s="10">
        <f t="shared" si="80"/>
        <v>1450</v>
      </c>
      <c r="O83" s="10">
        <f>O82-O81</f>
        <v>5048.0572721398203</v>
      </c>
      <c r="P83" s="10">
        <f t="shared" si="80"/>
        <v>5230.3843876891187</v>
      </c>
      <c r="Q83" s="10">
        <f t="shared" si="80"/>
        <v>4729.4149984509568</v>
      </c>
      <c r="R83" s="10">
        <f t="shared" si="80"/>
        <v>4418.634749509336</v>
      </c>
      <c r="S83" s="10">
        <f t="shared" si="78"/>
        <v>19426.491407789232</v>
      </c>
      <c r="V83" s="10">
        <f>V82-V81</f>
        <v>-88436.7623032353</v>
      </c>
      <c r="W83" s="10">
        <f t="shared" ref="W83:AG83" si="81">W82-W81</f>
        <v>-85760.469009057459</v>
      </c>
      <c r="X83" s="10">
        <f t="shared" si="81"/>
        <v>-83084.175714879602</v>
      </c>
      <c r="Y83" s="10">
        <f t="shared" si="81"/>
        <v>-80407.882420701761</v>
      </c>
      <c r="Z83" s="10">
        <f t="shared" si="81"/>
        <v>-77731.589126523904</v>
      </c>
      <c r="AA83" s="10">
        <f t="shared" si="81"/>
        <v>-75055.295832346063</v>
      </c>
      <c r="AB83" s="10">
        <f t="shared" si="81"/>
        <v>-72379.002538168206</v>
      </c>
      <c r="AC83" s="10">
        <f t="shared" si="81"/>
        <v>-69702.709243990364</v>
      </c>
      <c r="AD83" s="10">
        <f t="shared" si="81"/>
        <v>-67026.415949812508</v>
      </c>
      <c r="AE83" s="10">
        <f t="shared" si="81"/>
        <v>-64350.122655634659</v>
      </c>
      <c r="AF83" s="10">
        <f t="shared" si="81"/>
        <v>-61673.82936145681</v>
      </c>
      <c r="AG83" s="10">
        <f t="shared" si="81"/>
        <v>-58997.536067278954</v>
      </c>
      <c r="AH83" s="10">
        <f>AH82-AH81</f>
        <v>-257281.40702717233</v>
      </c>
      <c r="AI83" s="10">
        <f t="shared" ref="AI83:AK83" si="82">AI82-AI81</f>
        <v>-233194.76737957174</v>
      </c>
      <c r="AJ83" s="10">
        <f t="shared" si="82"/>
        <v>-209108.12773197109</v>
      </c>
      <c r="AK83" s="10">
        <f t="shared" si="82"/>
        <v>-185021.48808437044</v>
      </c>
      <c r="AL83" s="10">
        <f t="shared" si="79"/>
        <v>-884605.79022308555</v>
      </c>
    </row>
    <row r="84" spans="1:38" hidden="1" outlineLevel="1" x14ac:dyDescent="0.25">
      <c r="A84" t="s">
        <v>8</v>
      </c>
      <c r="C84" s="10">
        <v>45000</v>
      </c>
      <c r="D84" s="10">
        <v>45000</v>
      </c>
      <c r="E84" s="10">
        <v>45000</v>
      </c>
      <c r="F84" s="10">
        <v>45000</v>
      </c>
      <c r="G84" s="10">
        <v>65000</v>
      </c>
      <c r="H84" s="10">
        <v>65000</v>
      </c>
      <c r="I84" s="10">
        <v>65000</v>
      </c>
      <c r="J84" s="10">
        <v>65000</v>
      </c>
      <c r="K84" s="10">
        <v>75000</v>
      </c>
      <c r="L84" s="10">
        <v>75000</v>
      </c>
      <c r="M84" s="10">
        <v>75000</v>
      </c>
      <c r="N84" s="10">
        <v>75000</v>
      </c>
      <c r="O84" s="10">
        <v>85000</v>
      </c>
      <c r="P84" s="10">
        <v>85000</v>
      </c>
      <c r="Q84" s="10">
        <v>75000</v>
      </c>
      <c r="R84" s="10">
        <v>75000</v>
      </c>
      <c r="S84" s="10">
        <v>75000</v>
      </c>
      <c r="V84" s="10">
        <v>45000</v>
      </c>
      <c r="W84" s="10">
        <v>45000</v>
      </c>
      <c r="X84" s="10">
        <v>45000</v>
      </c>
      <c r="Y84" s="10">
        <v>45000</v>
      </c>
      <c r="Z84" s="10">
        <v>65000</v>
      </c>
      <c r="AA84" s="10">
        <v>65000</v>
      </c>
      <c r="AB84" s="10">
        <v>65000</v>
      </c>
      <c r="AC84" s="10">
        <v>65000</v>
      </c>
      <c r="AD84" s="10">
        <v>75000</v>
      </c>
      <c r="AE84" s="10">
        <v>75000</v>
      </c>
      <c r="AF84" s="10">
        <v>75000</v>
      </c>
      <c r="AG84" s="10">
        <v>75000</v>
      </c>
      <c r="AH84" s="10">
        <v>85000</v>
      </c>
      <c r="AI84" s="10">
        <v>85000</v>
      </c>
      <c r="AJ84" s="10">
        <v>75000</v>
      </c>
      <c r="AK84" s="10">
        <v>75000</v>
      </c>
      <c r="AL84" s="10">
        <v>75000</v>
      </c>
    </row>
    <row r="85" spans="1:38" hidden="1" outlineLevel="1" x14ac:dyDescent="0.25">
      <c r="A85" s="14" t="s">
        <v>9</v>
      </c>
      <c r="B85" s="14"/>
      <c r="C85" s="15">
        <f>C82-C84</f>
        <v>73141.81391182699</v>
      </c>
      <c r="D85" s="15">
        <f t="shared" ref="D85:S85" si="83">D82-D84</f>
        <v>72592.599128616464</v>
      </c>
      <c r="E85" s="15">
        <f t="shared" si="83"/>
        <v>70467.773406233799</v>
      </c>
      <c r="F85" s="15">
        <f t="shared" si="83"/>
        <v>68411.490449089266</v>
      </c>
      <c r="G85" s="15">
        <f t="shared" si="83"/>
        <v>46286.6647267066</v>
      </c>
      <c r="H85" s="15">
        <f t="shared" si="83"/>
        <v>42431.253442461093</v>
      </c>
      <c r="I85" s="15">
        <f t="shared" si="83"/>
        <v>38447.328448740736</v>
      </c>
      <c r="J85" s="15">
        <f t="shared" si="83"/>
        <v>34463.403455020365</v>
      </c>
      <c r="K85" s="15">
        <f t="shared" si="83"/>
        <v>22407.120497875847</v>
      </c>
      <c r="L85" s="15">
        <f t="shared" si="83"/>
        <v>20282.294775493167</v>
      </c>
      <c r="M85" s="15">
        <f t="shared" si="83"/>
        <v>18226.011818348648</v>
      </c>
      <c r="N85" s="15">
        <f t="shared" si="83"/>
        <v>17075</v>
      </c>
      <c r="O85" s="15">
        <f t="shared" si="83"/>
        <v>266202.18644667725</v>
      </c>
      <c r="P85" s="15">
        <f t="shared" si="83"/>
        <v>247129.40861825697</v>
      </c>
      <c r="Q85" s="15">
        <f t="shared" si="83"/>
        <v>225317.85240163695</v>
      </c>
      <c r="R85" s="15">
        <f t="shared" si="83"/>
        <v>205583.30659384181</v>
      </c>
      <c r="S85" s="15">
        <f t="shared" si="83"/>
        <v>1189232.754060413</v>
      </c>
      <c r="U85" s="14"/>
      <c r="V85" s="15">
        <f>V82-V84</f>
        <v>-45000</v>
      </c>
      <c r="W85" s="15">
        <f t="shared" ref="W85:AL85" si="84">W82-W84</f>
        <v>-45000</v>
      </c>
      <c r="X85" s="15">
        <f t="shared" si="84"/>
        <v>-45000</v>
      </c>
      <c r="Y85" s="15">
        <f t="shared" si="84"/>
        <v>-45000</v>
      </c>
      <c r="Z85" s="15">
        <f t="shared" si="84"/>
        <v>-65000</v>
      </c>
      <c r="AA85" s="15">
        <f t="shared" si="84"/>
        <v>-65000</v>
      </c>
      <c r="AB85" s="15">
        <f t="shared" si="84"/>
        <v>-65000</v>
      </c>
      <c r="AC85" s="15">
        <f t="shared" si="84"/>
        <v>-65000</v>
      </c>
      <c r="AD85" s="15">
        <f t="shared" si="84"/>
        <v>-75000</v>
      </c>
      <c r="AE85" s="15">
        <f t="shared" si="84"/>
        <v>-75000</v>
      </c>
      <c r="AF85" s="15">
        <f t="shared" si="84"/>
        <v>-75000</v>
      </c>
      <c r="AG85" s="15">
        <f t="shared" si="84"/>
        <v>-75000</v>
      </c>
      <c r="AH85" s="15">
        <f t="shared" si="84"/>
        <v>-85000</v>
      </c>
      <c r="AI85" s="15">
        <f t="shared" si="84"/>
        <v>-85000</v>
      </c>
      <c r="AJ85" s="15">
        <f t="shared" si="84"/>
        <v>-75000</v>
      </c>
      <c r="AK85" s="15">
        <f t="shared" si="84"/>
        <v>-75000</v>
      </c>
      <c r="AL85" s="15">
        <f t="shared" si="84"/>
        <v>-75000</v>
      </c>
    </row>
    <row r="86" spans="1:38" outlineLevel="1" x14ac:dyDescent="0.25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s="12" customFormat="1" x14ac:dyDescent="0.25">
      <c r="A87" s="11" t="s">
        <v>23</v>
      </c>
      <c r="B87" s="11"/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U87" s="11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</row>
    <row r="88" spans="1:38" x14ac:dyDescent="0.25">
      <c r="A88" t="s">
        <v>5</v>
      </c>
      <c r="C88" s="10">
        <v>10000</v>
      </c>
      <c r="D88" s="10">
        <v>10000</v>
      </c>
      <c r="E88" s="10">
        <v>10000</v>
      </c>
      <c r="F88" s="10">
        <v>10000</v>
      </c>
      <c r="G88" s="10">
        <v>10000</v>
      </c>
      <c r="H88" s="10">
        <v>10000</v>
      </c>
      <c r="I88" s="10">
        <v>10000</v>
      </c>
      <c r="J88" s="10">
        <v>10000</v>
      </c>
      <c r="K88" s="10">
        <v>10000</v>
      </c>
      <c r="L88" s="10">
        <v>10000</v>
      </c>
      <c r="M88" s="10">
        <v>10000</v>
      </c>
      <c r="N88" s="10">
        <v>10000</v>
      </c>
      <c r="O88" s="10">
        <f>SUM(C88:E88)</f>
        <v>30000</v>
      </c>
      <c r="P88" s="10">
        <f>SUM(F88:H88)</f>
        <v>30000</v>
      </c>
      <c r="Q88" s="10">
        <f>SUM(I88:K88)</f>
        <v>30000</v>
      </c>
      <c r="R88" s="10">
        <f>SUM(L88:N88)</f>
        <v>30000</v>
      </c>
      <c r="S88" s="10">
        <f>SUM(O88:R88)</f>
        <v>120000</v>
      </c>
      <c r="V88" s="10">
        <f>_xlfn.FORECAST.ETS(V$7,$C$89:$N$89,$C$7:$N$7)</f>
        <v>10000</v>
      </c>
      <c r="W88" s="10">
        <f t="shared" ref="W88:AG88" si="85">_xlfn.FORECAST.ETS(W$7,$C$89:$N$89,$C$7:$N$7)</f>
        <v>10000</v>
      </c>
      <c r="X88" s="10">
        <f t="shared" si="85"/>
        <v>10000</v>
      </c>
      <c r="Y88" s="10">
        <f t="shared" si="85"/>
        <v>10000</v>
      </c>
      <c r="Z88" s="10">
        <f t="shared" si="85"/>
        <v>10000</v>
      </c>
      <c r="AA88" s="10">
        <f t="shared" si="85"/>
        <v>10000</v>
      </c>
      <c r="AB88" s="10">
        <f t="shared" si="85"/>
        <v>10000</v>
      </c>
      <c r="AC88" s="10">
        <f t="shared" si="85"/>
        <v>10000</v>
      </c>
      <c r="AD88" s="10">
        <f t="shared" si="85"/>
        <v>10000</v>
      </c>
      <c r="AE88" s="10">
        <f t="shared" si="85"/>
        <v>10000</v>
      </c>
      <c r="AF88" s="10">
        <f t="shared" si="85"/>
        <v>10000</v>
      </c>
      <c r="AG88" s="10">
        <f t="shared" si="85"/>
        <v>10000</v>
      </c>
      <c r="AH88" s="10">
        <f>SUM(V88:X88)</f>
        <v>30000</v>
      </c>
      <c r="AI88" s="10">
        <f>SUM(Y88:AA88)</f>
        <v>30000</v>
      </c>
      <c r="AJ88" s="10">
        <f>SUM(AB88:AD88)</f>
        <v>30000</v>
      </c>
      <c r="AK88" s="10">
        <f>SUM(AE88:AG88)</f>
        <v>30000</v>
      </c>
      <c r="AL88" s="10">
        <f>SUM(AH88:AK88)</f>
        <v>120000</v>
      </c>
    </row>
    <row r="89" spans="1:38" x14ac:dyDescent="0.25">
      <c r="A89" t="s">
        <v>6</v>
      </c>
      <c r="C89" s="10">
        <v>10000</v>
      </c>
      <c r="D89" s="10">
        <v>10000</v>
      </c>
      <c r="E89" s="10">
        <v>10000</v>
      </c>
      <c r="F89" s="10">
        <v>10000</v>
      </c>
      <c r="G89" s="10">
        <v>10000</v>
      </c>
      <c r="H89" s="10">
        <v>10000</v>
      </c>
      <c r="I89" s="10">
        <v>10000</v>
      </c>
      <c r="J89" s="10">
        <v>10000</v>
      </c>
      <c r="K89" s="10">
        <v>10000</v>
      </c>
      <c r="L89" s="10">
        <v>10000</v>
      </c>
      <c r="M89" s="10">
        <v>10000</v>
      </c>
      <c r="N89" s="10">
        <v>10000</v>
      </c>
      <c r="O89" s="10">
        <f>SUM(C89:E89)</f>
        <v>30000</v>
      </c>
      <c r="P89" s="10">
        <f>SUM(F89:H89)</f>
        <v>30000</v>
      </c>
      <c r="Q89" s="10">
        <f>SUM(I89:K89)</f>
        <v>30000</v>
      </c>
      <c r="R89" s="10">
        <f>SUM(L89:N89)</f>
        <v>30000</v>
      </c>
      <c r="S89" s="10">
        <f t="shared" ref="S89:S90" si="86">SUM(O89:R89)</f>
        <v>120000</v>
      </c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>
        <f>SUM(V89:X89)</f>
        <v>0</v>
      </c>
      <c r="AI89" s="10">
        <f>SUM(Y89:AA89)</f>
        <v>0</v>
      </c>
      <c r="AJ89" s="10">
        <f>SUM(AB89:AD89)</f>
        <v>0</v>
      </c>
      <c r="AK89" s="10">
        <f>SUM(AE89:AG89)</f>
        <v>0</v>
      </c>
      <c r="AL89" s="10">
        <f t="shared" ref="AL89:AL90" si="87">SUM(AH89:AK89)</f>
        <v>0</v>
      </c>
    </row>
    <row r="90" spans="1:38" x14ac:dyDescent="0.25">
      <c r="A90" t="s">
        <v>7</v>
      </c>
      <c r="C90" s="10">
        <f>C89-C88</f>
        <v>0</v>
      </c>
      <c r="D90" s="10">
        <f t="shared" ref="D90:N90" si="88">D89-D88</f>
        <v>0</v>
      </c>
      <c r="E90" s="10">
        <f t="shared" si="88"/>
        <v>0</v>
      </c>
      <c r="F90" s="10">
        <f t="shared" si="88"/>
        <v>0</v>
      </c>
      <c r="G90" s="10">
        <f t="shared" si="88"/>
        <v>0</v>
      </c>
      <c r="H90" s="10">
        <f t="shared" si="88"/>
        <v>0</v>
      </c>
      <c r="I90" s="10">
        <f t="shared" si="88"/>
        <v>0</v>
      </c>
      <c r="J90" s="10">
        <f t="shared" si="88"/>
        <v>0</v>
      </c>
      <c r="K90" s="10">
        <f t="shared" si="88"/>
        <v>0</v>
      </c>
      <c r="L90" s="10">
        <f t="shared" si="88"/>
        <v>0</v>
      </c>
      <c r="M90" s="10">
        <f t="shared" si="88"/>
        <v>0</v>
      </c>
      <c r="N90" s="10">
        <f t="shared" si="88"/>
        <v>0</v>
      </c>
      <c r="O90" s="10">
        <f>O89-O88</f>
        <v>0</v>
      </c>
      <c r="P90" s="10">
        <f t="shared" ref="P90:R90" si="89">P89-P88</f>
        <v>0</v>
      </c>
      <c r="Q90" s="10">
        <f t="shared" si="89"/>
        <v>0</v>
      </c>
      <c r="R90" s="10">
        <f t="shared" si="89"/>
        <v>0</v>
      </c>
      <c r="S90" s="10">
        <f t="shared" si="86"/>
        <v>0</v>
      </c>
      <c r="V90" s="10">
        <f>V89-V88</f>
        <v>-10000</v>
      </c>
      <c r="W90" s="10">
        <f t="shared" ref="W90:AG90" si="90">W89-W88</f>
        <v>-10000</v>
      </c>
      <c r="X90" s="10">
        <f t="shared" si="90"/>
        <v>-10000</v>
      </c>
      <c r="Y90" s="10">
        <f t="shared" si="90"/>
        <v>-10000</v>
      </c>
      <c r="Z90" s="10">
        <f t="shared" si="90"/>
        <v>-10000</v>
      </c>
      <c r="AA90" s="10">
        <f t="shared" si="90"/>
        <v>-10000</v>
      </c>
      <c r="AB90" s="10">
        <f t="shared" si="90"/>
        <v>-10000</v>
      </c>
      <c r="AC90" s="10">
        <f t="shared" si="90"/>
        <v>-10000</v>
      </c>
      <c r="AD90" s="10">
        <f t="shared" si="90"/>
        <v>-10000</v>
      </c>
      <c r="AE90" s="10">
        <f t="shared" si="90"/>
        <v>-10000</v>
      </c>
      <c r="AF90" s="10">
        <f t="shared" si="90"/>
        <v>-10000</v>
      </c>
      <c r="AG90" s="10">
        <f t="shared" si="90"/>
        <v>-10000</v>
      </c>
      <c r="AH90" s="10">
        <f>AH89-AH88</f>
        <v>-30000</v>
      </c>
      <c r="AI90" s="10">
        <f t="shared" ref="AI90:AK90" si="91">AI89-AI88</f>
        <v>-30000</v>
      </c>
      <c r="AJ90" s="10">
        <f t="shared" si="91"/>
        <v>-30000</v>
      </c>
      <c r="AK90" s="10">
        <f t="shared" si="91"/>
        <v>-30000</v>
      </c>
      <c r="AL90" s="10">
        <f t="shared" si="87"/>
        <v>-120000</v>
      </c>
    </row>
    <row r="91" spans="1:38" hidden="1" x14ac:dyDescent="0.25">
      <c r="A91" t="s">
        <v>8</v>
      </c>
      <c r="C91" s="10">
        <v>45000</v>
      </c>
      <c r="D91" s="10">
        <v>45000</v>
      </c>
      <c r="E91" s="10">
        <v>45000</v>
      </c>
      <c r="F91" s="10">
        <v>45000</v>
      </c>
      <c r="G91" s="10">
        <v>65000</v>
      </c>
      <c r="H91" s="10">
        <v>65000</v>
      </c>
      <c r="I91" s="10">
        <v>65000</v>
      </c>
      <c r="J91" s="10">
        <v>65000</v>
      </c>
      <c r="K91" s="10">
        <v>75000</v>
      </c>
      <c r="L91" s="10">
        <v>75000</v>
      </c>
      <c r="M91" s="10">
        <v>75000</v>
      </c>
      <c r="N91" s="10">
        <v>75000</v>
      </c>
      <c r="O91" s="10">
        <v>85000</v>
      </c>
      <c r="P91" s="10">
        <v>85000</v>
      </c>
      <c r="Q91" s="10">
        <v>75000</v>
      </c>
      <c r="R91" s="10">
        <v>75000</v>
      </c>
      <c r="S91" s="10">
        <v>75000</v>
      </c>
      <c r="V91" s="10">
        <v>45000</v>
      </c>
      <c r="W91" s="10">
        <v>45000</v>
      </c>
      <c r="X91" s="10">
        <v>45000</v>
      </c>
      <c r="Y91" s="10">
        <v>45000</v>
      </c>
      <c r="Z91" s="10">
        <v>65000</v>
      </c>
      <c r="AA91" s="10">
        <v>65000</v>
      </c>
      <c r="AB91" s="10">
        <v>65000</v>
      </c>
      <c r="AC91" s="10">
        <v>65000</v>
      </c>
      <c r="AD91" s="10">
        <v>75000</v>
      </c>
      <c r="AE91" s="10">
        <v>75000</v>
      </c>
      <c r="AF91" s="10">
        <v>75000</v>
      </c>
      <c r="AG91" s="10">
        <v>75000</v>
      </c>
      <c r="AH91" s="10">
        <v>85000</v>
      </c>
      <c r="AI91" s="10">
        <v>85000</v>
      </c>
      <c r="AJ91" s="10">
        <v>75000</v>
      </c>
      <c r="AK91" s="10">
        <v>75000</v>
      </c>
      <c r="AL91" s="10">
        <v>75000</v>
      </c>
    </row>
    <row r="92" spans="1:38" hidden="1" x14ac:dyDescent="0.25">
      <c r="A92" s="14" t="s">
        <v>9</v>
      </c>
      <c r="B92" s="14"/>
      <c r="C92" s="15">
        <f>C89-C91</f>
        <v>-35000</v>
      </c>
      <c r="D92" s="15">
        <f t="shared" ref="D92:S92" si="92">D89-D91</f>
        <v>-35000</v>
      </c>
      <c r="E92" s="15">
        <f t="shared" si="92"/>
        <v>-35000</v>
      </c>
      <c r="F92" s="15">
        <f t="shared" si="92"/>
        <v>-35000</v>
      </c>
      <c r="G92" s="15">
        <f t="shared" si="92"/>
        <v>-55000</v>
      </c>
      <c r="H92" s="15">
        <f t="shared" si="92"/>
        <v>-55000</v>
      </c>
      <c r="I92" s="15">
        <f t="shared" si="92"/>
        <v>-55000</v>
      </c>
      <c r="J92" s="15">
        <f t="shared" si="92"/>
        <v>-55000</v>
      </c>
      <c r="K92" s="15">
        <f t="shared" si="92"/>
        <v>-65000</v>
      </c>
      <c r="L92" s="15">
        <f t="shared" si="92"/>
        <v>-65000</v>
      </c>
      <c r="M92" s="15">
        <f t="shared" si="92"/>
        <v>-65000</v>
      </c>
      <c r="N92" s="15">
        <f t="shared" si="92"/>
        <v>-65000</v>
      </c>
      <c r="O92" s="15">
        <f t="shared" si="92"/>
        <v>-55000</v>
      </c>
      <c r="P92" s="15">
        <f t="shared" si="92"/>
        <v>-55000</v>
      </c>
      <c r="Q92" s="15">
        <f t="shared" si="92"/>
        <v>-45000</v>
      </c>
      <c r="R92" s="15">
        <f t="shared" si="92"/>
        <v>-45000</v>
      </c>
      <c r="S92" s="15">
        <f t="shared" si="92"/>
        <v>45000</v>
      </c>
      <c r="U92" s="14"/>
      <c r="V92" s="15">
        <f>V89-V91</f>
        <v>-45000</v>
      </c>
      <c r="W92" s="15">
        <f t="shared" ref="W92:AL92" si="93">W89-W91</f>
        <v>-45000</v>
      </c>
      <c r="X92" s="15">
        <f t="shared" si="93"/>
        <v>-45000</v>
      </c>
      <c r="Y92" s="15">
        <f t="shared" si="93"/>
        <v>-45000</v>
      </c>
      <c r="Z92" s="15">
        <f t="shared" si="93"/>
        <v>-65000</v>
      </c>
      <c r="AA92" s="15">
        <f t="shared" si="93"/>
        <v>-65000</v>
      </c>
      <c r="AB92" s="15">
        <f t="shared" si="93"/>
        <v>-65000</v>
      </c>
      <c r="AC92" s="15">
        <f t="shared" si="93"/>
        <v>-65000</v>
      </c>
      <c r="AD92" s="15">
        <f t="shared" si="93"/>
        <v>-75000</v>
      </c>
      <c r="AE92" s="15">
        <f t="shared" si="93"/>
        <v>-75000</v>
      </c>
      <c r="AF92" s="15">
        <f t="shared" si="93"/>
        <v>-75000</v>
      </c>
      <c r="AG92" s="15">
        <f t="shared" si="93"/>
        <v>-75000</v>
      </c>
      <c r="AH92" s="15">
        <f t="shared" si="93"/>
        <v>-85000</v>
      </c>
      <c r="AI92" s="15">
        <f t="shared" si="93"/>
        <v>-85000</v>
      </c>
      <c r="AJ92" s="15">
        <f t="shared" si="93"/>
        <v>-75000</v>
      </c>
      <c r="AK92" s="15">
        <f t="shared" si="93"/>
        <v>-75000</v>
      </c>
      <c r="AL92" s="15">
        <f t="shared" si="93"/>
        <v>-75000</v>
      </c>
    </row>
    <row r="93" spans="1:38" x14ac:dyDescent="0.25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s="12" customFormat="1" x14ac:dyDescent="0.25">
      <c r="A94" s="11" t="s">
        <v>24</v>
      </c>
      <c r="B94" s="11"/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U94" s="11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</row>
    <row r="95" spans="1:38" ht="15" customHeight="1" x14ac:dyDescent="0.25">
      <c r="A95" t="s">
        <v>5</v>
      </c>
      <c r="C95" s="10">
        <v>79293.512359006418</v>
      </c>
      <c r="D95" s="10">
        <v>74970.701167771651</v>
      </c>
      <c r="E95" s="10">
        <v>66661.125910808172</v>
      </c>
      <c r="F95" s="10">
        <v>58171.818334944866</v>
      </c>
      <c r="G95" s="10">
        <v>49455.345935124205</v>
      </c>
      <c r="H95" s="10">
        <v>34282.402501696764</v>
      </c>
      <c r="I95" s="10">
        <v>17939.506382393258</v>
      </c>
      <c r="J95" s="10">
        <v>1545.1616916611238</v>
      </c>
      <c r="K95" s="10">
        <v>-7688.1458842021821</v>
      </c>
      <c r="L95" s="10">
        <v>-16404.618284022858</v>
      </c>
      <c r="M95" s="10">
        <v>-24893.925859886163</v>
      </c>
      <c r="N95" s="10">
        <v>-29992.747739977698</v>
      </c>
      <c r="O95" s="10">
        <f>SUM(C95:E95)</f>
        <v>220925.33943758626</v>
      </c>
      <c r="P95" s="10">
        <f>SUM(F95:H95)</f>
        <v>141909.56677176582</v>
      </c>
      <c r="Q95" s="10">
        <f>SUM(I95:K95)</f>
        <v>11796.5221898522</v>
      </c>
      <c r="R95" s="10">
        <f>SUM(L95:N95)</f>
        <v>-71291.291883886719</v>
      </c>
      <c r="S95" s="10">
        <f>SUM(O95:R95)</f>
        <v>303340.13651531754</v>
      </c>
      <c r="V95" s="10">
        <f>_xlfn.FORECAST.ETS(V$7,$C$96:$N$96,$C$7:$N$7)</f>
        <v>-45295.593916875383</v>
      </c>
      <c r="W95" s="10">
        <f t="shared" ref="W95:AG95" si="94">_xlfn.FORECAST.ETS(W$7,$C$96:$N$96,$C$7:$N$7)</f>
        <v>-56514.055517259381</v>
      </c>
      <c r="X95" s="10">
        <f t="shared" si="94"/>
        <v>-67732.51711764338</v>
      </c>
      <c r="Y95" s="10">
        <f t="shared" si="94"/>
        <v>-78950.978718027385</v>
      </c>
      <c r="Z95" s="10">
        <f t="shared" si="94"/>
        <v>-90169.440318411376</v>
      </c>
      <c r="AA95" s="10">
        <f t="shared" si="94"/>
        <v>-101387.90191879537</v>
      </c>
      <c r="AB95" s="10">
        <f t="shared" si="94"/>
        <v>-112606.36351917937</v>
      </c>
      <c r="AC95" s="10">
        <f t="shared" si="94"/>
        <v>-123824.82511956338</v>
      </c>
      <c r="AD95" s="10">
        <f t="shared" si="94"/>
        <v>-135043.28671994738</v>
      </c>
      <c r="AE95" s="10">
        <f t="shared" si="94"/>
        <v>-146261.74832033136</v>
      </c>
      <c r="AF95" s="10">
        <f t="shared" si="94"/>
        <v>-157480.20992071537</v>
      </c>
      <c r="AG95" s="10">
        <f t="shared" si="94"/>
        <v>-168698.67152109937</v>
      </c>
      <c r="AH95" s="10">
        <f>SUM(V95:X95)</f>
        <v>-169542.16655177815</v>
      </c>
      <c r="AI95" s="10">
        <f>SUM(Y95:AA95)</f>
        <v>-270508.32095523411</v>
      </c>
      <c r="AJ95" s="10">
        <f>SUM(AB95:AD95)</f>
        <v>-371474.47535869014</v>
      </c>
      <c r="AK95" s="10">
        <f>SUM(AE95:AG95)</f>
        <v>-472440.62976214616</v>
      </c>
      <c r="AL95" s="10">
        <f>SUM(AH95:AK95)</f>
        <v>-1283965.5926278485</v>
      </c>
    </row>
    <row r="96" spans="1:38" ht="15" customHeight="1" x14ac:dyDescent="0.25">
      <c r="A96" t="s">
        <v>6</v>
      </c>
      <c r="C96" s="10">
        <v>80347.1758048427</v>
      </c>
      <c r="D96" s="10">
        <v>76187.429759946768</v>
      </c>
      <c r="E96" s="10">
        <v>67766.677108337055</v>
      </c>
      <c r="F96" s="10">
        <v>59158.136143922224</v>
      </c>
      <c r="G96" s="10">
        <v>50319.907023741136</v>
      </c>
      <c r="H96" s="10">
        <v>34942.752315692444</v>
      </c>
      <c r="I96" s="10">
        <v>18371.568993756402</v>
      </c>
      <c r="J96" s="10">
        <v>1747.5994375346927</v>
      </c>
      <c r="K96" s="10">
        <v>-7624.2855268802086</v>
      </c>
      <c r="L96" s="10">
        <v>-16462.514647061282</v>
      </c>
      <c r="M96" s="10">
        <v>-25071.055611476171</v>
      </c>
      <c r="N96" s="10">
        <v>-30245.638245023729</v>
      </c>
      <c r="O96" s="10">
        <f>SUM(C96:E96)</f>
        <v>224301.28267312652</v>
      </c>
      <c r="P96" s="10">
        <f>SUM(F96:H96)</f>
        <v>144420.79548335582</v>
      </c>
      <c r="Q96" s="10">
        <f>SUM(I96:K96)</f>
        <v>12494.882904410886</v>
      </c>
      <c r="R96" s="10">
        <f>SUM(L96:N96)</f>
        <v>-71779.208503561182</v>
      </c>
      <c r="S96" s="10">
        <f t="shared" ref="S96:S97" si="95">SUM(O96:R96)</f>
        <v>309437.75255733205</v>
      </c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>
        <f>SUM(V96:X96)</f>
        <v>0</v>
      </c>
      <c r="AI96" s="10">
        <f>SUM(Y96:AA96)</f>
        <v>0</v>
      </c>
      <c r="AJ96" s="10">
        <f>SUM(AB96:AD96)</f>
        <v>0</v>
      </c>
      <c r="AK96" s="10">
        <f>SUM(AE96:AG96)</f>
        <v>0</v>
      </c>
      <c r="AL96" s="10">
        <f t="shared" ref="AL96:AL97" si="96">SUM(AH96:AK96)</f>
        <v>0</v>
      </c>
    </row>
    <row r="97" spans="1:38" ht="15" customHeight="1" x14ac:dyDescent="0.25">
      <c r="A97" t="s">
        <v>7</v>
      </c>
      <c r="C97" s="10">
        <f>C96-C95</f>
        <v>1053.6634458362823</v>
      </c>
      <c r="D97" s="10">
        <f t="shared" ref="D97:N97" si="97">D96-D95</f>
        <v>1216.7285921751172</v>
      </c>
      <c r="E97" s="10">
        <f t="shared" si="97"/>
        <v>1105.5511975288828</v>
      </c>
      <c r="F97" s="10">
        <f t="shared" si="97"/>
        <v>986.31780897735734</v>
      </c>
      <c r="G97" s="10">
        <f t="shared" si="97"/>
        <v>864.56108861693065</v>
      </c>
      <c r="H97" s="10">
        <f t="shared" si="97"/>
        <v>660.34981399567914</v>
      </c>
      <c r="I97" s="10">
        <f t="shared" si="97"/>
        <v>432.06261136314424</v>
      </c>
      <c r="J97" s="10">
        <f t="shared" si="97"/>
        <v>202.43774587356893</v>
      </c>
      <c r="K97" s="10">
        <f t="shared" si="97"/>
        <v>63.860357321973424</v>
      </c>
      <c r="L97" s="10">
        <f t="shared" si="97"/>
        <v>-57.89636303842417</v>
      </c>
      <c r="M97" s="10">
        <f t="shared" si="97"/>
        <v>-177.1297515900078</v>
      </c>
      <c r="N97" s="10">
        <f t="shared" si="97"/>
        <v>-252.89050504603074</v>
      </c>
      <c r="O97" s="10">
        <f>O96-O95</f>
        <v>3375.9432355402678</v>
      </c>
      <c r="P97" s="10">
        <f t="shared" ref="P97:R97" si="98">P96-P95</f>
        <v>2511.2287115899962</v>
      </c>
      <c r="Q97" s="10">
        <f t="shared" si="98"/>
        <v>698.3607145586866</v>
      </c>
      <c r="R97" s="10">
        <f t="shared" si="98"/>
        <v>-487.91661967446271</v>
      </c>
      <c r="S97" s="10">
        <f t="shared" si="95"/>
        <v>6097.6160420144879</v>
      </c>
      <c r="V97" s="10">
        <f>V96-V95</f>
        <v>45295.593916875383</v>
      </c>
      <c r="W97" s="10">
        <f t="shared" ref="W97:AG97" si="99">W96-W95</f>
        <v>56514.055517259381</v>
      </c>
      <c r="X97" s="10">
        <f t="shared" si="99"/>
        <v>67732.51711764338</v>
      </c>
      <c r="Y97" s="10">
        <f t="shared" si="99"/>
        <v>78950.978718027385</v>
      </c>
      <c r="Z97" s="10">
        <f t="shared" si="99"/>
        <v>90169.440318411376</v>
      </c>
      <c r="AA97" s="10">
        <f t="shared" si="99"/>
        <v>101387.90191879537</v>
      </c>
      <c r="AB97" s="10">
        <f t="shared" si="99"/>
        <v>112606.36351917937</v>
      </c>
      <c r="AC97" s="10">
        <f t="shared" si="99"/>
        <v>123824.82511956338</v>
      </c>
      <c r="AD97" s="10">
        <f t="shared" si="99"/>
        <v>135043.28671994738</v>
      </c>
      <c r="AE97" s="10">
        <f t="shared" si="99"/>
        <v>146261.74832033136</v>
      </c>
      <c r="AF97" s="10">
        <f t="shared" si="99"/>
        <v>157480.20992071537</v>
      </c>
      <c r="AG97" s="10">
        <f t="shared" si="99"/>
        <v>168698.67152109937</v>
      </c>
      <c r="AH97" s="10">
        <f>AH96-AH95</f>
        <v>169542.16655177815</v>
      </c>
      <c r="AI97" s="10">
        <f t="shared" ref="AI97:AK97" si="100">AI96-AI95</f>
        <v>270508.32095523411</v>
      </c>
      <c r="AJ97" s="10">
        <f t="shared" si="100"/>
        <v>371474.47535869014</v>
      </c>
      <c r="AK97" s="10">
        <f t="shared" si="100"/>
        <v>472440.62976214616</v>
      </c>
      <c r="AL97" s="10">
        <f t="shared" si="96"/>
        <v>1283965.5926278485</v>
      </c>
    </row>
    <row r="98" spans="1:38" ht="15" hidden="1" customHeight="1" x14ac:dyDescent="0.25">
      <c r="A98" t="s">
        <v>8</v>
      </c>
      <c r="C98" s="10">
        <v>45000</v>
      </c>
      <c r="D98" s="10">
        <v>45000</v>
      </c>
      <c r="E98" s="10">
        <v>45000</v>
      </c>
      <c r="F98" s="10">
        <v>45000</v>
      </c>
      <c r="G98" s="10">
        <v>65000</v>
      </c>
      <c r="H98" s="10">
        <v>65000</v>
      </c>
      <c r="I98" s="10">
        <v>65000</v>
      </c>
      <c r="J98" s="10">
        <v>65000</v>
      </c>
      <c r="K98" s="10">
        <v>75000</v>
      </c>
      <c r="L98" s="10">
        <v>75000</v>
      </c>
      <c r="M98" s="10">
        <v>75000</v>
      </c>
      <c r="N98" s="10">
        <v>75000</v>
      </c>
      <c r="O98" s="10">
        <v>85000</v>
      </c>
      <c r="P98" s="10">
        <v>85000</v>
      </c>
      <c r="Q98" s="10">
        <v>75000</v>
      </c>
      <c r="R98" s="10">
        <v>75000</v>
      </c>
      <c r="S98" s="10">
        <v>75000</v>
      </c>
      <c r="V98" s="10">
        <v>45000</v>
      </c>
      <c r="W98" s="10">
        <v>45000</v>
      </c>
      <c r="X98" s="10">
        <v>45000</v>
      </c>
      <c r="Y98" s="10">
        <v>45000</v>
      </c>
      <c r="Z98" s="10">
        <v>65000</v>
      </c>
      <c r="AA98" s="10">
        <v>65000</v>
      </c>
      <c r="AB98" s="10">
        <v>65000</v>
      </c>
      <c r="AC98" s="10">
        <v>65000</v>
      </c>
      <c r="AD98" s="10">
        <v>75000</v>
      </c>
      <c r="AE98" s="10">
        <v>75000</v>
      </c>
      <c r="AF98" s="10">
        <v>75000</v>
      </c>
      <c r="AG98" s="10">
        <v>75000</v>
      </c>
      <c r="AH98" s="10">
        <v>85000</v>
      </c>
      <c r="AI98" s="10">
        <v>85000</v>
      </c>
      <c r="AJ98" s="10">
        <v>75000</v>
      </c>
      <c r="AK98" s="10">
        <v>75000</v>
      </c>
      <c r="AL98" s="10">
        <v>75000</v>
      </c>
    </row>
    <row r="99" spans="1:38" ht="15" hidden="1" customHeight="1" x14ac:dyDescent="0.25">
      <c r="A99" s="14" t="s">
        <v>9</v>
      </c>
      <c r="B99" s="14"/>
      <c r="C99" s="15">
        <f>C96-C98</f>
        <v>35347.1758048427</v>
      </c>
      <c r="D99" s="15">
        <f t="shared" ref="D99:S99" si="101">D96-D98</f>
        <v>31187.429759946768</v>
      </c>
      <c r="E99" s="15">
        <f t="shared" si="101"/>
        <v>22766.677108337055</v>
      </c>
      <c r="F99" s="15">
        <f t="shared" si="101"/>
        <v>14158.136143922224</v>
      </c>
      <c r="G99" s="15">
        <f t="shared" si="101"/>
        <v>-14680.092976258864</v>
      </c>
      <c r="H99" s="15">
        <f t="shared" si="101"/>
        <v>-30057.247684307556</v>
      </c>
      <c r="I99" s="15">
        <f t="shared" si="101"/>
        <v>-46628.431006243598</v>
      </c>
      <c r="J99" s="15">
        <f t="shared" si="101"/>
        <v>-63252.400562465307</v>
      </c>
      <c r="K99" s="15">
        <f t="shared" si="101"/>
        <v>-82624.285526880209</v>
      </c>
      <c r="L99" s="15">
        <f t="shared" si="101"/>
        <v>-91462.514647061282</v>
      </c>
      <c r="M99" s="15">
        <f t="shared" si="101"/>
        <v>-100071.05561147617</v>
      </c>
      <c r="N99" s="15">
        <f t="shared" si="101"/>
        <v>-105245.63824502373</v>
      </c>
      <c r="O99" s="15">
        <f t="shared" si="101"/>
        <v>139301.28267312652</v>
      </c>
      <c r="P99" s="15">
        <f t="shared" si="101"/>
        <v>59420.795483355818</v>
      </c>
      <c r="Q99" s="15">
        <f t="shared" si="101"/>
        <v>-62505.117095589114</v>
      </c>
      <c r="R99" s="15">
        <f t="shared" si="101"/>
        <v>-146779.20850356118</v>
      </c>
      <c r="S99" s="15">
        <f t="shared" si="101"/>
        <v>234437.75255733205</v>
      </c>
      <c r="U99" s="14"/>
      <c r="V99" s="15">
        <f>V96-V98</f>
        <v>-45000</v>
      </c>
      <c r="W99" s="15">
        <f t="shared" ref="W99:AL99" si="102">W96-W98</f>
        <v>-45000</v>
      </c>
      <c r="X99" s="15">
        <f t="shared" si="102"/>
        <v>-45000</v>
      </c>
      <c r="Y99" s="15">
        <f t="shared" si="102"/>
        <v>-45000</v>
      </c>
      <c r="Z99" s="15">
        <f t="shared" si="102"/>
        <v>-65000</v>
      </c>
      <c r="AA99" s="15">
        <f t="shared" si="102"/>
        <v>-65000</v>
      </c>
      <c r="AB99" s="15">
        <f t="shared" si="102"/>
        <v>-65000</v>
      </c>
      <c r="AC99" s="15">
        <f t="shared" si="102"/>
        <v>-65000</v>
      </c>
      <c r="AD99" s="15">
        <f t="shared" si="102"/>
        <v>-75000</v>
      </c>
      <c r="AE99" s="15">
        <f t="shared" si="102"/>
        <v>-75000</v>
      </c>
      <c r="AF99" s="15">
        <f t="shared" si="102"/>
        <v>-75000</v>
      </c>
      <c r="AG99" s="15">
        <f t="shared" si="102"/>
        <v>-75000</v>
      </c>
      <c r="AH99" s="15">
        <f t="shared" si="102"/>
        <v>-85000</v>
      </c>
      <c r="AI99" s="15">
        <f t="shared" si="102"/>
        <v>-85000</v>
      </c>
      <c r="AJ99" s="15">
        <f t="shared" si="102"/>
        <v>-75000</v>
      </c>
      <c r="AK99" s="15">
        <f t="shared" si="102"/>
        <v>-75000</v>
      </c>
      <c r="AL99" s="15">
        <f t="shared" si="102"/>
        <v>-75000</v>
      </c>
    </row>
    <row r="100" spans="1:38" ht="15" customHeight="1" x14ac:dyDescent="0.25"/>
    <row r="101" spans="1:38" ht="15" hidden="1" customHeight="1" x14ac:dyDescent="0.25">
      <c r="A101" t="s">
        <v>143</v>
      </c>
      <c r="C101" s="10">
        <f>(C46+C53+C60+C67)-(C74+C81+C88+C95)</f>
        <v>0</v>
      </c>
      <c r="D101" s="10">
        <f t="shared" ref="D101:N101" si="103">(D46+D53+D60+D67)-(D74+D81+D88+D95)</f>
        <v>0</v>
      </c>
      <c r="E101" s="10">
        <f t="shared" si="103"/>
        <v>0</v>
      </c>
      <c r="F101" s="10">
        <f t="shared" si="103"/>
        <v>0</v>
      </c>
      <c r="G101" s="10">
        <f t="shared" si="103"/>
        <v>0</v>
      </c>
      <c r="H101" s="10">
        <f t="shared" si="103"/>
        <v>0</v>
      </c>
      <c r="I101" s="10">
        <f t="shared" si="103"/>
        <v>0</v>
      </c>
      <c r="J101" s="10">
        <f t="shared" si="103"/>
        <v>0</v>
      </c>
      <c r="K101" s="10">
        <f t="shared" si="103"/>
        <v>0</v>
      </c>
      <c r="L101" s="10">
        <f t="shared" si="103"/>
        <v>0</v>
      </c>
      <c r="M101" s="10">
        <f t="shared" si="103"/>
        <v>0</v>
      </c>
      <c r="N101" s="10">
        <f t="shared" si="103"/>
        <v>0</v>
      </c>
    </row>
    <row r="102" spans="1:38" ht="15" hidden="1" customHeight="1" x14ac:dyDescent="0.25">
      <c r="A102" t="s">
        <v>144</v>
      </c>
      <c r="C102" s="10">
        <f>(C47+C54+C61+C68)-(C75+C82+C89+C96)</f>
        <v>0</v>
      </c>
      <c r="D102" s="10">
        <f t="shared" ref="D102:N102" si="104">(D47+D54+D61+D68)-(D75+D82+D89+D96)</f>
        <v>0</v>
      </c>
      <c r="E102" s="10">
        <f t="shared" si="104"/>
        <v>0</v>
      </c>
      <c r="F102" s="10">
        <f t="shared" si="104"/>
        <v>0</v>
      </c>
      <c r="G102" s="10">
        <f t="shared" si="104"/>
        <v>0</v>
      </c>
      <c r="H102" s="10">
        <f t="shared" si="104"/>
        <v>0</v>
      </c>
      <c r="I102" s="10">
        <f t="shared" si="104"/>
        <v>0</v>
      </c>
      <c r="J102" s="10">
        <f t="shared" si="104"/>
        <v>0</v>
      </c>
      <c r="K102" s="10">
        <f t="shared" si="104"/>
        <v>0</v>
      </c>
      <c r="L102" s="10">
        <f t="shared" si="104"/>
        <v>0</v>
      </c>
      <c r="M102" s="10">
        <f t="shared" si="104"/>
        <v>0</v>
      </c>
      <c r="N102" s="10">
        <f t="shared" si="104"/>
        <v>0</v>
      </c>
      <c r="V102" t="s">
        <v>150</v>
      </c>
    </row>
    <row r="103" spans="1:38" ht="15" hidden="1" customHeight="1" x14ac:dyDescent="0.25">
      <c r="V103" t="s">
        <v>151</v>
      </c>
      <c r="W103">
        <f>C$10/AVERAGE($C$10:$N$10)</f>
        <v>0.4984850914195626</v>
      </c>
    </row>
    <row r="104" spans="1:38" ht="15" hidden="1" customHeight="1" x14ac:dyDescent="0.25">
      <c r="V104" t="s">
        <v>152</v>
      </c>
      <c r="W104">
        <f>D$10/AVERAGE($C$10:$N$10)</f>
        <v>0.45024459870154038</v>
      </c>
    </row>
    <row r="105" spans="1:38" ht="15" hidden="1" customHeight="1" x14ac:dyDescent="0.25">
      <c r="V105" t="s">
        <v>153</v>
      </c>
      <c r="W105">
        <f>E$10/AVERAGE($C$10:$N$10)</f>
        <v>0.92022855681202909</v>
      </c>
    </row>
    <row r="106" spans="1:38" ht="15" hidden="1" customHeight="1" x14ac:dyDescent="0.25">
      <c r="V106" t="s">
        <v>154</v>
      </c>
      <c r="W106">
        <f>F$10/AVERAGE($C$10:$N$10)</f>
        <v>0.89054376465680229</v>
      </c>
    </row>
    <row r="107" spans="1:38" ht="15" hidden="1" customHeight="1" x14ac:dyDescent="0.25">
      <c r="V107" t="s">
        <v>155</v>
      </c>
      <c r="W107">
        <f>G$10/AVERAGE($C$10:$N$10)</f>
        <v>0.92022855681202909</v>
      </c>
    </row>
    <row r="108" spans="1:38" ht="15" hidden="1" customHeight="1" x14ac:dyDescent="0.25">
      <c r="V108" t="s">
        <v>156</v>
      </c>
      <c r="W108">
        <f>H$10/AVERAGE($C$10:$N$10)</f>
        <v>1.6697179089302741</v>
      </c>
    </row>
    <row r="109" spans="1:38" ht="15" hidden="1" customHeight="1" x14ac:dyDescent="0.25">
      <c r="V109" t="s">
        <v>157</v>
      </c>
      <c r="W109">
        <f>I$10/AVERAGE($C$10:$N$10)</f>
        <v>1.7253751725612831</v>
      </c>
    </row>
    <row r="110" spans="1:38" ht="15" hidden="1" customHeight="1" x14ac:dyDescent="0.25">
      <c r="V110" t="s">
        <v>158</v>
      </c>
      <c r="W110">
        <f>J$10/AVERAGE($C$10:$N$10)</f>
        <v>1.7253751725612831</v>
      </c>
    </row>
    <row r="111" spans="1:38" ht="15" hidden="1" customHeight="1" x14ac:dyDescent="0.25">
      <c r="V111" t="s">
        <v>159</v>
      </c>
      <c r="W111">
        <f>K$10/AVERAGE($C$10:$N$10)</f>
        <v>0.89054376465680229</v>
      </c>
    </row>
    <row r="112" spans="1:38" ht="15" hidden="1" customHeight="1" x14ac:dyDescent="0.25">
      <c r="V112" t="s">
        <v>160</v>
      </c>
      <c r="W112">
        <f>L$10/AVERAGE($C$10:$N$10)</f>
        <v>0.92022855681202909</v>
      </c>
    </row>
    <row r="113" spans="22:23" ht="15" hidden="1" customHeight="1" x14ac:dyDescent="0.25">
      <c r="V113" t="s">
        <v>161</v>
      </c>
      <c r="W113">
        <f>M$10/AVERAGE($C$10:$N$10)</f>
        <v>0.89054376465680229</v>
      </c>
    </row>
    <row r="114" spans="22:23" ht="15" hidden="1" customHeight="1" x14ac:dyDescent="0.25">
      <c r="V114" t="s">
        <v>162</v>
      </c>
      <c r="W114">
        <f>N$10/AVERAGE($C$10:$N$10)</f>
        <v>0.4984850914195626</v>
      </c>
    </row>
  </sheetData>
  <mergeCells count="6">
    <mergeCell ref="V3:AM3"/>
    <mergeCell ref="V4:AM4"/>
    <mergeCell ref="V5:AM5"/>
    <mergeCell ref="B5:S5"/>
    <mergeCell ref="B3:S3"/>
    <mergeCell ref="B4:S4"/>
  </mergeCells>
  <phoneticPr fontId="37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1EE5D14-8631-4078-A9D5-DFDAE45BAEA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Forecast'!C10:N10</xm:f>
              <xm:sqref>B10</xm:sqref>
            </x14:sparkline>
            <x14:sparkline>
              <xm:f>'Rolling Budget and Forecast'!C11:N11</xm:f>
              <xm:sqref>B11</xm:sqref>
            </x14:sparkline>
          </x14:sparklines>
        </x14:sparklineGroup>
        <x14:sparklineGroup displayEmptyCellsAs="gap" xr2:uid="{84770554-416E-4721-A471-A83C9C1675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Forecast'!C16:N16</xm:f>
              <xm:sqref>B16</xm:sqref>
            </x14:sparkline>
          </x14:sparklines>
        </x14:sparklineGroup>
        <x14:sparklineGroup displayEmptyCellsAs="gap" xr2:uid="{DA9A00F0-EFA5-4B92-8F22-AFD5514EF81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Forecast'!C17:N17</xm:f>
              <xm:sqref>B17</xm:sqref>
            </x14:sparkline>
          </x14:sparklines>
        </x14:sparklineGroup>
        <x14:sparklineGroup displayEmptyCellsAs="gap" xr2:uid="{303CFF15-E548-4CB2-9E50-604B3FA7159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Forecast'!C24:N24</xm:f>
              <xm:sqref>B24</xm:sqref>
            </x14:sparkline>
          </x14:sparklines>
        </x14:sparklineGroup>
        <x14:sparklineGroup displayEmptyCellsAs="gap" xr2:uid="{8BFD8FED-A4A0-420E-B258-BC1DDCB90C5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Forecast'!C23:N23</xm:f>
              <xm:sqref>B23</xm:sqref>
            </x14:sparkline>
          </x14:sparklines>
        </x14:sparklineGroup>
        <x14:sparklineGroup displayEmptyCellsAs="gap" xr2:uid="{DF7B868C-2DBC-4173-A922-0C884F76D26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Forecast'!C30:N30</xm:f>
              <xm:sqref>B30</xm:sqref>
            </x14:sparkline>
          </x14:sparklines>
        </x14:sparklineGroup>
        <x14:sparklineGroup displayEmptyCellsAs="gap" xr2:uid="{C9F29129-50B0-4AC2-B3D6-24142A98CC3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Forecast'!C31:N31</xm:f>
              <xm:sqref>B31</xm:sqref>
            </x14:sparkline>
          </x14:sparklines>
        </x14:sparklineGroup>
        <x14:sparklineGroup displayEmptyCellsAs="gap" xr2:uid="{76B1D9C1-7F69-4841-9C74-A0F10025D75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Forecast'!C46:N46</xm:f>
              <xm:sqref>B46</xm:sqref>
            </x14:sparkline>
          </x14:sparklines>
        </x14:sparklineGroup>
        <x14:sparklineGroup displayEmptyCellsAs="gap" xr2:uid="{93DEA7D5-DC2F-4EEA-BB0E-0DE31406FE5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Forecast'!C47:N47</xm:f>
              <xm:sqref>B47</xm:sqref>
            </x14:sparkline>
          </x14:sparklines>
        </x14:sparklineGroup>
        <x14:sparklineGroup displayEmptyCellsAs="gap" xr2:uid="{17CABD6D-BE36-4541-A700-C8C40CF422D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Forecast'!C53:N53</xm:f>
              <xm:sqref>B53</xm:sqref>
            </x14:sparkline>
          </x14:sparklines>
        </x14:sparklineGroup>
        <x14:sparklineGroup displayEmptyCellsAs="gap" xr2:uid="{3E83EC11-0B6C-415D-88E2-58B987B1229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Forecast'!C54:N54</xm:f>
              <xm:sqref>B54</xm:sqref>
            </x14:sparkline>
          </x14:sparklines>
        </x14:sparklineGroup>
        <x14:sparklineGroup displayEmptyCellsAs="gap" xr2:uid="{F4464CA1-40E5-46BC-8B41-653A29A7272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Forecast'!C60:N60</xm:f>
              <xm:sqref>B60</xm:sqref>
            </x14:sparkline>
          </x14:sparklines>
        </x14:sparklineGroup>
        <x14:sparklineGroup displayEmptyCellsAs="gap" xr2:uid="{A703A708-50F7-4786-98F6-5B161D61CA5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Forecast'!C61:N61</xm:f>
              <xm:sqref>B61</xm:sqref>
            </x14:sparkline>
          </x14:sparklines>
        </x14:sparklineGroup>
        <x14:sparklineGroup displayEmptyCellsAs="gap" xr2:uid="{8712E014-221C-44F1-9FAD-579C3E9CBDD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Forecast'!C67:N67</xm:f>
              <xm:sqref>B67</xm:sqref>
            </x14:sparkline>
          </x14:sparklines>
        </x14:sparklineGroup>
        <x14:sparklineGroup displayEmptyCellsAs="gap" xr2:uid="{4C234ABF-8318-413D-AB2C-19270DFD53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Forecast'!C68:N68</xm:f>
              <xm:sqref>B68</xm:sqref>
            </x14:sparkline>
          </x14:sparklines>
        </x14:sparklineGroup>
        <x14:sparklineGroup displayEmptyCellsAs="gap" xr2:uid="{D4B5F018-B329-4414-B3BA-EB89550652C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Forecast'!C75:N75</xm:f>
              <xm:sqref>B75</xm:sqref>
            </x14:sparkline>
          </x14:sparklines>
        </x14:sparklineGroup>
        <x14:sparklineGroup displayEmptyCellsAs="gap" xr2:uid="{E9214ED2-C6BF-4329-8061-CE7BBB1C28B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Forecast'!C74:N74</xm:f>
              <xm:sqref>B74</xm:sqref>
            </x14:sparkline>
          </x14:sparklines>
        </x14:sparklineGroup>
        <x14:sparklineGroup displayEmptyCellsAs="gap" xr2:uid="{34F192CA-2B68-4EDB-8A85-1F98825BE8D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Forecast'!C82:N82</xm:f>
              <xm:sqref>B82</xm:sqref>
            </x14:sparkline>
          </x14:sparklines>
        </x14:sparklineGroup>
        <x14:sparklineGroup displayEmptyCellsAs="gap" xr2:uid="{016C415E-50FF-459C-B1C2-6DA64AC0BCF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Forecast'!C81:N81</xm:f>
              <xm:sqref>B81</xm:sqref>
            </x14:sparkline>
          </x14:sparklines>
        </x14:sparklineGroup>
        <x14:sparklineGroup displayEmptyCellsAs="gap" xr2:uid="{3596772E-AEF4-48B3-B1E3-EB89DA8BBA1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Forecast'!C89:N89</xm:f>
              <xm:sqref>B89</xm:sqref>
            </x14:sparkline>
          </x14:sparklines>
        </x14:sparklineGroup>
        <x14:sparklineGroup displayEmptyCellsAs="gap" xr2:uid="{4069A29D-E759-45D4-AE8F-D5BF4919D2B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Forecast'!C88:N88</xm:f>
              <xm:sqref>B88</xm:sqref>
            </x14:sparkline>
          </x14:sparklines>
        </x14:sparklineGroup>
        <x14:sparklineGroup displayEmptyCellsAs="gap" xr2:uid="{55D49FE5-10C7-43C0-9E8A-84EADDBD9D2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Forecast'!C96:N96</xm:f>
              <xm:sqref>B96</xm:sqref>
            </x14:sparkline>
          </x14:sparklines>
        </x14:sparklineGroup>
        <x14:sparklineGroup displayEmptyCellsAs="gap" xr2:uid="{D0B22AAA-09AE-42CF-881E-340EBBD50D3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Forecast'!C95:N95</xm:f>
              <xm:sqref>B95</xm:sqref>
            </x14:sparkline>
          </x14:sparklines>
        </x14:sparklineGroup>
        <x14:sparklineGroup displayEmptyCellsAs="gap" xr2:uid="{FBEB372B-1D26-4903-BA36-8A1038E502D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Forecast'!C38:N38</xm:f>
              <xm:sqref>B38</xm:sqref>
            </x14:sparkline>
          </x14:sparklines>
        </x14:sparklineGroup>
        <x14:sparklineGroup displayEmptyCellsAs="gap" xr2:uid="{5979311E-F4FD-41FA-AC86-1705175A315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Forecast'!C37:N37</xm:f>
              <xm:sqref>B37</xm:sqref>
            </x14:sparkline>
          </x14:sparklines>
        </x14:sparklineGroup>
        <x14:sparklineGroup displayEmptyCellsAs="gap" xr2:uid="{EFC0C355-4930-4F02-BB4A-CC0137E8431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Forecast'!V37:AG37</xm:f>
              <xm:sqref>U37</xm:sqref>
            </x14:sparkline>
          </x14:sparklines>
        </x14:sparklineGroup>
        <x14:sparklineGroup displayEmptyCellsAs="gap" xr2:uid="{82A403D5-6850-4B98-8E77-26FB7DBD409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Forecast'!V38:AG38</xm:f>
              <xm:sqref>U38</xm:sqref>
            </x14:sparkline>
          </x14:sparklines>
        </x14:sparklineGroup>
        <x14:sparklineGroup displayEmptyCellsAs="gap" xr2:uid="{AAB4216A-6D9F-4F8B-B773-D89A5881A81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Forecast'!V95:AG95</xm:f>
              <xm:sqref>U95</xm:sqref>
            </x14:sparkline>
          </x14:sparklines>
        </x14:sparklineGroup>
        <x14:sparklineGroup displayEmptyCellsAs="gap" xr2:uid="{6BE8D5AC-72CA-4FA0-80D6-03B6DA8529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Forecast'!V96:AG96</xm:f>
              <xm:sqref>U96</xm:sqref>
            </x14:sparkline>
          </x14:sparklines>
        </x14:sparklineGroup>
        <x14:sparklineGroup displayEmptyCellsAs="gap" xr2:uid="{6AA114C4-114B-490C-9AD7-2015305D3BB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Forecast'!V88:AG88</xm:f>
              <xm:sqref>U88</xm:sqref>
            </x14:sparkline>
          </x14:sparklines>
        </x14:sparklineGroup>
        <x14:sparklineGroup displayEmptyCellsAs="gap" xr2:uid="{99B85FE2-ABD9-4E2F-A37A-590A4511C1F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Forecast'!V89:AG89</xm:f>
              <xm:sqref>U89</xm:sqref>
            </x14:sparkline>
          </x14:sparklines>
        </x14:sparklineGroup>
        <x14:sparklineGroup displayEmptyCellsAs="gap" xr2:uid="{3902989B-6932-4426-BF50-4C0F601DF75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Forecast'!V81:AG81</xm:f>
              <xm:sqref>U81</xm:sqref>
            </x14:sparkline>
          </x14:sparklines>
        </x14:sparklineGroup>
        <x14:sparklineGroup displayEmptyCellsAs="gap" xr2:uid="{77C92685-506A-4374-B16D-E37589DC632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Forecast'!V82:AG82</xm:f>
              <xm:sqref>U82</xm:sqref>
            </x14:sparkline>
          </x14:sparklines>
        </x14:sparklineGroup>
        <x14:sparklineGroup displayEmptyCellsAs="gap" xr2:uid="{8DDE3064-534E-4EFC-8C9F-36E0736A385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Forecast'!V74:AG74</xm:f>
              <xm:sqref>U74</xm:sqref>
            </x14:sparkline>
          </x14:sparklines>
        </x14:sparklineGroup>
        <x14:sparklineGroup displayEmptyCellsAs="gap" xr2:uid="{1F0350D0-9F31-48A2-8497-10752D3D8F2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Forecast'!V75:AG75</xm:f>
              <xm:sqref>U75</xm:sqref>
            </x14:sparkline>
          </x14:sparklines>
        </x14:sparklineGroup>
        <x14:sparklineGroup displayEmptyCellsAs="gap" xr2:uid="{53F922F2-11E3-4FB1-8731-C2898D3F68D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Forecast'!V68:AG68</xm:f>
              <xm:sqref>U68</xm:sqref>
            </x14:sparkline>
          </x14:sparklines>
        </x14:sparklineGroup>
        <x14:sparklineGroup displayEmptyCellsAs="gap" xr2:uid="{D9406B3E-DF89-4493-A4C9-607E0940CF0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Forecast'!V67:AG67</xm:f>
              <xm:sqref>U67</xm:sqref>
            </x14:sparkline>
          </x14:sparklines>
        </x14:sparklineGroup>
        <x14:sparklineGroup displayEmptyCellsAs="gap" xr2:uid="{49890673-49AD-4A55-B6C0-BBCFF9BBCB5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Forecast'!V61:AG61</xm:f>
              <xm:sqref>U61</xm:sqref>
            </x14:sparkline>
          </x14:sparklines>
        </x14:sparklineGroup>
        <x14:sparklineGroup displayEmptyCellsAs="gap" xr2:uid="{59AFB2B4-44AE-4C3E-8677-76A5BB73AC6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Forecast'!V60:AG60</xm:f>
              <xm:sqref>U60</xm:sqref>
            </x14:sparkline>
          </x14:sparklines>
        </x14:sparklineGroup>
        <x14:sparklineGroup displayEmptyCellsAs="gap" xr2:uid="{8EB00051-F112-4DA7-9247-A53B2E560A3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Forecast'!V54:AG54</xm:f>
              <xm:sqref>U54</xm:sqref>
            </x14:sparkline>
          </x14:sparklines>
        </x14:sparklineGroup>
        <x14:sparklineGroup displayEmptyCellsAs="gap" xr2:uid="{F564A4E7-CA5E-4289-A3EB-776950FF770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Forecast'!V53:AG53</xm:f>
              <xm:sqref>U53</xm:sqref>
            </x14:sparkline>
          </x14:sparklines>
        </x14:sparklineGroup>
        <x14:sparklineGroup displayEmptyCellsAs="gap" xr2:uid="{08B13CFA-3681-44B0-BA8D-BD2AF139185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Forecast'!V47:AG47</xm:f>
              <xm:sqref>U47</xm:sqref>
            </x14:sparkline>
          </x14:sparklines>
        </x14:sparklineGroup>
        <x14:sparklineGroup displayEmptyCellsAs="gap" xr2:uid="{208298FC-BFE6-4728-97BB-17B5E7D756F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Forecast'!V46:AG46</xm:f>
              <xm:sqref>U46</xm:sqref>
            </x14:sparkline>
          </x14:sparklines>
        </x14:sparklineGroup>
        <x14:sparklineGroup displayEmptyCellsAs="gap" xr2:uid="{FCF726B2-5A92-4F92-9625-0BB670D9B8C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Forecast'!V31:AG31</xm:f>
              <xm:sqref>U31</xm:sqref>
            </x14:sparkline>
          </x14:sparklines>
        </x14:sparklineGroup>
        <x14:sparklineGroup displayEmptyCellsAs="gap" xr2:uid="{4425A973-46AB-4174-A7AF-631E7CDCFF3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Forecast'!V30:AG30</xm:f>
              <xm:sqref>U30</xm:sqref>
            </x14:sparkline>
          </x14:sparklines>
        </x14:sparklineGroup>
        <x14:sparklineGroup displayEmptyCellsAs="gap" xr2:uid="{7C09EF3D-2512-42E2-9B6B-2AECBD69E74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Forecast'!V23:AG23</xm:f>
              <xm:sqref>U23</xm:sqref>
            </x14:sparkline>
          </x14:sparklines>
        </x14:sparklineGroup>
        <x14:sparklineGroup displayEmptyCellsAs="gap" xr2:uid="{98044E8D-9394-454A-BEF9-2F3EF59F5C8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Forecast'!V24:AG24</xm:f>
              <xm:sqref>U24</xm:sqref>
            </x14:sparkline>
          </x14:sparklines>
        </x14:sparklineGroup>
        <x14:sparklineGroup displayEmptyCellsAs="gap" xr2:uid="{50BCD3C3-3E3F-4ED5-9321-4AA107844F1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Forecast'!V17:AG17</xm:f>
              <xm:sqref>U17</xm:sqref>
            </x14:sparkline>
          </x14:sparklines>
        </x14:sparklineGroup>
        <x14:sparklineGroup displayEmptyCellsAs="gap" xr2:uid="{8F2F5BBC-3C67-40A3-9C56-3459687D775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Forecast'!V16:AG16</xm:f>
              <xm:sqref>U16</xm:sqref>
            </x14:sparkline>
          </x14:sparklines>
        </x14:sparklineGroup>
        <x14:sparklineGroup displayEmptyCellsAs="gap" xr2:uid="{EA37B11E-33CA-44C4-BD5C-54FE7ABB5D0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Forecast'!V10:AG10</xm:f>
              <xm:sqref>U10</xm:sqref>
            </x14:sparkline>
            <x14:sparkline>
              <xm:f>'Rolling Budget and Forecast'!V11:AG11</xm:f>
              <xm:sqref>U11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5BB4-DAFB-466B-8C7D-1847F690DADF}">
  <dimension ref="A1:Q36"/>
  <sheetViews>
    <sheetView showGridLines="0" zoomScale="85" zoomScaleNormal="85" workbookViewId="0">
      <selection activeCell="G27" sqref="G27"/>
    </sheetView>
  </sheetViews>
  <sheetFormatPr defaultColWidth="0" defaultRowHeight="15" zeroHeight="1" x14ac:dyDescent="0.25"/>
  <cols>
    <col min="1" max="1" width="20.7109375" customWidth="1"/>
    <col min="2" max="2" width="6.85546875" customWidth="1"/>
    <col min="3" max="3" width="12.85546875" customWidth="1"/>
    <col min="4" max="4" width="13.140625" customWidth="1"/>
    <col min="5" max="5" width="12.85546875" customWidth="1"/>
    <col min="6" max="6" width="11.140625" customWidth="1"/>
    <col min="7" max="8" width="9.140625" customWidth="1"/>
    <col min="9" max="9" width="10" bestFit="1" customWidth="1"/>
    <col min="10" max="17" width="9.140625" customWidth="1"/>
    <col min="18" max="16384" width="9.140625" hidden="1"/>
  </cols>
  <sheetData>
    <row r="1" spans="1:16" ht="21" x14ac:dyDescent="0.35">
      <c r="A1" s="194" t="s">
        <v>179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</row>
    <row r="2" spans="1:16" x14ac:dyDescent="0.25"/>
    <row r="3" spans="1:16" ht="18.75" x14ac:dyDescent="0.3">
      <c r="H3" s="192" t="s">
        <v>177</v>
      </c>
      <c r="I3" s="192"/>
      <c r="J3" s="192"/>
      <c r="K3" s="192"/>
      <c r="L3" s="192"/>
      <c r="M3" s="192"/>
      <c r="N3" s="192"/>
      <c r="O3" s="192"/>
      <c r="P3" s="192"/>
    </row>
    <row r="4" spans="1:16" x14ac:dyDescent="0.25">
      <c r="A4" s="193" t="s">
        <v>185</v>
      </c>
      <c r="B4" s="193"/>
      <c r="C4" s="193"/>
      <c r="E4" s="193" t="s">
        <v>186</v>
      </c>
      <c r="F4" s="193"/>
      <c r="J4" s="151" t="s">
        <v>180</v>
      </c>
      <c r="K4" s="151"/>
      <c r="L4" s="151"/>
      <c r="M4" s="151"/>
      <c r="N4" s="151"/>
      <c r="O4" s="151"/>
      <c r="P4" s="151"/>
    </row>
    <row r="5" spans="1:16" ht="15" customHeight="1" x14ac:dyDescent="0.25">
      <c r="A5" t="s">
        <v>180</v>
      </c>
      <c r="C5">
        <v>1400</v>
      </c>
      <c r="E5" t="s">
        <v>4</v>
      </c>
      <c r="F5" s="85">
        <f>C5*C6</f>
        <v>308000</v>
      </c>
      <c r="J5" s="151"/>
      <c r="K5" s="151"/>
      <c r="L5" s="151"/>
      <c r="M5" s="151"/>
      <c r="N5" s="151"/>
      <c r="O5" s="151"/>
      <c r="P5" s="151"/>
    </row>
    <row r="6" spans="1:16" x14ac:dyDescent="0.25">
      <c r="A6" t="s">
        <v>181</v>
      </c>
      <c r="C6">
        <v>220</v>
      </c>
      <c r="E6" t="s">
        <v>187</v>
      </c>
      <c r="F6" s="85">
        <f>C5*-C7</f>
        <v>-123200</v>
      </c>
      <c r="H6" s="124"/>
      <c r="I6" s="16">
        <f>F11</f>
        <v>39342</v>
      </c>
      <c r="J6" s="125">
        <f t="shared" ref="J6:K6" si="0">K6-100</f>
        <v>1100</v>
      </c>
      <c r="K6" s="125">
        <f t="shared" si="0"/>
        <v>1200</v>
      </c>
      <c r="L6" s="125">
        <f>M6-100</f>
        <v>1300</v>
      </c>
      <c r="M6" s="125">
        <v>1400</v>
      </c>
      <c r="N6" s="125">
        <f>M6+100</f>
        <v>1500</v>
      </c>
      <c r="O6" s="125">
        <f t="shared" ref="O6:P6" si="1">N6+100</f>
        <v>1600</v>
      </c>
      <c r="P6" s="125">
        <f t="shared" si="1"/>
        <v>1700</v>
      </c>
    </row>
    <row r="7" spans="1:16" ht="20.25" customHeight="1" x14ac:dyDescent="0.25">
      <c r="A7" t="s">
        <v>182</v>
      </c>
      <c r="C7">
        <f>0.4*C6</f>
        <v>88</v>
      </c>
      <c r="E7" s="130" t="s">
        <v>58</v>
      </c>
      <c r="F7" s="131">
        <f>SUM(F5:F6)</f>
        <v>184800</v>
      </c>
      <c r="H7" s="195" t="s">
        <v>178</v>
      </c>
      <c r="I7" s="126">
        <f t="shared" ref="I7:I8" si="2">I8-10</f>
        <v>190</v>
      </c>
      <c r="J7">
        <f t="dataTable" ref="J7:P13" dt2D="1" dtr="1" r1="C5" r2="C6"/>
        <v>-9600</v>
      </c>
      <c r="K7">
        <v>1422</v>
      </c>
      <c r="L7">
        <v>10428</v>
      </c>
      <c r="M7">
        <v>19434</v>
      </c>
      <c r="N7">
        <v>28440</v>
      </c>
      <c r="O7">
        <v>37446</v>
      </c>
      <c r="P7">
        <v>46452</v>
      </c>
    </row>
    <row r="8" spans="1:16" x14ac:dyDescent="0.25">
      <c r="A8" t="s">
        <v>183</v>
      </c>
      <c r="C8">
        <v>135000</v>
      </c>
      <c r="E8" t="s">
        <v>188</v>
      </c>
      <c r="F8" s="85">
        <f>-C8</f>
        <v>-135000</v>
      </c>
      <c r="H8" s="195"/>
      <c r="I8" s="126">
        <f t="shared" si="2"/>
        <v>200</v>
      </c>
      <c r="J8">
        <v>-3000</v>
      </c>
      <c r="K8">
        <v>7110</v>
      </c>
      <c r="L8">
        <v>16590</v>
      </c>
      <c r="M8">
        <v>26070</v>
      </c>
      <c r="N8">
        <v>35550</v>
      </c>
      <c r="O8">
        <v>45030</v>
      </c>
      <c r="P8">
        <v>54510</v>
      </c>
    </row>
    <row r="9" spans="1:16" x14ac:dyDescent="0.25">
      <c r="A9" t="s">
        <v>184</v>
      </c>
      <c r="C9" s="123">
        <v>0.21</v>
      </c>
      <c r="E9" s="130" t="s">
        <v>190</v>
      </c>
      <c r="F9" s="131">
        <f>SUM(F7:F8)</f>
        <v>49800</v>
      </c>
      <c r="H9" s="195"/>
      <c r="I9" s="126">
        <f>I10-10</f>
        <v>210</v>
      </c>
      <c r="J9">
        <v>2844</v>
      </c>
      <c r="K9">
        <v>12798</v>
      </c>
      <c r="L9">
        <v>22752</v>
      </c>
      <c r="M9">
        <v>32706</v>
      </c>
      <c r="N9">
        <v>42660</v>
      </c>
      <c r="O9">
        <v>52614</v>
      </c>
      <c r="P9">
        <v>62568</v>
      </c>
    </row>
    <row r="10" spans="1:16" x14ac:dyDescent="0.25">
      <c r="E10" t="s">
        <v>189</v>
      </c>
      <c r="F10" s="85">
        <f>IF(F9&lt;0,0,F9*-C9)</f>
        <v>-10458</v>
      </c>
      <c r="H10" s="195"/>
      <c r="I10" s="127">
        <v>220</v>
      </c>
      <c r="J10">
        <v>8058</v>
      </c>
      <c r="K10">
        <v>18486</v>
      </c>
      <c r="L10">
        <v>28914</v>
      </c>
      <c r="M10">
        <v>39342</v>
      </c>
      <c r="N10">
        <v>49770</v>
      </c>
      <c r="O10">
        <v>60198</v>
      </c>
      <c r="P10">
        <v>70626</v>
      </c>
    </row>
    <row r="11" spans="1:16" x14ac:dyDescent="0.25">
      <c r="E11" s="128" t="s">
        <v>33</v>
      </c>
      <c r="F11" s="129">
        <f>SUM(F9:F10)</f>
        <v>39342</v>
      </c>
      <c r="H11" s="195"/>
      <c r="I11" s="127">
        <f>I10+10</f>
        <v>230</v>
      </c>
      <c r="J11">
        <v>13272</v>
      </c>
      <c r="K11">
        <v>24174</v>
      </c>
      <c r="L11">
        <v>35076</v>
      </c>
      <c r="M11">
        <v>45978</v>
      </c>
      <c r="N11">
        <v>56880</v>
      </c>
      <c r="O11">
        <v>67782</v>
      </c>
      <c r="P11">
        <v>78684</v>
      </c>
    </row>
    <row r="12" spans="1:16" x14ac:dyDescent="0.25">
      <c r="H12" s="195"/>
      <c r="I12" s="127">
        <f t="shared" ref="I12:I13" si="3">I11+10</f>
        <v>240</v>
      </c>
      <c r="J12">
        <v>18486</v>
      </c>
      <c r="K12">
        <v>29862</v>
      </c>
      <c r="L12">
        <v>41238</v>
      </c>
      <c r="M12">
        <v>52614</v>
      </c>
      <c r="N12">
        <v>63990</v>
      </c>
      <c r="O12">
        <v>75366</v>
      </c>
      <c r="P12">
        <v>86742</v>
      </c>
    </row>
    <row r="13" spans="1:16" x14ac:dyDescent="0.25">
      <c r="H13" s="195"/>
      <c r="I13" s="127">
        <f t="shared" si="3"/>
        <v>250</v>
      </c>
      <c r="J13">
        <v>23700</v>
      </c>
      <c r="K13">
        <v>35550</v>
      </c>
      <c r="L13">
        <v>47400</v>
      </c>
      <c r="M13">
        <v>59250</v>
      </c>
      <c r="N13">
        <v>71100</v>
      </c>
      <c r="O13">
        <v>82950</v>
      </c>
      <c r="P13">
        <v>94800</v>
      </c>
    </row>
    <row r="14" spans="1:16" x14ac:dyDescent="0.25"/>
    <row r="15" spans="1:16" s="132" customFormat="1" ht="8.25" customHeight="1" x14ac:dyDescent="0.25"/>
    <row r="16" spans="1:16" x14ac:dyDescent="0.25"/>
    <row r="17" spans="1:5" ht="21" x14ac:dyDescent="0.35">
      <c r="A17" s="191" t="s">
        <v>191</v>
      </c>
      <c r="B17" s="191"/>
      <c r="C17" s="191"/>
      <c r="D17" s="191"/>
      <c r="E17" s="191"/>
    </row>
    <row r="18" spans="1:5" ht="18.75" x14ac:dyDescent="0.3">
      <c r="A18" s="135"/>
      <c r="B18" s="135"/>
      <c r="C18" s="136">
        <v>2022</v>
      </c>
      <c r="D18" s="136">
        <v>2023</v>
      </c>
      <c r="E18" s="136">
        <v>2024</v>
      </c>
    </row>
    <row r="19" spans="1:5" x14ac:dyDescent="0.25">
      <c r="A19" s="137" t="s">
        <v>192</v>
      </c>
      <c r="B19" s="137"/>
    </row>
    <row r="20" spans="1:5" x14ac:dyDescent="0.25">
      <c r="A20" t="s">
        <v>4</v>
      </c>
      <c r="C20" s="85">
        <f>CHOOSE($B$24,C28,C29,C30)</f>
        <v>680000</v>
      </c>
      <c r="D20" s="85">
        <f>CHOOSE($B$24,D28,D29,D30)</f>
        <v>720000</v>
      </c>
      <c r="E20" s="85">
        <f>CHOOSE($B$24,E28,E29,E30)</f>
        <v>810000</v>
      </c>
    </row>
    <row r="21" spans="1:5" x14ac:dyDescent="0.25">
      <c r="A21" t="s">
        <v>193</v>
      </c>
      <c r="C21" s="85">
        <f>-CHOOSE($B$24,C33,C34,C35)</f>
        <v>-320000</v>
      </c>
      <c r="D21" s="85">
        <f>-CHOOSE($B$24,D33,D34,D35)</f>
        <v>-200000</v>
      </c>
      <c r="E21" s="85">
        <f>-CHOOSE($B$24,E33,E34,E35)</f>
        <v>-215000</v>
      </c>
    </row>
    <row r="22" spans="1:5" ht="15.75" thickBot="1" x14ac:dyDescent="0.3">
      <c r="A22" s="138" t="s">
        <v>75</v>
      </c>
      <c r="B22" s="138"/>
      <c r="C22" s="139">
        <f>SUM(C20:C21)</f>
        <v>360000</v>
      </c>
      <c r="D22" s="139">
        <f t="shared" ref="D22:E22" si="4">SUM(D20:D21)</f>
        <v>520000</v>
      </c>
      <c r="E22" s="139">
        <f t="shared" si="4"/>
        <v>595000</v>
      </c>
    </row>
    <row r="23" spans="1:5" ht="16.5" thickTop="1" thickBot="1" x14ac:dyDescent="0.3"/>
    <row r="24" spans="1:5" ht="15.75" thickBot="1" x14ac:dyDescent="0.3">
      <c r="A24" t="s">
        <v>196</v>
      </c>
      <c r="B24" s="141">
        <v>1</v>
      </c>
    </row>
    <row r="25" spans="1:5" x14ac:dyDescent="0.25"/>
    <row r="26" spans="1:5" x14ac:dyDescent="0.25"/>
    <row r="27" spans="1:5" x14ac:dyDescent="0.25">
      <c r="A27" s="140" t="s">
        <v>194</v>
      </c>
      <c r="B27" s="140"/>
      <c r="C27" s="133"/>
      <c r="D27" s="133"/>
      <c r="E27" s="133"/>
    </row>
    <row r="28" spans="1:5" x14ac:dyDescent="0.25">
      <c r="A28" s="133" t="s">
        <v>197</v>
      </c>
      <c r="B28" s="133"/>
      <c r="C28" s="134">
        <v>680000</v>
      </c>
      <c r="D28" s="134">
        <v>720000</v>
      </c>
      <c r="E28" s="134">
        <v>810000</v>
      </c>
    </row>
    <row r="29" spans="1:5" x14ac:dyDescent="0.25">
      <c r="A29" s="133" t="s">
        <v>198</v>
      </c>
      <c r="B29" s="133"/>
      <c r="C29" s="134">
        <v>350000</v>
      </c>
      <c r="D29" s="134">
        <v>420000</v>
      </c>
      <c r="E29" s="134">
        <v>480000</v>
      </c>
    </row>
    <row r="30" spans="1:5" x14ac:dyDescent="0.25">
      <c r="A30" s="133" t="s">
        <v>199</v>
      </c>
      <c r="B30" s="133"/>
      <c r="C30" s="134">
        <v>210000</v>
      </c>
      <c r="D30" s="134">
        <v>275000</v>
      </c>
      <c r="E30" s="134">
        <v>340000</v>
      </c>
    </row>
    <row r="31" spans="1:5" x14ac:dyDescent="0.25">
      <c r="A31" s="133"/>
      <c r="B31" s="133"/>
      <c r="C31" s="133"/>
      <c r="D31" s="133"/>
      <c r="E31" s="133"/>
    </row>
    <row r="32" spans="1:5" x14ac:dyDescent="0.25">
      <c r="A32" s="140" t="s">
        <v>195</v>
      </c>
      <c r="B32" s="140"/>
      <c r="C32" s="133"/>
      <c r="D32" s="133"/>
      <c r="E32" s="133"/>
    </row>
    <row r="33" spans="1:5" x14ac:dyDescent="0.25">
      <c r="A33" s="133" t="s">
        <v>197</v>
      </c>
      <c r="B33" s="133"/>
      <c r="C33" s="134">
        <v>320000</v>
      </c>
      <c r="D33" s="134">
        <v>200000</v>
      </c>
      <c r="E33" s="134">
        <v>215000</v>
      </c>
    </row>
    <row r="34" spans="1:5" x14ac:dyDescent="0.25">
      <c r="A34" s="133" t="s">
        <v>198</v>
      </c>
      <c r="B34" s="133"/>
      <c r="C34" s="134">
        <v>450000</v>
      </c>
      <c r="D34" s="134">
        <v>250000</v>
      </c>
      <c r="E34" s="134">
        <v>280000</v>
      </c>
    </row>
    <row r="35" spans="1:5" x14ac:dyDescent="0.25">
      <c r="A35" s="133" t="s">
        <v>199</v>
      </c>
      <c r="B35" s="133"/>
      <c r="C35" s="134">
        <v>520000</v>
      </c>
      <c r="D35" s="134">
        <v>320000</v>
      </c>
      <c r="E35" s="134">
        <v>360000</v>
      </c>
    </row>
    <row r="36" spans="1:5" x14ac:dyDescent="0.25"/>
  </sheetData>
  <mergeCells count="7">
    <mergeCell ref="A17:E17"/>
    <mergeCell ref="H3:P3"/>
    <mergeCell ref="E4:F4"/>
    <mergeCell ref="A1:P1"/>
    <mergeCell ref="A4:C4"/>
    <mergeCell ref="J4:P5"/>
    <mergeCell ref="H7:H13"/>
  </mergeCells>
  <dataValidations count="1">
    <dataValidation type="list" allowBlank="1" showInputMessage="1" showErrorMessage="1" sqref="B24" xr:uid="{9899B7B1-0BB6-4F24-B042-073F547E39C3}">
      <formula1>"1,2,3"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6551-8FC7-457F-A9F0-851956AAE2DF}">
  <sheetPr>
    <pageSetUpPr fitToPage="1"/>
  </sheetPr>
  <dimension ref="A1:N148"/>
  <sheetViews>
    <sheetView showGridLines="0" topLeftCell="A15" zoomScale="70" zoomScaleNormal="70" workbookViewId="0">
      <selection activeCell="F31" sqref="F31"/>
    </sheetView>
  </sheetViews>
  <sheetFormatPr defaultColWidth="0" defaultRowHeight="15" customHeight="1" zeroHeight="1" outlineLevelRow="1" x14ac:dyDescent="0.25"/>
  <cols>
    <col min="1" max="1" width="61.42578125" bestFit="1" customWidth="1"/>
    <col min="2" max="2" width="13.140625" bestFit="1" customWidth="1"/>
    <col min="3" max="3" width="11.7109375" bestFit="1" customWidth="1"/>
    <col min="4" max="4" width="11" bestFit="1" customWidth="1"/>
    <col min="5" max="5" width="11.42578125" bestFit="1" customWidth="1"/>
    <col min="6" max="6" width="11" bestFit="1" customWidth="1"/>
    <col min="7" max="10" width="11.42578125" bestFit="1" customWidth="1"/>
    <col min="11" max="11" width="11" bestFit="1" customWidth="1"/>
    <col min="12" max="12" width="11.42578125" bestFit="1" customWidth="1"/>
    <col min="13" max="13" width="11.7109375" bestFit="1" customWidth="1"/>
    <col min="14" max="14" width="17.7109375" customWidth="1"/>
    <col min="15" max="15" width="9.140625" customWidth="1"/>
    <col min="16" max="28" width="0" hidden="1" customWidth="1"/>
  </cols>
  <sheetData>
    <row r="1" spans="1:14" ht="26.25" customHeight="1" x14ac:dyDescent="0.25">
      <c r="A1" s="196" t="s">
        <v>48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8"/>
    </row>
    <row r="2" spans="1:14" x14ac:dyDescent="0.25">
      <c r="A2" s="199" t="s">
        <v>49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1"/>
    </row>
    <row r="3" spans="1:14" x14ac:dyDescent="0.25">
      <c r="A3" s="199">
        <v>2022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1"/>
    </row>
    <row r="4" spans="1:14" x14ac:dyDescent="0.25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5"/>
    </row>
    <row r="5" spans="1:14" x14ac:dyDescent="0.25">
      <c r="A5" s="56"/>
      <c r="B5" s="54" t="s">
        <v>164</v>
      </c>
      <c r="C5" s="54" t="s">
        <v>165</v>
      </c>
      <c r="D5" s="54" t="s">
        <v>166</v>
      </c>
      <c r="E5" s="54" t="s">
        <v>167</v>
      </c>
      <c r="F5" s="54" t="s">
        <v>168</v>
      </c>
      <c r="G5" s="54" t="s">
        <v>169</v>
      </c>
      <c r="H5" s="54" t="s">
        <v>170</v>
      </c>
      <c r="I5" s="54" t="s">
        <v>171</v>
      </c>
      <c r="J5" s="54" t="s">
        <v>172</v>
      </c>
      <c r="K5" s="54" t="s">
        <v>173</v>
      </c>
      <c r="L5" s="54" t="s">
        <v>174</v>
      </c>
      <c r="M5" s="54" t="s">
        <v>175</v>
      </c>
      <c r="N5" s="55" t="s">
        <v>176</v>
      </c>
    </row>
    <row r="6" spans="1:14" x14ac:dyDescent="0.25">
      <c r="A6" s="57" t="s">
        <v>50</v>
      </c>
    </row>
    <row r="7" spans="1:14" x14ac:dyDescent="0.25">
      <c r="A7" t="s">
        <v>51</v>
      </c>
      <c r="B7" s="58">
        <f>($B$48*1+0.05)*31</f>
        <v>12667.264285714286</v>
      </c>
      <c r="C7" s="58">
        <f>($B$48*1+0.05)*28</f>
        <v>11441.4</v>
      </c>
      <c r="D7" s="58">
        <f>($B$50*1+0.05)*31</f>
        <v>23384.407142857144</v>
      </c>
      <c r="E7" s="58">
        <f>($B$50*1+0.05)*30</f>
        <v>22630.071428571428</v>
      </c>
      <c r="F7" s="58">
        <f>($B$50*1+0.05)*31</f>
        <v>23384.407142857144</v>
      </c>
      <c r="G7" s="58">
        <f>($B$52*1+0.05)*30</f>
        <v>42430.071428571428</v>
      </c>
      <c r="H7" s="58">
        <f>($B$52*1+0.05)*31</f>
        <v>43844.407142857141</v>
      </c>
      <c r="I7" s="58">
        <f>($B$52*1+0.05)*31</f>
        <v>43844.407142857141</v>
      </c>
      <c r="J7" s="58">
        <f>($B$50*1+0.05)*30</f>
        <v>22630.071428571428</v>
      </c>
      <c r="K7" s="58">
        <f>($B$50*1+0.05)*31</f>
        <v>23384.407142857144</v>
      </c>
      <c r="L7" s="58">
        <f>($B$50*1+0.05)*30</f>
        <v>22630.071428571428</v>
      </c>
      <c r="M7" s="58">
        <f>($B$48*1+0.05)*31</f>
        <v>12667.264285714286</v>
      </c>
      <c r="N7" s="59">
        <f>SUM(B7:M7)</f>
        <v>304938.25</v>
      </c>
    </row>
    <row r="8" spans="1:14" x14ac:dyDescent="0.25">
      <c r="A8" t="s">
        <v>52</v>
      </c>
      <c r="B8" s="58">
        <f>($B$49*1+0.05)*31</f>
        <v>1152.9785714285715</v>
      </c>
      <c r="C8" s="58">
        <f>($B$49*1+0.05)*28</f>
        <v>1041.4000000000001</v>
      </c>
      <c r="D8" s="58">
        <f>($B$51*1+0.05)*31</f>
        <v>2127.2642857142855</v>
      </c>
      <c r="E8" s="58">
        <f>($B$51*1+0.05)*30</f>
        <v>2058.6428571428569</v>
      </c>
      <c r="F8" s="58">
        <f>($B$51*1+0.05)*31</f>
        <v>2127.2642857142855</v>
      </c>
      <c r="G8" s="58">
        <f>(B53*1+0.05)*30</f>
        <v>3858.6428571428578</v>
      </c>
      <c r="H8" s="58">
        <f>($B$53*1+0.05)*31</f>
        <v>3987.2642857142864</v>
      </c>
      <c r="I8" s="58">
        <f>($B$53*1+0.05)*31</f>
        <v>3987.2642857142864</v>
      </c>
      <c r="J8" s="58">
        <f>($B$51*1+0.05)*30</f>
        <v>2058.6428571428569</v>
      </c>
      <c r="K8" s="58">
        <f>($B$51*1+0.05)*31</f>
        <v>2127.2642857142855</v>
      </c>
      <c r="L8" s="58">
        <f>($B$51*1+0.05)*30</f>
        <v>2058.6428571428569</v>
      </c>
      <c r="M8" s="58">
        <f>($B$49*1+0.05)*31</f>
        <v>1152.9785714285715</v>
      </c>
      <c r="N8" s="59">
        <f>SUM(B8:M8)</f>
        <v>27738.249999999996</v>
      </c>
    </row>
    <row r="9" spans="1:14" x14ac:dyDescent="0.25"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1"/>
    </row>
    <row r="10" spans="1:14" x14ac:dyDescent="0.25">
      <c r="A10" s="1" t="s">
        <v>53</v>
      </c>
      <c r="B10" s="62">
        <f t="shared" ref="B10" si="0">SUM(B7:B8)</f>
        <v>13820.242857142857</v>
      </c>
      <c r="C10" s="62">
        <f t="shared" ref="C10:D10" si="1">SUM(C7:C8)</f>
        <v>12482.8</v>
      </c>
      <c r="D10" s="62">
        <f t="shared" si="1"/>
        <v>25511.67142857143</v>
      </c>
      <c r="E10" s="62">
        <f t="shared" ref="E10:F10" si="2">SUM(E7:E8)</f>
        <v>24688.714285714283</v>
      </c>
      <c r="F10" s="62">
        <f t="shared" si="2"/>
        <v>25511.67142857143</v>
      </c>
      <c r="G10" s="62">
        <f t="shared" ref="G10" si="3">SUM(G7:G8)</f>
        <v>46288.714285714283</v>
      </c>
      <c r="H10" s="62">
        <f t="shared" ref="H10:M10" si="4">SUM(H7:H8)</f>
        <v>47831.671428571426</v>
      </c>
      <c r="I10" s="62">
        <f t="shared" si="4"/>
        <v>47831.671428571426</v>
      </c>
      <c r="J10" s="62">
        <f t="shared" si="4"/>
        <v>24688.714285714283</v>
      </c>
      <c r="K10" s="62">
        <f t="shared" si="4"/>
        <v>25511.67142857143</v>
      </c>
      <c r="L10" s="62">
        <f t="shared" si="4"/>
        <v>24688.714285714283</v>
      </c>
      <c r="M10" s="62">
        <f t="shared" si="4"/>
        <v>13820.242857142857</v>
      </c>
      <c r="N10" s="63">
        <f>SUM(B10:M10)</f>
        <v>332676.5</v>
      </c>
    </row>
    <row r="11" spans="1:14" x14ac:dyDescent="0.25">
      <c r="A11" s="64" t="s">
        <v>54</v>
      </c>
      <c r="B11" s="65" t="s">
        <v>55</v>
      </c>
      <c r="C11" s="67">
        <f t="shared" ref="C11:M11" si="5">IF(OR(C10&lt;0,B10&lt;0),"NA",C10/B10-1)</f>
        <v>-9.6774193548387122E-2</v>
      </c>
      <c r="D11" s="67">
        <f t="shared" si="5"/>
        <v>1.043745908656025</v>
      </c>
      <c r="E11" s="67">
        <f t="shared" si="5"/>
        <v>-3.2258064516129226E-2</v>
      </c>
      <c r="F11" s="67">
        <f t="shared" si="5"/>
        <v>3.3333333333333437E-2</v>
      </c>
      <c r="G11" s="67">
        <f t="shared" si="5"/>
        <v>0.81441323495072537</v>
      </c>
      <c r="H11" s="67">
        <f t="shared" si="5"/>
        <v>3.3333333333333437E-2</v>
      </c>
      <c r="I11" s="67">
        <f t="shared" si="5"/>
        <v>0</v>
      </c>
      <c r="J11" s="67">
        <f t="shared" si="5"/>
        <v>-0.48384169843232983</v>
      </c>
      <c r="K11" s="67">
        <f t="shared" si="5"/>
        <v>3.3333333333333437E-2</v>
      </c>
      <c r="L11" s="67">
        <f t="shared" si="5"/>
        <v>-3.2258064516129226E-2</v>
      </c>
      <c r="M11" s="67">
        <f t="shared" si="5"/>
        <v>-0.44022022786582637</v>
      </c>
      <c r="N11" s="68"/>
    </row>
    <row r="12" spans="1:14" x14ac:dyDescent="0.25">
      <c r="A12" s="64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8"/>
    </row>
    <row r="13" spans="1:14" x14ac:dyDescent="0.25">
      <c r="A13" s="1" t="s">
        <v>10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8"/>
    </row>
    <row r="14" spans="1:14" x14ac:dyDescent="0.25">
      <c r="A14" t="s">
        <v>56</v>
      </c>
      <c r="B14" s="66">
        <f>0.4*B8</f>
        <v>461.19142857142862</v>
      </c>
      <c r="C14" s="66">
        <f t="shared" ref="C14:N14" si="6">0.4*C8</f>
        <v>416.56000000000006</v>
      </c>
      <c r="D14" s="66">
        <f t="shared" si="6"/>
        <v>850.90571428571423</v>
      </c>
      <c r="E14" s="66">
        <f t="shared" si="6"/>
        <v>823.4571428571428</v>
      </c>
      <c r="F14" s="66">
        <f t="shared" si="6"/>
        <v>850.90571428571423</v>
      </c>
      <c r="G14" s="66">
        <f t="shared" si="6"/>
        <v>1543.4571428571433</v>
      </c>
      <c r="H14" s="66">
        <f t="shared" si="6"/>
        <v>1594.9057142857146</v>
      </c>
      <c r="I14" s="66">
        <f t="shared" si="6"/>
        <v>1594.9057142857146</v>
      </c>
      <c r="J14" s="66">
        <f t="shared" si="6"/>
        <v>823.4571428571428</v>
      </c>
      <c r="K14" s="66">
        <f t="shared" si="6"/>
        <v>850.90571428571423</v>
      </c>
      <c r="L14" s="66">
        <f t="shared" si="6"/>
        <v>823.4571428571428</v>
      </c>
      <c r="M14" s="66">
        <f t="shared" si="6"/>
        <v>461.19142857142862</v>
      </c>
      <c r="N14" s="69">
        <f t="shared" si="6"/>
        <v>11095.3</v>
      </c>
    </row>
    <row r="15" spans="1:14" x14ac:dyDescent="0.25">
      <c r="A15" t="s">
        <v>57</v>
      </c>
      <c r="B15" s="58">
        <f>$B$86*2+$B$87</f>
        <v>15416.666666666668</v>
      </c>
      <c r="C15" s="58">
        <f t="shared" ref="C15" si="7">$B$86*2+$B$87</f>
        <v>15416.666666666668</v>
      </c>
      <c r="D15" s="58">
        <f t="shared" ref="D15:M15" si="8">$B$86*2+$B$87</f>
        <v>15416.666666666668</v>
      </c>
      <c r="E15" s="58">
        <f t="shared" si="8"/>
        <v>15416.666666666668</v>
      </c>
      <c r="F15" s="58">
        <f t="shared" si="8"/>
        <v>15416.666666666668</v>
      </c>
      <c r="G15" s="58">
        <f t="shared" si="8"/>
        <v>15416.666666666668</v>
      </c>
      <c r="H15" s="58">
        <f t="shared" si="8"/>
        <v>15416.666666666668</v>
      </c>
      <c r="I15" s="58">
        <f t="shared" si="8"/>
        <v>15416.666666666668</v>
      </c>
      <c r="J15" s="58">
        <f t="shared" si="8"/>
        <v>15416.666666666668</v>
      </c>
      <c r="K15" s="58">
        <f t="shared" si="8"/>
        <v>15416.666666666668</v>
      </c>
      <c r="L15" s="58">
        <f t="shared" si="8"/>
        <v>15416.666666666668</v>
      </c>
      <c r="M15" s="58">
        <f t="shared" si="8"/>
        <v>15416.666666666668</v>
      </c>
      <c r="N15" s="59">
        <f>SUM(B15:M15)</f>
        <v>185000</v>
      </c>
    </row>
    <row r="16" spans="1:14" x14ac:dyDescent="0.25">
      <c r="A16" s="1" t="s">
        <v>58</v>
      </c>
      <c r="B16" s="70">
        <f>B10-SUM(B14:B15)</f>
        <v>-2057.615238095239</v>
      </c>
      <c r="C16" s="70">
        <f>C10-SUM(C14:C15)</f>
        <v>-3350.4266666666681</v>
      </c>
      <c r="D16" s="70">
        <f t="shared" ref="D16:N16" si="9">D10-SUM(D14:D15)</f>
        <v>9244.0990476190473</v>
      </c>
      <c r="E16" s="70">
        <f t="shared" si="9"/>
        <v>8448.5904761904712</v>
      </c>
      <c r="F16" s="70">
        <f t="shared" si="9"/>
        <v>9244.0990476190473</v>
      </c>
      <c r="G16" s="70">
        <f t="shared" si="9"/>
        <v>29328.590476190471</v>
      </c>
      <c r="H16" s="70">
        <f t="shared" si="9"/>
        <v>30820.099047619042</v>
      </c>
      <c r="I16" s="70">
        <f t="shared" si="9"/>
        <v>30820.099047619042</v>
      </c>
      <c r="J16" s="70">
        <f t="shared" si="9"/>
        <v>8448.5904761904712</v>
      </c>
      <c r="K16" s="70">
        <f t="shared" si="9"/>
        <v>9244.0990476190473</v>
      </c>
      <c r="L16" s="70">
        <f t="shared" si="9"/>
        <v>8448.5904761904712</v>
      </c>
      <c r="M16" s="70">
        <f t="shared" si="9"/>
        <v>-2057.615238095239</v>
      </c>
      <c r="N16" s="71">
        <f t="shared" si="9"/>
        <v>136581.20000000001</v>
      </c>
    </row>
    <row r="17" spans="1:14" x14ac:dyDescent="0.25">
      <c r="A17" s="64" t="s">
        <v>59</v>
      </c>
      <c r="B17" s="72">
        <f>B16/B10</f>
        <v>-0.14888415922675199</v>
      </c>
      <c r="C17" s="72">
        <f t="shared" ref="C17" si="10">C16/C10</f>
        <v>-0.26840345648946295</v>
      </c>
      <c r="D17" s="72">
        <f t="shared" ref="D17" si="11">D16/D10</f>
        <v>0.36234784041888574</v>
      </c>
      <c r="E17" s="72">
        <f t="shared" ref="E17" si="12">E16/E10</f>
        <v>0.34220455461624055</v>
      </c>
      <c r="F17" s="72">
        <f t="shared" ref="F17" si="13">F16/F10</f>
        <v>0.36234784041888574</v>
      </c>
      <c r="G17" s="72">
        <f t="shared" ref="G17" si="14">G16/G10</f>
        <v>0.63360132007904835</v>
      </c>
      <c r="H17" s="72">
        <f t="shared" ref="H17" si="15">H16/H10</f>
        <v>0.64434501507319664</v>
      </c>
      <c r="I17" s="72">
        <f t="shared" ref="I17" si="16">I16/I10</f>
        <v>0.64434501507319664</v>
      </c>
      <c r="J17" s="72">
        <f t="shared" ref="J17" si="17">J16/J10</f>
        <v>0.34220455461624055</v>
      </c>
      <c r="K17" s="72">
        <f t="shared" ref="K17" si="18">K16/K10</f>
        <v>0.36234784041888574</v>
      </c>
      <c r="L17" s="72">
        <f t="shared" ref="L17" si="19">L16/L10</f>
        <v>0.34220455461624055</v>
      </c>
      <c r="M17" s="72">
        <f t="shared" ref="M17" si="20">M16/M10</f>
        <v>-0.14888415922675199</v>
      </c>
      <c r="N17" s="73">
        <f t="shared" ref="N17" si="21">N16/N10</f>
        <v>0.41055259388625287</v>
      </c>
    </row>
    <row r="18" spans="1:14" x14ac:dyDescent="0.25">
      <c r="A18" s="64" t="s">
        <v>54</v>
      </c>
      <c r="B18" s="74" t="s">
        <v>55</v>
      </c>
      <c r="C18" s="67" t="str">
        <f t="shared" ref="C18:M18" si="22">IF(OR(C16&lt;0,B16&lt;0),"NA",C16/B16-1)</f>
        <v>NA</v>
      </c>
      <c r="D18" s="67" t="str">
        <f t="shared" si="22"/>
        <v>NA</v>
      </c>
      <c r="E18" s="67">
        <f t="shared" si="22"/>
        <v>-8.605582516269894E-2</v>
      </c>
      <c r="F18" s="67">
        <f t="shared" si="22"/>
        <v>9.4158732592193983E-2</v>
      </c>
      <c r="G18" s="67">
        <f t="shared" si="22"/>
        <v>2.172682413408852</v>
      </c>
      <c r="H18" s="67">
        <f t="shared" si="22"/>
        <v>5.0855105793079503E-2</v>
      </c>
      <c r="I18" s="67">
        <f t="shared" si="22"/>
        <v>0</v>
      </c>
      <c r="J18" s="67">
        <f t="shared" si="22"/>
        <v>-0.72587399984870737</v>
      </c>
      <c r="K18" s="67">
        <f t="shared" si="22"/>
        <v>9.4158732592193983E-2</v>
      </c>
      <c r="L18" s="67">
        <f t="shared" si="22"/>
        <v>-8.605582516269894E-2</v>
      </c>
      <c r="M18" s="67" t="str">
        <f t="shared" si="22"/>
        <v>NA</v>
      </c>
      <c r="N18" s="75"/>
    </row>
    <row r="19" spans="1:14" x14ac:dyDescent="0.25">
      <c r="A19" s="1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8"/>
    </row>
    <row r="20" spans="1:14" x14ac:dyDescent="0.25"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61"/>
    </row>
    <row r="21" spans="1:14" x14ac:dyDescent="0.25">
      <c r="A21" s="1" t="s">
        <v>21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61"/>
    </row>
    <row r="22" spans="1:14" x14ac:dyDescent="0.25">
      <c r="A22" t="s">
        <v>60</v>
      </c>
      <c r="B22" s="58">
        <v>3000</v>
      </c>
      <c r="C22" s="58">
        <v>3000</v>
      </c>
      <c r="D22" s="58">
        <v>4000</v>
      </c>
      <c r="E22" s="58">
        <v>4000</v>
      </c>
      <c r="F22" s="58">
        <v>4000</v>
      </c>
      <c r="G22" s="58">
        <v>5500</v>
      </c>
      <c r="H22" s="58">
        <v>5500</v>
      </c>
      <c r="I22" s="58">
        <v>5500</v>
      </c>
      <c r="J22" s="58">
        <v>4000</v>
      </c>
      <c r="K22" s="58">
        <v>4000</v>
      </c>
      <c r="L22" s="58">
        <v>3000</v>
      </c>
      <c r="M22" s="58">
        <v>3000</v>
      </c>
      <c r="N22" s="59">
        <f t="shared" ref="N22:N28" si="23">SUM(B22:M22)</f>
        <v>48500</v>
      </c>
    </row>
    <row r="23" spans="1:14" x14ac:dyDescent="0.25">
      <c r="A23" t="s">
        <v>61</v>
      </c>
      <c r="B23" s="58">
        <v>5000</v>
      </c>
      <c r="C23" s="58">
        <v>5000</v>
      </c>
      <c r="D23" s="58">
        <v>5000</v>
      </c>
      <c r="E23" s="58">
        <v>5000</v>
      </c>
      <c r="F23" s="58">
        <v>5000</v>
      </c>
      <c r="G23" s="58">
        <v>5000</v>
      </c>
      <c r="H23" s="58">
        <v>5000</v>
      </c>
      <c r="I23" s="58">
        <v>5000</v>
      </c>
      <c r="J23" s="58">
        <v>5000</v>
      </c>
      <c r="K23" s="58">
        <v>5000</v>
      </c>
      <c r="L23" s="58">
        <v>5000</v>
      </c>
      <c r="M23" s="58">
        <v>5000</v>
      </c>
      <c r="N23" s="59">
        <f t="shared" si="23"/>
        <v>60000</v>
      </c>
    </row>
    <row r="24" spans="1:14" x14ac:dyDescent="0.25">
      <c r="A24" t="s">
        <v>62</v>
      </c>
      <c r="B24" s="58">
        <v>500</v>
      </c>
      <c r="C24" s="58">
        <v>500</v>
      </c>
      <c r="D24" s="58">
        <v>800</v>
      </c>
      <c r="E24" s="58">
        <v>800</v>
      </c>
      <c r="F24" s="58">
        <v>800</v>
      </c>
      <c r="G24" s="58">
        <v>1000</v>
      </c>
      <c r="H24" s="58">
        <v>1000</v>
      </c>
      <c r="I24" s="58">
        <v>1000</v>
      </c>
      <c r="J24" s="58">
        <v>800</v>
      </c>
      <c r="K24" s="58">
        <v>800</v>
      </c>
      <c r="L24" s="58">
        <v>800</v>
      </c>
      <c r="M24" s="58">
        <v>500</v>
      </c>
      <c r="N24" s="59">
        <f t="shared" si="23"/>
        <v>9300</v>
      </c>
    </row>
    <row r="25" spans="1:14" x14ac:dyDescent="0.25">
      <c r="A25" t="s">
        <v>63</v>
      </c>
      <c r="B25" s="58">
        <v>1000</v>
      </c>
      <c r="C25" s="58">
        <v>1000</v>
      </c>
      <c r="D25" s="58">
        <v>1000</v>
      </c>
      <c r="E25" s="58">
        <v>1000</v>
      </c>
      <c r="F25" s="58">
        <v>1000</v>
      </c>
      <c r="G25" s="58">
        <v>1000</v>
      </c>
      <c r="H25" s="58">
        <v>1000</v>
      </c>
      <c r="I25" s="58">
        <v>1000</v>
      </c>
      <c r="J25" s="58">
        <v>1000</v>
      </c>
      <c r="K25" s="58">
        <v>1000</v>
      </c>
      <c r="L25" s="58">
        <v>1000</v>
      </c>
      <c r="M25" s="58">
        <v>1000</v>
      </c>
      <c r="N25" s="59">
        <f t="shared" si="23"/>
        <v>12000</v>
      </c>
    </row>
    <row r="26" spans="1:14" x14ac:dyDescent="0.25">
      <c r="A26" t="s">
        <v>64</v>
      </c>
      <c r="B26" s="60">
        <v>600</v>
      </c>
      <c r="C26" s="60">
        <v>600</v>
      </c>
      <c r="D26" s="60">
        <v>600</v>
      </c>
      <c r="E26" s="60">
        <v>600</v>
      </c>
      <c r="F26" s="60">
        <v>600</v>
      </c>
      <c r="G26" s="60">
        <v>600</v>
      </c>
      <c r="H26" s="60">
        <v>600</v>
      </c>
      <c r="I26" s="60">
        <v>600</v>
      </c>
      <c r="J26" s="60">
        <v>600</v>
      </c>
      <c r="K26" s="60">
        <v>600</v>
      </c>
      <c r="L26" s="60">
        <v>600</v>
      </c>
      <c r="M26" s="60">
        <v>600</v>
      </c>
      <c r="N26" s="59">
        <f t="shared" si="23"/>
        <v>7200</v>
      </c>
    </row>
    <row r="27" spans="1:14" x14ac:dyDescent="0.25">
      <c r="A27" t="s">
        <v>65</v>
      </c>
      <c r="B27" s="58">
        <v>500</v>
      </c>
      <c r="C27" s="58">
        <v>500</v>
      </c>
      <c r="D27" s="58">
        <v>1000</v>
      </c>
      <c r="E27" s="58">
        <v>1000</v>
      </c>
      <c r="F27" s="58">
        <v>1000</v>
      </c>
      <c r="G27" s="58">
        <v>1000</v>
      </c>
      <c r="H27" s="58">
        <v>1000</v>
      </c>
      <c r="I27" s="58">
        <v>1000</v>
      </c>
      <c r="J27" s="58">
        <v>1000</v>
      </c>
      <c r="K27" s="58">
        <v>500</v>
      </c>
      <c r="L27" s="58">
        <v>500</v>
      </c>
      <c r="M27" s="58">
        <v>500</v>
      </c>
      <c r="N27" s="59">
        <f t="shared" si="23"/>
        <v>9500</v>
      </c>
    </row>
    <row r="28" spans="1:14" x14ac:dyDescent="0.25">
      <c r="A28" t="s">
        <v>66</v>
      </c>
      <c r="B28" s="58">
        <v>118000</v>
      </c>
      <c r="C28" s="58">
        <v>0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9">
        <f t="shared" si="23"/>
        <v>118000</v>
      </c>
    </row>
    <row r="29" spans="1:14" x14ac:dyDescent="0.25">
      <c r="A29" t="s">
        <v>67</v>
      </c>
      <c r="B29" s="58">
        <f t="shared" ref="B29:N29" si="24">SUM(B22:B28)</f>
        <v>128600</v>
      </c>
      <c r="C29" s="58">
        <f t="shared" si="24"/>
        <v>10600</v>
      </c>
      <c r="D29" s="58">
        <f t="shared" si="24"/>
        <v>12400</v>
      </c>
      <c r="E29" s="58">
        <f t="shared" si="24"/>
        <v>12400</v>
      </c>
      <c r="F29" s="58">
        <f t="shared" si="24"/>
        <v>12400</v>
      </c>
      <c r="G29" s="58">
        <f t="shared" si="24"/>
        <v>14100</v>
      </c>
      <c r="H29" s="58">
        <f t="shared" si="24"/>
        <v>14100</v>
      </c>
      <c r="I29" s="58">
        <f t="shared" si="24"/>
        <v>14100</v>
      </c>
      <c r="J29" s="58">
        <f t="shared" si="24"/>
        <v>12400</v>
      </c>
      <c r="K29" s="58">
        <f t="shared" si="24"/>
        <v>11900</v>
      </c>
      <c r="L29" s="58">
        <f t="shared" si="24"/>
        <v>10900</v>
      </c>
      <c r="M29" s="58">
        <f t="shared" si="24"/>
        <v>10600</v>
      </c>
      <c r="N29" s="77">
        <f t="shared" si="24"/>
        <v>264500</v>
      </c>
    </row>
    <row r="30" spans="1:14" x14ac:dyDescent="0.25"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9"/>
    </row>
    <row r="31" spans="1:14" x14ac:dyDescent="0.25">
      <c r="A31" t="s">
        <v>22</v>
      </c>
      <c r="B31" s="70">
        <f t="shared" ref="B31:N31" si="25">B16-B29</f>
        <v>-130657.61523809524</v>
      </c>
      <c r="C31" s="70">
        <f t="shared" si="25"/>
        <v>-13950.426666666668</v>
      </c>
      <c r="D31" s="70">
        <f t="shared" si="25"/>
        <v>-3155.9009523809527</v>
      </c>
      <c r="E31" s="70">
        <f t="shared" si="25"/>
        <v>-3951.4095238095288</v>
      </c>
      <c r="F31" s="70">
        <f t="shared" si="25"/>
        <v>-3155.9009523809527</v>
      </c>
      <c r="G31" s="70">
        <f t="shared" si="25"/>
        <v>15228.590476190471</v>
      </c>
      <c r="H31" s="70">
        <f t="shared" si="25"/>
        <v>16720.099047619042</v>
      </c>
      <c r="I31" s="70">
        <f t="shared" si="25"/>
        <v>16720.099047619042</v>
      </c>
      <c r="J31" s="70">
        <f t="shared" si="25"/>
        <v>-3951.4095238095288</v>
      </c>
      <c r="K31" s="70">
        <f t="shared" si="25"/>
        <v>-2655.9009523809527</v>
      </c>
      <c r="L31" s="70">
        <f t="shared" si="25"/>
        <v>-2451.4095238095288</v>
      </c>
      <c r="M31" s="70">
        <f t="shared" si="25"/>
        <v>-12657.615238095239</v>
      </c>
      <c r="N31" s="71">
        <f t="shared" si="25"/>
        <v>-127918.79999999999</v>
      </c>
    </row>
    <row r="32" spans="1:14" x14ac:dyDescent="0.25">
      <c r="A32" s="64" t="s">
        <v>59</v>
      </c>
      <c r="B32" s="67">
        <f t="shared" ref="B32:N32" si="26">B31/B10</f>
        <v>-9.4540751988714966</v>
      </c>
      <c r="C32" s="67">
        <f t="shared" si="26"/>
        <v>-1.1175719122846373</v>
      </c>
      <c r="D32" s="67">
        <f t="shared" si="26"/>
        <v>-0.12370420186764192</v>
      </c>
      <c r="E32" s="67">
        <f t="shared" si="26"/>
        <v>-0.16004922241317146</v>
      </c>
      <c r="F32" s="67">
        <f t="shared" si="26"/>
        <v>-0.12370420186764192</v>
      </c>
      <c r="G32" s="67">
        <f t="shared" si="26"/>
        <v>0.32899143368279621</v>
      </c>
      <c r="H32" s="67">
        <f t="shared" si="26"/>
        <v>0.34956125404456551</v>
      </c>
      <c r="I32" s="67">
        <f t="shared" si="26"/>
        <v>0.34956125404456551</v>
      </c>
      <c r="J32" s="67">
        <f t="shared" si="26"/>
        <v>-0.16004922241317146</v>
      </c>
      <c r="K32" s="67">
        <f t="shared" si="26"/>
        <v>-0.10410532919479806</v>
      </c>
      <c r="L32" s="67">
        <f t="shared" si="26"/>
        <v>-9.929271712735549E-2</v>
      </c>
      <c r="M32" s="67">
        <f t="shared" si="26"/>
        <v>-0.91587502252561892</v>
      </c>
      <c r="N32" s="75">
        <f t="shared" si="26"/>
        <v>-0.38451408500450135</v>
      </c>
    </row>
    <row r="33" spans="1:14" x14ac:dyDescent="0.25">
      <c r="A33" s="64" t="s">
        <v>54</v>
      </c>
      <c r="B33" s="74" t="s">
        <v>55</v>
      </c>
      <c r="C33" s="78" t="str">
        <f t="shared" ref="C33:M33" si="27">IF(OR(C31&lt;0,B31&lt;0),"N/A",C31/B31-1)</f>
        <v>N/A</v>
      </c>
      <c r="D33" s="78" t="str">
        <f t="shared" si="27"/>
        <v>N/A</v>
      </c>
      <c r="E33" s="78" t="str">
        <f t="shared" si="27"/>
        <v>N/A</v>
      </c>
      <c r="F33" s="78" t="str">
        <f t="shared" si="27"/>
        <v>N/A</v>
      </c>
      <c r="G33" s="78" t="str">
        <f t="shared" si="27"/>
        <v>N/A</v>
      </c>
      <c r="H33" s="78">
        <f t="shared" si="27"/>
        <v>9.7941340911393393E-2</v>
      </c>
      <c r="I33" s="78">
        <f t="shared" si="27"/>
        <v>0</v>
      </c>
      <c r="J33" s="78" t="str">
        <f t="shared" si="27"/>
        <v>N/A</v>
      </c>
      <c r="K33" s="78" t="str">
        <f t="shared" si="27"/>
        <v>N/A</v>
      </c>
      <c r="L33" s="78" t="str">
        <f t="shared" si="27"/>
        <v>N/A</v>
      </c>
      <c r="M33" s="78" t="str">
        <f t="shared" si="27"/>
        <v>N/A</v>
      </c>
      <c r="N33" s="59"/>
    </row>
    <row r="34" spans="1:14" x14ac:dyDescent="0.25">
      <c r="N34" s="61"/>
    </row>
    <row r="35" spans="1:14" x14ac:dyDescent="0.25"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61"/>
    </row>
    <row r="36" spans="1:14" x14ac:dyDescent="0.25">
      <c r="A36" s="1" t="s">
        <v>68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59"/>
    </row>
    <row r="37" spans="1:14" x14ac:dyDescent="0.25">
      <c r="A37" t="s">
        <v>69</v>
      </c>
      <c r="B37" s="58">
        <f>$B$70</f>
        <v>333.33333333333331</v>
      </c>
      <c r="C37" s="58">
        <f t="shared" ref="C37:M37" si="28">$B$70</f>
        <v>333.33333333333331</v>
      </c>
      <c r="D37" s="58">
        <f t="shared" si="28"/>
        <v>333.33333333333331</v>
      </c>
      <c r="E37" s="58">
        <f t="shared" si="28"/>
        <v>333.33333333333331</v>
      </c>
      <c r="F37" s="58">
        <f t="shared" si="28"/>
        <v>333.33333333333331</v>
      </c>
      <c r="G37" s="58">
        <f t="shared" si="28"/>
        <v>333.33333333333331</v>
      </c>
      <c r="H37" s="58">
        <f t="shared" si="28"/>
        <v>333.33333333333331</v>
      </c>
      <c r="I37" s="58">
        <f t="shared" si="28"/>
        <v>333.33333333333331</v>
      </c>
      <c r="J37" s="58">
        <f t="shared" si="28"/>
        <v>333.33333333333331</v>
      </c>
      <c r="K37" s="58">
        <f t="shared" si="28"/>
        <v>333.33333333333331</v>
      </c>
      <c r="L37" s="58">
        <f t="shared" si="28"/>
        <v>333.33333333333331</v>
      </c>
      <c r="M37" s="58">
        <f t="shared" si="28"/>
        <v>333.33333333333331</v>
      </c>
      <c r="N37" s="59">
        <f>SUM(B37:M37)</f>
        <v>4000.0000000000005</v>
      </c>
    </row>
    <row r="38" spans="1:14" x14ac:dyDescent="0.25">
      <c r="A38" t="s">
        <v>70</v>
      </c>
      <c r="B38" s="58">
        <f>$B$69</f>
        <v>2281.2705804724937</v>
      </c>
      <c r="C38" s="58">
        <f t="shared" ref="C38" si="29">$B$69</f>
        <v>2281.2705804724937</v>
      </c>
      <c r="D38" s="58">
        <f t="shared" ref="D38:M38" si="30">$B$69</f>
        <v>2281.2705804724937</v>
      </c>
      <c r="E38" s="58">
        <f t="shared" si="30"/>
        <v>2281.2705804724937</v>
      </c>
      <c r="F38" s="58">
        <f t="shared" si="30"/>
        <v>2281.2705804724937</v>
      </c>
      <c r="G38" s="58">
        <f t="shared" si="30"/>
        <v>2281.2705804724937</v>
      </c>
      <c r="H38" s="58">
        <f t="shared" si="30"/>
        <v>2281.2705804724937</v>
      </c>
      <c r="I38" s="58">
        <f t="shared" si="30"/>
        <v>2281.2705804724937</v>
      </c>
      <c r="J38" s="58">
        <f t="shared" si="30"/>
        <v>2281.2705804724937</v>
      </c>
      <c r="K38" s="58">
        <f t="shared" si="30"/>
        <v>2281.2705804724937</v>
      </c>
      <c r="L38" s="58">
        <f t="shared" si="30"/>
        <v>2281.2705804724937</v>
      </c>
      <c r="M38" s="58">
        <f t="shared" si="30"/>
        <v>2281.2705804724937</v>
      </c>
      <c r="N38" s="59">
        <f>SUM(B38:M38)</f>
        <v>27375.246965669925</v>
      </c>
    </row>
    <row r="39" spans="1:14" x14ac:dyDescent="0.25">
      <c r="A39" t="s">
        <v>71</v>
      </c>
      <c r="B39" s="58">
        <v>0</v>
      </c>
      <c r="C39" s="58">
        <v>0</v>
      </c>
      <c r="D39" s="58">
        <v>0</v>
      </c>
      <c r="E39" s="58">
        <v>0</v>
      </c>
      <c r="F39" s="58">
        <v>0</v>
      </c>
      <c r="G39" s="58">
        <v>0</v>
      </c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9">
        <f>SUM(B39:M39)</f>
        <v>0</v>
      </c>
    </row>
    <row r="40" spans="1:14" x14ac:dyDescent="0.25">
      <c r="A40" t="s">
        <v>72</v>
      </c>
      <c r="B40" s="58">
        <v>0</v>
      </c>
      <c r="C40" s="58">
        <v>0</v>
      </c>
      <c r="D40" s="58">
        <v>0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9">
        <f>SUM(B40:M40)</f>
        <v>0</v>
      </c>
    </row>
    <row r="41" spans="1:14" x14ac:dyDescent="0.25">
      <c r="A41" t="s">
        <v>73</v>
      </c>
      <c r="B41" s="60">
        <f>SUM(B37:B40)</f>
        <v>2614.6039138058272</v>
      </c>
      <c r="C41" s="60">
        <f t="shared" ref="C41:N41" si="31">SUM(C37:C40)</f>
        <v>2614.6039138058272</v>
      </c>
      <c r="D41" s="60">
        <f t="shared" si="31"/>
        <v>2614.6039138058272</v>
      </c>
      <c r="E41" s="60">
        <f t="shared" si="31"/>
        <v>2614.6039138058272</v>
      </c>
      <c r="F41" s="60">
        <f t="shared" si="31"/>
        <v>2614.6039138058272</v>
      </c>
      <c r="G41" s="60">
        <f t="shared" si="31"/>
        <v>2614.6039138058272</v>
      </c>
      <c r="H41" s="60">
        <f t="shared" si="31"/>
        <v>2614.6039138058272</v>
      </c>
      <c r="I41" s="60">
        <f t="shared" si="31"/>
        <v>2614.6039138058272</v>
      </c>
      <c r="J41" s="60">
        <f t="shared" si="31"/>
        <v>2614.6039138058272</v>
      </c>
      <c r="K41" s="60">
        <f t="shared" si="31"/>
        <v>2614.6039138058272</v>
      </c>
      <c r="L41" s="60">
        <f t="shared" si="31"/>
        <v>2614.6039138058272</v>
      </c>
      <c r="M41" s="60">
        <f t="shared" si="31"/>
        <v>2614.6039138058272</v>
      </c>
      <c r="N41" s="79">
        <f t="shared" si="31"/>
        <v>31375.246965669925</v>
      </c>
    </row>
    <row r="42" spans="1:14" x14ac:dyDescent="0.25"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59"/>
    </row>
    <row r="43" spans="1:14" x14ac:dyDescent="0.25">
      <c r="A43" s="80" t="s">
        <v>74</v>
      </c>
      <c r="B43" s="58">
        <f>(B31-B41)*0.21</f>
        <v>-27987.166021899226</v>
      </c>
      <c r="C43" s="58">
        <f t="shared" ref="C43:N43" si="32">(C31-C41)*0.21</f>
        <v>-3478.6564218992239</v>
      </c>
      <c r="D43" s="58">
        <f t="shared" si="32"/>
        <v>-1211.8060218992239</v>
      </c>
      <c r="E43" s="58">
        <f t="shared" si="32"/>
        <v>-1378.8628218992249</v>
      </c>
      <c r="F43" s="58">
        <f t="shared" si="32"/>
        <v>-1211.8060218992239</v>
      </c>
      <c r="G43" s="58">
        <f t="shared" si="32"/>
        <v>2648.9371781007749</v>
      </c>
      <c r="H43" s="58">
        <f t="shared" si="32"/>
        <v>2962.153978100775</v>
      </c>
      <c r="I43" s="58">
        <f t="shared" si="32"/>
        <v>2962.153978100775</v>
      </c>
      <c r="J43" s="58">
        <f t="shared" si="32"/>
        <v>-1378.8628218992249</v>
      </c>
      <c r="K43" s="58">
        <f t="shared" si="32"/>
        <v>-1106.8060218992239</v>
      </c>
      <c r="L43" s="58">
        <f t="shared" si="32"/>
        <v>-1063.8628218992249</v>
      </c>
      <c r="M43" s="58">
        <f t="shared" si="32"/>
        <v>-3207.1660218992238</v>
      </c>
      <c r="N43" s="77">
        <f t="shared" si="32"/>
        <v>-33451.749862790675</v>
      </c>
    </row>
    <row r="44" spans="1:14" ht="15.75" thickBot="1" x14ac:dyDescent="0.3">
      <c r="A44" s="81" t="s">
        <v>75</v>
      </c>
      <c r="B44" s="82">
        <f>B31-B41-B43</f>
        <v>-105285.05313000185</v>
      </c>
      <c r="C44" s="82">
        <f t="shared" ref="C44:M44" si="33">C31-C41-C43</f>
        <v>-13086.374158573271</v>
      </c>
      <c r="D44" s="82">
        <f t="shared" si="33"/>
        <v>-4558.6988442875563</v>
      </c>
      <c r="E44" s="82">
        <f t="shared" si="33"/>
        <v>-5187.1506157161311</v>
      </c>
      <c r="F44" s="82">
        <f t="shared" si="33"/>
        <v>-4558.6988442875563</v>
      </c>
      <c r="G44" s="82">
        <f t="shared" si="33"/>
        <v>9965.0493842838696</v>
      </c>
      <c r="H44" s="82">
        <f t="shared" si="33"/>
        <v>11143.341155712438</v>
      </c>
      <c r="I44" s="82">
        <f t="shared" si="33"/>
        <v>11143.341155712438</v>
      </c>
      <c r="J44" s="82">
        <f t="shared" si="33"/>
        <v>-5187.1506157161311</v>
      </c>
      <c r="K44" s="82">
        <f t="shared" si="33"/>
        <v>-4163.6988442875563</v>
      </c>
      <c r="L44" s="82">
        <f t="shared" si="33"/>
        <v>-4002.1506157161316</v>
      </c>
      <c r="M44" s="82">
        <f t="shared" si="33"/>
        <v>-12065.053130001843</v>
      </c>
      <c r="N44" s="83">
        <f>N31-N41-N43</f>
        <v>-125842.29710287922</v>
      </c>
    </row>
    <row r="45" spans="1:14" ht="15.75" thickTop="1" x14ac:dyDescent="0.25"/>
    <row r="46" spans="1:14" hidden="1" outlineLevel="1" x14ac:dyDescent="0.25">
      <c r="A46" s="84" t="s">
        <v>76</v>
      </c>
    </row>
    <row r="47" spans="1:14" hidden="1" outlineLevel="1" x14ac:dyDescent="0.25">
      <c r="A47" s="1" t="s">
        <v>77</v>
      </c>
    </row>
    <row r="48" spans="1:14" hidden="1" outlineLevel="1" x14ac:dyDescent="0.25">
      <c r="A48" t="s">
        <v>78</v>
      </c>
      <c r="B48" s="16">
        <f>(((B77*5)+(B78*2))*B74)/7</f>
        <v>408.57142857142856</v>
      </c>
    </row>
    <row r="49" spans="1:2" hidden="1" outlineLevel="1" x14ac:dyDescent="0.25">
      <c r="A49" t="s">
        <v>79</v>
      </c>
      <c r="B49" s="85">
        <f>(B75*(B77*5+B78*2)/7)</f>
        <v>37.142857142857146</v>
      </c>
    </row>
    <row r="50" spans="1:2" hidden="1" outlineLevel="1" x14ac:dyDescent="0.25">
      <c r="A50" t="s">
        <v>80</v>
      </c>
      <c r="B50" s="16">
        <f>(((B80*5)+(B81*2))*B74)/7</f>
        <v>754.28571428571433</v>
      </c>
    </row>
    <row r="51" spans="1:2" hidden="1" outlineLevel="1" x14ac:dyDescent="0.25">
      <c r="A51" t="s">
        <v>81</v>
      </c>
      <c r="B51" s="85">
        <f>(B75*(B80*5+B81*2))/7</f>
        <v>68.571428571428569</v>
      </c>
    </row>
    <row r="52" spans="1:2" hidden="1" outlineLevel="1" x14ac:dyDescent="0.25">
      <c r="A52" t="s">
        <v>82</v>
      </c>
      <c r="B52" s="16">
        <f>(((B83*5)+(B84*2))*B74)/7</f>
        <v>1414.2857142857142</v>
      </c>
    </row>
    <row r="53" spans="1:2" hidden="1" outlineLevel="1" x14ac:dyDescent="0.25">
      <c r="A53" t="s">
        <v>83</v>
      </c>
      <c r="B53" s="85">
        <f>(B75*(B83*5+B84*2)/7)</f>
        <v>128.57142857142858</v>
      </c>
    </row>
    <row r="54" spans="1:2" hidden="1" outlineLevel="1" x14ac:dyDescent="0.25"/>
    <row r="55" spans="1:2" hidden="1" outlineLevel="1" x14ac:dyDescent="0.25">
      <c r="A55" s="1" t="s">
        <v>21</v>
      </c>
    </row>
    <row r="56" spans="1:2" hidden="1" outlineLevel="1" x14ac:dyDescent="0.25">
      <c r="A56" t="s">
        <v>84</v>
      </c>
      <c r="B56" s="16"/>
    </row>
    <row r="57" spans="1:2" hidden="1" outlineLevel="1" x14ac:dyDescent="0.25">
      <c r="A57" t="s">
        <v>85</v>
      </c>
      <c r="B57" s="16">
        <v>60000</v>
      </c>
    </row>
    <row r="58" spans="1:2" hidden="1" outlineLevel="1" x14ac:dyDescent="0.25">
      <c r="A58" t="s">
        <v>86</v>
      </c>
      <c r="B58" s="16">
        <v>20000</v>
      </c>
    </row>
    <row r="59" spans="1:2" hidden="1" outlineLevel="1" x14ac:dyDescent="0.25">
      <c r="A59" t="s">
        <v>87</v>
      </c>
      <c r="B59" s="16">
        <v>5000</v>
      </c>
    </row>
    <row r="60" spans="1:2" hidden="1" outlineLevel="1" x14ac:dyDescent="0.25">
      <c r="A60" t="s">
        <v>88</v>
      </c>
      <c r="B60" s="16">
        <v>4000</v>
      </c>
    </row>
    <row r="61" spans="1:2" hidden="1" outlineLevel="1" x14ac:dyDescent="0.25">
      <c r="A61" t="s">
        <v>89</v>
      </c>
      <c r="B61" s="16">
        <v>17000</v>
      </c>
    </row>
    <row r="62" spans="1:2" hidden="1" outlineLevel="1" x14ac:dyDescent="0.25">
      <c r="A62" t="s">
        <v>90</v>
      </c>
      <c r="B62" s="16">
        <v>5000</v>
      </c>
    </row>
    <row r="63" spans="1:2" hidden="1" outlineLevel="1" x14ac:dyDescent="0.25">
      <c r="A63" t="s">
        <v>91</v>
      </c>
      <c r="B63" s="16">
        <v>5000</v>
      </c>
    </row>
    <row r="64" spans="1:2" hidden="1" outlineLevel="1" x14ac:dyDescent="0.25">
      <c r="A64" t="s">
        <v>92</v>
      </c>
      <c r="B64" s="16">
        <v>2000</v>
      </c>
    </row>
    <row r="65" spans="1:2" hidden="1" outlineLevel="1" x14ac:dyDescent="0.25">
      <c r="A65" s="86" t="s">
        <v>93</v>
      </c>
      <c r="B65" s="85">
        <f>SUM(B57:B64)</f>
        <v>118000</v>
      </c>
    </row>
    <row r="66" spans="1:2" hidden="1" outlineLevel="1" x14ac:dyDescent="0.25">
      <c r="A66" t="s">
        <v>94</v>
      </c>
      <c r="B66" s="16">
        <f>(50000/12)</f>
        <v>4166.666666666667</v>
      </c>
    </row>
    <row r="67" spans="1:2" hidden="1" outlineLevel="1" x14ac:dyDescent="0.25"/>
    <row r="68" spans="1:2" hidden="1" outlineLevel="1" x14ac:dyDescent="0.25">
      <c r="A68" s="1" t="s">
        <v>68</v>
      </c>
    </row>
    <row r="69" spans="1:2" hidden="1" outlineLevel="1" x14ac:dyDescent="0.25">
      <c r="A69" t="s">
        <v>95</v>
      </c>
      <c r="B69" s="16">
        <f>PMT(0.06/12,60,-118000,0,0)</f>
        <v>2281.2705804724937</v>
      </c>
    </row>
    <row r="70" spans="1:2" hidden="1" outlineLevel="1" x14ac:dyDescent="0.25">
      <c r="A70" t="s">
        <v>96</v>
      </c>
      <c r="B70" s="87">
        <f>B57/180</f>
        <v>333.33333333333331</v>
      </c>
    </row>
    <row r="71" spans="1:2" hidden="1" outlineLevel="1" x14ac:dyDescent="0.25">
      <c r="A71" t="s">
        <v>97</v>
      </c>
      <c r="B71" s="88">
        <v>0.21</v>
      </c>
    </row>
    <row r="72" spans="1:2" hidden="1" outlineLevel="1" x14ac:dyDescent="0.25"/>
    <row r="73" spans="1:2" hidden="1" outlineLevel="1" x14ac:dyDescent="0.25">
      <c r="A73" s="1" t="s">
        <v>98</v>
      </c>
    </row>
    <row r="74" spans="1:2" hidden="1" outlineLevel="1" x14ac:dyDescent="0.25">
      <c r="A74" t="s">
        <v>99</v>
      </c>
      <c r="B74">
        <v>220</v>
      </c>
    </row>
    <row r="75" spans="1:2" hidden="1" outlineLevel="1" x14ac:dyDescent="0.25">
      <c r="A75" t="s">
        <v>100</v>
      </c>
      <c r="B75">
        <v>20</v>
      </c>
    </row>
    <row r="76" spans="1:2" hidden="1" outlineLevel="1" x14ac:dyDescent="0.25">
      <c r="A76" t="s">
        <v>101</v>
      </c>
    </row>
    <row r="77" spans="1:2" hidden="1" outlineLevel="1" x14ac:dyDescent="0.25">
      <c r="A77" t="s">
        <v>102</v>
      </c>
      <c r="B77">
        <v>1</v>
      </c>
    </row>
    <row r="78" spans="1:2" hidden="1" outlineLevel="1" x14ac:dyDescent="0.25">
      <c r="A78" t="s">
        <v>103</v>
      </c>
      <c r="B78">
        <v>4</v>
      </c>
    </row>
    <row r="79" spans="1:2" hidden="1" outlineLevel="1" x14ac:dyDescent="0.25">
      <c r="A79" t="s">
        <v>104</v>
      </c>
    </row>
    <row r="80" spans="1:2" hidden="1" outlineLevel="1" x14ac:dyDescent="0.25">
      <c r="A80" t="s">
        <v>102</v>
      </c>
      <c r="B80">
        <v>2</v>
      </c>
    </row>
    <row r="81" spans="1:6" hidden="1" outlineLevel="1" x14ac:dyDescent="0.25">
      <c r="A81" t="s">
        <v>103</v>
      </c>
      <c r="B81">
        <v>7</v>
      </c>
    </row>
    <row r="82" spans="1:6" hidden="1" outlineLevel="1" x14ac:dyDescent="0.25">
      <c r="A82" t="s">
        <v>105</v>
      </c>
    </row>
    <row r="83" spans="1:6" hidden="1" outlineLevel="1" x14ac:dyDescent="0.25">
      <c r="A83" t="s">
        <v>102</v>
      </c>
      <c r="B83">
        <v>5</v>
      </c>
    </row>
    <row r="84" spans="1:6" hidden="1" outlineLevel="1" x14ac:dyDescent="0.25">
      <c r="A84" t="s">
        <v>103</v>
      </c>
      <c r="B84">
        <v>10</v>
      </c>
    </row>
    <row r="85" spans="1:6" hidden="1" outlineLevel="1" x14ac:dyDescent="0.25"/>
    <row r="86" spans="1:6" hidden="1" outlineLevel="1" x14ac:dyDescent="0.25">
      <c r="A86" t="s">
        <v>106</v>
      </c>
      <c r="B86" s="16">
        <f>(50000/12)</f>
        <v>4166.666666666667</v>
      </c>
    </row>
    <row r="87" spans="1:6" hidden="1" outlineLevel="1" x14ac:dyDescent="0.25">
      <c r="A87" t="s">
        <v>107</v>
      </c>
      <c r="B87" s="89">
        <f>85000/12</f>
        <v>7083.333333333333</v>
      </c>
    </row>
    <row r="88" spans="1:6" hidden="1" outlineLevel="1" x14ac:dyDescent="0.25">
      <c r="A88" t="s">
        <v>108</v>
      </c>
      <c r="B88" s="89">
        <v>118000</v>
      </c>
    </row>
    <row r="89" spans="1:6" hidden="1" outlineLevel="1" x14ac:dyDescent="0.25">
      <c r="A89" t="s">
        <v>109</v>
      </c>
      <c r="B89" s="88">
        <v>0.05</v>
      </c>
    </row>
    <row r="90" spans="1:6" hidden="1" outlineLevel="1" x14ac:dyDescent="0.25">
      <c r="A90" t="s">
        <v>110</v>
      </c>
      <c r="B90" t="s">
        <v>111</v>
      </c>
    </row>
    <row r="91" spans="1:6" collapsed="1" x14ac:dyDescent="0.25"/>
    <row r="92" spans="1:6" hidden="1" x14ac:dyDescent="0.25"/>
    <row r="93" spans="1:6" hidden="1" x14ac:dyDescent="0.25">
      <c r="A93" s="152"/>
      <c r="B93" s="152"/>
      <c r="C93" s="152"/>
    </row>
    <row r="94" spans="1:6" hidden="1" x14ac:dyDescent="0.25">
      <c r="A94" s="152"/>
      <c r="B94" s="152"/>
      <c r="C94" s="152"/>
    </row>
    <row r="95" spans="1:6" hidden="1" x14ac:dyDescent="0.25">
      <c r="A95" s="152"/>
      <c r="B95" s="152"/>
      <c r="C95" s="152"/>
    </row>
    <row r="96" spans="1:6" hidden="1" x14ac:dyDescent="0.25">
      <c r="A96" s="1"/>
      <c r="B96" s="90"/>
      <c r="C96" s="90"/>
      <c r="F96" s="84"/>
    </row>
    <row r="97" spans="1:11" hidden="1" x14ac:dyDescent="0.25">
      <c r="A97" s="1"/>
      <c r="I97" s="58"/>
      <c r="J97" s="58"/>
      <c r="K97" s="58"/>
    </row>
    <row r="98" spans="1:11" hidden="1" x14ac:dyDescent="0.25">
      <c r="B98" s="58"/>
      <c r="C98" s="58"/>
      <c r="I98" s="58"/>
      <c r="J98" s="58"/>
      <c r="K98" s="58"/>
    </row>
    <row r="99" spans="1:11" hidden="1" x14ac:dyDescent="0.25">
      <c r="B99" s="58"/>
      <c r="C99" s="58"/>
      <c r="I99" s="91"/>
      <c r="J99" s="91"/>
      <c r="K99" s="91"/>
    </row>
    <row r="100" spans="1:11" hidden="1" x14ac:dyDescent="0.25">
      <c r="B100" s="58"/>
      <c r="C100" s="58"/>
      <c r="I100" s="91"/>
      <c r="J100" s="91"/>
      <c r="K100" s="91"/>
    </row>
    <row r="101" spans="1:11" hidden="1" x14ac:dyDescent="0.25">
      <c r="B101" s="58"/>
      <c r="C101" s="58"/>
      <c r="I101" s="91"/>
      <c r="J101" s="91"/>
      <c r="K101" s="91"/>
    </row>
    <row r="102" spans="1:11" hidden="1" x14ac:dyDescent="0.25">
      <c r="B102" s="58"/>
      <c r="C102" s="58"/>
    </row>
    <row r="103" spans="1:11" hidden="1" x14ac:dyDescent="0.25">
      <c r="B103" s="58"/>
      <c r="C103" s="58"/>
    </row>
    <row r="104" spans="1:11" hidden="1" x14ac:dyDescent="0.25">
      <c r="B104" s="58"/>
      <c r="C104" s="58"/>
    </row>
    <row r="105" spans="1:11" hidden="1" x14ac:dyDescent="0.25">
      <c r="B105" s="58"/>
      <c r="C105" s="58"/>
    </row>
    <row r="107" spans="1:11" hidden="1" x14ac:dyDescent="0.25">
      <c r="A107" s="1"/>
      <c r="B107" s="66"/>
      <c r="C107" s="66"/>
    </row>
    <row r="109" spans="1:11" hidden="1" x14ac:dyDescent="0.25">
      <c r="A109" s="1"/>
    </row>
    <row r="110" spans="1:11" hidden="1" x14ac:dyDescent="0.25">
      <c r="B110" s="58"/>
      <c r="C110" s="58"/>
    </row>
    <row r="111" spans="1:11" hidden="1" x14ac:dyDescent="0.25">
      <c r="B111" s="58"/>
      <c r="C111" s="58"/>
    </row>
    <row r="112" spans="1:11" hidden="1" x14ac:dyDescent="0.25">
      <c r="B112" s="58"/>
      <c r="C112" s="58"/>
    </row>
    <row r="113" spans="1:3" hidden="1" x14ac:dyDescent="0.25">
      <c r="B113" s="58"/>
      <c r="C113" s="58"/>
    </row>
    <row r="114" spans="1:3" hidden="1" x14ac:dyDescent="0.25">
      <c r="B114" s="58"/>
      <c r="C114" s="58"/>
    </row>
    <row r="115" spans="1:3" hidden="1" x14ac:dyDescent="0.25">
      <c r="B115" s="58"/>
      <c r="C115" s="58"/>
    </row>
    <row r="116" spans="1:3" hidden="1" x14ac:dyDescent="0.25">
      <c r="B116" s="58"/>
      <c r="C116" s="58"/>
    </row>
    <row r="118" spans="1:3" hidden="1" x14ac:dyDescent="0.25">
      <c r="A118" s="1"/>
      <c r="B118" s="58"/>
      <c r="C118" s="58"/>
    </row>
    <row r="120" spans="1:3" hidden="1" x14ac:dyDescent="0.25">
      <c r="A120" s="1"/>
      <c r="B120" s="58"/>
      <c r="C120" s="58"/>
    </row>
    <row r="121" spans="1:3" hidden="1" x14ac:dyDescent="0.25">
      <c r="B121" s="58"/>
      <c r="C121" s="58"/>
    </row>
    <row r="122" spans="1:3" hidden="1" x14ac:dyDescent="0.25">
      <c r="B122" s="58"/>
      <c r="C122" s="58"/>
    </row>
    <row r="124" spans="1:3" hidden="1" x14ac:dyDescent="0.25">
      <c r="A124" s="1"/>
      <c r="B124" s="66"/>
      <c r="C124" s="66"/>
    </row>
    <row r="126" spans="1:3" hidden="1" x14ac:dyDescent="0.25">
      <c r="A126" s="1"/>
      <c r="B126" s="66"/>
      <c r="C126" s="66"/>
    </row>
    <row r="131" spans="1:3" hidden="1" x14ac:dyDescent="0.25">
      <c r="A131" s="152"/>
      <c r="B131" s="152"/>
      <c r="C131" s="152"/>
    </row>
    <row r="132" spans="1:3" hidden="1" x14ac:dyDescent="0.25">
      <c r="A132" s="152"/>
      <c r="B132" s="152"/>
      <c r="C132" s="152"/>
    </row>
    <row r="133" spans="1:3" hidden="1" x14ac:dyDescent="0.25">
      <c r="A133" s="152"/>
      <c r="B133" s="152"/>
      <c r="C133" s="152"/>
    </row>
    <row r="134" spans="1:3" hidden="1" x14ac:dyDescent="0.25">
      <c r="B134" s="92"/>
      <c r="C134" s="92"/>
    </row>
    <row r="135" spans="1:3" hidden="1" x14ac:dyDescent="0.25">
      <c r="B135" s="58"/>
      <c r="C135" s="58"/>
    </row>
    <row r="136" spans="1:3" hidden="1" x14ac:dyDescent="0.25">
      <c r="B136" s="58"/>
      <c r="C136" s="58"/>
    </row>
    <row r="137" spans="1:3" hidden="1" x14ac:dyDescent="0.25">
      <c r="B137" s="58"/>
      <c r="C137" s="58"/>
    </row>
    <row r="138" spans="1:3" hidden="1" x14ac:dyDescent="0.25">
      <c r="B138" s="58"/>
      <c r="C138" s="58"/>
    </row>
    <row r="139" spans="1:3" hidden="1" x14ac:dyDescent="0.25">
      <c r="B139" s="58"/>
      <c r="C139" s="58"/>
    </row>
    <row r="140" spans="1:3" hidden="1" x14ac:dyDescent="0.25">
      <c r="B140" s="58"/>
      <c r="C140" s="58"/>
    </row>
    <row r="141" spans="1:3" hidden="1" x14ac:dyDescent="0.25">
      <c r="B141" s="58"/>
      <c r="C141" s="58"/>
    </row>
    <row r="142" spans="1:3" hidden="1" x14ac:dyDescent="0.25">
      <c r="B142" s="58"/>
      <c r="C142" s="58"/>
    </row>
    <row r="143" spans="1:3" hidden="1" x14ac:dyDescent="0.25">
      <c r="B143" s="58"/>
      <c r="C143" s="58"/>
    </row>
    <row r="144" spans="1:3" hidden="1" x14ac:dyDescent="0.25">
      <c r="B144" s="58"/>
      <c r="C144" s="58"/>
    </row>
    <row r="145" spans="2:3" hidden="1" x14ac:dyDescent="0.25">
      <c r="B145" s="58"/>
      <c r="C145" s="58"/>
    </row>
    <row r="146" spans="2:3" hidden="1" x14ac:dyDescent="0.25">
      <c r="B146" s="58"/>
      <c r="C146" s="58"/>
    </row>
    <row r="147" spans="2:3" hidden="1" x14ac:dyDescent="0.25">
      <c r="B147" s="58"/>
      <c r="C147" s="58"/>
    </row>
    <row r="148" spans="2:3" hidden="1" x14ac:dyDescent="0.25">
      <c r="B148" s="58"/>
      <c r="C148" s="58"/>
    </row>
  </sheetData>
  <mergeCells count="9">
    <mergeCell ref="A131:C131"/>
    <mergeCell ref="A132:C132"/>
    <mergeCell ref="A133:C133"/>
    <mergeCell ref="A1:N1"/>
    <mergeCell ref="A2:N2"/>
    <mergeCell ref="A3:N3"/>
    <mergeCell ref="A93:C93"/>
    <mergeCell ref="A94:C94"/>
    <mergeCell ref="A95:C95"/>
  </mergeCells>
  <phoneticPr fontId="37" type="noConversion"/>
  <pageMargins left="0.7" right="0.7" top="0.75" bottom="0.75" header="0.3" footer="0.3"/>
  <pageSetup scale="3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9F67-D443-4401-9F05-91948B4D2679}">
  <dimension ref="A1:H49"/>
  <sheetViews>
    <sheetView showGridLines="0" workbookViewId="0">
      <selection activeCell="F31" sqref="F31"/>
    </sheetView>
  </sheetViews>
  <sheetFormatPr defaultColWidth="0" defaultRowHeight="15" customHeight="1" zeroHeight="1" outlineLevelRow="1" x14ac:dyDescent="0.25"/>
  <cols>
    <col min="1" max="1" width="7.5703125" customWidth="1"/>
    <col min="2" max="2" width="28.5703125" bestFit="1" customWidth="1"/>
    <col min="3" max="4" width="9" bestFit="1" customWidth="1"/>
    <col min="5" max="5" width="10.5703125" bestFit="1" customWidth="1"/>
    <col min="6" max="7" width="9" bestFit="1" customWidth="1"/>
    <col min="8" max="8" width="9.140625" customWidth="1"/>
    <col min="9" max="16384" width="9.140625" hidden="1"/>
  </cols>
  <sheetData>
    <row r="1" spans="2:7" x14ac:dyDescent="0.25"/>
    <row r="2" spans="2:7" x14ac:dyDescent="0.25">
      <c r="B2" s="202" t="s">
        <v>48</v>
      </c>
      <c r="C2" s="203"/>
      <c r="D2" s="203"/>
      <c r="E2" s="203"/>
      <c r="F2" s="203"/>
      <c r="G2" s="204"/>
    </row>
    <row r="3" spans="2:7" x14ac:dyDescent="0.25">
      <c r="B3" s="205" t="s">
        <v>112</v>
      </c>
      <c r="C3" s="152"/>
      <c r="D3" s="152"/>
      <c r="E3" s="152"/>
      <c r="F3" s="152"/>
      <c r="G3" s="206"/>
    </row>
    <row r="4" spans="2:7" x14ac:dyDescent="0.25">
      <c r="B4" s="93"/>
      <c r="C4" s="1"/>
      <c r="D4" s="1"/>
      <c r="G4" s="61"/>
    </row>
    <row r="5" spans="2:7" ht="15.75" thickBot="1" x14ac:dyDescent="0.3">
      <c r="B5" s="94" t="s">
        <v>113</v>
      </c>
      <c r="C5" s="95"/>
      <c r="D5" s="96">
        <v>2021</v>
      </c>
      <c r="E5" s="96">
        <v>2022</v>
      </c>
      <c r="F5" s="96">
        <v>2023</v>
      </c>
      <c r="G5" s="97">
        <v>2024</v>
      </c>
    </row>
    <row r="6" spans="2:7" x14ac:dyDescent="0.25">
      <c r="B6" s="93" t="s">
        <v>114</v>
      </c>
      <c r="G6" s="61"/>
    </row>
    <row r="7" spans="2:7" x14ac:dyDescent="0.25">
      <c r="B7" s="98" t="s">
        <v>115</v>
      </c>
      <c r="C7" s="60"/>
      <c r="D7" s="60">
        <v>159000</v>
      </c>
      <c r="E7" s="60">
        <f>D7+'[2]Cash Flow Statements'!C23</f>
        <v>14671.060831450857</v>
      </c>
      <c r="F7" s="60">
        <f>E7+'[2]Cash Flow Statements'!D23</f>
        <v>49322.347009966092</v>
      </c>
      <c r="G7" s="79">
        <f>F7+'[2]Cash Flow Statements'!E23</f>
        <v>177550.53371284244</v>
      </c>
    </row>
    <row r="8" spans="2:7" x14ac:dyDescent="0.25">
      <c r="B8" s="98" t="s">
        <v>56</v>
      </c>
      <c r="C8" s="60"/>
      <c r="D8" s="60">
        <v>16000</v>
      </c>
      <c r="E8" s="60">
        <f>E46*E41</f>
        <v>11111.3951</v>
      </c>
      <c r="F8" s="60">
        <f t="shared" ref="F8:G8" si="0">F46*F41</f>
        <v>17187.523099999999</v>
      </c>
      <c r="G8" s="60">
        <f t="shared" si="0"/>
        <v>22946.446528571429</v>
      </c>
    </row>
    <row r="9" spans="2:7" x14ac:dyDescent="0.25">
      <c r="B9" s="98" t="s">
        <v>116</v>
      </c>
      <c r="C9" s="60"/>
      <c r="D9" s="60">
        <v>6500</v>
      </c>
      <c r="E9" s="60">
        <f>E43*E41</f>
        <v>6499.9999999999991</v>
      </c>
      <c r="F9" s="60">
        <f>F43*F41</f>
        <v>10054.444031964986</v>
      </c>
      <c r="G9" s="79">
        <f>G43*G41</f>
        <v>13423.328132370551</v>
      </c>
    </row>
    <row r="10" spans="2:7" x14ac:dyDescent="0.25">
      <c r="B10" s="98" t="s">
        <v>117</v>
      </c>
      <c r="C10" s="60"/>
      <c r="D10" s="60">
        <f>SUM(D7:D9)</f>
        <v>181500</v>
      </c>
      <c r="E10" s="60">
        <f>SUM(E7:E9)</f>
        <v>32282.455931450859</v>
      </c>
      <c r="F10" s="60">
        <f t="shared" ref="F10:G10" si="1">SUM(F7:F9)</f>
        <v>76564.31414193107</v>
      </c>
      <c r="G10" s="79">
        <f t="shared" si="1"/>
        <v>213920.30837378441</v>
      </c>
    </row>
    <row r="11" spans="2:7" x14ac:dyDescent="0.25">
      <c r="B11" s="98" t="s">
        <v>118</v>
      </c>
      <c r="C11" s="60"/>
      <c r="D11" s="60"/>
      <c r="E11" s="60"/>
      <c r="F11" s="60"/>
      <c r="G11" s="79"/>
    </row>
    <row r="12" spans="2:7" x14ac:dyDescent="0.25">
      <c r="B12" s="98" t="s">
        <v>119</v>
      </c>
      <c r="C12" s="60"/>
      <c r="D12" s="60">
        <v>60000</v>
      </c>
      <c r="E12" s="60">
        <v>60000</v>
      </c>
      <c r="F12" s="60">
        <v>60000</v>
      </c>
      <c r="G12" s="79">
        <v>60000</v>
      </c>
    </row>
    <row r="13" spans="2:7" x14ac:dyDescent="0.25">
      <c r="B13" s="98" t="s">
        <v>120</v>
      </c>
      <c r="C13" s="60"/>
      <c r="D13" s="60">
        <v>0</v>
      </c>
      <c r="E13" s="60">
        <f>-60000/15</f>
        <v>-4000</v>
      </c>
      <c r="F13" s="60">
        <f>E13-(60000/15)</f>
        <v>-8000</v>
      </c>
      <c r="G13" s="79">
        <f>F13-(60000/15)</f>
        <v>-12000</v>
      </c>
    </row>
    <row r="14" spans="2:7" x14ac:dyDescent="0.25">
      <c r="B14" s="98" t="s">
        <v>17</v>
      </c>
      <c r="C14" s="60"/>
      <c r="D14" s="60">
        <f>SUM(D12:D13)</f>
        <v>60000</v>
      </c>
      <c r="E14" s="60">
        <f>SUM(E12:E13)</f>
        <v>56000</v>
      </c>
      <c r="F14" s="60">
        <f t="shared" ref="F14:G14" si="2">SUM(F12:F13)</f>
        <v>52000</v>
      </c>
      <c r="G14" s="79">
        <f t="shared" si="2"/>
        <v>48000</v>
      </c>
    </row>
    <row r="15" spans="2:7" x14ac:dyDescent="0.25">
      <c r="B15" s="98" t="s">
        <v>121</v>
      </c>
      <c r="C15" s="60"/>
      <c r="D15" s="60">
        <f>D14</f>
        <v>60000</v>
      </c>
      <c r="E15" s="60">
        <f>E14</f>
        <v>56000</v>
      </c>
      <c r="F15" s="60">
        <f t="shared" ref="F15:G15" si="3">F14</f>
        <v>52000</v>
      </c>
      <c r="G15" s="79">
        <f t="shared" si="3"/>
        <v>48000</v>
      </c>
    </row>
    <row r="16" spans="2:7" x14ac:dyDescent="0.25">
      <c r="B16" s="98"/>
      <c r="C16" s="60"/>
      <c r="D16" s="60"/>
      <c r="E16" s="60"/>
      <c r="F16" s="60"/>
      <c r="G16" s="79"/>
    </row>
    <row r="17" spans="2:7" ht="15.75" thickBot="1" x14ac:dyDescent="0.3">
      <c r="B17" s="99" t="s">
        <v>122</v>
      </c>
      <c r="C17" s="100"/>
      <c r="D17" s="100">
        <f>D15+D10</f>
        <v>241500</v>
      </c>
      <c r="E17" s="100">
        <f>E15+E10</f>
        <v>88282.455931450851</v>
      </c>
      <c r="F17" s="100">
        <f t="shared" ref="F17:G17" si="4">F15+F10</f>
        <v>128564.31414193107</v>
      </c>
      <c r="G17" s="101">
        <f t="shared" si="4"/>
        <v>261920.30837378441</v>
      </c>
    </row>
    <row r="18" spans="2:7" ht="15.75" thickTop="1" x14ac:dyDescent="0.25">
      <c r="B18" s="98"/>
      <c r="C18" s="60"/>
      <c r="D18" s="60"/>
      <c r="E18" s="60"/>
      <c r="F18" s="60"/>
      <c r="G18" s="79"/>
    </row>
    <row r="19" spans="2:7" ht="15.75" thickBot="1" x14ac:dyDescent="0.3">
      <c r="B19" s="102" t="s">
        <v>123</v>
      </c>
      <c r="C19" s="103"/>
      <c r="D19" s="103"/>
      <c r="E19" s="103"/>
      <c r="F19" s="103"/>
      <c r="G19" s="104"/>
    </row>
    <row r="20" spans="2:7" x14ac:dyDescent="0.25">
      <c r="B20" s="98" t="s">
        <v>124</v>
      </c>
      <c r="C20" s="60"/>
      <c r="D20" s="60"/>
      <c r="E20" s="60"/>
      <c r="F20" s="60"/>
      <c r="G20" s="79"/>
    </row>
    <row r="21" spans="2:7" x14ac:dyDescent="0.25">
      <c r="B21" s="98" t="s">
        <v>125</v>
      </c>
      <c r="C21" s="60"/>
      <c r="D21" s="60">
        <v>7000</v>
      </c>
      <c r="E21" s="60">
        <f>E44*E42</f>
        <v>7000</v>
      </c>
      <c r="F21" s="60">
        <f>F44*F42</f>
        <v>7829.068420581345</v>
      </c>
      <c r="G21" s="79">
        <f>G44*G42</f>
        <v>8840.0534955531093</v>
      </c>
    </row>
    <row r="22" spans="2:7" x14ac:dyDescent="0.25">
      <c r="B22" s="98" t="s">
        <v>126</v>
      </c>
      <c r="C22" s="60"/>
      <c r="D22" s="60">
        <v>2500</v>
      </c>
      <c r="E22" s="60">
        <f>E45*E41</f>
        <v>2500</v>
      </c>
      <c r="F22" s="60">
        <f>F45*F41</f>
        <v>3867.0938584480723</v>
      </c>
      <c r="G22" s="79">
        <f>G45*G41</f>
        <v>5162.8185124502124</v>
      </c>
    </row>
    <row r="23" spans="2:7" x14ac:dyDescent="0.25">
      <c r="B23" s="98" t="s">
        <v>127</v>
      </c>
      <c r="C23" s="60"/>
      <c r="D23" s="60">
        <f>SUM(D21:D22)</f>
        <v>9500</v>
      </c>
      <c r="E23" s="60">
        <f>SUM(E21:E22)</f>
        <v>9500</v>
      </c>
      <c r="F23" s="60">
        <f t="shared" ref="F23:G23" si="5">SUM(F21:F22)</f>
        <v>11696.162279029417</v>
      </c>
      <c r="G23" s="79">
        <f t="shared" si="5"/>
        <v>14002.872008003322</v>
      </c>
    </row>
    <row r="24" spans="2:7" x14ac:dyDescent="0.25">
      <c r="B24" s="98" t="s">
        <v>128</v>
      </c>
      <c r="C24" s="60"/>
      <c r="D24" s="60"/>
      <c r="E24" s="60"/>
      <c r="F24" s="60"/>
      <c r="G24" s="79"/>
    </row>
    <row r="25" spans="2:7" x14ac:dyDescent="0.25">
      <c r="B25" s="98" t="s">
        <v>129</v>
      </c>
      <c r="C25" s="60"/>
      <c r="D25" s="60">
        <v>118000</v>
      </c>
      <c r="E25" s="60">
        <f>D25-'[2]Summary of Income Statements'!C29</f>
        <v>90624.753034330075</v>
      </c>
      <c r="F25" s="60">
        <f>E25-'[2]Summary of Income Statements'!D29</f>
        <v>63249.50606866015</v>
      </c>
      <c r="G25" s="79">
        <f>F25-'[2]Summary of Income Statements'!E29</f>
        <v>35874.259102990225</v>
      </c>
    </row>
    <row r="26" spans="2:7" x14ac:dyDescent="0.25">
      <c r="B26" s="98" t="s">
        <v>130</v>
      </c>
      <c r="C26" s="60"/>
      <c r="D26" s="60">
        <f>SUM(D25)</f>
        <v>118000</v>
      </c>
      <c r="E26" s="60">
        <f>SUM(E25)</f>
        <v>90624.753034330075</v>
      </c>
      <c r="F26" s="60">
        <f>SUM(F25)</f>
        <v>63249.50606866015</v>
      </c>
      <c r="G26" s="79">
        <f t="shared" ref="G26" si="6">SUM(G25)</f>
        <v>35874.259102990225</v>
      </c>
    </row>
    <row r="27" spans="2:7" x14ac:dyDescent="0.25">
      <c r="B27" s="98"/>
      <c r="C27" s="60"/>
      <c r="D27" s="60"/>
      <c r="E27" s="60"/>
      <c r="F27" s="60"/>
      <c r="G27" s="79"/>
    </row>
    <row r="28" spans="2:7" x14ac:dyDescent="0.25">
      <c r="B28" s="105" t="s">
        <v>131</v>
      </c>
      <c r="C28" s="60"/>
      <c r="D28" s="106">
        <f>D23+D26</f>
        <v>127500</v>
      </c>
      <c r="E28" s="106">
        <f>E23+E26</f>
        <v>100124.75303433008</v>
      </c>
      <c r="F28" s="106">
        <f t="shared" ref="F28:G28" si="7">F23+F26</f>
        <v>74945.668347689571</v>
      </c>
      <c r="G28" s="107">
        <f t="shared" si="7"/>
        <v>49877.131110993549</v>
      </c>
    </row>
    <row r="29" spans="2:7" x14ac:dyDescent="0.25">
      <c r="B29" s="98"/>
      <c r="C29" s="60"/>
      <c r="D29" s="60"/>
      <c r="E29" s="60"/>
      <c r="F29" s="60"/>
      <c r="G29" s="79"/>
    </row>
    <row r="30" spans="2:7" ht="15.75" thickBot="1" x14ac:dyDescent="0.3">
      <c r="B30" s="102" t="s">
        <v>132</v>
      </c>
      <c r="C30" s="103"/>
      <c r="D30" s="103"/>
      <c r="E30" s="103"/>
      <c r="F30" s="103"/>
      <c r="G30" s="104"/>
    </row>
    <row r="31" spans="2:7" x14ac:dyDescent="0.25">
      <c r="B31" s="98" t="s">
        <v>133</v>
      </c>
      <c r="C31" s="60"/>
      <c r="D31" s="108">
        <v>10000</v>
      </c>
      <c r="E31" s="60">
        <v>10000</v>
      </c>
      <c r="F31" s="60">
        <v>10000</v>
      </c>
      <c r="G31" s="79">
        <v>10000</v>
      </c>
    </row>
    <row r="32" spans="2:7" x14ac:dyDescent="0.25">
      <c r="B32" s="98" t="s">
        <v>134</v>
      </c>
      <c r="C32" s="60"/>
      <c r="D32" s="108">
        <v>104000</v>
      </c>
      <c r="E32" s="60">
        <f>D32+'[2]Summary of Income Statements'!C36</f>
        <v>-21842.297102879224</v>
      </c>
      <c r="F32" s="60">
        <f>E32+'[2]Summary of Income Statements'!D36</f>
        <v>43618.6457942415</v>
      </c>
      <c r="G32" s="79">
        <f>F32+'[2]Summary of Income Statements'!E36</f>
        <v>202043.17726279085</v>
      </c>
    </row>
    <row r="33" spans="2:7" x14ac:dyDescent="0.25">
      <c r="B33" s="98"/>
      <c r="C33" s="60"/>
      <c r="D33" s="60"/>
      <c r="E33" s="60"/>
      <c r="F33" s="60"/>
      <c r="G33" s="79"/>
    </row>
    <row r="34" spans="2:7" x14ac:dyDescent="0.25">
      <c r="B34" s="105" t="s">
        <v>135</v>
      </c>
      <c r="C34" s="106"/>
      <c r="D34" s="106">
        <f>SUM(D31:D32)</f>
        <v>114000</v>
      </c>
      <c r="E34" s="106">
        <f>SUM(E31:E32)</f>
        <v>-11842.297102879224</v>
      </c>
      <c r="F34" s="106">
        <f t="shared" ref="F34:G34" si="8">SUM(F31:F32)</f>
        <v>53618.6457942415</v>
      </c>
      <c r="G34" s="107">
        <f t="shared" si="8"/>
        <v>212043.17726279085</v>
      </c>
    </row>
    <row r="35" spans="2:7" x14ac:dyDescent="0.25">
      <c r="B35" s="98"/>
      <c r="C35" s="60"/>
      <c r="D35" s="60"/>
      <c r="E35" s="60"/>
      <c r="F35" s="60"/>
      <c r="G35" s="79"/>
    </row>
    <row r="36" spans="2:7" ht="15.75" thickBot="1" x14ac:dyDescent="0.3">
      <c r="B36" s="99" t="s">
        <v>136</v>
      </c>
      <c r="C36" s="100"/>
      <c r="D36" s="100">
        <f>D34+D28</f>
        <v>241500</v>
      </c>
      <c r="E36" s="100">
        <f>E34+E28</f>
        <v>88282.455931450851</v>
      </c>
      <c r="F36" s="100">
        <f t="shared" ref="F36:G36" si="9">F34+F28</f>
        <v>128564.31414193107</v>
      </c>
      <c r="G36" s="101">
        <f t="shared" si="9"/>
        <v>261920.30837378441</v>
      </c>
    </row>
    <row r="37" spans="2:7" ht="15.75" thickTop="1" x14ac:dyDescent="0.25"/>
    <row r="38" spans="2:7" hidden="1" outlineLevel="1" x14ac:dyDescent="0.25">
      <c r="B38" t="s">
        <v>137</v>
      </c>
      <c r="D38" s="109">
        <f>D17-D36</f>
        <v>0</v>
      </c>
      <c r="E38" s="109">
        <f t="shared" ref="E38:G38" si="10">E17-E36</f>
        <v>0</v>
      </c>
      <c r="F38" s="109">
        <f t="shared" si="10"/>
        <v>0</v>
      </c>
      <c r="G38" s="109">
        <f t="shared" si="10"/>
        <v>0</v>
      </c>
    </row>
    <row r="39" spans="2:7" hidden="1" outlineLevel="1" x14ac:dyDescent="0.25"/>
    <row r="40" spans="2:7" hidden="1" outlineLevel="1" x14ac:dyDescent="0.25">
      <c r="B40" s="84" t="s">
        <v>76</v>
      </c>
      <c r="E40">
        <v>2022</v>
      </c>
      <c r="F40">
        <v>2023</v>
      </c>
      <c r="G40">
        <v>2024</v>
      </c>
    </row>
    <row r="41" spans="2:7" hidden="1" outlineLevel="1" x14ac:dyDescent="0.25">
      <c r="B41" t="s">
        <v>138</v>
      </c>
      <c r="E41" s="110">
        <f>'[2]Summary of Income Statements'!C9</f>
        <v>332676.5</v>
      </c>
      <c r="F41" s="110">
        <f>'[2]Summary of Income Statements'!D9</f>
        <v>514596.5</v>
      </c>
      <c r="G41" s="110">
        <f>'[2]Summary of Income Statements'!E9</f>
        <v>687019.35714285716</v>
      </c>
    </row>
    <row r="42" spans="2:7" hidden="1" outlineLevel="1" x14ac:dyDescent="0.25">
      <c r="B42" t="s">
        <v>21</v>
      </c>
      <c r="E42" s="110">
        <v>346197</v>
      </c>
      <c r="F42" s="110">
        <v>387200</v>
      </c>
      <c r="G42" s="110">
        <v>437200</v>
      </c>
    </row>
    <row r="43" spans="2:7" hidden="1" outlineLevel="1" x14ac:dyDescent="0.25">
      <c r="B43" t="s">
        <v>139</v>
      </c>
      <c r="E43" s="111">
        <f>D9/E41</f>
        <v>1.9538500615462768E-2</v>
      </c>
      <c r="F43" s="111">
        <f>E43</f>
        <v>1.9538500615462768E-2</v>
      </c>
      <c r="G43" s="111">
        <f>F43</f>
        <v>1.9538500615462768E-2</v>
      </c>
    </row>
    <row r="44" spans="2:7" hidden="1" outlineLevel="1" x14ac:dyDescent="0.25">
      <c r="B44" t="s">
        <v>140</v>
      </c>
      <c r="E44" s="111">
        <f>D21/E42</f>
        <v>2.0219701499435291E-2</v>
      </c>
      <c r="F44" s="111">
        <f t="shared" ref="F44:G45" si="11">E44</f>
        <v>2.0219701499435291E-2</v>
      </c>
      <c r="G44" s="111">
        <f t="shared" si="11"/>
        <v>2.0219701499435291E-2</v>
      </c>
    </row>
    <row r="45" spans="2:7" hidden="1" outlineLevel="1" x14ac:dyDescent="0.25">
      <c r="B45" t="s">
        <v>141</v>
      </c>
      <c r="E45" s="111">
        <f>D22/E41</f>
        <v>7.5148079290241424E-3</v>
      </c>
      <c r="F45" s="111">
        <f t="shared" si="11"/>
        <v>7.5148079290241424E-3</v>
      </c>
      <c r="G45" s="111">
        <f t="shared" si="11"/>
        <v>7.5148079290241424E-3</v>
      </c>
    </row>
    <row r="46" spans="2:7" hidden="1" outlineLevel="1" x14ac:dyDescent="0.25">
      <c r="B46" t="s">
        <v>142</v>
      </c>
      <c r="E46" s="111">
        <v>3.3399999999999999E-2</v>
      </c>
      <c r="F46" s="111">
        <v>3.3399999999999999E-2</v>
      </c>
      <c r="G46" s="111">
        <v>3.3399999999999999E-2</v>
      </c>
    </row>
    <row r="47" spans="2:7" collapsed="1" x14ac:dyDescent="0.25"/>
    <row r="48" spans="2:7" x14ac:dyDescent="0.25"/>
    <row r="49" x14ac:dyDescent="0.25"/>
  </sheetData>
  <mergeCells count="2">
    <mergeCell ref="B2:G2"/>
    <mergeCell ref="B3:G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Rolling Budget and Forecast</vt:lpstr>
      <vt:lpstr>Sensitivity&amp;Scenario Analysis </vt:lpstr>
      <vt:lpstr>2022</vt:lpstr>
      <vt:lpstr>Balance Sheets</vt:lpstr>
      <vt:lpstr>fdasfdas</vt:lpstr>
      <vt:lpstr>FlightInstructorSalary</vt:lpstr>
    </vt:vector>
  </TitlesOfParts>
  <Company>Other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Velarde</dc:creator>
  <cp:lastModifiedBy>Roberto Osuna</cp:lastModifiedBy>
  <dcterms:created xsi:type="dcterms:W3CDTF">2015-10-28T14:55:29Z</dcterms:created>
  <dcterms:modified xsi:type="dcterms:W3CDTF">2022-09-16T05:10:06Z</dcterms:modified>
</cp:coreProperties>
</file>